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7.xml" ContentType="application/vnd.openxmlformats-officedocument.spreadsheetml.worksheet+xml"/>
  <Override PartName="/xl/drawings/drawing4.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5.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6.xml" ContentType="application/vnd.openxmlformats-officedocument.drawing+xml"/>
  <Override PartName="/xl/worksheets/sheet1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puts" sheetId="2" state="visible" r:id="rId2"/>
    <sheet xmlns:r="http://schemas.openxmlformats.org/officeDocument/2006/relationships" name="Segments" sheetId="3" state="visible" r:id="rId3"/>
    <sheet xmlns:r="http://schemas.openxmlformats.org/officeDocument/2006/relationships" name="Platform" sheetId="4" state="visible" r:id="rId4"/>
    <sheet xmlns:r="http://schemas.openxmlformats.org/officeDocument/2006/relationships" name="DCF" sheetId="5" state="visible" r:id="rId5"/>
    <sheet xmlns:r="http://schemas.openxmlformats.org/officeDocument/2006/relationships" name="Diligence" sheetId="6" state="visible" r:id="rId6"/>
    <sheet xmlns:r="http://schemas.openxmlformats.org/officeDocument/2006/relationships" name="Multiples" sheetId="7" state="visible" r:id="rId7"/>
    <sheet xmlns:r="http://schemas.openxmlformats.org/officeDocument/2006/relationships" name="Price" sheetId="8" state="visible" r:id="rId8"/>
    <sheet xmlns:r="http://schemas.openxmlformats.org/officeDocument/2006/relationships" name="Financing" sheetId="9" state="visible" r:id="rId9"/>
    <sheet xmlns:r="http://schemas.openxmlformats.org/officeDocument/2006/relationships" name="Returns" sheetId="10" state="visible" r:id="rId10"/>
    <sheet xmlns:r="http://schemas.openxmlformats.org/officeDocument/2006/relationships" name="Sensitivities" sheetId="11" state="visible" r:id="rId11"/>
    <sheet xmlns:r="http://schemas.openxmlformats.org/officeDocument/2006/relationships" name="Bids" sheetId="12" state="visible" r:id="rId12"/>
    <sheet xmlns:r="http://schemas.openxmlformats.org/officeDocument/2006/relationships" name="Approvals" sheetId="13" state="visible" r:id="rId13"/>
    <sheet xmlns:r="http://schemas.openxmlformats.org/officeDocument/2006/relationships" name="SPA" sheetId="14" state="visible" r:id="rId14"/>
    <sheet xmlns:r="http://schemas.openxmlformats.org/officeDocument/2006/relationships" name="Consortium" sheetId="15" state="visible" r:id="rId15"/>
    <sheet xmlns:r="http://schemas.openxmlformats.org/officeDocument/2006/relationships" name="Exit" sheetId="16" state="visible" r:id="rId16"/>
    <sheet xmlns:r="http://schemas.openxmlformats.org/officeDocument/2006/relationships" name="Checks" sheetId="17" state="visible" r:id="rId17"/>
  </sheets>
  <definedNames>
    <definedName name="i_sw_view">Inputs!$C$7</definedName>
    <definedName name="i_sw_exp">Inputs!$C$8</definedName>
    <definedName name="i_sw_occ">Inputs!$C$9</definedName>
    <definedName name="i_sw_mtm">Inputs!$C$10</definedName>
    <definedName name="i_infl">Inputs!$C$11</definedName>
    <definedName name="i_sw_renew">Inputs!$C$12</definedName>
    <definedName name="i_t_close">Inputs!$C$13</definedName>
    <definedName name="i_sw_staple">Inputs!$C$14</definedName>
    <definedName name="i_sw_exit">Inputs!$C$15</definedName>
    <definedName name="i_sw_mitig">Inputs!$C$16</definedName>
    <definedName name="i_base_year">Inputs!$C$19</definedName>
    <definedName name="i_last">Inputs!$C$20</definedName>
    <definedName name="i_index_share">Inputs!$C$21</definedName>
    <definedName name="i_trans_start">Inputs!$C$22</definedName>
    <definedName name="i_tax">Inputs!$C$23</definedName>
    <definedName name="i_tax_dep_extra">Inputs!$C$24</definedName>
    <definedName name="i_tax_dep_end">Inputs!$C$25</definedName>
    <definedName name="i_int_cap">Inputs!$C$26</definedName>
    <definedName name="i_corp">Inputs!$C$27</definedName>
    <definedName name="i_corp_after_w">Inputs!$C$28</definedName>
    <definedName name="i_conc_end">Inputs!$C$29</definedName>
    <definedName name="i_renew_fee">Inputs!$C$30</definedName>
    <definedName name="i_handback">Inputs!$C$31</definedName>
    <definedName name="i_r">Inputs!$C$34</definedName>
    <definedName name="i_g">Inputs!$C$35</definedName>
    <definedName name="i_r_adviser">Inputs!$C$36</definedName>
    <definedName name="i_grid_r0">Inputs!$C$37</definedName>
    <definedName name="i_grid_rstep">Inputs!$C$38</definedName>
    <definedName name="i_grid_g0">Inputs!$C$39</definedName>
    <definedName name="i_grid_gstep">Inputs!$C$40</definedName>
    <definedName name="i_W_cap">Inputs!$C$44</definedName>
    <definedName name="i_R_cap">Inputs!$D$44</definedName>
    <definedName name="i_T_cap">Inputs!$E$44</definedName>
    <definedName name="i_G_cap">Inputs!$F$44</definedName>
    <definedName name="i_W_rate">Inputs!$C$45</definedName>
    <definedName name="i_R_rate">Inputs!$D$45</definedName>
    <definedName name="i_T_rate">Inputs!$E$45</definedName>
    <definedName name="i_G_rate">Inputs!$F$45</definedName>
    <definedName name="i_W_occ">Inputs!$C$46</definedName>
    <definedName name="i_R_occ">Inputs!$D$46</definedName>
    <definedName name="i_T_occ">Inputs!$E$46</definedName>
    <definedName name="i_G_occ">Inputs!$F$46</definedName>
    <definedName name="i_W_anc">Inputs!$C$47</definedName>
    <definedName name="i_R_anc">Inputs!$D$47</definedName>
    <definedName name="i_T_anc">Inputs!$E$47</definedName>
    <definedName name="i_G_anc">Inputs!$F$47</definedName>
    <definedName name="i_W_fix">Inputs!$C$48</definedName>
    <definedName name="i_R_fix">Inputs!$D$48</definedName>
    <definedName name="i_T_fix">Inputs!$E$48</definedName>
    <definedName name="i_G_fix">Inputs!$F$48</definedName>
    <definedName name="i_W_var">Inputs!$C$49</definedName>
    <definedName name="i_R_var">Inputs!$D$49</definedName>
    <definedName name="i_T_var">Inputs!$E$49</definedName>
    <definedName name="i_G_var">Inputs!$F$49</definedName>
    <definedName name="i_W_fee">Inputs!$C$50</definedName>
    <definedName name="i_R_fee">Inputs!$D$50</definedName>
    <definedName name="i_T_fee">Inputs!$E$50</definedName>
    <definedName name="i_G_fee">Inputs!$F$50</definedName>
    <definedName name="i_W_mc">Inputs!$C$51</definedName>
    <definedName name="i_R_mc">Inputs!$D$51</definedName>
    <definedName name="i_T_mc">Inputs!$E$51</definedName>
    <definedName name="i_G_mc">Inputs!$F$51</definedName>
    <definedName name="i_W_mtm">Inputs!$C$52</definedName>
    <definedName name="i_R_mtm">Inputs!$D$52</definedName>
    <definedName name="i_T_mtm">Inputs!$E$52</definedName>
    <definedName name="i_G_mtm">Inputs!$F$52</definedName>
    <definedName name="i_W_mtm_plan">Inputs!$C$53</definedName>
    <definedName name="i_R_mtm_plan">Inputs!$D$53</definedName>
    <definedName name="i_T_mtm_plan">Inputs!$E$53</definedName>
    <definedName name="i_G_mtm_plan">Inputs!$F$53</definedName>
    <definedName name="i_W_dec">Inputs!$C$54</definedName>
    <definedName name="i_R_dec">Inputs!$D$54</definedName>
    <definedName name="i_T_dec">Inputs!$E$54</definedName>
    <definedName name="i_G_dec">Inputs!$F$54</definedName>
    <definedName name="i_W_floor">Inputs!$C$55</definedName>
    <definedName name="i_R_floor">Inputs!$D$55</definedName>
    <definedName name="i_T_floor">Inputs!$E$55</definedName>
    <definedName name="i_G_floor">Inputs!$F$55</definedName>
    <definedName name="i_book_years">Inputs!$C$57:$H$57</definedName>
    <definedName name="i_W_book">Inputs!$C$58:$H$58</definedName>
    <definedName name="i_R_book">Inputs!$C$59:$H$59</definedName>
    <definedName name="i_T_book">Inputs!$C$60:$H$60</definedName>
    <definedName name="i_G_book">Inputs!$C$61:$H$61</definedName>
    <definedName name="i_jetty_years">Inputs!$C$65:$D$65</definedName>
    <definedName name="i_jetty_vals">Inputs!$C$66:$D$66</definedName>
    <definedName name="i_dip_years">Inputs!$C$67:$E$67</definedName>
    <definedName name="i_dip_vals">Inputs!$C$68:$E$68</definedName>
    <definedName name="i_g_ins">Inputs!$C$69</definedName>
    <definedName name="i_first_lo">Inputs!$C$70</definedName>
    <definedName name="i_first_hi">Inputs!$C$71</definedName>
    <definedName name="i_exp_cap">Inputs!$C$74</definedName>
    <definedName name="i_exp_capex_years">Inputs!$C$75:$D$75</definedName>
    <definedName name="i_exp_capex_vals">Inputs!$C$76:$D$76</definedName>
    <definedName name="i_exp_start">Inputs!$C$77</definedName>
    <definedName name="i_exp_rate">Inputs!$C$78</definedName>
    <definedName name="i_exp_years">Inputs!$C$79</definedName>
    <definedName name="i_exp_occ_c">Inputs!$C$80</definedName>
    <definedName name="i_exp_occ_m">Inputs!$C$81</definedName>
    <definedName name="i_exp_anc">Inputs!$C$82</definedName>
    <definedName name="i_exp_fix">Inputs!$C$83</definedName>
    <definedName name="i_exp_var">Inputs!$C$84</definedName>
    <definedName name="i_exp_mc">Inputs!$C$85</definedName>
    <definedName name="i_exp_mtm">Inputs!$C$86</definedName>
    <definedName name="i_earnout">Inputs!$C$87</definedName>
    <definedName name="i_t_earnout">Inputs!$C$88</definedName>
    <definedName name="i_p_buyer">Inputs!$C$89</definedName>
    <definedName name="i_p_seller">Inputs!$C$90</definedName>
    <definedName name="i_bid_ev">Inputs!$C$93</definedName>
    <definedName name="i_old_tl">Inputs!$C$94</definedName>
    <definedName name="i_old_notes">Inputs!$C$95</definedName>
    <definedName name="i_make_whole">Inputs!$C$96</definedName>
    <definedName name="i_old_rate">Inputs!$C$97</definedName>
    <definedName name="i_pension">Inputs!$C$98</definedName>
    <definedName name="i_def_capex">Inputs!$C$99</definedName>
    <definedName name="i_acc_tax">Inputs!$C$100</definedName>
    <definedName name="i_lb_cash">Inputs!$C$101</definedName>
    <definedName name="i_min_cash">Inputs!$C$102</definedName>
    <definedName name="i_permitted_leak">Inputs!$C$103</definedName>
    <definedName name="i_shl">Inputs!$C$104</definedName>
    <definedName name="i_ticking">Inputs!$C$105</definedName>
    <definedName name="i_leak_claim">Inputs!$C$106</definedName>
    <definedName name="i_nwc_peg">Inputs!$C$107</definedName>
    <definedName name="i_nwc_actual">Inputs!$C$108</definedName>
    <definedName name="i_costs_adv">Inputs!$C$111</definedName>
    <definedName name="i_wi_limit_pct">Inputs!$C$112</definedName>
    <definedName name="i_wi_rol">Inputs!$C$113</definedName>
    <definedName name="i_wi_ipt">Inputs!$C$114</definedName>
    <definedName name="i_wi_ret">Inputs!$C$115</definedName>
    <definedName name="i_wi_ret12">Inputs!$C$116</definedName>
    <definedName name="i_wi_claim">Inputs!$C$117</definedName>
    <definedName name="i_wi_t_claim">Inputs!$C$118</definedName>
    <definedName name="i_hsr_lo">Inputs!$C$119:$H$119</definedName>
    <definedName name="i_hsr_fee">Inputs!$C$120:$H$120</definedName>
    <definedName name="i_opco_x">Inputs!$C$123</definedName>
    <definedName name="i_opco_rate">Inputs!$C$124</definedName>
    <definedName name="i_opco_fee">Inputs!$C$125</definedName>
    <definedName name="i_opco_tenor">Inputs!$C$126</definedName>
    <definedName name="i_hold_x">Inputs!$C$127</definedName>
    <definedName name="i_hold_rate">Inputs!$C$128</definedName>
    <definedName name="i_hold_fee">Inputs!$C$129</definedName>
    <definedName name="i_hold_tenor">Inputs!$C$130</definedName>
    <definedName name="i_refi_shift">Inputs!$C$131</definedName>
    <definedName name="i_commit_fee">Inputs!$C$132</definedName>
    <definedName name="i_t_sign">Inputs!$C$133</definedName>
    <definedName name="i_staple_x">Inputs!$C$134</definedName>
    <definedName name="i_staple_rate">Inputs!$C$135</definedName>
    <definedName name="i_staple_fee">Inputs!$C$136</definedName>
    <definedName name="i_hurdle">Inputs!$C$139</definedName>
    <definedName name="i_exit_year">Inputs!$C$140</definedName>
    <definedName name="i_r_exit">Inputs!$C$141</definedName>
    <definedName name="i_bis_lo">Inputs!$C$142</definedName>
    <definedName name="i_bis_hi">Inputs!$C$143</definedName>
    <definedName name="i_min_share">Inputs!$C$144</definedName>
    <definedName name="i_min_year">Inputs!$C$145</definedName>
    <definedName name="i_min_r">Inputs!$C$146</definedName>
    <definedName name="i_min_disc">Inputs!$C$147</definedName>
    <definedName name="i_cv_price">Inputs!$C$148</definedName>
    <definedName name="i_cv_roll">Inputs!$C$149</definedName>
    <definedName name="i_cv_growth">Inputs!$C$150</definedName>
    <definedName name="i_reserve">Inputs!$C$153</definedName>
    <definedName name="i_ng_p">Inputs!$C$154</definedName>
    <definedName name="i_h_ev_add">Inputs!$C$155</definedName>
    <definedName name="i_h_close">Inputs!$C$156</definedName>
    <definedName name="i_h_p">Inputs!$C$157</definedName>
    <definedName name="i_h_escrow">Inputs!$C$158</definedName>
    <definedName name="i_h_escrow_t">Inputs!$C$159</definedName>
    <definedName name="i_h_claims">Inputs!$C$160</definedName>
    <definedName name="i_h_nwc">Inputs!$C$161</definedName>
    <definedName name="i_r_seller">Inputs!$C$162</definedName>
    <definedName name="i_fallback">Inputs!$C$163</definedName>
    <definedName name="i_refail">Inputs!$C$164</definedName>
    <definedName name="i_ash_in">Inputs!$C$165</definedName>
    <definedName name="i_ash_year">Inputs!$C$166</definedName>
    <definedName name="i_ash_years">Inputs!$C$167:$M$167</definedName>
    <definedName name="i_ash_dists">Inputs!$C$168:$M$168</definedName>
    <definedName name="i_prec">Inputs!$C$172:$C$176</definedName>
    <definedName name="i_rab">Inputs!$C$179</definedName>
    <definedName name="i_rab_allowed">Inputs!$C$180</definedName>
    <definedName name="i_rab_out">Inputs!$C$181</definedName>
    <definedName name="i_rab_years">Inputs!$C$182</definedName>
    <definedName name="i_rab_d1">Inputs!$C$183</definedName>
    <definedName name="i_rab_d2">Inputs!$C$184</definedName>
    <definedName name="i_eurusd">Inputs!$C$187</definedName>
    <definedName name="i_gbpusd">Inputs!$C$188</definedName>
    <definedName name="i_ng_world">Inputs!$C$189</definedName>
    <definedName name="i_ng_eu">Inputs!$C$190</definedName>
    <definedName name="i_la_world">Inputs!$C$191</definedName>
    <definedName name="i_la_eu">Inputs!$C$192</definedName>
    <definedName name="i_aldara_ffc">Inputs!$C$193</definedName>
    <definedName name="i_eumr_world">Inputs!$C$194</definedName>
    <definedName name="i_eumr_eu">Inputs!$C$195</definedName>
    <definedName name="i_fsr_thr">Inputs!$C$196</definedName>
    <definedName name="i_cma_thr">Inputs!$C$197</definedName>
    <definedName name="i_mitigation">Inputs!$C$198</definedName>
    <definedName name="i_mitig_start">Inputs!$C$199</definedName>
    <definedName name="i_ng_share">Inputs!$C$207</definedName>
    <definedName name="i_ng_seats">Inputs!$C$208</definedName>
    <definedName name="i_la_share">Inputs!$C$209</definedName>
    <definedName name="i_la_seats">Inputs!$C$210</definedName>
    <definedName name="i_al_share">Inputs!$C$211</definedName>
    <definedName name="i_al_seats">Inputs!$C$212</definedName>
    <definedName name="i_chair">Inputs!$C$213</definedName>
    <definedName name="i_reserved">Inputs!$C$214</definedName>
    <definedName name="i_bid_costs">Inputs!$C$215</definedName>
  </definedNames>
  <calcPr calcId="124519" fullCalcOnLoad="1"/>
</workbook>
</file>

<file path=xl/styles.xml><?xml version="1.0" encoding="utf-8"?>
<styleSheet xmlns="http://schemas.openxmlformats.org/spreadsheetml/2006/main">
  <numFmts count="13">
    <numFmt numFmtId="164" formatCode="0.0%"/>
    <numFmt numFmtId="165" formatCode="#,##0.0;-#,##0.0;0.0"/>
    <numFmt numFmtId="166" formatCode="#,##0.0"/>
    <numFmt numFmtId="167" formatCode="#,##0.000"/>
    <numFmt numFmtId="168" formatCode="0.00&quot;x&quot;"/>
    <numFmt numFmtId="169" formatCode="0.0&quot;x&quot;"/>
    <numFmt numFmtId="170" formatCode="0.0000"/>
    <numFmt numFmtId="171" formatCode="#,##0.00;-#,##0.00;0.00"/>
    <numFmt numFmtId="172" formatCode="0.0000%"/>
    <numFmt numFmtId="173" formatCode="0.000000"/>
    <numFmt numFmtId="174" formatCode="#,##0.000000"/>
    <numFmt numFmtId="175" formatCode="#,##0.0000"/>
    <numFmt numFmtId="176" formatCode="0.0E+00"/>
  </numFmts>
  <fonts count="6">
    <font>
      <name val="Calibri"/>
      <family val="2"/>
      <color theme="1"/>
      <sz val="11"/>
      <scheme val="minor"/>
    </font>
    <font>
      <name val="Arial"/>
      <b val="1"/>
      <sz val="10"/>
    </font>
    <font>
      <name val="Arial"/>
      <sz val="10"/>
    </font>
    <font>
      <name val="Arial"/>
      <color rgb="006B7280"/>
      <sz val="9"/>
    </font>
    <font>
      <name val="Arial"/>
      <b val="1"/>
      <color rgb="001F2933"/>
      <sz val="13"/>
    </font>
    <font>
      <name val="Arial"/>
      <color rgb="001F4E9E"/>
      <sz val="10"/>
    </font>
  </fonts>
  <fills count="3">
    <fill>
      <patternFill/>
    </fill>
    <fill>
      <patternFill patternType="gray125"/>
    </fill>
    <fill>
      <patternFill patternType="solid">
        <fgColor rgb="00E8ECEF"/>
      </patternFill>
    </fill>
  </fills>
  <borders count="1">
    <border>
      <left/>
      <right/>
      <top/>
      <bottom/>
      <diagonal/>
    </border>
  </borders>
  <cellStyleXfs count="1">
    <xf numFmtId="0" fontId="0" fillId="0" borderId="0"/>
  </cellStyleXfs>
  <cellXfs count="51">
    <xf numFmtId="0" fontId="0" fillId="0" borderId="0" pivotButton="0" quotePrefix="0" xfId="0"/>
    <xf numFmtId="0" fontId="4" fillId="0" borderId="0" pivotButton="0" quotePrefix="0" xfId="0"/>
    <xf numFmtId="0" fontId="2" fillId="0" borderId="0" pivotButton="0" quotePrefix="0" xfId="0"/>
    <xf numFmtId="0" fontId="1" fillId="0" borderId="0" pivotButton="0" quotePrefix="0" xfId="0"/>
    <xf numFmtId="0" fontId="3" fillId="0" borderId="0" pivotButton="0" quotePrefix="0" xfId="0"/>
    <xf numFmtId="0" fontId="1" fillId="2" borderId="0" pivotButton="0" quotePrefix="0" xfId="0"/>
    <xf numFmtId="0" fontId="2" fillId="2" borderId="0" pivotButton="0" quotePrefix="0" xfId="0"/>
    <xf numFmtId="0" fontId="5" fillId="0" borderId="0" pivotButton="0" quotePrefix="0" xfId="0"/>
    <xf numFmtId="1" fontId="5" fillId="0" borderId="0" pivotButton="0" quotePrefix="0" xfId="0"/>
    <xf numFmtId="164" fontId="5" fillId="0" borderId="0" pivotButton="0" quotePrefix="0" xfId="0"/>
    <xf numFmtId="2" fontId="5" fillId="0" borderId="0" pivotButton="0" quotePrefix="0" xfId="0"/>
    <xf numFmtId="165" fontId="5" fillId="0" borderId="0" pivotButton="0" quotePrefix="0" xfId="0"/>
    <xf numFmtId="10" fontId="5" fillId="0" borderId="0" pivotButton="0" quotePrefix="0" xfId="0"/>
    <xf numFmtId="1" fontId="1" fillId="0" borderId="0" pivotButton="0" quotePrefix="0" xfId="0"/>
    <xf numFmtId="166" fontId="5" fillId="0" borderId="0" pivotButton="0" quotePrefix="0" xfId="0"/>
    <xf numFmtId="167" fontId="5" fillId="0" borderId="0" pivotButton="0" quotePrefix="0" xfId="0"/>
    <xf numFmtId="168" fontId="5" fillId="0" borderId="0" pivotButton="0" quotePrefix="0" xfId="0"/>
    <xf numFmtId="169" fontId="5" fillId="0" borderId="0" pivotButton="0" quotePrefix="0" xfId="0"/>
    <xf numFmtId="3" fontId="5" fillId="0" borderId="0" pivotButton="0" quotePrefix="0" xfId="0"/>
    <xf numFmtId="165" fontId="2" fillId="0" borderId="0" pivotButton="0" quotePrefix="0" xfId="0"/>
    <xf numFmtId="0" fontId="1" fillId="0" borderId="0" applyAlignment="1" pivotButton="0" quotePrefix="0" xfId="0">
      <alignment wrapText="1"/>
    </xf>
    <xf numFmtId="164" fontId="2" fillId="0" borderId="0" pivotButton="0" quotePrefix="0" xfId="0"/>
    <xf numFmtId="1" fontId="2" fillId="0" borderId="0" pivotButton="0" quotePrefix="0" xfId="0"/>
    <xf numFmtId="10" fontId="2" fillId="0" borderId="0" pivotButton="0" quotePrefix="0" xfId="0"/>
    <xf numFmtId="2" fontId="2" fillId="0" borderId="0" pivotButton="0" quotePrefix="0" xfId="0"/>
    <xf numFmtId="1" fontId="1" fillId="2" borderId="0" pivotButton="0" quotePrefix="0" xfId="0"/>
    <xf numFmtId="1" fontId="3" fillId="0" borderId="0" pivotButton="0" quotePrefix="0" xfId="0"/>
    <xf numFmtId="164" fontId="3" fillId="0" borderId="0" pivotButton="0" quotePrefix="0" xfId="0"/>
    <xf numFmtId="2" fontId="3" fillId="0" borderId="0" pivotButton="0" quotePrefix="0" xfId="0"/>
    <xf numFmtId="165" fontId="3" fillId="0" borderId="0" pivotButton="0" quotePrefix="0" xfId="0"/>
    <xf numFmtId="170" fontId="2" fillId="0" borderId="0" pivotButton="0" quotePrefix="0" xfId="0"/>
    <xf numFmtId="165" fontId="1" fillId="0" borderId="0" pivotButton="0" quotePrefix="0" xfId="0"/>
    <xf numFmtId="169" fontId="2" fillId="0" borderId="0" pivotButton="0" quotePrefix="0" xfId="0"/>
    <xf numFmtId="10" fontId="1" fillId="0" borderId="0" pivotButton="0" quotePrefix="0" xfId="0"/>
    <xf numFmtId="3" fontId="2" fillId="0" borderId="0" pivotButton="0" quotePrefix="0" xfId="0"/>
    <xf numFmtId="171" fontId="2" fillId="0" borderId="0" pivotButton="0" quotePrefix="0" xfId="0"/>
    <xf numFmtId="3" fontId="3" fillId="0" borderId="0" pivotButton="0" quotePrefix="0" xfId="0"/>
    <xf numFmtId="168" fontId="2" fillId="0" borderId="0" pivotButton="0" quotePrefix="0" xfId="0"/>
    <xf numFmtId="10" fontId="3" fillId="0" borderId="0" pivotButton="0" quotePrefix="0" xfId="0"/>
    <xf numFmtId="167" fontId="2" fillId="0" borderId="0" pivotButton="0" quotePrefix="0" xfId="0"/>
    <xf numFmtId="172" fontId="3" fillId="0" borderId="0" pivotButton="0" quotePrefix="0" xfId="0"/>
    <xf numFmtId="173" fontId="2" fillId="0" borderId="0" pivotButton="0" quotePrefix="0" xfId="0"/>
    <xf numFmtId="174" fontId="2" fillId="0" borderId="0" pivotButton="0" quotePrefix="0" xfId="0"/>
    <xf numFmtId="175" fontId="1" fillId="0" borderId="0" pivotButton="0" quotePrefix="0" xfId="0"/>
    <xf numFmtId="171" fontId="1" fillId="0" borderId="0" pivotButton="0" quotePrefix="0" xfId="0"/>
    <xf numFmtId="164" fontId="1" fillId="0" borderId="0" pivotButton="0" quotePrefix="0" xfId="0"/>
    <xf numFmtId="176" fontId="3" fillId="0" borderId="0" pivotButton="0" quotePrefix="0" xfId="0"/>
    <xf numFmtId="176" fontId="2" fillId="0" borderId="0" pivotButton="0" quotePrefix="0" xfId="0"/>
    <xf numFmtId="168" fontId="3" fillId="0" borderId="0" pivotButton="0" quotePrefix="0" xfId="0"/>
    <xf numFmtId="171"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EBITDA by business unit, live case ($ million)</a:t>
            </a:r>
          </a:p>
        </rich>
      </tx>
    </title>
    <plotArea>
      <barChart>
        <barDir val="col"/>
        <grouping val="stacked"/>
        <ser>
          <idx val="0"/>
          <order val="0"/>
          <tx>
            <v>Westerhaven</v>
          </tx>
          <spPr>
            <a:ln xmlns:a="http://schemas.openxmlformats.org/drawingml/2006/main">
              <a:prstDash val="solid"/>
            </a:ln>
          </spPr>
          <cat>
            <numRef>
              <f>'Segments'!$D$3:$AH$3</f>
            </numRef>
          </cat>
          <val>
            <numRef>
              <f>'Segments'!$D$36:$AH$36</f>
            </numRef>
          </val>
        </ser>
        <ser>
          <idx val="1"/>
          <order val="1"/>
          <tx>
            <v>Rhine Inland</v>
          </tx>
          <spPr>
            <a:ln xmlns:a="http://schemas.openxmlformats.org/drawingml/2006/main">
              <a:prstDash val="solid"/>
            </a:ln>
          </spPr>
          <cat>
            <numRef>
              <f>'Segments'!$D$3:$AH$3</f>
            </numRef>
          </cat>
          <val>
            <numRef>
              <f>'Segments'!$D$51:$AH$51</f>
            </numRef>
          </val>
        </ser>
        <ser>
          <idx val="2"/>
          <order val="2"/>
          <tx>
            <v>Thamesbridge</v>
          </tx>
          <spPr>
            <a:ln xmlns:a="http://schemas.openxmlformats.org/drawingml/2006/main">
              <a:prstDash val="solid"/>
            </a:ln>
          </spPr>
          <cat>
            <numRef>
              <f>'Segments'!$D$3:$AH$3</f>
            </numRef>
          </cat>
          <val>
            <numRef>
              <f>'Segments'!$D$66:$AH$66</f>
            </numRef>
          </val>
        </ser>
        <ser>
          <idx val="3"/>
          <order val="3"/>
          <tx>
            <v>Sabine Bend</v>
          </tx>
          <spPr>
            <a:ln xmlns:a="http://schemas.openxmlformats.org/drawingml/2006/main">
              <a:prstDash val="solid"/>
            </a:ln>
          </spPr>
          <cat>
            <numRef>
              <f>'Segments'!$D$3:$AH$3</f>
            </numRef>
          </cat>
          <val>
            <numRef>
              <f>'Segments'!$D$82:$AH$82</f>
            </numRef>
          </val>
        </ser>
        <ser>
          <idx val="4"/>
          <order val="4"/>
          <tx>
            <v>Expansion</v>
          </tx>
          <spPr>
            <a:ln xmlns:a="http://schemas.openxmlformats.org/drawingml/2006/main">
              <a:prstDash val="solid"/>
            </a:ln>
          </spPr>
          <cat>
            <numRef>
              <f>'Segments'!$D$3:$AH$3</f>
            </numRef>
          </cat>
          <val>
            <numRef>
              <f>'Segments'!$D$93:$AH$93</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DCF: present values and EV ($ million)</a:t>
            </a:r>
          </a:p>
        </rich>
      </tx>
    </title>
    <plotArea>
      <barChart>
        <barDir val="col"/>
        <grouping val="clustered"/>
        <ser>
          <idx val="0"/>
          <order val="0"/>
          <spPr>
            <a:ln xmlns:a="http://schemas.openxmlformats.org/drawingml/2006/main">
              <a:prstDash val="solid"/>
            </a:ln>
          </spPr>
          <cat>
            <numRef>
              <f>'DCF'!$B$10:$B$13</f>
            </numRef>
          </cat>
          <val>
            <numRef>
              <f>'DCF'!$C$10:$C$13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Value bridge: EV after each finding ($ million)</a:t>
            </a:r>
          </a:p>
        </rich>
      </tx>
    </title>
    <plotArea>
      <barChart>
        <barDir val="col"/>
        <grouping val="clustered"/>
        <ser>
          <idx val="0"/>
          <order val="0"/>
          <spPr>
            <a:ln xmlns:a="http://schemas.openxmlformats.org/drawingml/2006/main">
              <a:prstDash val="solid"/>
            </a:ln>
          </spPr>
          <cat>
            <numRef>
              <f>'Diligence'!$B$7:$B$11</f>
            </numRef>
          </cat>
          <val>
            <numRef>
              <f>'Diligence'!$C$7:$C$11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Football field: EV ($ million)</a:t>
            </a:r>
          </a:p>
        </rich>
      </tx>
    </title>
    <plotArea>
      <barChart>
        <barDir val="bar"/>
        <grouping val="stacked"/>
        <ser>
          <idx val="0"/>
          <order val="0"/>
          <spPr>
            <a:noFill xmlns:a="http://schemas.openxmlformats.org/drawingml/2006/main"/>
            <a:ln xmlns:a="http://schemas.openxmlformats.org/drawingml/2006/main">
              <a:noFill/>
              <a:prstDash val="solid"/>
            </a:ln>
          </spPr>
          <cat>
            <numRef>
              <f>'Multiples'!$B$21:$B$27</f>
            </numRef>
          </cat>
          <val>
            <numRef>
              <f>'Multiples'!$E$21:$E$27</f>
            </numRef>
          </val>
        </ser>
        <ser>
          <idx val="1"/>
          <order val="1"/>
          <spPr>
            <a:ln xmlns:a="http://schemas.openxmlformats.org/drawingml/2006/main">
              <a:prstDash val="solid"/>
            </a:ln>
          </spPr>
          <cat>
            <numRef>
              <f>'Multiples'!$B$21:$B$27</f>
            </numRef>
          </cat>
          <val>
            <numRef>
              <f>'Multiples'!$F$21:$F$27</f>
            </numRef>
          </val>
        </ser>
        <gapWidth val="150"/>
        <overlap val="100"/>
        <axId val="10"/>
        <axId val="100"/>
      </barChart>
      <catAx>
        <axId val="10"/>
        <scaling>
          <orientation val="minMax"/>
        </scaling>
        <axPos val="l"/>
        <majorTickMark val="none"/>
        <minorTickMark val="none"/>
        <crossAx val="100"/>
        <lblOffset val="100"/>
      </catAx>
      <valAx>
        <axId val="100"/>
        <scaling>
          <orientation val="minMax"/>
          <min val="1500"/>
        </scaling>
        <axPos val="l"/>
        <majorGridlines/>
        <majorTickMark val="none"/>
        <minorTickMark val="none"/>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Walk-away EV: change against the base case ($ million)</a:t>
            </a:r>
          </a:p>
        </rich>
      </tx>
    </title>
    <plotArea>
      <barChart>
        <barDir val="bar"/>
        <grouping val="clustered"/>
        <ser>
          <idx val="0"/>
          <order val="0"/>
          <spPr>
            <a:ln xmlns:a="http://schemas.openxmlformats.org/drawingml/2006/main">
              <a:prstDash val="solid"/>
            </a:ln>
          </spPr>
          <cat>
            <numRef>
              <f>'Sensitivities'!$B$8:$B$17</f>
            </numRef>
          </cat>
          <val>
            <numRef>
              <f>'Sensitivities'!$F$8:$F$17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Cash to equity 2027 to 2036 ($ million)</a:t>
            </a:r>
          </a:p>
        </rich>
      </tx>
    </title>
    <plotArea>
      <barChart>
        <barDir val="col"/>
        <grouping val="stacked"/>
        <ser>
          <idx val="0"/>
          <order val="0"/>
          <tx>
            <v>Yearly cash</v>
          </tx>
          <spPr>
            <a:ln xmlns:a="http://schemas.openxmlformats.org/drawingml/2006/main">
              <a:prstDash val="solid"/>
            </a:ln>
          </spPr>
          <cat>
            <numRef>
              <f>'Exit'!$E$3:$N$3</f>
            </numRef>
          </cat>
          <val>
            <numRef>
              <f>'Exit'!$E$26:$N$26</f>
            </numRef>
          </val>
        </ser>
        <ser>
          <idx val="1"/>
          <order val="1"/>
          <tx>
            <v>Exit</v>
          </tx>
          <spPr>
            <a:ln xmlns:a="http://schemas.openxmlformats.org/drawingml/2006/main">
              <a:prstDash val="solid"/>
            </a:ln>
          </spPr>
          <cat>
            <numRef>
              <f>'Exit'!$E$3:$N$3</f>
            </numRef>
          </cat>
          <val>
            <numRef>
              <f>'Exit'!$E$27:$N$27</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_rels/drawing4.xml.rels><Relationships xmlns="http://schemas.openxmlformats.org/package/2006/relationships"><Relationship Type="http://schemas.openxmlformats.org/officeDocument/2006/relationships/chart" Target="/xl/charts/chart4.xml" Id="rId1"/></Relationships>
</file>

<file path=xl/drawings/_rels/drawing5.xml.rels><Relationships xmlns="http://schemas.openxmlformats.org/package/2006/relationships"><Relationship Type="http://schemas.openxmlformats.org/officeDocument/2006/relationships/chart" Target="/xl/charts/chart5.xml" Id="rId1"/></Relationships>
</file>

<file path=xl/drawings/_rels/drawing6.xml.rels><Relationships xmlns="http://schemas.openxmlformats.org/package/2006/relationships"><Relationship Type="http://schemas.openxmlformats.org/officeDocument/2006/relationships/chart" Target="/xl/charts/chart6.xml" Id="rId1"/></Relationships>
</file>

<file path=xl/drawings/drawing1.xml><?xml version="1.0" encoding="utf-8"?>
<wsDr xmlns="http://schemas.openxmlformats.org/drawingml/2006/spreadsheetDrawing">
  <oneCellAnchor>
    <from>
      <col>1</col>
      <colOff>0</colOff>
      <row>154</row>
      <rowOff>0</rowOff>
    </from>
    <ext cx="79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9</col>
      <colOff>0</colOff>
      <row>5</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4</col>
      <colOff>0</colOff>
      <row>5</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1</col>
      <colOff>0</colOff>
      <row>29</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7</col>
      <colOff>0</colOff>
      <row>5</row>
      <rowOff>0</rowOff>
    </from>
    <ext cx="72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1</col>
      <colOff>0</colOff>
      <row>28</row>
      <rowOff>0</rowOff>
    </from>
    <ext cx="648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_rels/sheet6.xml.rels><Relationships xmlns="http://schemas.openxmlformats.org/package/2006/relationships"><Relationship Type="http://schemas.openxmlformats.org/officeDocument/2006/relationships/drawing" Target="/xl/drawings/drawing3.xml" Id="rId1"/></Relationships>
</file>

<file path=xl/worksheets/_rels/sheet7.xml.rels><Relationships xmlns="http://schemas.openxmlformats.org/package/2006/relationships"><Relationship Type="http://schemas.openxmlformats.org/officeDocument/2006/relationships/drawing" Target="/xl/drawings/drawing4.xml" Id="rId1"/></Relationships>
</file>

<file path=xl/worksheets/_rels/sheet11.xml.rels><Relationships xmlns="http://schemas.openxmlformats.org/package/2006/relationships"><Relationship Type="http://schemas.openxmlformats.org/officeDocument/2006/relationships/drawing" Target="/xl/drawings/drawing5.xml" Id="rId1"/></Relationships>
</file>

<file path=xl/worksheets/_rels/sheet16.xml.rels><Relationships xmlns="http://schemas.openxmlformats.org/package/2006/relationships"><Relationship Type="http://schemas.openxmlformats.org/officeDocument/2006/relationships/drawing" Target="/xl/drawings/drawing6.xml" Id="rId1"/></Relationships>
</file>

<file path=xl/worksheets/sheet1.xml><?xml version="1.0" encoding="utf-8"?>
<worksheet xmlns="http://schemas.openxmlformats.org/spreadsheetml/2006/main">
  <sheetPr>
    <outlinePr summaryBelow="1" summaryRight="1"/>
    <pageSetUpPr/>
  </sheetPr>
  <dimension ref="B2:C36"/>
  <sheetViews>
    <sheetView showGridLines="0" zoomScale="90" workbookViewId="0">
      <selection activeCell="A1" sqref="A1"/>
    </sheetView>
  </sheetViews>
  <sheetFormatPr baseColWidth="8" defaultRowHeight="15"/>
  <cols>
    <col width="2" customWidth="1" min="1" max="1"/>
    <col width="24" customWidth="1" min="2" max="2"/>
    <col width="110" customWidth="1" min="3" max="3"/>
  </cols>
  <sheetData>
    <row r="2">
      <c r="B2" s="1" t="inlineStr">
        <is>
          <t>The Infrastructure M&amp;A Handbook: companion workbook</t>
        </is>
      </c>
    </row>
    <row r="3">
      <c r="B3" s="2" t="inlineStr">
        <is>
          <t>How Infrastructure Funds Buy and Sell Assets: Auctions, Valuation, Acquisition Financing, Regulatory Approvals and the Sale and Purchase Agreement</t>
        </is>
      </c>
    </row>
    <row r="4">
      <c r="B4" s="2" t="inlineStr">
        <is>
          <t>Julian R. Sterling. Companion page: julianrsterling.com/inframa</t>
        </is>
      </c>
    </row>
    <row r="5">
      <c r="B5" s="2" t="inlineStr"/>
    </row>
    <row r="6">
      <c r="B6" s="2" t="inlineStr">
        <is>
          <t>Corvane Terminals, Ashgrove Infrastructure Fund II, Northgate Infrastructure Partners, Laurentide Pension Plan, Aldara Investment Authority, Halvard Capital, Brennan Gas Networks and every adviser named are fictional. All case inputs are illustrative teaching assumptions, not market data.</t>
        </is>
      </c>
    </row>
    <row r="7">
      <c r="B7" s="2" t="inlineStr">
        <is>
          <t>Provided as is, without warranty of any kind. Not investment, legal, tax, accounting or regulatory advice.</t>
        </is>
      </c>
    </row>
    <row r="8">
      <c r="B8" s="2" t="inlineStr"/>
    </row>
    <row r="9">
      <c r="B9" s="3" t="inlineStr">
        <is>
          <t>Conventions</t>
        </is>
      </c>
    </row>
    <row r="10">
      <c r="B10" s="2" t="inlineStr">
        <is>
          <t>Valuation date and locked box date 31 December 2026 (t = 0). Closing is an input in years after that date (0.75 = 30 September 2027). Columns run from 2026 to 2057, the year behind the terminal value. Cash flows at year end.</t>
        </is>
      </c>
    </row>
    <row r="11">
      <c r="B11" s="2" t="inlineStr">
        <is>
          <t>Millions of nominal US dollars; capacity in million m3; storage rates in dollars per m3 per month; European cash flows at constant case rates ($1.15 per euro, $1.30 per pound).</t>
        </is>
      </c>
    </row>
    <row r="12">
      <c r="B12" s="2" t="inlineStr">
        <is>
          <t>Blue type is an assumption (Inputs sheet only). Black type is a formula. No macro, no circular reference, no external link, no Goal Seek, no data table.</t>
        </is>
      </c>
    </row>
    <row r="13">
      <c r="B13" s="2" t="inlineStr">
        <is>
          <t>IRRs use year fractions (t = years after 31 December 2026), as the book does, solved with a few Newton steps in plain cells; the walk-away price uses a bisection table.</t>
        </is>
      </c>
    </row>
    <row r="14">
      <c r="B14" s="2" t="inlineStr"/>
    </row>
    <row r="15">
      <c r="B15" s="3" t="inlineStr">
        <is>
          <t>Sheet map</t>
        </is>
      </c>
    </row>
    <row r="16">
      <c r="B16" s="3" t="inlineStr">
        <is>
          <t>Inputs</t>
        </is>
      </c>
      <c r="C16" s="2" t="inlineStr">
        <is>
          <t>Every assumption with its chapter, the scenario switches, the case engine table and the sensitivity settings.</t>
        </is>
      </c>
    </row>
    <row r="17">
      <c r="B17" s="3" t="inlineStr">
        <is>
          <t>Segments</t>
        </is>
      </c>
      <c r="C17" s="2" t="inlineStr">
        <is>
          <t>Live case by business unit and year: contract book, recontracting, rates, occupancy, revenue, costs, EBITDA, capex (chapters 3, 6, 8).</t>
        </is>
      </c>
    </row>
    <row r="18">
      <c r="B18" s="3" t="inlineStr">
        <is>
          <t>Platform</t>
        </is>
      </c>
      <c r="C18" s="2" t="inlineStr">
        <is>
          <t>Consolidated revenue, EBITDA, capex, tax, handback, free cash flow and EV; the seller's plan beside it (chapters 3, 4, 8).</t>
        </is>
      </c>
    </row>
    <row r="19">
      <c r="B19" s="3" t="inlineStr">
        <is>
          <t>DCF</t>
        </is>
      </c>
      <c r="C19" s="2" t="inlineStr">
        <is>
          <t>Present values, terminal value, EV and multiples, EV by discount rate and growth, Westerhaven's contribution, renewal (chapter 8).</t>
        </is>
      </c>
    </row>
    <row r="20">
      <c r="B20" s="3" t="inlineStr">
        <is>
          <t>Diligence</t>
        </is>
      </c>
      <c r="C20" s="2" t="inlineStr">
        <is>
          <t>Value bridge from the seller's plan to the buyer's base case, first round and the price chip (chapters 5, 6).</t>
        </is>
      </c>
    </row>
    <row r="21">
      <c r="B21" s="3" t="inlineStr">
        <is>
          <t>Multiples</t>
        </is>
      </c>
      <c r="C21" s="2" t="inlineStr">
        <is>
          <t>Precedents, implied values, EV per m3, the football field and the Brennan RAB cases (chapter 9).</t>
        </is>
      </c>
    </row>
    <row r="22">
      <c r="B22" s="3" t="inlineStr">
        <is>
          <t>Price</t>
        </is>
      </c>
      <c r="C22" s="2" t="inlineStr">
        <is>
          <t>Equity bridge, ticking fee, box cash, completion accounts alternative, leakage (chapter 10).</t>
        </is>
      </c>
    </row>
    <row r="23">
      <c r="B23" s="3" t="inlineStr">
        <is>
          <t>Financing</t>
        </is>
      </c>
      <c r="C23" s="2" t="inlineStr">
        <is>
          <t>Sources and uses, opco and holdco, fees, interest, the interest cap, cover, the staple side by side (chapter 12).</t>
        </is>
      </c>
    </row>
    <row r="24">
      <c r="B24" s="3" t="inlineStr">
        <is>
          <t>Returns</t>
        </is>
      </c>
      <c r="C24" s="2" t="inlineStr">
        <is>
          <t>Levered and unlevered flows, exit, IRRs, money multiple, walk-away price by bisection (chapter 11).</t>
        </is>
      </c>
    </row>
    <row r="25">
      <c r="B25" s="3" t="inlineStr">
        <is>
          <t>Sensitivities</t>
        </is>
      </c>
      <c r="C25" s="2" t="inlineStr">
        <is>
          <t>The eleven scenarios of chapter 11, each a full case: both IRRs at the bid and the walk-away EV.</t>
        </is>
      </c>
    </row>
    <row r="26">
      <c r="B26" s="3" t="inlineStr">
        <is>
          <t>Bids</t>
        </is>
      </c>
      <c r="C26" s="2" t="inlineStr">
        <is>
          <t>Northgate against Halvard as Ashgrove sees them; the expansion and the earn-out; Ashgrove's return (chapters 4, 11).</t>
        </is>
      </c>
    </row>
    <row r="27">
      <c r="B27" s="3" t="inlineStr">
        <is>
          <t>Approvals</t>
        </is>
      </c>
      <c r="C27" s="2" t="inlineStr">
        <is>
          <t>Filing map on the case inputs and the delay cases with and without mitigation (chapter 13).</t>
        </is>
      </c>
    </row>
    <row r="28">
      <c r="B28" s="3" t="inlineStr">
        <is>
          <t>SPA</t>
        </is>
      </c>
      <c r="C28" s="2" t="inlineStr">
        <is>
          <t>W&amp;I limit, premium, retention, the worked claim, the earn-out values (chapter 14).</t>
        </is>
      </c>
    </row>
    <row r="29">
      <c r="B29" s="3" t="inlineStr">
        <is>
          <t>Consortium</t>
        </is>
      </c>
      <c r="C29" s="2" t="inlineStr">
        <is>
          <t>Shares, cheques, dead deal costs, board seats and the reserved matter test (chapter 7).</t>
        </is>
      </c>
    </row>
    <row r="30">
      <c r="B30" s="3" t="inlineStr">
        <is>
          <t>Exit</t>
        </is>
      </c>
      <c r="C30" s="2" t="inlineStr">
        <is>
          <t>Minority sale in 2031, full sale in 2036, continuation vehicle, cash to equity by year (chapter 15).</t>
        </is>
      </c>
    </row>
    <row r="31">
      <c r="B31" s="3" t="inlineStr">
        <is>
          <t>Checks</t>
        </is>
      </c>
      <c r="C31" s="2" t="inlineStr">
        <is>
          <t>354 tests: identities and every case figure of the book against the model. It should read ALL CHECKS OK on the default inputs.</t>
        </is>
      </c>
    </row>
    <row r="33">
      <c r="B33" s="3" t="inlineStr">
        <is>
          <t>Reproducing a sensitivity</t>
        </is>
      </c>
    </row>
    <row r="34">
      <c r="C34" s="2" t="inlineStr">
        <is>
          <t>Change one switch on Inputs, read the Returns sheet, then reset it.</t>
        </is>
      </c>
    </row>
    <row r="35">
      <c r="C35" s="2" t="inlineStr">
        <is>
          <t>Occupancy shift -5%: levered IRR at the bid 4.16 percent, walk-away EV $1,626 million. Closing date 1.25: 10.06 percent and $1,853 million.</t>
        </is>
      </c>
    </row>
    <row r="36">
      <c r="B36" s="3" t="inlineStr">
        <is>
          <t>Checks status</t>
        </is>
      </c>
      <c r="C36" s="3">
        <f>Checks!C4&amp;" ("&amp;Checks!D4&amp;" "&amp;Checks!E4&amp;")"</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R245"/>
  <sheetViews>
    <sheetView showGridLines="0" zoomScale="90" workbookViewId="0">
      <selection activeCell="A1" sqref="A1"/>
    </sheetView>
  </sheetViews>
  <sheetFormatPr baseColWidth="8" defaultRowHeight="15"/>
  <cols>
    <col width="2" customWidth="1" min="1" max="1"/>
    <col width="6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s>
  <sheetData>
    <row r="2">
      <c r="B2" s="1" t="inlineStr">
        <is>
          <t>Inputs (blue type = an assumption you can change; black type = a formula)</t>
        </is>
      </c>
    </row>
    <row r="3">
      <c r="B3" s="4" t="inlineStr">
        <is>
          <t>Amounts in $ million unless stated. Column E gives the chapter that uses the input.</t>
        </is>
      </c>
    </row>
    <row r="6">
      <c r="B6" s="5" t="inlineStr">
        <is>
          <t>Scenario switches (reset after use; the Returns sheet shows the effect)</t>
        </is>
      </c>
      <c r="C6" s="6" t="n"/>
      <c r="D6" s="6" t="n"/>
      <c r="E6" s="6" t="n"/>
    </row>
    <row r="7">
      <c r="B7" s="2" t="inlineStr">
        <is>
          <t>View: Base (buyer's diligence case) or Plan (seller's plan)</t>
        </is>
      </c>
      <c r="C7" s="7" t="inlineStr">
        <is>
          <t>Base</t>
        </is>
      </c>
      <c r="E7" s="4" t="inlineStr">
        <is>
          <t>Ch. 6, 8</t>
        </is>
      </c>
    </row>
    <row r="8">
      <c r="B8" s="2" t="inlineStr">
        <is>
          <t>Sabine Bend expansion built (1) or not (0)</t>
        </is>
      </c>
      <c r="C8" s="8" t="n">
        <v>0</v>
      </c>
      <c r="E8" s="4" t="inlineStr">
        <is>
          <t>Ch. 11, 14</t>
        </is>
      </c>
    </row>
    <row r="9">
      <c r="B9" s="2" t="inlineStr">
        <is>
          <t>Occupancy shift, all terminals, from 2027 (points)</t>
        </is>
      </c>
      <c r="C9" s="9" t="n">
        <v>0</v>
      </c>
      <c r="E9" s="4" t="inlineStr">
        <is>
          <t>Ch. 11</t>
        </is>
      </c>
    </row>
    <row r="10">
      <c r="B10" s="2" t="inlineStr">
        <is>
          <t>Recontracting shift against the base market rates</t>
        </is>
      </c>
      <c r="C10" s="9" t="n">
        <v>0</v>
      </c>
      <c r="E10" s="4" t="inlineStr">
        <is>
          <t>Ch. 11</t>
        </is>
      </c>
    </row>
    <row r="11">
      <c r="B11" s="2" t="inlineStr">
        <is>
          <t>Inflation (long-run, all years): the inflation switch</t>
        </is>
      </c>
      <c r="C11" s="9" t="n">
        <v>0.025</v>
      </c>
      <c r="E11" s="4" t="inlineStr">
        <is>
          <t>Ch. 3, 11</t>
        </is>
      </c>
    </row>
    <row r="12">
      <c r="B12" s="2" t="inlineStr">
        <is>
          <t>Westerhaven concession renewed to 2081 (1) or not (0)</t>
        </is>
      </c>
      <c r="C12" s="8" t="n">
        <v>0</v>
      </c>
      <c r="E12" s="4" t="inlineStr">
        <is>
          <t>Ch. 8, 11</t>
        </is>
      </c>
    </row>
    <row r="13">
      <c r="B13" s="2" t="inlineStr">
        <is>
          <t>Closing date, years after 31 December 2026 (0.75 = 30 September 2027)</t>
        </is>
      </c>
      <c r="C13" s="10" t="n">
        <v>0.75</v>
      </c>
      <c r="E13" s="4" t="inlineStr">
        <is>
          <t>Ch. 10, 13</t>
        </is>
      </c>
    </row>
    <row r="14">
      <c r="B14" s="2" t="inlineStr">
        <is>
          <t>Staple financing (1) or Northgate's own debt (0)</t>
        </is>
      </c>
      <c r="C14" s="8" t="n">
        <v>0</v>
      </c>
      <c r="E14" s="4" t="inlineStr">
        <is>
          <t>Ch. 12</t>
        </is>
      </c>
    </row>
    <row r="15">
      <c r="B15" s="2" t="inlineStr">
        <is>
          <t>Exit mode: Full (sale of 100 percent at the end of 2036) or Minority (49 percent in 2031)</t>
        </is>
      </c>
      <c r="C15" s="7" t="inlineStr">
        <is>
          <t>Full</t>
        </is>
      </c>
      <c r="E15" s="4" t="inlineStr">
        <is>
          <t>Ch. 15</t>
        </is>
      </c>
    </row>
    <row r="16">
      <c r="B16" s="2" t="inlineStr">
        <is>
          <t>Mitigation compliance cost from 2028, $m a year in 2026 dollars</t>
        </is>
      </c>
      <c r="C16" s="11" t="n">
        <v>0</v>
      </c>
      <c r="E16" s="4" t="inlineStr">
        <is>
          <t>Ch. 13</t>
        </is>
      </c>
    </row>
    <row r="18">
      <c r="B18" s="5" t="inlineStr">
        <is>
          <t>Timeline, macro and tax</t>
        </is>
      </c>
      <c r="C18" s="6" t="n"/>
      <c r="D18" s="6" t="n"/>
      <c r="E18" s="6" t="n"/>
    </row>
    <row r="19">
      <c r="B19" s="2" t="inlineStr">
        <is>
          <t>Valuation and locked box year (31 December)</t>
        </is>
      </c>
      <c r="C19" s="8" t="n">
        <v>2026</v>
      </c>
      <c r="E19" s="4" t="inlineStr">
        <is>
          <t>Ch. 8</t>
        </is>
      </c>
    </row>
    <row r="20">
      <c r="B20" s="2" t="inlineStr">
        <is>
          <t>Last explicit forecast year</t>
        </is>
      </c>
      <c r="C20" s="8" t="n">
        <v>2056</v>
      </c>
      <c r="E20" s="4" t="inlineStr">
        <is>
          <t>Ch. 8</t>
        </is>
      </c>
    </row>
    <row r="21">
      <c r="B21" s="2" t="inlineStr">
        <is>
          <t>Share of inflation passed through to storage rates</t>
        </is>
      </c>
      <c r="C21" s="9" t="n">
        <v>0.9</v>
      </c>
      <c r="E21" s="4" t="inlineStr">
        <is>
          <t>Ch. 3</t>
        </is>
      </c>
    </row>
    <row r="22">
      <c r="B22" s="2" t="inlineStr">
        <is>
          <t>Energy transition: occupancy falls each year after</t>
        </is>
      </c>
      <c r="C22" s="8" t="n">
        <v>2034</v>
      </c>
      <c r="E22" s="4" t="inlineStr">
        <is>
          <t>Ch. 8</t>
        </is>
      </c>
    </row>
    <row r="23">
      <c r="B23" s="2" t="inlineStr">
        <is>
          <t>Blended cash tax rate</t>
        </is>
      </c>
      <c r="C23" s="9" t="n">
        <v>0.24</v>
      </c>
      <c r="E23" s="4" t="inlineStr">
        <is>
          <t>Ch. 8, 12</t>
        </is>
      </c>
    </row>
    <row r="24">
      <c r="B24" s="2" t="inlineStr">
        <is>
          <t>Tax depreciation on the existing tax base, $m a year</t>
        </is>
      </c>
      <c r="C24" s="11" t="n">
        <v>40</v>
      </c>
      <c r="E24" s="4" t="inlineStr">
        <is>
          <t>Ch. 8</t>
        </is>
      </c>
    </row>
    <row r="25">
      <c r="B25" s="2" t="inlineStr">
        <is>
          <t>Last year of that extra tax depreciation</t>
        </is>
      </c>
      <c r="C25" s="8" t="n">
        <v>2041</v>
      </c>
      <c r="E25" s="4" t="inlineStr">
        <is>
          <t>Ch. 8</t>
        </is>
      </c>
    </row>
    <row r="26">
      <c r="B26" s="2" t="inlineStr">
        <is>
          <t>Interest deductible up to this share of EBITDA</t>
        </is>
      </c>
      <c r="C26" s="9" t="n">
        <v>0.3</v>
      </c>
      <c r="E26" s="4" t="inlineStr">
        <is>
          <t>Ch. 12</t>
        </is>
      </c>
    </row>
    <row r="27">
      <c r="B27" s="2" t="inlineStr">
        <is>
          <t>Corporate costs in 2026</t>
        </is>
      </c>
      <c r="C27" s="11" t="n">
        <v>14</v>
      </c>
      <c r="E27" s="4" t="inlineStr">
        <is>
          <t>Ch. 3</t>
        </is>
      </c>
    </row>
    <row r="28">
      <c r="B28" s="2" t="inlineStr">
        <is>
          <t>Share of corporate costs left after the concession ends</t>
        </is>
      </c>
      <c r="C28" s="9" t="n">
        <v>0.6</v>
      </c>
      <c r="E28" s="4" t="inlineStr">
        <is>
          <t>Ch. 8</t>
        </is>
      </c>
    </row>
    <row r="29">
      <c r="B29" s="2" t="inlineStr">
        <is>
          <t>Westerhaven concession ends (31 December of)</t>
        </is>
      </c>
      <c r="C29" s="8" t="n">
        <v>2056</v>
      </c>
      <c r="E29" s="4" t="inlineStr">
        <is>
          <t>Ch. 2, 8</t>
        </is>
      </c>
    </row>
    <row r="30">
      <c r="B30" s="2" t="inlineStr">
        <is>
          <t>Concession fee if renewed to 2081 (share of revenue)</t>
        </is>
      </c>
      <c r="C30" s="9" t="n">
        <v>0.08</v>
      </c>
      <c r="E30" s="4" t="inlineStr">
        <is>
          <t>Ch. 8</t>
        </is>
      </c>
    </row>
    <row r="31">
      <c r="B31" s="2" t="inlineStr">
        <is>
          <t>Westerhaven handback works, 2026 dollars</t>
        </is>
      </c>
      <c r="C31" s="11" t="n">
        <v>25</v>
      </c>
      <c r="E31" s="4" t="inlineStr">
        <is>
          <t>Ch. 8</t>
        </is>
      </c>
    </row>
    <row r="33">
      <c r="B33" s="5" t="inlineStr">
        <is>
          <t>Valuation (chapter 8) and cross-checks (chapter 9)</t>
        </is>
      </c>
      <c r="C33" s="6" t="n"/>
      <c r="D33" s="6" t="n"/>
      <c r="E33" s="6" t="n"/>
    </row>
    <row r="34">
      <c r="B34" s="2" t="inlineStr">
        <is>
          <t>Buyer's unlevered post-tax nominal discount rate</t>
        </is>
      </c>
      <c r="C34" s="12" t="n">
        <v>0.065</v>
      </c>
      <c r="E34" s="4" t="inlineStr">
        <is>
          <t>Ch. 8</t>
        </is>
      </c>
    </row>
    <row r="35">
      <c r="B35" s="2" t="inlineStr">
        <is>
          <t>Terminal growth of the freehold terminals after 2056</t>
        </is>
      </c>
      <c r="C35" s="12" t="n">
        <v>0.015</v>
      </c>
      <c r="E35" s="4" t="inlineStr">
        <is>
          <t>Ch. 8</t>
        </is>
      </c>
    </row>
    <row r="36">
      <c r="B36" s="2" t="inlineStr">
        <is>
          <t>Discount rate used by the seller's adviser</t>
        </is>
      </c>
      <c r="C36" s="12" t="n">
        <v>0.06</v>
      </c>
      <c r="E36" s="4" t="inlineStr">
        <is>
          <t>Ch. 6, 9</t>
        </is>
      </c>
    </row>
    <row r="37">
      <c r="B37" s="2" t="inlineStr">
        <is>
          <t>DCF table: lowest discount rate</t>
        </is>
      </c>
      <c r="C37" s="12" t="n">
        <v>0.06</v>
      </c>
      <c r="E37" s="4" t="inlineStr">
        <is>
          <t>Ch. 8</t>
        </is>
      </c>
    </row>
    <row r="38">
      <c r="B38" s="2" t="inlineStr">
        <is>
          <t>DCF table: discount rate step</t>
        </is>
      </c>
      <c r="C38" s="12" t="n">
        <v>0.0025</v>
      </c>
      <c r="E38" s="4" t="inlineStr">
        <is>
          <t>Ch. 8</t>
        </is>
      </c>
    </row>
    <row r="39">
      <c r="B39" s="2" t="inlineStr">
        <is>
          <t>DCF table: lowest terminal growth</t>
        </is>
      </c>
      <c r="C39" s="12" t="n">
        <v>0.005</v>
      </c>
      <c r="E39" s="4" t="inlineStr">
        <is>
          <t>Ch. 8</t>
        </is>
      </c>
    </row>
    <row r="40">
      <c r="B40" s="2" t="inlineStr">
        <is>
          <t>DCF table: terminal growth step</t>
        </is>
      </c>
      <c r="C40" s="12" t="n">
        <v>0.005</v>
      </c>
      <c r="E40" s="4" t="inlineStr">
        <is>
          <t>Ch. 8</t>
        </is>
      </c>
    </row>
    <row r="42">
      <c r="B42" s="5" t="inlineStr">
        <is>
          <t>Business units (2026 values; chapter 3)</t>
        </is>
      </c>
      <c r="C42" s="6" t="n"/>
      <c r="D42" s="6" t="n"/>
      <c r="E42" s="6" t="n"/>
    </row>
    <row r="43">
      <c r="B43" s="3" t="inlineStr">
        <is>
          <t>Parameter</t>
        </is>
      </c>
      <c r="C43" s="3" t="inlineStr">
        <is>
          <t>Westerhaven</t>
        </is>
      </c>
      <c r="D43" s="3" t="inlineStr">
        <is>
          <t>Rhine Inland</t>
        </is>
      </c>
      <c r="E43" s="3" t="inlineStr">
        <is>
          <t>Thamesbridge</t>
        </is>
      </c>
      <c r="F43" s="3" t="inlineStr">
        <is>
          <t>Sabine Bend</t>
        </is>
      </c>
    </row>
    <row r="44">
      <c r="B44" s="2" t="inlineStr">
        <is>
          <t>Capacity (million m3)</t>
        </is>
      </c>
      <c r="C44" s="10" t="n">
        <v>1.8</v>
      </c>
      <c r="D44" s="10" t="n">
        <v>0.8</v>
      </c>
      <c r="E44" s="10" t="n">
        <v>0.45</v>
      </c>
      <c r="F44" s="10" t="n">
        <v>1.15</v>
      </c>
      <c r="G44" s="4" t="inlineStr">
        <is>
          <t>Ch. 3, 8</t>
        </is>
      </c>
    </row>
    <row r="45">
      <c r="B45" s="2" t="inlineStr">
        <is>
          <t>Average contract rate 2026 ($ per m3 per month)</t>
        </is>
      </c>
      <c r="C45" s="10" t="n">
        <v>7.4</v>
      </c>
      <c r="D45" s="10" t="n">
        <v>6.1</v>
      </c>
      <c r="E45" s="10" t="n">
        <v>6.6</v>
      </c>
      <c r="F45" s="10" t="n">
        <v>5.6</v>
      </c>
      <c r="G45" s="4" t="inlineStr">
        <is>
          <t>Ch. 3, 8</t>
        </is>
      </c>
    </row>
    <row r="46">
      <c r="B46" s="2" t="inlineStr">
        <is>
          <t>Occupancy</t>
        </is>
      </c>
      <c r="C46" s="9" t="n">
        <v>0.9399999999999999</v>
      </c>
      <c r="D46" s="9" t="n">
        <v>0.9</v>
      </c>
      <c r="E46" s="9" t="n">
        <v>0.92</v>
      </c>
      <c r="F46" s="9" t="n">
        <v>0.95</v>
      </c>
      <c r="G46" s="4" t="inlineStr">
        <is>
          <t>Ch. 3, 8</t>
        </is>
      </c>
    </row>
    <row r="47">
      <c r="B47" s="2" t="inlineStr">
        <is>
          <t>Ancillary and throughput revenue (share of storage revenue)</t>
        </is>
      </c>
      <c r="C47" s="9" t="n">
        <v>0.2</v>
      </c>
      <c r="D47" s="9" t="n">
        <v>0.15</v>
      </c>
      <c r="E47" s="9" t="n">
        <v>0.18</v>
      </c>
      <c r="F47" s="9" t="n">
        <v>0.25</v>
      </c>
      <c r="G47" s="4" t="inlineStr">
        <is>
          <t>Ch. 3, 8</t>
        </is>
      </c>
    </row>
    <row r="48">
      <c r="B48" s="2" t="inlineStr">
        <is>
          <t>Fixed operating cost ($ per m3 a year, 2026 dollars)</t>
        </is>
      </c>
      <c r="C48" s="11" t="n">
        <v>36</v>
      </c>
      <c r="D48" s="11" t="n">
        <v>30</v>
      </c>
      <c r="E48" s="11" t="n">
        <v>33</v>
      </c>
      <c r="F48" s="11" t="n">
        <v>26</v>
      </c>
      <c r="G48" s="4" t="inlineStr">
        <is>
          <t>Ch. 3, 8</t>
        </is>
      </c>
    </row>
    <row r="49">
      <c r="B49" s="2" t="inlineStr">
        <is>
          <t>Variable operating cost (share of revenue)</t>
        </is>
      </c>
      <c r="C49" s="9" t="n">
        <v>0.1</v>
      </c>
      <c r="D49" s="9" t="n">
        <v>0.1</v>
      </c>
      <c r="E49" s="9" t="n">
        <v>0.1</v>
      </c>
      <c r="F49" s="9" t="n">
        <v>0.09</v>
      </c>
      <c r="G49" s="4" t="inlineStr">
        <is>
          <t>Ch. 3, 8</t>
        </is>
      </c>
    </row>
    <row r="50">
      <c r="B50" s="2" t="inlineStr">
        <is>
          <t>Concession fee (share of revenue)</t>
        </is>
      </c>
      <c r="C50" s="9" t="n">
        <v>0.04</v>
      </c>
      <c r="D50" s="9" t="n">
        <v>0</v>
      </c>
      <c r="E50" s="9" t="n">
        <v>0</v>
      </c>
      <c r="F50" s="9" t="n">
        <v>0</v>
      </c>
      <c r="G50" s="4" t="inlineStr">
        <is>
          <t>Ch. 3, 8</t>
        </is>
      </c>
    </row>
    <row r="51">
      <c r="B51" s="2" t="inlineStr">
        <is>
          <t>Maintenance capex ($ per m3 a year, 2026 dollars)</t>
        </is>
      </c>
      <c r="C51" s="11" t="n">
        <v>8</v>
      </c>
      <c r="D51" s="11" t="n">
        <v>7</v>
      </c>
      <c r="E51" s="11" t="n">
        <v>8</v>
      </c>
      <c r="F51" s="11" t="n">
        <v>6</v>
      </c>
      <c r="G51" s="4" t="inlineStr">
        <is>
          <t>Ch. 3, 8</t>
        </is>
      </c>
    </row>
    <row r="52">
      <c r="B52" s="2" t="inlineStr">
        <is>
          <t>Recontracting against current rates: buyer's base case</t>
        </is>
      </c>
      <c r="C52" s="9" t="n">
        <v>-0.04</v>
      </c>
      <c r="D52" s="9" t="n">
        <v>0</v>
      </c>
      <c r="E52" s="9" t="n">
        <v>0.02</v>
      </c>
      <c r="F52" s="9" t="n">
        <v>0.03</v>
      </c>
      <c r="G52" s="4" t="inlineStr">
        <is>
          <t>Ch. 3, 8</t>
        </is>
      </c>
    </row>
    <row r="53">
      <c r="B53" s="2" t="inlineStr">
        <is>
          <t>Recontracting against current rates: seller's plan</t>
        </is>
      </c>
      <c r="C53" s="9" t="n">
        <v>0</v>
      </c>
      <c r="D53" s="9" t="n">
        <v>0</v>
      </c>
      <c r="E53" s="9" t="n">
        <v>0.02</v>
      </c>
      <c r="F53" s="9" t="n">
        <v>0.03</v>
      </c>
      <c r="G53" s="4" t="inlineStr">
        <is>
          <t>Ch. 3, 8</t>
        </is>
      </c>
    </row>
    <row r="54">
      <c r="B54" s="2" t="inlineStr">
        <is>
          <t>Occupancy lost each year after the transition starts (points)</t>
        </is>
      </c>
      <c r="C54" s="9" t="n">
        <v>0.005</v>
      </c>
      <c r="D54" s="9" t="n">
        <v>0.01</v>
      </c>
      <c r="E54" s="9" t="n">
        <v>0.01</v>
      </c>
      <c r="F54" s="9" t="n">
        <v>0.005</v>
      </c>
      <c r="G54" s="4" t="inlineStr">
        <is>
          <t>Ch. 3, 8</t>
        </is>
      </c>
    </row>
    <row r="55">
      <c r="B55" s="2" t="inlineStr">
        <is>
          <t>Occupancy floor</t>
        </is>
      </c>
      <c r="C55" s="9" t="n">
        <v>0.85</v>
      </c>
      <c r="D55" s="9" t="n">
        <v>0.8</v>
      </c>
      <c r="E55" s="9" t="n">
        <v>0.8</v>
      </c>
      <c r="F55" s="9" t="n">
        <v>0.85</v>
      </c>
      <c r="G55" s="4" t="inlineStr">
        <is>
          <t>Ch. 3, 8</t>
        </is>
      </c>
    </row>
    <row r="57">
      <c r="B57" s="3" t="inlineStr">
        <is>
          <t>Share of capacity on contracts signed before 2027, by year</t>
        </is>
      </c>
      <c r="C57" s="13" t="n">
        <v>2026</v>
      </c>
      <c r="D57" s="13" t="n">
        <v>2027</v>
      </c>
      <c r="E57" s="13" t="n">
        <v>2028</v>
      </c>
      <c r="F57" s="13" t="n">
        <v>2029</v>
      </c>
      <c r="G57" s="13" t="n">
        <v>2030</v>
      </c>
      <c r="H57" s="13" t="n">
        <v>2031</v>
      </c>
    </row>
    <row r="58">
      <c r="B58" s="2" t="inlineStr">
        <is>
          <t>Westerhaven</t>
        </is>
      </c>
      <c r="C58" s="9" t="n">
        <v>1</v>
      </c>
      <c r="D58" s="9" t="n">
        <v>1</v>
      </c>
      <c r="E58" s="9" t="n">
        <v>0.75</v>
      </c>
      <c r="F58" s="9" t="n">
        <v>0.5</v>
      </c>
      <c r="G58" s="9" t="n">
        <v>0.3</v>
      </c>
      <c r="H58" s="9" t="n">
        <v>0.15</v>
      </c>
    </row>
    <row r="59">
      <c r="B59" s="2" t="inlineStr">
        <is>
          <t>Rhine Inland</t>
        </is>
      </c>
      <c r="C59" s="9" t="n">
        <v>1</v>
      </c>
      <c r="D59" s="9" t="n">
        <v>1</v>
      </c>
      <c r="E59" s="9" t="n">
        <v>0.7</v>
      </c>
      <c r="F59" s="9" t="n">
        <v>0.4</v>
      </c>
      <c r="G59" s="9" t="n">
        <v>0.2</v>
      </c>
      <c r="H59" s="9" t="n">
        <v>0</v>
      </c>
    </row>
    <row r="60">
      <c r="B60" s="2" t="inlineStr">
        <is>
          <t>Thamesbridge</t>
        </is>
      </c>
      <c r="C60" s="9" t="n">
        <v>1</v>
      </c>
      <c r="D60" s="9" t="n">
        <v>1</v>
      </c>
      <c r="E60" s="9" t="n">
        <v>0.65</v>
      </c>
      <c r="F60" s="9" t="n">
        <v>0.35</v>
      </c>
      <c r="G60" s="9" t="n">
        <v>0.15</v>
      </c>
      <c r="H60" s="9" t="n">
        <v>0</v>
      </c>
    </row>
    <row r="61">
      <c r="B61" s="2" t="inlineStr">
        <is>
          <t>Sabine Bend</t>
        </is>
      </c>
      <c r="C61" s="9" t="n">
        <v>1</v>
      </c>
      <c r="D61" s="9" t="n">
        <v>1</v>
      </c>
      <c r="E61" s="9" t="n">
        <v>0.8</v>
      </c>
      <c r="F61" s="9" t="n">
        <v>0.55</v>
      </c>
      <c r="G61" s="9" t="n">
        <v>0.3</v>
      </c>
      <c r="H61" s="9" t="n">
        <v>0.1</v>
      </c>
    </row>
    <row r="62">
      <c r="B62" s="4" t="inlineStr">
        <is>
          <t>Zero after 2031: every tank is recontracted at least once by 2032.</t>
        </is>
      </c>
    </row>
    <row r="64">
      <c r="B64" s="5" t="inlineStr">
        <is>
          <t>Diligence findings (chapter 6)</t>
        </is>
      </c>
      <c r="C64" s="6" t="n"/>
      <c r="D64" s="6" t="n"/>
      <c r="E64" s="6" t="n"/>
    </row>
    <row r="65">
      <c r="B65" s="3" t="inlineStr">
        <is>
          <t>Westerhaven jetty 3 refurbishment, $m in 2026 dollars: year</t>
        </is>
      </c>
      <c r="C65" s="13" t="n">
        <v>2028</v>
      </c>
      <c r="D65" s="13" t="n">
        <v>2029</v>
      </c>
    </row>
    <row r="66">
      <c r="B66" s="2" t="inlineStr">
        <is>
          <t>Westerhaven jetty 3 refurbishment, $m in 2026 dollars: value</t>
        </is>
      </c>
      <c r="C66" s="11" t="n">
        <v>20</v>
      </c>
      <c r="D66" s="11" t="n">
        <v>25</v>
      </c>
    </row>
    <row r="67">
      <c r="B67" s="3" t="inlineStr">
        <is>
          <t>Westerhaven occupancy lost after the largest customer leaves (points): year</t>
        </is>
      </c>
      <c r="C67" s="13" t="n">
        <v>2029</v>
      </c>
      <c r="D67" s="13" t="n">
        <v>2030</v>
      </c>
      <c r="E67" s="13" t="n">
        <v>2031</v>
      </c>
    </row>
    <row r="68">
      <c r="B68" s="2" t="inlineStr">
        <is>
          <t>Westerhaven occupancy lost after the largest customer leaves (points): value</t>
        </is>
      </c>
      <c r="C68" s="9" t="n">
        <v>0.15</v>
      </c>
      <c r="D68" s="9" t="n">
        <v>0.08</v>
      </c>
      <c r="E68" s="9" t="n">
        <v>0.03</v>
      </c>
    </row>
    <row r="69">
      <c r="B69" s="2" t="inlineStr">
        <is>
          <t>Sabine Bend extra windstorm insurance, $m a year in 2026 dollars</t>
        </is>
      </c>
      <c r="C69" s="11" t="n">
        <v>1.5</v>
      </c>
      <c r="E69" s="4" t="inlineStr">
        <is>
          <t>Ch. 6</t>
        </is>
      </c>
    </row>
    <row r="70">
      <c r="B70" s="2" t="inlineStr">
        <is>
          <t>Northgate's first-round EV range: low</t>
        </is>
      </c>
      <c r="C70" s="11" t="n">
        <v>1950</v>
      </c>
      <c r="E70" s="4" t="inlineStr">
        <is>
          <t>Ch. 5, 6</t>
        </is>
      </c>
    </row>
    <row r="71">
      <c r="B71" s="2" t="inlineStr">
        <is>
          <t>Northgate's first-round EV range: high</t>
        </is>
      </c>
      <c r="C71" s="11" t="n">
        <v>2050</v>
      </c>
      <c r="E71" s="4" t="inlineStr">
        <is>
          <t>Ch. 5, 6</t>
        </is>
      </c>
    </row>
    <row r="73">
      <c r="B73" s="5" t="inlineStr">
        <is>
          <t>Sabine Bend expansion and earn-out (chapters 11, 14)</t>
        </is>
      </c>
      <c r="C73" s="6" t="n"/>
      <c r="D73" s="6" t="n"/>
      <c r="E73" s="6" t="n"/>
    </row>
    <row r="74">
      <c r="B74" s="2" t="inlineStr">
        <is>
          <t>Capacity (million m3)</t>
        </is>
      </c>
      <c r="C74" s="10" t="n">
        <v>0.3</v>
      </c>
      <c r="E74" s="4" t="inlineStr">
        <is>
          <t>Ch. 11</t>
        </is>
      </c>
    </row>
    <row r="75">
      <c r="B75" s="3" t="inlineStr">
        <is>
          <t>Expansion capex, $m in 2026 dollars: year</t>
        </is>
      </c>
      <c r="C75" s="13" t="n">
        <v>2027</v>
      </c>
      <c r="D75" s="13" t="n">
        <v>2028</v>
      </c>
    </row>
    <row r="76">
      <c r="B76" s="2" t="inlineStr">
        <is>
          <t>Expansion capex, $m in 2026 dollars: value</t>
        </is>
      </c>
      <c r="C76" s="11" t="n">
        <v>66</v>
      </c>
      <c r="D76" s="11" t="n">
        <v>99</v>
      </c>
    </row>
    <row r="77">
      <c r="B77" s="2" t="inlineStr">
        <is>
          <t>First operating year</t>
        </is>
      </c>
      <c r="C77" s="8" t="n">
        <v>2029</v>
      </c>
      <c r="E77" s="4" t="inlineStr">
        <is>
          <t>Ch. 11</t>
        </is>
      </c>
    </row>
    <row r="78">
      <c r="B78" s="2" t="inlineStr">
        <is>
          <t>Anchor contract rate, 2026 dollars ($ per m3 per month, indexed)</t>
        </is>
      </c>
      <c r="C78" s="10" t="n">
        <v>6.4</v>
      </c>
      <c r="E78" s="4" t="inlineStr">
        <is>
          <t>Ch. 11</t>
        </is>
      </c>
    </row>
    <row r="79">
      <c r="B79" s="2" t="inlineStr">
        <is>
          <t>Anchor contract term (years)</t>
        </is>
      </c>
      <c r="C79" s="8" t="n">
        <v>10</v>
      </c>
      <c r="E79" s="4" t="inlineStr">
        <is>
          <t>Ch. 11</t>
        </is>
      </c>
    </row>
    <row r="80">
      <c r="B80" s="2" t="inlineStr">
        <is>
          <t>Occupancy under the anchor contract</t>
        </is>
      </c>
      <c r="C80" s="9" t="n">
        <v>1</v>
      </c>
      <c r="E80" s="4" t="inlineStr">
        <is>
          <t>Ch. 11</t>
        </is>
      </c>
    </row>
    <row r="81">
      <c r="B81" s="2" t="inlineStr">
        <is>
          <t>Occupancy after the contract</t>
        </is>
      </c>
      <c r="C81" s="9" t="n">
        <v>0.95</v>
      </c>
      <c r="E81" s="4" t="inlineStr">
        <is>
          <t>Ch. 11</t>
        </is>
      </c>
    </row>
    <row r="82">
      <c r="B82" s="2" t="inlineStr">
        <is>
          <t>Ancillary revenue (share of storage revenue)</t>
        </is>
      </c>
      <c r="C82" s="9" t="n">
        <v>0.1</v>
      </c>
      <c r="E82" s="4" t="inlineStr">
        <is>
          <t>Ch. 11</t>
        </is>
      </c>
    </row>
    <row r="83">
      <c r="B83" s="2" t="inlineStr">
        <is>
          <t>Fixed cost ($ per m3 a year, 2026 dollars)</t>
        </is>
      </c>
      <c r="C83" s="11" t="n">
        <v>20</v>
      </c>
      <c r="E83" s="4" t="inlineStr">
        <is>
          <t>Ch. 11</t>
        </is>
      </c>
    </row>
    <row r="84">
      <c r="B84" s="2" t="inlineStr">
        <is>
          <t>Variable cost (share of revenue)</t>
        </is>
      </c>
      <c r="C84" s="9" t="n">
        <v>0.09</v>
      </c>
      <c r="E84" s="4" t="inlineStr">
        <is>
          <t>Ch. 11</t>
        </is>
      </c>
    </row>
    <row r="85">
      <c r="B85" s="2" t="inlineStr">
        <is>
          <t>Maintenance capex ($ per m3 a year, 2026 dollars)</t>
        </is>
      </c>
      <c r="C85" s="11" t="n">
        <v>6</v>
      </c>
      <c r="E85" s="4" t="inlineStr">
        <is>
          <t>Ch. 11</t>
        </is>
      </c>
    </row>
    <row r="86">
      <c r="B86" s="2" t="inlineStr">
        <is>
          <t>Market rate after the contract, against the anchor rate</t>
        </is>
      </c>
      <c r="C86" s="9" t="n">
        <v>-0.05</v>
      </c>
      <c r="E86" s="4" t="inlineStr">
        <is>
          <t>Ch. 11</t>
        </is>
      </c>
    </row>
    <row r="87">
      <c r="B87" s="2" t="inlineStr">
        <is>
          <t>Earn-out payable if the anchor contract is signed</t>
        </is>
      </c>
      <c r="C87" s="11" t="n">
        <v>60</v>
      </c>
      <c r="E87" s="4" t="inlineStr">
        <is>
          <t>Ch. 11, 14</t>
        </is>
      </c>
    </row>
    <row r="88">
      <c r="B88" s="2" t="inlineStr">
        <is>
          <t>Earn-out date (years after 31 December 2026: 30 June 2028)</t>
        </is>
      </c>
      <c r="C88" s="10" t="n">
        <v>1.5</v>
      </c>
      <c r="E88" s="4" t="inlineStr">
        <is>
          <t>Ch. 14</t>
        </is>
      </c>
    </row>
    <row r="89">
      <c r="B89" s="2" t="inlineStr">
        <is>
          <t>Probability of signing: buyer's view</t>
        </is>
      </c>
      <c r="C89" s="9" t="n">
        <v>0.55</v>
      </c>
      <c r="E89" s="4" t="inlineStr">
        <is>
          <t>Ch. 14</t>
        </is>
      </c>
    </row>
    <row r="90">
      <c r="B90" s="2" t="inlineStr">
        <is>
          <t>Probability of signing: seller's view</t>
        </is>
      </c>
      <c r="C90" s="9" t="n">
        <v>0.9</v>
      </c>
      <c r="E90" s="4" t="inlineStr">
        <is>
          <t>Ch. 14</t>
        </is>
      </c>
    </row>
    <row r="92">
      <c r="B92" s="5" t="inlineStr">
        <is>
          <t>Price, locked box and leakage (chapter 10)</t>
        </is>
      </c>
      <c r="C92" s="6" t="n"/>
      <c r="D92" s="6" t="n"/>
      <c r="E92" s="6" t="n"/>
    </row>
    <row r="93">
      <c r="B93" s="2" t="inlineStr">
        <is>
          <t>Northgate consortium binding bid: EV at 31 December 2026</t>
        </is>
      </c>
      <c r="C93" s="11" t="n">
        <v>1830</v>
      </c>
      <c r="E93" s="4" t="inlineStr">
        <is>
          <t>Ch. 10, 11</t>
        </is>
      </c>
    </row>
    <row r="94">
      <c r="B94" s="2" t="inlineStr">
        <is>
          <t>Existing opco term loan</t>
        </is>
      </c>
      <c r="C94" s="11" t="n">
        <v>950</v>
      </c>
      <c r="E94" s="4" t="inlineStr">
        <is>
          <t>Ch. 10</t>
        </is>
      </c>
    </row>
    <row r="95">
      <c r="B95" s="2" t="inlineStr">
        <is>
          <t>Existing US private placement notes</t>
        </is>
      </c>
      <c r="C95" s="11" t="n">
        <v>250</v>
      </c>
      <c r="E95" s="4" t="inlineStr">
        <is>
          <t>Ch. 10</t>
        </is>
      </c>
    </row>
    <row r="96">
      <c r="B96" s="2" t="inlineStr">
        <is>
          <t>Make-whole on the notes</t>
        </is>
      </c>
      <c r="C96" s="11" t="n">
        <v>8</v>
      </c>
      <c r="E96" s="4" t="inlineStr">
        <is>
          <t>Ch. 10</t>
        </is>
      </c>
    </row>
    <row r="97">
      <c r="B97" s="2" t="inlineStr">
        <is>
          <t>Average cost of the existing debt</t>
        </is>
      </c>
      <c r="C97" s="12" t="n">
        <v>0.048</v>
      </c>
      <c r="E97" s="4" t="inlineStr">
        <is>
          <t>Ch. 10</t>
        </is>
      </c>
    </row>
    <row r="98">
      <c r="B98" s="2" t="inlineStr">
        <is>
          <t>UK defined benefit deficit (debt-like)</t>
        </is>
      </c>
      <c r="C98" s="11" t="n">
        <v>18</v>
      </c>
      <c r="E98" s="4" t="inlineStr">
        <is>
          <t>Ch. 10</t>
        </is>
      </c>
    </row>
    <row r="99">
      <c r="B99" s="2" t="inlineStr">
        <is>
          <t>Capex accrued and unpaid (debt-like)</t>
        </is>
      </c>
      <c r="C99" s="11" t="n">
        <v>12</v>
      </c>
      <c r="E99" s="4" t="inlineStr">
        <is>
          <t>Ch. 10</t>
        </is>
      </c>
    </row>
    <row r="100">
      <c r="B100" s="2" t="inlineStr">
        <is>
          <t>2026 corporate tax due (debt-like)</t>
        </is>
      </c>
      <c r="C100" s="11" t="n">
        <v>9</v>
      </c>
      <c r="E100" s="4" t="inlineStr">
        <is>
          <t>Ch. 10</t>
        </is>
      </c>
    </row>
    <row r="101">
      <c r="B101" s="2" t="inlineStr">
        <is>
          <t>Cash at the locked box date</t>
        </is>
      </c>
      <c r="C101" s="11" t="n">
        <v>85</v>
      </c>
      <c r="E101" s="4" t="inlineStr">
        <is>
          <t>Ch. 10</t>
        </is>
      </c>
    </row>
    <row r="102">
      <c r="B102" s="2" t="inlineStr">
        <is>
          <t>Operating cash left in the business</t>
        </is>
      </c>
      <c r="C102" s="11" t="n">
        <v>20</v>
      </c>
      <c r="E102" s="4" t="inlineStr">
        <is>
          <t>Ch. 10</t>
        </is>
      </c>
    </row>
    <row r="103">
      <c r="B103" s="2" t="inlineStr">
        <is>
          <t>Permitted leakage (monitoring fee 1.0, management bonuses 4.0)</t>
        </is>
      </c>
      <c r="C103" s="11" t="n">
        <v>5</v>
      </c>
      <c r="E103" s="4" t="inlineStr">
        <is>
          <t>Ch. 10</t>
        </is>
      </c>
    </row>
    <row r="104">
      <c r="B104" s="2" t="inlineStr">
        <is>
          <t>Ashgrove shareholder loan, bought at face value</t>
        </is>
      </c>
      <c r="C104" s="11" t="n">
        <v>300</v>
      </c>
      <c r="E104" s="4" t="inlineStr">
        <is>
          <t>Ch. 10</t>
        </is>
      </c>
    </row>
    <row r="105">
      <c r="B105" s="2" t="inlineStr">
        <is>
          <t>Ticking fee a year on the equity price, from 1 January 2027 to closing</t>
        </is>
      </c>
      <c r="C105" s="9" t="n">
        <v>0.08</v>
      </c>
      <c r="E105" s="4" t="inlineStr">
        <is>
          <t>Ch. 10</t>
        </is>
      </c>
    </row>
    <row r="106">
      <c r="B106" s="2" t="inlineStr">
        <is>
          <t>Unpermitted leakage found after closing (consultancy fee, May 2027)</t>
        </is>
      </c>
      <c r="C106" s="11" t="n">
        <v>6</v>
      </c>
      <c r="E106" s="4" t="inlineStr">
        <is>
          <t>Ch. 10</t>
        </is>
      </c>
    </row>
    <row r="107">
      <c r="B107" s="2" t="inlineStr">
        <is>
          <t>Completion accounts: working capital peg</t>
        </is>
      </c>
      <c r="C107" s="11" t="n">
        <v>22</v>
      </c>
      <c r="E107" s="4" t="inlineStr">
        <is>
          <t>Ch. 10</t>
        </is>
      </c>
    </row>
    <row r="108">
      <c r="B108" s="2" t="inlineStr">
        <is>
          <t>Completion accounts: working capital at closing</t>
        </is>
      </c>
      <c r="C108" s="11" t="n">
        <v>16</v>
      </c>
      <c r="E108" s="4" t="inlineStr">
        <is>
          <t>Ch. 10</t>
        </is>
      </c>
    </row>
    <row r="110">
      <c r="B110" s="5" t="inlineStr">
        <is>
          <t>Transaction costs, W&amp;I and HSR fee (chapters 12, 13, 14)</t>
        </is>
      </c>
      <c r="C110" s="6" t="n"/>
      <c r="D110" s="6" t="n"/>
      <c r="E110" s="6" t="n"/>
    </row>
    <row r="111">
      <c r="B111" s="2" t="inlineStr">
        <is>
          <t>Buyer's advisers</t>
        </is>
      </c>
      <c r="C111" s="11" t="n">
        <v>30</v>
      </c>
      <c r="E111" s="4" t="inlineStr">
        <is>
          <t>Ch. 12</t>
        </is>
      </c>
    </row>
    <row r="112">
      <c r="B112" s="2" t="inlineStr">
        <is>
          <t>W&amp;I limit (share of EV)</t>
        </is>
      </c>
      <c r="C112" s="9" t="n">
        <v>0.1</v>
      </c>
      <c r="E112" s="4" t="inlineStr">
        <is>
          <t>Ch. 14</t>
        </is>
      </c>
    </row>
    <row r="113">
      <c r="B113" s="2" t="inlineStr">
        <is>
          <t>W&amp;I premium, rate on line</t>
        </is>
      </c>
      <c r="C113" s="12" t="n">
        <v>0.011</v>
      </c>
      <c r="E113" s="4" t="inlineStr">
        <is>
          <t>Ch. 14</t>
        </is>
      </c>
    </row>
    <row r="114">
      <c r="B114" s="2" t="inlineStr">
        <is>
          <t>Insurance premium tax (illustrative)</t>
        </is>
      </c>
      <c r="C114" s="9" t="n">
        <v>0.12</v>
      </c>
      <c r="E114" s="4" t="inlineStr">
        <is>
          <t>Ch. 14</t>
        </is>
      </c>
    </row>
    <row r="115">
      <c r="B115" s="2" t="inlineStr">
        <is>
          <t>W&amp;I retention (share of EV)</t>
        </is>
      </c>
      <c r="C115" s="12" t="n">
        <v>0.005</v>
      </c>
      <c r="E115" s="4" t="inlineStr">
        <is>
          <t>Ch. 14</t>
        </is>
      </c>
    </row>
    <row r="116">
      <c r="B116" s="2" t="inlineStr">
        <is>
          <t>W&amp;I retention after 12 months (share of EV)</t>
        </is>
      </c>
      <c r="C116" s="12" t="n">
        <v>0.0025</v>
      </c>
      <c r="E116" s="4" t="inlineStr">
        <is>
          <t>Ch. 14</t>
        </is>
      </c>
    </row>
    <row r="117">
      <c r="B117" s="2" t="inlineStr">
        <is>
          <t>Example claim: Dutch tax assessment for 2025</t>
        </is>
      </c>
      <c r="C117" s="11" t="n">
        <v>14</v>
      </c>
      <c r="E117" s="4" t="inlineStr">
        <is>
          <t>Ch. 14</t>
        </is>
      </c>
    </row>
    <row r="118">
      <c r="B118" s="2" t="inlineStr">
        <is>
          <t>Months after closing the claim is discovered</t>
        </is>
      </c>
      <c r="C118" s="8" t="n">
        <v>8</v>
      </c>
      <c r="E118" s="4" t="inlineStr">
        <is>
          <t>Ch. 14</t>
        </is>
      </c>
    </row>
    <row r="119">
      <c r="B119" s="3" t="inlineStr">
        <is>
          <t>HSR filing fee: value of securities acquired at least ($m)</t>
        </is>
      </c>
      <c r="C119" s="14" t="n">
        <v>133.9</v>
      </c>
      <c r="D119" s="14" t="n">
        <v>189.6</v>
      </c>
      <c r="E119" s="14" t="n">
        <v>586.9</v>
      </c>
      <c r="F119" s="14" t="n">
        <v>1174</v>
      </c>
      <c r="G119" s="14" t="n">
        <v>2347</v>
      </c>
      <c r="H119" s="14" t="n">
        <v>5869</v>
      </c>
    </row>
    <row r="120">
      <c r="B120" s="2" t="inlineStr">
        <is>
          <t>HSR filing fee ($m), 2026 tiers</t>
        </is>
      </c>
      <c r="C120" s="15" t="n">
        <v>0.035</v>
      </c>
      <c r="D120" s="15" t="n">
        <v>0.11</v>
      </c>
      <c r="E120" s="15" t="n">
        <v>0.275</v>
      </c>
      <c r="F120" s="15" t="n">
        <v>0.44</v>
      </c>
      <c r="G120" s="15" t="n">
        <v>0.875</v>
      </c>
      <c r="H120" s="15" t="n">
        <v>2.46</v>
      </c>
    </row>
    <row r="122">
      <c r="B122" s="5" t="inlineStr">
        <is>
          <t>New financing (chapter 12)</t>
        </is>
      </c>
      <c r="C122" s="6" t="n"/>
      <c r="D122" s="6" t="n"/>
      <c r="E122" s="6" t="n"/>
    </row>
    <row r="123">
      <c r="B123" s="2" t="inlineStr">
        <is>
          <t>Opco senior debt, multiple of 2026 EBITDA</t>
        </is>
      </c>
      <c r="C123" s="16" t="n">
        <v>5.5</v>
      </c>
      <c r="E123" s="4" t="inlineStr">
        <is>
          <t>Ch. 12</t>
        </is>
      </c>
    </row>
    <row r="124">
      <c r="B124" s="2" t="inlineStr">
        <is>
          <t>Opco all-in fixed rate (swapped)</t>
        </is>
      </c>
      <c r="C124" s="12" t="n">
        <v>0.0525</v>
      </c>
      <c r="E124" s="4" t="inlineStr">
        <is>
          <t>Ch. 12</t>
        </is>
      </c>
    </row>
    <row r="125">
      <c r="B125" s="2" t="inlineStr">
        <is>
          <t>Opco upfront fees</t>
        </is>
      </c>
      <c r="C125" s="12" t="n">
        <v>0.02</v>
      </c>
      <c r="E125" s="4" t="inlineStr">
        <is>
          <t>Ch. 12</t>
        </is>
      </c>
    </row>
    <row r="126">
      <c r="B126" s="2" t="inlineStr">
        <is>
          <t>Opco tenor (years, bullet)</t>
        </is>
      </c>
      <c r="C126" s="8" t="n">
        <v>7</v>
      </c>
      <c r="E126" s="4" t="inlineStr">
        <is>
          <t>Ch. 12</t>
        </is>
      </c>
    </row>
    <row r="127">
      <c r="B127" s="2" t="inlineStr">
        <is>
          <t>Holdco debt, multiple of 2026 EBITDA</t>
        </is>
      </c>
      <c r="C127" s="16" t="n">
        <v>1</v>
      </c>
      <c r="E127" s="4" t="inlineStr">
        <is>
          <t>Ch. 12</t>
        </is>
      </c>
    </row>
    <row r="128">
      <c r="B128" s="2" t="inlineStr">
        <is>
          <t>Holdco rate</t>
        </is>
      </c>
      <c r="C128" s="12" t="n">
        <v>0.0825</v>
      </c>
      <c r="E128" s="4" t="inlineStr">
        <is>
          <t>Ch. 12</t>
        </is>
      </c>
    </row>
    <row r="129">
      <c r="B129" s="2" t="inlineStr">
        <is>
          <t>Holdco upfront fees</t>
        </is>
      </c>
      <c r="C129" s="12" t="n">
        <v>0.025</v>
      </c>
      <c r="E129" s="4" t="inlineStr">
        <is>
          <t>Ch. 12</t>
        </is>
      </c>
    </row>
    <row r="130">
      <c r="B130" s="2" t="inlineStr">
        <is>
          <t>Holdco tenor (years, bullet)</t>
        </is>
      </c>
      <c r="C130" s="8" t="n">
        <v>8</v>
      </c>
      <c r="E130" s="4" t="inlineStr">
        <is>
          <t>Ch. 12</t>
        </is>
      </c>
    </row>
    <row r="131">
      <c r="B131" s="2" t="inlineStr">
        <is>
          <t>Change in the opco rate at refinancing (2034)</t>
        </is>
      </c>
      <c r="C131" s="12" t="n">
        <v>0</v>
      </c>
      <c r="E131" s="4" t="inlineStr">
        <is>
          <t>Ch. 11, 12</t>
        </is>
      </c>
    </row>
    <row r="132">
      <c r="B132" s="2" t="inlineStr">
        <is>
          <t>Commitment fee a year on undrawn facilities</t>
        </is>
      </c>
      <c r="C132" s="12" t="n">
        <v>0.007</v>
      </c>
      <c r="E132" s="4" t="inlineStr">
        <is>
          <t>Ch. 12</t>
        </is>
      </c>
    </row>
    <row r="133">
      <c r="B133" s="2" t="inlineStr">
        <is>
          <t>Signing, years after 31 December 2026 (31 March 2027)</t>
        </is>
      </c>
      <c r="C133" s="10" t="n">
        <v>0.25</v>
      </c>
      <c r="E133" s="4" t="inlineStr">
        <is>
          <t>Ch. 12</t>
        </is>
      </c>
    </row>
    <row r="134">
      <c r="B134" s="2" t="inlineStr">
        <is>
          <t>Staple: opco multiple of 2026 EBITDA</t>
        </is>
      </c>
      <c r="C134" s="16" t="n">
        <v>6.25</v>
      </c>
      <c r="E134" s="4" t="inlineStr">
        <is>
          <t>Ch. 12</t>
        </is>
      </c>
    </row>
    <row r="135">
      <c r="B135" s="2" t="inlineStr">
        <is>
          <t>Staple: opco rate</t>
        </is>
      </c>
      <c r="C135" s="12" t="n">
        <v>0.0565</v>
      </c>
      <c r="E135" s="4" t="inlineStr">
        <is>
          <t>Ch. 12</t>
        </is>
      </c>
    </row>
    <row r="136">
      <c r="B136" s="2" t="inlineStr">
        <is>
          <t>Staple: upfront fees</t>
        </is>
      </c>
      <c r="C136" s="12" t="n">
        <v>0.0225</v>
      </c>
      <c r="E136" s="4" t="inlineStr">
        <is>
          <t>Ch. 12</t>
        </is>
      </c>
    </row>
    <row r="138">
      <c r="B138" s="5" t="inlineStr">
        <is>
          <t>Returns and exit (chapters 11, 15)</t>
        </is>
      </c>
      <c r="C138" s="6" t="n"/>
      <c r="D138" s="6" t="n"/>
      <c r="E138" s="6" t="n"/>
    </row>
    <row r="139">
      <c r="B139" s="2" t="inlineStr">
        <is>
          <t>Northgate's target gross levered IRR</t>
        </is>
      </c>
      <c r="C139" s="12" t="n">
        <v>0.095</v>
      </c>
      <c r="E139" s="4" t="inlineStr">
        <is>
          <t>Ch. 11</t>
        </is>
      </c>
    </row>
    <row r="140">
      <c r="B140" s="2" t="inlineStr">
        <is>
          <t>Exit at the end of</t>
        </is>
      </c>
      <c r="C140" s="8" t="n">
        <v>2036</v>
      </c>
      <c r="E140" s="4" t="inlineStr">
        <is>
          <t>Ch. 11, 15</t>
        </is>
      </c>
    </row>
    <row r="141">
      <c r="B141" s="2" t="inlineStr">
        <is>
          <t>Discount rate the exit buyer applies</t>
        </is>
      </c>
      <c r="C141" s="12" t="n">
        <v>0.065</v>
      </c>
      <c r="E141" s="4" t="inlineStr">
        <is>
          <t>Ch. 11, 15</t>
        </is>
      </c>
    </row>
    <row r="142">
      <c r="B142" s="2" t="inlineStr">
        <is>
          <t>Walk-away bisection: starting low EV</t>
        </is>
      </c>
      <c r="C142" s="11" t="n">
        <v>1000</v>
      </c>
      <c r="E142" s="4" t="inlineStr">
        <is>
          <t>Ch. 11</t>
        </is>
      </c>
    </row>
    <row r="143">
      <c r="B143" s="2" t="inlineStr">
        <is>
          <t>Walk-away bisection: starting high EV</t>
        </is>
      </c>
      <c r="C143" s="11" t="n">
        <v>6000</v>
      </c>
      <c r="E143" s="4" t="inlineStr">
        <is>
          <t>Ch. 11</t>
        </is>
      </c>
    </row>
    <row r="144">
      <c r="B144" s="2" t="inlineStr">
        <is>
          <t>Minority sale: share sold</t>
        </is>
      </c>
      <c r="C144" s="9" t="n">
        <v>0.49</v>
      </c>
      <c r="E144" s="4" t="inlineStr">
        <is>
          <t>Ch. 15</t>
        </is>
      </c>
    </row>
    <row r="145">
      <c r="B145" s="2" t="inlineStr">
        <is>
          <t>Minority sale at the end of</t>
        </is>
      </c>
      <c r="C145" s="8" t="n">
        <v>2031</v>
      </c>
      <c r="E145" s="4" t="inlineStr">
        <is>
          <t>Ch. 15</t>
        </is>
      </c>
    </row>
    <row r="146">
      <c r="B146" s="2" t="inlineStr">
        <is>
          <t>Minority buyer's discount rate</t>
        </is>
      </c>
      <c r="C146" s="12" t="n">
        <v>0.065</v>
      </c>
      <c r="E146" s="4" t="inlineStr">
        <is>
          <t>Ch. 15</t>
        </is>
      </c>
    </row>
    <row r="147">
      <c r="B147" s="2" t="inlineStr">
        <is>
          <t>Minority discount on the equity value</t>
        </is>
      </c>
      <c r="C147" s="9" t="n">
        <v>0</v>
      </c>
      <c r="E147" s="4" t="inlineStr">
        <is>
          <t>Ch. 15</t>
        </is>
      </c>
    </row>
    <row r="148">
      <c r="B148" s="2" t="inlineStr">
        <is>
          <t>Continuation vehicle price (share of NAV)</t>
        </is>
      </c>
      <c r="C148" s="9" t="n">
        <v>0.97</v>
      </c>
      <c r="E148" s="4" t="inlineStr">
        <is>
          <t>Ch. 15</t>
        </is>
      </c>
    </row>
    <row r="149">
      <c r="B149" s="2" t="inlineStr">
        <is>
          <t>Share of LPs that roll</t>
        </is>
      </c>
      <c r="C149" s="9" t="n">
        <v>0.3</v>
      </c>
      <c r="E149" s="4" t="inlineStr">
        <is>
          <t>Ch. 15</t>
        </is>
      </c>
    </row>
    <row r="150">
      <c r="B150" s="2" t="inlineStr">
        <is>
          <t>Growth capital raised with the continuation vehicle</t>
        </is>
      </c>
      <c r="C150" s="11" t="n">
        <v>100</v>
      </c>
      <c r="E150" s="4" t="inlineStr">
        <is>
          <t>Ch. 15</t>
        </is>
      </c>
    </row>
    <row r="152">
      <c r="B152" s="5" t="inlineStr">
        <is>
          <t>Bids and the seller (chapters 4, 11)</t>
        </is>
      </c>
      <c r="C152" s="6" t="n"/>
      <c r="D152" s="6" t="n"/>
      <c r="E152" s="6" t="n"/>
    </row>
    <row r="153">
      <c r="B153" s="2" t="inlineStr">
        <is>
          <t>Ashgrove's minimum EV set before binding bids</t>
        </is>
      </c>
      <c r="C153" s="11" t="n">
        <v>1800</v>
      </c>
      <c r="E153" s="4" t="inlineStr">
        <is>
          <t>Ch. 4, 11</t>
        </is>
      </c>
    </row>
    <row r="154">
      <c r="B154" s="2" t="inlineStr">
        <is>
          <t>Northgate: seller's probability of closing</t>
        </is>
      </c>
      <c r="C154" s="9" t="n">
        <v>0.97</v>
      </c>
      <c r="E154" s="4" t="inlineStr">
        <is>
          <t>Ch. 11</t>
        </is>
      </c>
    </row>
    <row r="155">
      <c r="B155" s="2" t="inlineStr">
        <is>
          <t>Halvard: EV above Northgate's</t>
        </is>
      </c>
      <c r="C155" s="11" t="n">
        <v>60</v>
      </c>
      <c r="E155" s="4" t="inlineStr">
        <is>
          <t>Ch. 11</t>
        </is>
      </c>
    </row>
    <row r="156">
      <c r="B156" s="2" t="inlineStr">
        <is>
          <t>Halvard: closing (years after 31 December 2026: 31 March 2028)</t>
        </is>
      </c>
      <c r="C156" s="10" t="n">
        <v>1.25</v>
      </c>
      <c r="E156" s="4" t="inlineStr">
        <is>
          <t>Ch. 11</t>
        </is>
      </c>
    </row>
    <row r="157">
      <c r="B157" s="2" t="inlineStr">
        <is>
          <t>Halvard: seller's probability of closing</t>
        </is>
      </c>
      <c r="C157" s="9" t="n">
        <v>0.8</v>
      </c>
      <c r="E157" s="4" t="inlineStr">
        <is>
          <t>Ch. 11</t>
        </is>
      </c>
    </row>
    <row r="158">
      <c r="B158" s="2" t="inlineStr">
        <is>
          <t>Halvard: escrow (share of proceeds)</t>
        </is>
      </c>
      <c r="C158" s="9" t="n">
        <v>0.05</v>
      </c>
      <c r="E158" s="4" t="inlineStr">
        <is>
          <t>Ch. 11, 14</t>
        </is>
      </c>
    </row>
    <row r="159">
      <c r="B159" s="2" t="inlineStr">
        <is>
          <t>Halvard: escrow period (years)</t>
        </is>
      </c>
      <c r="C159" s="10" t="n">
        <v>1.5</v>
      </c>
      <c r="E159" s="4" t="inlineStr">
        <is>
          <t>Ch. 11</t>
        </is>
      </c>
    </row>
    <row r="160">
      <c r="B160" s="2" t="inlineStr">
        <is>
          <t>Halvard: expected warranty claims (share of proceeds)</t>
        </is>
      </c>
      <c r="C160" s="9" t="n">
        <v>0.02</v>
      </c>
      <c r="E160" s="4" t="inlineStr">
        <is>
          <t>Ch. 11</t>
        </is>
      </c>
    </row>
    <row r="161">
      <c r="B161" s="2" t="inlineStr">
        <is>
          <t>Halvard: working capital at closing (at the peg)</t>
        </is>
      </c>
      <c r="C161" s="11" t="n">
        <v>22</v>
      </c>
      <c r="E161" s="4" t="inlineStr">
        <is>
          <t>Ch. 11</t>
        </is>
      </c>
    </row>
    <row r="162">
      <c r="B162" s="2" t="inlineStr">
        <is>
          <t>Seller's discount rate</t>
        </is>
      </c>
      <c r="C162" s="9" t="n">
        <v>0.08</v>
      </c>
      <c r="E162" s="4" t="inlineStr">
        <is>
          <t>Ch. 11</t>
        </is>
      </c>
    </row>
    <row r="163">
      <c r="B163" s="2" t="inlineStr">
        <is>
          <t>Failed deal: re-run at this share of Northgate's equity price</t>
        </is>
      </c>
      <c r="C163" s="9" t="n">
        <v>0.92</v>
      </c>
      <c r="E163" s="4" t="inlineStr">
        <is>
          <t>Ch. 11</t>
        </is>
      </c>
    </row>
    <row r="164">
      <c r="B164" s="2" t="inlineStr">
        <is>
          <t>Failed deal: delay of the re-run (years)</t>
        </is>
      </c>
      <c r="C164" s="10" t="n">
        <v>1</v>
      </c>
      <c r="E164" s="4" t="inlineStr">
        <is>
          <t>Ch. 11</t>
        </is>
      </c>
    </row>
    <row r="165">
      <c r="B165" s="2" t="inlineStr">
        <is>
          <t>Ashgrove equity invested at the end of 2015</t>
        </is>
      </c>
      <c r="C165" s="11" t="n">
        <v>600</v>
      </c>
      <c r="E165" s="4" t="inlineStr">
        <is>
          <t>Ch. 4, 11</t>
        </is>
      </c>
    </row>
    <row r="166">
      <c r="B166" s="2" t="inlineStr">
        <is>
          <t>Ashgrove investment year (31 December)</t>
        </is>
      </c>
      <c r="C166" s="8" t="n">
        <v>2015</v>
      </c>
      <c r="E166" s="4" t="inlineStr">
        <is>
          <t>Ch. 4, 11</t>
        </is>
      </c>
    </row>
    <row r="167">
      <c r="B167" s="3" t="inlineStr">
        <is>
          <t>Ashgrove distributions: year</t>
        </is>
      </c>
      <c r="C167" s="13" t="n">
        <v>2016</v>
      </c>
      <c r="D167" s="13" t="n">
        <v>2017</v>
      </c>
      <c r="E167" s="13" t="n">
        <v>2018</v>
      </c>
      <c r="F167" s="13" t="n">
        <v>2019</v>
      </c>
      <c r="G167" s="13" t="n">
        <v>2020</v>
      </c>
      <c r="H167" s="13" t="n">
        <v>2021</v>
      </c>
      <c r="I167" s="13" t="n">
        <v>2022</v>
      </c>
      <c r="J167" s="13" t="n">
        <v>2023</v>
      </c>
      <c r="K167" s="13" t="n">
        <v>2024</v>
      </c>
      <c r="L167" s="13" t="n">
        <v>2025</v>
      </c>
      <c r="M167" s="13" t="n">
        <v>2026</v>
      </c>
    </row>
    <row r="168">
      <c r="B168" s="2" t="inlineStr">
        <is>
          <t>Ashgrove distributions: amount</t>
        </is>
      </c>
      <c r="C168" s="11" t="n">
        <v>20</v>
      </c>
      <c r="D168" s="11" t="n">
        <v>25</v>
      </c>
      <c r="E168" s="11" t="n">
        <v>30</v>
      </c>
      <c r="F168" s="11" t="n">
        <v>35</v>
      </c>
      <c r="G168" s="11" t="n">
        <v>40</v>
      </c>
      <c r="H168" s="11" t="n">
        <v>40</v>
      </c>
      <c r="I168" s="11" t="n">
        <v>45</v>
      </c>
      <c r="J168" s="11" t="n">
        <v>50</v>
      </c>
      <c r="K168" s="11" t="n">
        <v>55</v>
      </c>
      <c r="L168" s="11" t="n">
        <v>60</v>
      </c>
      <c r="M168" s="11" t="n">
        <v>65</v>
      </c>
    </row>
    <row r="170">
      <c r="B170" s="5" t="inlineStr">
        <is>
          <t>Fictional precedents (chapter 9)</t>
        </is>
      </c>
      <c r="C170" s="6" t="n"/>
      <c r="D170" s="6" t="n"/>
      <c r="E170" s="6" t="n"/>
    </row>
    <row r="171">
      <c r="B171" s="3" t="inlineStr">
        <is>
          <t>Transaction</t>
        </is>
      </c>
      <c r="C171" s="3" t="inlineStr">
        <is>
          <t>EV / LTM EBITDA</t>
        </is>
      </c>
      <c r="D171" s="3" t="inlineStr">
        <is>
          <t>Signed</t>
        </is>
      </c>
      <c r="E171" s="3" t="inlineStr">
        <is>
          <t>Region</t>
        </is>
      </c>
      <c r="F171" s="3" t="inlineStr">
        <is>
          <t>Contracted revenue</t>
        </is>
      </c>
      <c r="G171" s="3" t="inlineStr">
        <is>
          <t>Tenure</t>
        </is>
      </c>
    </row>
    <row r="172">
      <c r="B172" s="7" t="inlineStr">
        <is>
          <t>Kestrel Tank Storage (Belgium, Netherlands)</t>
        </is>
      </c>
      <c r="C172" s="17" t="n">
        <v>13.4</v>
      </c>
      <c r="D172" s="8" t="n">
        <v>2023</v>
      </c>
      <c r="E172" s="7" t="inlineStr">
        <is>
          <t>Europe</t>
        </is>
      </c>
      <c r="F172" s="7" t="inlineStr">
        <is>
          <t>about 80 percent</t>
        </is>
      </c>
      <c r="G172" s="7" t="inlineStr">
        <is>
          <t>mostly concession, 22 years left</t>
        </is>
      </c>
    </row>
    <row r="173">
      <c r="B173" s="7" t="inlineStr">
        <is>
          <t>Orchard Bay Terminals (US Gulf Coast)</t>
        </is>
      </c>
      <c r="C173" s="17" t="n">
        <v>12.1</v>
      </c>
      <c r="D173" s="8" t="n">
        <v>2024</v>
      </c>
      <c r="E173" s="7" t="inlineStr">
        <is>
          <t>United States</t>
        </is>
      </c>
      <c r="F173" s="7" t="inlineStr">
        <is>
          <t>about 90 percent</t>
        </is>
      </c>
      <c r="G173" s="7" t="inlineStr">
        <is>
          <t>freehold</t>
        </is>
      </c>
    </row>
    <row r="174">
      <c r="B174" s="7" t="inlineStr">
        <is>
          <t>Baltic Liquid Hubs (Sweden, Finland)</t>
        </is>
      </c>
      <c r="C174" s="17" t="n">
        <v>10.6</v>
      </c>
      <c r="D174" s="8" t="n">
        <v>2024</v>
      </c>
      <c r="E174" s="7" t="inlineStr">
        <is>
          <t>Europe</t>
        </is>
      </c>
      <c r="F174" s="7" t="inlineStr">
        <is>
          <t>about 70 percent</t>
        </is>
      </c>
      <c r="G174" s="7" t="inlineStr">
        <is>
          <t>concession, 15 years left</t>
        </is>
      </c>
    </row>
    <row r="175">
      <c r="B175" s="7" t="inlineStr">
        <is>
          <t>Iberia Chem Storage (Spain)</t>
        </is>
      </c>
      <c r="C175" s="17" t="n">
        <v>14.2</v>
      </c>
      <c r="D175" s="8" t="n">
        <v>2025</v>
      </c>
      <c r="E175" s="7" t="inlineStr">
        <is>
          <t>Europe</t>
        </is>
      </c>
      <c r="F175" s="7" t="inlineStr">
        <is>
          <t>about 85 percent</t>
        </is>
      </c>
      <c r="G175" s="7" t="inlineStr">
        <is>
          <t>concession, 30 years left</t>
        </is>
      </c>
    </row>
    <row r="176">
      <c r="B176" s="7" t="inlineStr">
        <is>
          <t>Delta Midstream Storage (US Gulf Coast)</t>
        </is>
      </c>
      <c r="C176" s="17" t="n">
        <v>12.8</v>
      </c>
      <c r="D176" s="8" t="n">
        <v>2025</v>
      </c>
      <c r="E176" s="7" t="inlineStr">
        <is>
          <t>United States</t>
        </is>
      </c>
      <c r="F176" s="7" t="inlineStr">
        <is>
          <t>about 95 percent</t>
        </is>
      </c>
      <c r="G176" s="7" t="inlineStr">
        <is>
          <t>freehold</t>
        </is>
      </c>
    </row>
    <row r="178">
      <c r="B178" s="5" t="inlineStr">
        <is>
          <t>RAB illustration: Brennan Gas Networks (chapter 9; real, pre-tax)</t>
        </is>
      </c>
      <c r="C178" s="6" t="n"/>
      <c r="D178" s="6" t="n"/>
      <c r="E178" s="6" t="n"/>
    </row>
    <row r="179">
      <c r="B179" s="2" t="inlineStr">
        <is>
          <t>Regulated asset base</t>
        </is>
      </c>
      <c r="C179" s="11" t="n">
        <v>2000</v>
      </c>
      <c r="E179" s="4" t="inlineStr">
        <is>
          <t>Ch. 9</t>
        </is>
      </c>
    </row>
    <row r="180">
      <c r="B180" s="2" t="inlineStr">
        <is>
          <t>Allowed real return</t>
        </is>
      </c>
      <c r="C180" s="12" t="n">
        <v>0.038</v>
      </c>
      <c r="E180" s="4" t="inlineStr">
        <is>
          <t>Ch. 9</t>
        </is>
      </c>
    </row>
    <row r="181">
      <c r="B181" s="2" t="inlineStr">
        <is>
          <t>Cost outperformance a year</t>
        </is>
      </c>
      <c r="C181" s="11" t="n">
        <v>10</v>
      </c>
      <c r="E181" s="4" t="inlineStr">
        <is>
          <t>Ch. 9</t>
        </is>
      </c>
    </row>
    <row r="182">
      <c r="B182" s="2" t="inlineStr">
        <is>
          <t>Years valued before exit at RAB</t>
        </is>
      </c>
      <c r="C182" s="8" t="n">
        <v>40</v>
      </c>
      <c r="E182" s="4" t="inlineStr">
        <is>
          <t>Ch. 9</t>
        </is>
      </c>
    </row>
    <row r="183">
      <c r="B183" s="2" t="inlineStr">
        <is>
          <t>Buyer's real discount rate, case 3</t>
        </is>
      </c>
      <c r="C183" s="12" t="n">
        <v>0.035</v>
      </c>
      <c r="E183" s="4" t="inlineStr">
        <is>
          <t>Ch. 9</t>
        </is>
      </c>
    </row>
    <row r="184">
      <c r="B184" s="2" t="inlineStr">
        <is>
          <t>Buyer's real discount rate, case 4</t>
        </is>
      </c>
      <c r="C184" s="12" t="n">
        <v>0.032</v>
      </c>
      <c r="E184" s="4" t="inlineStr">
        <is>
          <t>Ch. 9</t>
        </is>
      </c>
    </row>
    <row r="186">
      <c r="B186" s="5" t="inlineStr">
        <is>
          <t>Approvals (chapter 13): case facts and thresholds</t>
        </is>
      </c>
      <c r="C186" s="6" t="n"/>
      <c r="D186" s="6" t="n"/>
      <c r="E186" s="6" t="n"/>
    </row>
    <row r="187">
      <c r="B187" s="2" t="inlineStr">
        <is>
          <t>Dollars per euro (constant case rate)</t>
        </is>
      </c>
      <c r="C187" s="10" t="n">
        <v>1.15</v>
      </c>
      <c r="E187" s="4" t="inlineStr">
        <is>
          <t>Ch. 13</t>
        </is>
      </c>
    </row>
    <row r="188">
      <c r="B188" s="2" t="inlineStr">
        <is>
          <t>Dollars per pound (constant case rate)</t>
        </is>
      </c>
      <c r="C188" s="10" t="n">
        <v>1.3</v>
      </c>
      <c r="E188" s="4" t="inlineStr">
        <is>
          <t>Ch. 13</t>
        </is>
      </c>
    </row>
    <row r="189">
      <c r="B189" s="2" t="inlineStr">
        <is>
          <t>Northgate group turnover 2026, worldwide (EUR m)</t>
        </is>
      </c>
      <c r="C189" s="18" t="n">
        <v>14000</v>
      </c>
      <c r="E189" s="4" t="inlineStr">
        <is>
          <t>Ch. 13</t>
        </is>
      </c>
    </row>
    <row r="190">
      <c r="B190" s="2" t="inlineStr">
        <is>
          <t>Northgate group turnover 2026, EU (EUR m)</t>
        </is>
      </c>
      <c r="C190" s="18" t="n">
        <v>3100</v>
      </c>
      <c r="E190" s="4" t="inlineStr">
        <is>
          <t>Ch. 13</t>
        </is>
      </c>
    </row>
    <row r="191">
      <c r="B191" s="2" t="inlineStr">
        <is>
          <t>Laurentide group turnover 2026, worldwide (EUR m)</t>
        </is>
      </c>
      <c r="C191" s="18" t="n">
        <v>22000</v>
      </c>
      <c r="E191" s="4" t="inlineStr">
        <is>
          <t>Ch. 13</t>
        </is>
      </c>
    </row>
    <row r="192">
      <c r="B192" s="2" t="inlineStr">
        <is>
          <t>Laurentide group turnover 2026, EU (EUR m)</t>
        </is>
      </c>
      <c r="C192" s="18" t="n">
        <v>4000</v>
      </c>
      <c r="E192" s="4" t="inlineStr">
        <is>
          <t>Ch. 13</t>
        </is>
      </c>
    </row>
    <row r="193">
      <c r="B193" s="2" t="inlineStr">
        <is>
          <t>Aldara: financial contributions from its state over three years (EUR m)</t>
        </is>
      </c>
      <c r="C193" s="18" t="n">
        <v>1200</v>
      </c>
      <c r="E193" s="4" t="inlineStr">
        <is>
          <t>Ch. 13</t>
        </is>
      </c>
    </row>
    <row r="194">
      <c r="B194" s="2" t="inlineStr">
        <is>
          <t>EUMR: combined worldwide turnover above (EUR m)</t>
        </is>
      </c>
      <c r="C194" s="18" t="n">
        <v>5000</v>
      </c>
      <c r="E194" s="4" t="inlineStr">
        <is>
          <t>Ch. 13</t>
        </is>
      </c>
    </row>
    <row r="195">
      <c r="B195" s="2" t="inlineStr">
        <is>
          <t>EUMR: EU turnover of at least two undertakings above (EUR m)</t>
        </is>
      </c>
      <c r="C195" s="18" t="n">
        <v>250</v>
      </c>
      <c r="E195" s="4" t="inlineStr">
        <is>
          <t>Ch. 13</t>
        </is>
      </c>
    </row>
    <row r="196">
      <c r="B196" s="2" t="inlineStr">
        <is>
          <t>FSR: target EU turnover at least (EUR m)</t>
        </is>
      </c>
      <c r="C196" s="18" t="n">
        <v>500</v>
      </c>
      <c r="E196" s="4" t="inlineStr">
        <is>
          <t>Ch. 13</t>
        </is>
      </c>
    </row>
    <row r="197">
      <c r="B197" s="2" t="inlineStr">
        <is>
          <t>UK: target UK turnover above (GBP m)</t>
        </is>
      </c>
      <c r="C197" s="18" t="n">
        <v>100</v>
      </c>
      <c r="E197" s="4" t="inlineStr">
        <is>
          <t>Ch. 13</t>
        </is>
      </c>
    </row>
    <row r="198">
      <c r="B198" s="2" t="inlineStr">
        <is>
          <t>CFIUS mitigation compliance cost, $m a year (2026 dollars), slow case</t>
        </is>
      </c>
      <c r="C198" s="11" t="n">
        <v>1</v>
      </c>
      <c r="E198" s="4" t="inlineStr">
        <is>
          <t>Ch. 13</t>
        </is>
      </c>
    </row>
    <row r="199">
      <c r="B199" s="2" t="inlineStr">
        <is>
          <t>Mitigation cost from</t>
        </is>
      </c>
      <c r="C199" s="8" t="n">
        <v>2028</v>
      </c>
      <c r="E199" s="4" t="inlineStr">
        <is>
          <t>Ch. 13</t>
        </is>
      </c>
    </row>
    <row r="200">
      <c r="B200" s="3" t="inlineStr">
        <is>
          <t>Delay case</t>
        </is>
      </c>
      <c r="C200" s="3" t="inlineStr">
        <is>
          <t>Closing (t)</t>
        </is>
      </c>
      <c r="D200" s="3" t="inlineStr">
        <is>
          <t>Mitigation cost</t>
        </is>
      </c>
    </row>
    <row r="201">
      <c r="B201" s="2" t="inlineStr">
        <is>
          <t>base: 30 September 2027</t>
        </is>
      </c>
      <c r="C201" s="10" t="n">
        <v>0.75</v>
      </c>
      <c r="D201" s="11" t="n">
        <v>0</v>
      </c>
    </row>
    <row r="202">
      <c r="B202" s="2" t="inlineStr">
        <is>
          <t>CFIUS full notice and NSIA call-in: 31 December 2027</t>
        </is>
      </c>
      <c r="C202" s="10" t="n">
        <v>1</v>
      </c>
      <c r="D202" s="11" t="n">
        <v>0</v>
      </c>
    </row>
    <row r="203">
      <c r="B203" s="2" t="inlineStr">
        <is>
          <t>as above, with a CFIUS mitigation agreement</t>
        </is>
      </c>
      <c r="C203" s="10" t="n">
        <v>1</v>
      </c>
      <c r="D203" s="19">
        <f>i_mitigation</f>
        <v/>
      </c>
    </row>
    <row r="204">
      <c r="B204" s="2" t="inlineStr">
        <is>
          <t>long stop date: 31 March 2028</t>
        </is>
      </c>
      <c r="C204" s="10" t="n">
        <v>1.25</v>
      </c>
      <c r="D204" s="11" t="n">
        <v>0</v>
      </c>
    </row>
    <row r="206">
      <c r="B206" s="5" t="inlineStr">
        <is>
          <t>Consortium (chapter 7)</t>
        </is>
      </c>
      <c r="C206" s="6" t="n"/>
      <c r="D206" s="6" t="n"/>
      <c r="E206" s="6" t="n"/>
    </row>
    <row r="207">
      <c r="B207" s="2" t="inlineStr">
        <is>
          <t>Northgate Infrastructure Partners (lead): share</t>
        </is>
      </c>
      <c r="C207" s="9" t="n">
        <v>0.6</v>
      </c>
      <c r="E207" s="4" t="inlineStr">
        <is>
          <t>Ch. 7</t>
        </is>
      </c>
    </row>
    <row r="208">
      <c r="B208" s="2" t="inlineStr">
        <is>
          <t>Northgate Infrastructure Partners (lead): board seats</t>
        </is>
      </c>
      <c r="C208" s="8" t="n">
        <v>4</v>
      </c>
      <c r="E208" s="4" t="inlineStr">
        <is>
          <t>Ch. 7</t>
        </is>
      </c>
    </row>
    <row r="209">
      <c r="B209" s="2" t="inlineStr">
        <is>
          <t>Laurentide Pension Plan: share</t>
        </is>
      </c>
      <c r="C209" s="9" t="n">
        <v>0.25</v>
      </c>
      <c r="E209" s="4" t="inlineStr">
        <is>
          <t>Ch. 7</t>
        </is>
      </c>
    </row>
    <row r="210">
      <c r="B210" s="2" t="inlineStr">
        <is>
          <t>Laurentide Pension Plan: board seats</t>
        </is>
      </c>
      <c r="C210" s="8" t="n">
        <v>2</v>
      </c>
      <c r="E210" s="4" t="inlineStr">
        <is>
          <t>Ch. 7</t>
        </is>
      </c>
    </row>
    <row r="211">
      <c r="B211" s="2" t="inlineStr">
        <is>
          <t>Aldara Investment Authority (passive): share</t>
        </is>
      </c>
      <c r="C211" s="9" t="n">
        <v>0.15</v>
      </c>
      <c r="E211" s="4" t="inlineStr">
        <is>
          <t>Ch. 7</t>
        </is>
      </c>
    </row>
    <row r="212">
      <c r="B212" s="2" t="inlineStr">
        <is>
          <t>Aldara Investment Authority (passive): board seats</t>
        </is>
      </c>
      <c r="C212" s="8" t="n">
        <v>0</v>
      </c>
      <c r="E212" s="4" t="inlineStr">
        <is>
          <t>Ch. 7</t>
        </is>
      </c>
    </row>
    <row r="213">
      <c r="B213" s="2" t="inlineStr">
        <is>
          <t>Independent chair (seats)</t>
        </is>
      </c>
      <c r="C213" s="8" t="n">
        <v>1</v>
      </c>
      <c r="E213" s="4" t="inlineStr">
        <is>
          <t>Ch. 7</t>
        </is>
      </c>
    </row>
    <row r="214">
      <c r="B214" s="2" t="inlineStr">
        <is>
          <t>Reserved matters: share of votes needed</t>
        </is>
      </c>
      <c r="C214" s="9" t="n">
        <v>0.8</v>
      </c>
      <c r="E214" s="4" t="inlineStr">
        <is>
          <t>Ch. 7</t>
        </is>
      </c>
    </row>
    <row r="215">
      <c r="B215" s="2" t="inlineStr">
        <is>
          <t>Bid costs to binding bid (dead deal costs)</t>
        </is>
      </c>
      <c r="C215" s="11" t="n">
        <v>12</v>
      </c>
      <c r="E215" s="4" t="inlineStr">
        <is>
          <t>Ch. 7</t>
        </is>
      </c>
    </row>
    <row r="217">
      <c r="B217" s="5" t="inlineStr">
        <is>
          <t>Case engine: the platform cases computed side by side (flags: 1 = on, 0 = off)</t>
        </is>
      </c>
      <c r="C217" s="6" t="n"/>
      <c r="D217" s="6" t="n"/>
      <c r="E217" s="6" t="n"/>
    </row>
    <row r="218" ht="28" customHeight="1">
      <c r="B218" s="3" t="inlineStr">
        <is>
          <t>Case</t>
        </is>
      </c>
      <c r="C218" s="20" t="inlineStr">
        <is>
          <t>Live (switches)</t>
        </is>
      </c>
      <c r="D218" s="20" t="inlineStr">
        <is>
          <t>Buyer base</t>
        </is>
      </c>
      <c r="E218" s="20" t="inlineStr">
        <is>
          <t>Seller plan</t>
        </is>
      </c>
      <c r="F218" s="20" t="inlineStr">
        <is>
          <t>Plan + expansion</t>
        </is>
      </c>
      <c r="G218" s="20" t="inlineStr">
        <is>
          <t>Bridge 1</t>
        </is>
      </c>
      <c r="H218" s="20" t="inlineStr">
        <is>
          <t>Bridge 2</t>
        </is>
      </c>
      <c r="I218" s="20" t="inlineStr">
        <is>
          <t>Bridge 3</t>
        </is>
      </c>
      <c r="J218" s="20" t="inlineStr">
        <is>
          <t>Without Westerhaven</t>
        </is>
      </c>
      <c r="K218" s="20" t="inlineStr">
        <is>
          <t>Renewal</t>
        </is>
      </c>
      <c r="L218" s="20" t="inlineStr">
        <is>
          <t>Base + expansion</t>
        </is>
      </c>
      <c r="M218" s="20" t="inlineStr">
        <is>
          <t>Inflation 3.5%</t>
        </is>
      </c>
      <c r="N218" s="20" t="inlineStr">
        <is>
          <t>Inflation 1.5%</t>
        </is>
      </c>
      <c r="O218" s="20" t="inlineStr">
        <is>
          <t>Occupancy -5</t>
        </is>
      </c>
      <c r="P218" s="20" t="inlineStr">
        <is>
          <t>Occupancy -2</t>
        </is>
      </c>
      <c r="Q218" s="20" t="inlineStr">
        <is>
          <t>Recontract -5%</t>
        </is>
      </c>
      <c r="R218" s="20" t="inlineStr">
        <is>
          <t>Mitigation cost</t>
        </is>
      </c>
    </row>
    <row r="219">
      <c r="B219" s="2" t="inlineStr">
        <is>
          <t>Inflation</t>
        </is>
      </c>
      <c r="C219" s="21">
        <f>i_infl</f>
        <v/>
      </c>
      <c r="D219" s="21">
        <f>i_infl</f>
        <v/>
      </c>
      <c r="E219" s="21">
        <f>i_infl</f>
        <v/>
      </c>
      <c r="F219" s="21">
        <f>i_infl</f>
        <v/>
      </c>
      <c r="G219" s="21">
        <f>i_infl</f>
        <v/>
      </c>
      <c r="H219" s="21">
        <f>i_infl</f>
        <v/>
      </c>
      <c r="I219" s="21">
        <f>i_infl</f>
        <v/>
      </c>
      <c r="J219" s="21">
        <f>i_infl</f>
        <v/>
      </c>
      <c r="K219" s="21">
        <f>i_infl</f>
        <v/>
      </c>
      <c r="L219" s="21">
        <f>i_infl</f>
        <v/>
      </c>
      <c r="M219" s="9" t="n">
        <v>0.035</v>
      </c>
      <c r="N219" s="9" t="n">
        <v>0.015</v>
      </c>
      <c r="O219" s="21">
        <f>i_infl</f>
        <v/>
      </c>
      <c r="P219" s="21">
        <f>i_infl</f>
        <v/>
      </c>
      <c r="Q219" s="21">
        <f>i_infl</f>
        <v/>
      </c>
      <c r="R219" s="21">
        <f>i_infl</f>
        <v/>
      </c>
    </row>
    <row r="220">
      <c r="B220" s="2" t="inlineStr">
        <is>
          <t>Buyer's recontracting rates (1) or seller's plan rates (0)</t>
        </is>
      </c>
      <c r="C220" s="22">
        <f>IF(i_sw_view="Plan",0,1)</f>
        <v/>
      </c>
      <c r="D220" s="8" t="n">
        <v>1</v>
      </c>
      <c r="E220" s="8" t="n">
        <v>0</v>
      </c>
      <c r="F220" s="8" t="n">
        <v>0</v>
      </c>
      <c r="G220" s="8" t="n">
        <v>1</v>
      </c>
      <c r="H220" s="8" t="n">
        <v>1</v>
      </c>
      <c r="I220" s="8" t="n">
        <v>1</v>
      </c>
      <c r="J220" s="8" t="n">
        <v>1</v>
      </c>
      <c r="K220" s="8" t="n">
        <v>1</v>
      </c>
      <c r="L220" s="8" t="n">
        <v>1</v>
      </c>
      <c r="M220" s="8" t="n">
        <v>1</v>
      </c>
      <c r="N220" s="8" t="n">
        <v>1</v>
      </c>
      <c r="O220" s="8" t="n">
        <v>1</v>
      </c>
      <c r="P220" s="8" t="n">
        <v>1</v>
      </c>
      <c r="Q220" s="8" t="n">
        <v>1</v>
      </c>
      <c r="R220" s="8" t="n">
        <v>1</v>
      </c>
    </row>
    <row r="221">
      <c r="B221" s="2" t="inlineStr">
        <is>
          <t>Largest Westerhaven customer leaves (1/0)</t>
        </is>
      </c>
      <c r="C221" s="22">
        <f>IF(i_sw_view="Plan",0,1)</f>
        <v/>
      </c>
      <c r="D221" s="8" t="n">
        <v>1</v>
      </c>
      <c r="E221" s="8" t="n">
        <v>0</v>
      </c>
      <c r="F221" s="8" t="n">
        <v>0</v>
      </c>
      <c r="G221" s="8" t="n">
        <v>0</v>
      </c>
      <c r="H221" s="8" t="n">
        <v>1</v>
      </c>
      <c r="I221" s="8" t="n">
        <v>1</v>
      </c>
      <c r="J221" s="8" t="n">
        <v>1</v>
      </c>
      <c r="K221" s="8" t="n">
        <v>1</v>
      </c>
      <c r="L221" s="8" t="n">
        <v>1</v>
      </c>
      <c r="M221" s="8" t="n">
        <v>1</v>
      </c>
      <c r="N221" s="8" t="n">
        <v>1</v>
      </c>
      <c r="O221" s="8" t="n">
        <v>1</v>
      </c>
      <c r="P221" s="8" t="n">
        <v>1</v>
      </c>
      <c r="Q221" s="8" t="n">
        <v>1</v>
      </c>
      <c r="R221" s="8" t="n">
        <v>1</v>
      </c>
    </row>
    <row r="222">
      <c r="B222" s="2" t="inlineStr">
        <is>
          <t>Jetty 3 refurbishment (1/0)</t>
        </is>
      </c>
      <c r="C222" s="22">
        <f>IF(i_sw_view="Plan",0,1)</f>
        <v/>
      </c>
      <c r="D222" s="8" t="n">
        <v>1</v>
      </c>
      <c r="E222" s="8" t="n">
        <v>0</v>
      </c>
      <c r="F222" s="8" t="n">
        <v>0</v>
      </c>
      <c r="G222" s="8" t="n">
        <v>0</v>
      </c>
      <c r="H222" s="8" t="n">
        <v>0</v>
      </c>
      <c r="I222" s="8" t="n">
        <v>1</v>
      </c>
      <c r="J222" s="8" t="n">
        <v>1</v>
      </c>
      <c r="K222" s="8" t="n">
        <v>1</v>
      </c>
      <c r="L222" s="8" t="n">
        <v>1</v>
      </c>
      <c r="M222" s="8" t="n">
        <v>1</v>
      </c>
      <c r="N222" s="8" t="n">
        <v>1</v>
      </c>
      <c r="O222" s="8" t="n">
        <v>1</v>
      </c>
      <c r="P222" s="8" t="n">
        <v>1</v>
      </c>
      <c r="Q222" s="8" t="n">
        <v>1</v>
      </c>
      <c r="R222" s="8" t="n">
        <v>1</v>
      </c>
    </row>
    <row r="223">
      <c r="B223" s="2" t="inlineStr">
        <is>
          <t>Sabine Bend extra insurance (1/0)</t>
        </is>
      </c>
      <c r="C223" s="22">
        <f>IF(i_sw_view="Plan",0,1)</f>
        <v/>
      </c>
      <c r="D223" s="8" t="n">
        <v>1</v>
      </c>
      <c r="E223" s="8" t="n">
        <v>0</v>
      </c>
      <c r="F223" s="8" t="n">
        <v>0</v>
      </c>
      <c r="G223" s="8" t="n">
        <v>0</v>
      </c>
      <c r="H223" s="8" t="n">
        <v>0</v>
      </c>
      <c r="I223" s="8" t="n">
        <v>0</v>
      </c>
      <c r="J223" s="8" t="n">
        <v>1</v>
      </c>
      <c r="K223" s="8" t="n">
        <v>1</v>
      </c>
      <c r="L223" s="8" t="n">
        <v>1</v>
      </c>
      <c r="M223" s="8" t="n">
        <v>1</v>
      </c>
      <c r="N223" s="8" t="n">
        <v>1</v>
      </c>
      <c r="O223" s="8" t="n">
        <v>1</v>
      </c>
      <c r="P223" s="8" t="n">
        <v>1</v>
      </c>
      <c r="Q223" s="8" t="n">
        <v>1</v>
      </c>
      <c r="R223" s="8" t="n">
        <v>1</v>
      </c>
    </row>
    <row r="224">
      <c r="B224" s="2" t="inlineStr">
        <is>
          <t>Expansion built (1/0)</t>
        </is>
      </c>
      <c r="C224" s="22">
        <f>i_sw_exp</f>
        <v/>
      </c>
      <c r="D224" s="8" t="n">
        <v>0</v>
      </c>
      <c r="E224" s="8" t="n">
        <v>0</v>
      </c>
      <c r="F224" s="8" t="n">
        <v>1</v>
      </c>
      <c r="G224" s="8" t="n">
        <v>0</v>
      </c>
      <c r="H224" s="8" t="n">
        <v>0</v>
      </c>
      <c r="I224" s="8" t="n">
        <v>0</v>
      </c>
      <c r="J224" s="8" t="n">
        <v>0</v>
      </c>
      <c r="K224" s="8" t="n">
        <v>0</v>
      </c>
      <c r="L224" s="8" t="n">
        <v>1</v>
      </c>
      <c r="M224" s="8" t="n">
        <v>0</v>
      </c>
      <c r="N224" s="8" t="n">
        <v>0</v>
      </c>
      <c r="O224" s="8" t="n">
        <v>0</v>
      </c>
      <c r="P224" s="8" t="n">
        <v>0</v>
      </c>
      <c r="Q224" s="8" t="n">
        <v>0</v>
      </c>
      <c r="R224" s="8" t="n">
        <v>0</v>
      </c>
    </row>
    <row r="225">
      <c r="B225" s="2" t="inlineStr">
        <is>
          <t>Occupancy shift from 2027</t>
        </is>
      </c>
      <c r="C225" s="21">
        <f>i_sw_occ</f>
        <v/>
      </c>
      <c r="D225" s="9" t="n">
        <v>0</v>
      </c>
      <c r="E225" s="9" t="n">
        <v>0</v>
      </c>
      <c r="F225" s="9" t="n">
        <v>0</v>
      </c>
      <c r="G225" s="9" t="n">
        <v>0</v>
      </c>
      <c r="H225" s="9" t="n">
        <v>0</v>
      </c>
      <c r="I225" s="9" t="n">
        <v>0</v>
      </c>
      <c r="J225" s="9" t="n">
        <v>0</v>
      </c>
      <c r="K225" s="9" t="n">
        <v>0</v>
      </c>
      <c r="L225" s="9" t="n">
        <v>0</v>
      </c>
      <c r="M225" s="9" t="n">
        <v>0</v>
      </c>
      <c r="N225" s="9" t="n">
        <v>0</v>
      </c>
      <c r="O225" s="9" t="n">
        <v>-0.05</v>
      </c>
      <c r="P225" s="9" t="n">
        <v>-0.02</v>
      </c>
      <c r="Q225" s="9" t="n">
        <v>0</v>
      </c>
      <c r="R225" s="9" t="n">
        <v>0</v>
      </c>
    </row>
    <row r="226">
      <c r="B226" s="2" t="inlineStr">
        <is>
          <t>Recontracting shift</t>
        </is>
      </c>
      <c r="C226" s="21">
        <f>i_sw_mtm</f>
        <v/>
      </c>
      <c r="D226" s="9" t="n">
        <v>0</v>
      </c>
      <c r="E226" s="9" t="n">
        <v>0</v>
      </c>
      <c r="F226" s="9" t="n">
        <v>0</v>
      </c>
      <c r="G226" s="9" t="n">
        <v>0</v>
      </c>
      <c r="H226" s="9" t="n">
        <v>0</v>
      </c>
      <c r="I226" s="9" t="n">
        <v>0</v>
      </c>
      <c r="J226" s="9" t="n">
        <v>0</v>
      </c>
      <c r="K226" s="9" t="n">
        <v>0</v>
      </c>
      <c r="L226" s="9" t="n">
        <v>0</v>
      </c>
      <c r="M226" s="9" t="n">
        <v>0</v>
      </c>
      <c r="N226" s="9" t="n">
        <v>0</v>
      </c>
      <c r="O226" s="9" t="n">
        <v>0</v>
      </c>
      <c r="P226" s="9" t="n">
        <v>0</v>
      </c>
      <c r="Q226" s="9" t="n">
        <v>-0.05</v>
      </c>
      <c r="R226" s="9" t="n">
        <v>0</v>
      </c>
    </row>
    <row r="227">
      <c r="B227" s="2" t="inlineStr">
        <is>
          <t>Concession renewed (1/0)</t>
        </is>
      </c>
      <c r="C227" s="22">
        <f>i_sw_renew</f>
        <v/>
      </c>
      <c r="D227" s="8" t="n">
        <v>0</v>
      </c>
      <c r="E227" s="8" t="n">
        <v>0</v>
      </c>
      <c r="F227" s="8" t="n">
        <v>0</v>
      </c>
      <c r="G227" s="8" t="n">
        <v>0</v>
      </c>
      <c r="H227" s="8" t="n">
        <v>0</v>
      </c>
      <c r="I227" s="8" t="n">
        <v>0</v>
      </c>
      <c r="J227" s="8" t="n">
        <v>0</v>
      </c>
      <c r="K227" s="8" t="n">
        <v>1</v>
      </c>
      <c r="L227" s="8" t="n">
        <v>0</v>
      </c>
      <c r="M227" s="8" t="n">
        <v>0</v>
      </c>
      <c r="N227" s="8" t="n">
        <v>0</v>
      </c>
      <c r="O227" s="8" t="n">
        <v>0</v>
      </c>
      <c r="P227" s="8" t="n">
        <v>0</v>
      </c>
      <c r="Q227" s="8" t="n">
        <v>0</v>
      </c>
      <c r="R227" s="8" t="n">
        <v>0</v>
      </c>
    </row>
    <row r="228">
      <c r="B228" s="2" t="inlineStr">
        <is>
          <t>Westerhaven capacity multiplier</t>
        </is>
      </c>
      <c r="C228" s="10" t="n">
        <v>1</v>
      </c>
      <c r="D228" s="10" t="n">
        <v>1</v>
      </c>
      <c r="E228" s="10" t="n">
        <v>1</v>
      </c>
      <c r="F228" s="10" t="n">
        <v>1</v>
      </c>
      <c r="G228" s="10" t="n">
        <v>1</v>
      </c>
      <c r="H228" s="10" t="n">
        <v>1</v>
      </c>
      <c r="I228" s="10" t="n">
        <v>1</v>
      </c>
      <c r="J228" s="10" t="n">
        <v>0</v>
      </c>
      <c r="K228" s="10" t="n">
        <v>1</v>
      </c>
      <c r="L228" s="10" t="n">
        <v>1</v>
      </c>
      <c r="M228" s="10" t="n">
        <v>1</v>
      </c>
      <c r="N228" s="10" t="n">
        <v>1</v>
      </c>
      <c r="O228" s="10" t="n">
        <v>1</v>
      </c>
      <c r="P228" s="10" t="n">
        <v>1</v>
      </c>
      <c r="Q228" s="10" t="n">
        <v>1</v>
      </c>
      <c r="R228" s="10" t="n">
        <v>1</v>
      </c>
    </row>
    <row r="229">
      <c r="B229" s="2" t="inlineStr">
        <is>
          <t>Extra yearly cost from 2028 ($m, 2026 dollars)</t>
        </is>
      </c>
      <c r="C229" s="19">
        <f>i_sw_mitig</f>
        <v/>
      </c>
      <c r="D229" s="11" t="n">
        <v>0</v>
      </c>
      <c r="E229" s="11" t="n">
        <v>0</v>
      </c>
      <c r="F229" s="11" t="n">
        <v>0</v>
      </c>
      <c r="G229" s="11" t="n">
        <v>0</v>
      </c>
      <c r="H229" s="11" t="n">
        <v>0</v>
      </c>
      <c r="I229" s="11" t="n">
        <v>0</v>
      </c>
      <c r="J229" s="11" t="n">
        <v>0</v>
      </c>
      <c r="K229" s="11" t="n">
        <v>0</v>
      </c>
      <c r="L229" s="11" t="n">
        <v>0</v>
      </c>
      <c r="M229" s="11" t="n">
        <v>0</v>
      </c>
      <c r="N229" s="11" t="n">
        <v>0</v>
      </c>
      <c r="O229" s="11" t="n">
        <v>0</v>
      </c>
      <c r="P229" s="11" t="n">
        <v>0</v>
      </c>
      <c r="Q229" s="11" t="n">
        <v>0</v>
      </c>
      <c r="R229" s="19">
        <f>i_mitigation</f>
        <v/>
      </c>
    </row>
    <row r="230">
      <c r="B230" s="4" t="inlineStr">
        <is>
          <t>Bridge 1: buyer's recontracting rates only; 2: plus the customer loss; 3: plus jetty 3; Buyer base: plus the insurance.</t>
        </is>
      </c>
    </row>
    <row r="232">
      <c r="B232" s="5" t="inlineStr">
        <is>
          <t>Sensitivities of chapter 11 (deal settings by row)</t>
        </is>
      </c>
      <c r="C232" s="6" t="n"/>
      <c r="D232" s="6" t="n"/>
      <c r="E232" s="6" t="n"/>
    </row>
    <row r="233">
      <c r="B233" s="3" t="inlineStr">
        <is>
          <t>Sensitivity</t>
        </is>
      </c>
      <c r="C233" s="3" t="inlineStr">
        <is>
          <t>Platform case</t>
        </is>
      </c>
      <c r="D233" s="3" t="inlineStr">
        <is>
          <t>Refi rate shift</t>
        </is>
      </c>
      <c r="E233" s="3" t="inlineStr">
        <is>
          <t>Exit discount rate</t>
        </is>
      </c>
      <c r="F233" s="3" t="inlineStr">
        <is>
          <t>Closing (t)</t>
        </is>
      </c>
    </row>
    <row r="234">
      <c r="B234" s="2" t="inlineStr">
        <is>
          <t>base case</t>
        </is>
      </c>
      <c r="C234" s="2" t="inlineStr">
        <is>
          <t>Buyer base</t>
        </is>
      </c>
      <c r="D234" s="23">
        <f>i_refi_shift</f>
        <v/>
      </c>
      <c r="E234" s="23">
        <f>i_r_exit</f>
        <v/>
      </c>
      <c r="F234" s="24">
        <f>i_t_close</f>
        <v/>
      </c>
    </row>
    <row r="235">
      <c r="B235" s="2" t="inlineStr">
        <is>
          <t>interest rates +1 point (refinancing in 2034 and exit discount rate)</t>
        </is>
      </c>
      <c r="C235" s="2" t="inlineStr">
        <is>
          <t>Buyer base</t>
        </is>
      </c>
      <c r="D235" s="12" t="n">
        <v>0.01</v>
      </c>
      <c r="E235" s="12" t="n">
        <v>0.075</v>
      </c>
      <c r="F235" s="24">
        <f>i_t_close</f>
        <v/>
      </c>
    </row>
    <row r="236">
      <c r="B236" s="2" t="inlineStr">
        <is>
          <t>exit discount rate +0.5 point</t>
        </is>
      </c>
      <c r="C236" s="2" t="inlineStr">
        <is>
          <t>Buyer base</t>
        </is>
      </c>
      <c r="D236" s="23">
        <f>i_refi_shift</f>
        <v/>
      </c>
      <c r="E236" s="12" t="n">
        <v>0.07000000000000001</v>
      </c>
      <c r="F236" s="24">
        <f>i_t_close</f>
        <v/>
      </c>
    </row>
    <row r="237">
      <c r="B237" s="2" t="inlineStr">
        <is>
          <t>inflation 3.5 percent instead of 2.5 (discount and debt rates unchanged)</t>
        </is>
      </c>
      <c r="C237" s="2" t="inlineStr">
        <is>
          <t>Inflation 3.5%</t>
        </is>
      </c>
      <c r="D237" s="23">
        <f>i_refi_shift</f>
        <v/>
      </c>
      <c r="E237" s="23">
        <f>i_r_exit</f>
        <v/>
      </c>
      <c r="F237" s="24">
        <f>i_t_close</f>
        <v/>
      </c>
    </row>
    <row r="238">
      <c r="B238" s="2" t="inlineStr">
        <is>
          <t>inflation 1.5 percent instead of 2.5 (discount and debt rates unchanged)</t>
        </is>
      </c>
      <c r="C238" s="2" t="inlineStr">
        <is>
          <t>Inflation 1.5%</t>
        </is>
      </c>
      <c r="D238" s="23">
        <f>i_refi_shift</f>
        <v/>
      </c>
      <c r="E238" s="23">
        <f>i_r_exit</f>
        <v/>
      </c>
      <c r="F238" s="24">
        <f>i_t_close</f>
        <v/>
      </c>
    </row>
    <row r="239">
      <c r="B239" s="2" t="inlineStr">
        <is>
          <t>inflation 3.5 percent with refinancing and exit discount rates 1 point higher</t>
        </is>
      </c>
      <c r="C239" s="2" t="inlineStr">
        <is>
          <t>Inflation 3.5%</t>
        </is>
      </c>
      <c r="D239" s="12" t="n">
        <v>0.01</v>
      </c>
      <c r="E239" s="12" t="n">
        <v>0.075</v>
      </c>
      <c r="F239" s="24">
        <f>i_t_close</f>
        <v/>
      </c>
    </row>
    <row r="240">
      <c r="B240" s="2" t="inlineStr">
        <is>
          <t>occupancy 5 points lower, all terminals, from 2027</t>
        </is>
      </c>
      <c r="C240" s="2" t="inlineStr">
        <is>
          <t>Occupancy -5</t>
        </is>
      </c>
      <c r="D240" s="23">
        <f>i_refi_shift</f>
        <v/>
      </c>
      <c r="E240" s="23">
        <f>i_r_exit</f>
        <v/>
      </c>
      <c r="F240" s="24">
        <f>i_t_close</f>
        <v/>
      </c>
    </row>
    <row r="241">
      <c r="B241" s="2" t="inlineStr">
        <is>
          <t>occupancy 2 points lower, all terminals, from 2027</t>
        </is>
      </c>
      <c r="C241" s="2" t="inlineStr">
        <is>
          <t>Occupancy -2</t>
        </is>
      </c>
      <c r="D241" s="23">
        <f>i_refi_shift</f>
        <v/>
      </c>
      <c r="E241" s="23">
        <f>i_r_exit</f>
        <v/>
      </c>
      <c r="F241" s="24">
        <f>i_t_close</f>
        <v/>
      </c>
    </row>
    <row r="242">
      <c r="B242" s="2" t="inlineStr">
        <is>
          <t>recontracting 5 percent below the base market rates</t>
        </is>
      </c>
      <c r="C242" s="2" t="inlineStr">
        <is>
          <t>Recontract -5%</t>
        </is>
      </c>
      <c r="D242" s="23">
        <f>i_refi_shift</f>
        <v/>
      </c>
      <c r="E242" s="23">
        <f>i_r_exit</f>
        <v/>
      </c>
      <c r="F242" s="24">
        <f>i_t_close</f>
        <v/>
      </c>
    </row>
    <row r="243">
      <c r="B243" s="2" t="inlineStr">
        <is>
          <t>Westerhaven concession renewed to 2081 at an 8 percent fee</t>
        </is>
      </c>
      <c r="C243" s="2" t="inlineStr">
        <is>
          <t>Renewal</t>
        </is>
      </c>
      <c r="D243" s="23">
        <f>i_refi_shift</f>
        <v/>
      </c>
      <c r="E243" s="23">
        <f>i_r_exit</f>
        <v/>
      </c>
      <c r="F243" s="24">
        <f>i_t_close</f>
        <v/>
      </c>
    </row>
    <row r="244">
      <c r="B244" s="2" t="inlineStr">
        <is>
          <t>closing slips to 31 March 2028</t>
        </is>
      </c>
      <c r="C244" s="2" t="inlineStr">
        <is>
          <t>Buyer base</t>
        </is>
      </c>
      <c r="D244" s="23">
        <f>i_refi_shift</f>
        <v/>
      </c>
      <c r="E244" s="23">
        <f>i_r_exit</f>
        <v/>
      </c>
      <c r="F244" s="10" t="n">
        <v>1.25</v>
      </c>
    </row>
    <row r="245">
      <c r="B245" s="4" t="inlineStr">
        <is>
          <t>Black cells repeat the base inputs; blue cells are the sensitivity values.</t>
        </is>
      </c>
    </row>
  </sheetData>
  <dataValidations count="2">
    <dataValidation sqref="C7" showDropDown="0" showInputMessage="0" showErrorMessage="0" allowBlank="0" type="list">
      <formula1>"Base,Plan"</formula1>
    </dataValidation>
    <dataValidation sqref="C15" showDropDown="0" showInputMessage="0" showErrorMessage="0" allowBlank="0" type="list">
      <formula1>"Full,Minority"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1:AI94"/>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s>
  <sheetData>
    <row r="1">
      <c r="B1" s="1" t="inlineStr">
        <is>
          <t>Segments: the live case, by business unit and year (chapters 3, 6, 8)</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Live case (follows the switches on Inputs)</t>
        </is>
      </c>
    </row>
    <row r="7">
      <c r="B7" s="4" t="inlineStr">
        <is>
          <t>Inflation</t>
        </is>
      </c>
      <c r="C7" s="27">
        <f>Inputs!$C$219</f>
        <v/>
      </c>
    </row>
    <row r="8">
      <c r="B8" s="4" t="inlineStr">
        <is>
          <t>Buyer's recontracting rates (1) or seller's plan rates (0)</t>
        </is>
      </c>
      <c r="C8" s="26">
        <f>Inputs!$C$220</f>
        <v/>
      </c>
    </row>
    <row r="9">
      <c r="B9" s="4" t="inlineStr">
        <is>
          <t>Largest Westerhaven customer leaves (1/0)</t>
        </is>
      </c>
      <c r="C9" s="26">
        <f>Inputs!$C$221</f>
        <v/>
      </c>
    </row>
    <row r="10">
      <c r="B10" s="4" t="inlineStr">
        <is>
          <t>Jetty 3 refurbishment (1/0)</t>
        </is>
      </c>
      <c r="C10" s="26">
        <f>Inputs!$C$222</f>
        <v/>
      </c>
    </row>
    <row r="11">
      <c r="B11" s="4" t="inlineStr">
        <is>
          <t>Sabine Bend extra insurance (1/0)</t>
        </is>
      </c>
      <c r="C11" s="26">
        <f>Inputs!$C$223</f>
        <v/>
      </c>
    </row>
    <row r="12">
      <c r="B12" s="4" t="inlineStr">
        <is>
          <t>Expansion built (1/0)</t>
        </is>
      </c>
      <c r="C12" s="26">
        <f>Inputs!$C$224</f>
        <v/>
      </c>
    </row>
    <row r="13">
      <c r="B13" s="4" t="inlineStr">
        <is>
          <t>Occupancy shift from 2027</t>
        </is>
      </c>
      <c r="C13" s="27">
        <f>Inputs!$C$225</f>
        <v/>
      </c>
    </row>
    <row r="14">
      <c r="B14" s="4" t="inlineStr">
        <is>
          <t>Recontracting shift</t>
        </is>
      </c>
      <c r="C14" s="27">
        <f>Inputs!$C$226</f>
        <v/>
      </c>
    </row>
    <row r="15">
      <c r="B15" s="4" t="inlineStr">
        <is>
          <t>Concession renewed (1/0)</t>
        </is>
      </c>
      <c r="C15" s="26">
        <f>Inputs!$C$227</f>
        <v/>
      </c>
    </row>
    <row r="16">
      <c r="B16" s="4" t="inlineStr">
        <is>
          <t>Westerhaven capacity multiplier</t>
        </is>
      </c>
      <c r="C16" s="28">
        <f>Inputs!$C$228</f>
        <v/>
      </c>
    </row>
    <row r="17">
      <c r="B17" s="4" t="inlineStr">
        <is>
          <t>Extra yearly cost from 2028 ($m, 2026 dollars)</t>
        </is>
      </c>
      <c r="C17" s="29">
        <f>Inputs!$C$229</f>
        <v/>
      </c>
    </row>
    <row r="18">
      <c r="B18" s="2" t="inlineStr">
        <is>
          <t>Cost index (inflation)</t>
        </is>
      </c>
      <c r="D18" s="30">
        <f>(1+Segments!$C$7)^D$4</f>
        <v/>
      </c>
      <c r="E18" s="30">
        <f>(1+Segments!$C$7)^E$4</f>
        <v/>
      </c>
      <c r="F18" s="30">
        <f>(1+Segments!$C$7)^F$4</f>
        <v/>
      </c>
      <c r="G18" s="30">
        <f>(1+Segments!$C$7)^G$4</f>
        <v/>
      </c>
      <c r="H18" s="30">
        <f>(1+Segments!$C$7)^H$4</f>
        <v/>
      </c>
      <c r="I18" s="30">
        <f>(1+Segments!$C$7)^I$4</f>
        <v/>
      </c>
      <c r="J18" s="30">
        <f>(1+Segments!$C$7)^J$4</f>
        <v/>
      </c>
      <c r="K18" s="30">
        <f>(1+Segments!$C$7)^K$4</f>
        <v/>
      </c>
      <c r="L18" s="30">
        <f>(1+Segments!$C$7)^L$4</f>
        <v/>
      </c>
      <c r="M18" s="30">
        <f>(1+Segments!$C$7)^M$4</f>
        <v/>
      </c>
      <c r="N18" s="30">
        <f>(1+Segments!$C$7)^N$4</f>
        <v/>
      </c>
      <c r="O18" s="30">
        <f>(1+Segments!$C$7)^O$4</f>
        <v/>
      </c>
      <c r="P18" s="30">
        <f>(1+Segments!$C$7)^P$4</f>
        <v/>
      </c>
      <c r="Q18" s="30">
        <f>(1+Segments!$C$7)^Q$4</f>
        <v/>
      </c>
      <c r="R18" s="30">
        <f>(1+Segments!$C$7)^R$4</f>
        <v/>
      </c>
      <c r="S18" s="30">
        <f>(1+Segments!$C$7)^S$4</f>
        <v/>
      </c>
      <c r="T18" s="30">
        <f>(1+Segments!$C$7)^T$4</f>
        <v/>
      </c>
      <c r="U18" s="30">
        <f>(1+Segments!$C$7)^U$4</f>
        <v/>
      </c>
      <c r="V18" s="30">
        <f>(1+Segments!$C$7)^V$4</f>
        <v/>
      </c>
      <c r="W18" s="30">
        <f>(1+Segments!$C$7)^W$4</f>
        <v/>
      </c>
      <c r="X18" s="30">
        <f>(1+Segments!$C$7)^X$4</f>
        <v/>
      </c>
      <c r="Y18" s="30">
        <f>(1+Segments!$C$7)^Y$4</f>
        <v/>
      </c>
      <c r="Z18" s="30">
        <f>(1+Segments!$C$7)^Z$4</f>
        <v/>
      </c>
      <c r="AA18" s="30">
        <f>(1+Segments!$C$7)^AA$4</f>
        <v/>
      </c>
      <c r="AB18" s="30">
        <f>(1+Segments!$C$7)^AB$4</f>
        <v/>
      </c>
      <c r="AC18" s="30">
        <f>(1+Segments!$C$7)^AC$4</f>
        <v/>
      </c>
      <c r="AD18" s="30">
        <f>(1+Segments!$C$7)^AD$4</f>
        <v/>
      </c>
      <c r="AE18" s="30">
        <f>(1+Segments!$C$7)^AE$4</f>
        <v/>
      </c>
      <c r="AF18" s="30">
        <f>(1+Segments!$C$7)^AF$4</f>
        <v/>
      </c>
      <c r="AG18" s="30">
        <f>(1+Segments!$C$7)^AG$4</f>
        <v/>
      </c>
      <c r="AH18" s="30">
        <f>(1+Segments!$C$7)^AH$4</f>
        <v/>
      </c>
      <c r="AI18" s="30">
        <f>(1+Segments!$C$7)^AI$4</f>
        <v/>
      </c>
    </row>
    <row r="19">
      <c r="B19" s="2" t="inlineStr">
        <is>
          <t>Rate index (inflation x pass-through)</t>
        </is>
      </c>
      <c r="D19" s="30">
        <f>(1+Segments!$C$7*i_index_share)^D$4</f>
        <v/>
      </c>
      <c r="E19" s="30">
        <f>(1+Segments!$C$7*i_index_share)^E$4</f>
        <v/>
      </c>
      <c r="F19" s="30">
        <f>(1+Segments!$C$7*i_index_share)^F$4</f>
        <v/>
      </c>
      <c r="G19" s="30">
        <f>(1+Segments!$C$7*i_index_share)^G$4</f>
        <v/>
      </c>
      <c r="H19" s="30">
        <f>(1+Segments!$C$7*i_index_share)^H$4</f>
        <v/>
      </c>
      <c r="I19" s="30">
        <f>(1+Segments!$C$7*i_index_share)^I$4</f>
        <v/>
      </c>
      <c r="J19" s="30">
        <f>(1+Segments!$C$7*i_index_share)^J$4</f>
        <v/>
      </c>
      <c r="K19" s="30">
        <f>(1+Segments!$C$7*i_index_share)^K$4</f>
        <v/>
      </c>
      <c r="L19" s="30">
        <f>(1+Segments!$C$7*i_index_share)^L$4</f>
        <v/>
      </c>
      <c r="M19" s="30">
        <f>(1+Segments!$C$7*i_index_share)^M$4</f>
        <v/>
      </c>
      <c r="N19" s="30">
        <f>(1+Segments!$C$7*i_index_share)^N$4</f>
        <v/>
      </c>
      <c r="O19" s="30">
        <f>(1+Segments!$C$7*i_index_share)^O$4</f>
        <v/>
      </c>
      <c r="P19" s="30">
        <f>(1+Segments!$C$7*i_index_share)^P$4</f>
        <v/>
      </c>
      <c r="Q19" s="30">
        <f>(1+Segments!$C$7*i_index_share)^Q$4</f>
        <v/>
      </c>
      <c r="R19" s="30">
        <f>(1+Segments!$C$7*i_index_share)^R$4</f>
        <v/>
      </c>
      <c r="S19" s="30">
        <f>(1+Segments!$C$7*i_index_share)^S$4</f>
        <v/>
      </c>
      <c r="T19" s="30">
        <f>(1+Segments!$C$7*i_index_share)^T$4</f>
        <v/>
      </c>
      <c r="U19" s="30">
        <f>(1+Segments!$C$7*i_index_share)^U$4</f>
        <v/>
      </c>
      <c r="V19" s="30">
        <f>(1+Segments!$C$7*i_index_share)^V$4</f>
        <v/>
      </c>
      <c r="W19" s="30">
        <f>(1+Segments!$C$7*i_index_share)^W$4</f>
        <v/>
      </c>
      <c r="X19" s="30">
        <f>(1+Segments!$C$7*i_index_share)^X$4</f>
        <v/>
      </c>
      <c r="Y19" s="30">
        <f>(1+Segments!$C$7*i_index_share)^Y$4</f>
        <v/>
      </c>
      <c r="Z19" s="30">
        <f>(1+Segments!$C$7*i_index_share)^Z$4</f>
        <v/>
      </c>
      <c r="AA19" s="30">
        <f>(1+Segments!$C$7*i_index_share)^AA$4</f>
        <v/>
      </c>
      <c r="AB19" s="30">
        <f>(1+Segments!$C$7*i_index_share)^AB$4</f>
        <v/>
      </c>
      <c r="AC19" s="30">
        <f>(1+Segments!$C$7*i_index_share)^AC$4</f>
        <v/>
      </c>
      <c r="AD19" s="30">
        <f>(1+Segments!$C$7*i_index_share)^AD$4</f>
        <v/>
      </c>
      <c r="AE19" s="30">
        <f>(1+Segments!$C$7*i_index_share)^AE$4</f>
        <v/>
      </c>
      <c r="AF19" s="30">
        <f>(1+Segments!$C$7*i_index_share)^AF$4</f>
        <v/>
      </c>
      <c r="AG19" s="30">
        <f>(1+Segments!$C$7*i_index_share)^AG$4</f>
        <v/>
      </c>
      <c r="AH19" s="30">
        <f>(1+Segments!$C$7*i_index_share)^AH$4</f>
        <v/>
      </c>
      <c r="AI19" s="30">
        <f>(1+Segments!$C$7*i_index_share)^AI$4</f>
        <v/>
      </c>
    </row>
    <row r="20">
      <c r="B20" s="3" t="inlineStr">
        <is>
          <t>Westerhaven</t>
        </is>
      </c>
    </row>
    <row r="21">
      <c r="B21" s="2" t="inlineStr">
        <is>
          <t xml:space="preserve">  Concession in force (1/0)</t>
        </is>
      </c>
      <c r="D21" s="22">
        <f>IF(Segments!$C$15=1,1,IF(D$3&lt;=i_conc_end,1,0))</f>
        <v/>
      </c>
      <c r="E21" s="22">
        <f>IF(Segments!$C$15=1,1,IF(E$3&lt;=i_conc_end,1,0))</f>
        <v/>
      </c>
      <c r="F21" s="22">
        <f>IF(Segments!$C$15=1,1,IF(F$3&lt;=i_conc_end,1,0))</f>
        <v/>
      </c>
      <c r="G21" s="22">
        <f>IF(Segments!$C$15=1,1,IF(G$3&lt;=i_conc_end,1,0))</f>
        <v/>
      </c>
      <c r="H21" s="22">
        <f>IF(Segments!$C$15=1,1,IF(H$3&lt;=i_conc_end,1,0))</f>
        <v/>
      </c>
      <c r="I21" s="22">
        <f>IF(Segments!$C$15=1,1,IF(I$3&lt;=i_conc_end,1,0))</f>
        <v/>
      </c>
      <c r="J21" s="22">
        <f>IF(Segments!$C$15=1,1,IF(J$3&lt;=i_conc_end,1,0))</f>
        <v/>
      </c>
      <c r="K21" s="22">
        <f>IF(Segments!$C$15=1,1,IF(K$3&lt;=i_conc_end,1,0))</f>
        <v/>
      </c>
      <c r="L21" s="22">
        <f>IF(Segments!$C$15=1,1,IF(L$3&lt;=i_conc_end,1,0))</f>
        <v/>
      </c>
      <c r="M21" s="22">
        <f>IF(Segments!$C$15=1,1,IF(M$3&lt;=i_conc_end,1,0))</f>
        <v/>
      </c>
      <c r="N21" s="22">
        <f>IF(Segments!$C$15=1,1,IF(N$3&lt;=i_conc_end,1,0))</f>
        <v/>
      </c>
      <c r="O21" s="22">
        <f>IF(Segments!$C$15=1,1,IF(O$3&lt;=i_conc_end,1,0))</f>
        <v/>
      </c>
      <c r="P21" s="22">
        <f>IF(Segments!$C$15=1,1,IF(P$3&lt;=i_conc_end,1,0))</f>
        <v/>
      </c>
      <c r="Q21" s="22">
        <f>IF(Segments!$C$15=1,1,IF(Q$3&lt;=i_conc_end,1,0))</f>
        <v/>
      </c>
      <c r="R21" s="22">
        <f>IF(Segments!$C$15=1,1,IF(R$3&lt;=i_conc_end,1,0))</f>
        <v/>
      </c>
      <c r="S21" s="22">
        <f>IF(Segments!$C$15=1,1,IF(S$3&lt;=i_conc_end,1,0))</f>
        <v/>
      </c>
      <c r="T21" s="22">
        <f>IF(Segments!$C$15=1,1,IF(T$3&lt;=i_conc_end,1,0))</f>
        <v/>
      </c>
      <c r="U21" s="22">
        <f>IF(Segments!$C$15=1,1,IF(U$3&lt;=i_conc_end,1,0))</f>
        <v/>
      </c>
      <c r="V21" s="22">
        <f>IF(Segments!$C$15=1,1,IF(V$3&lt;=i_conc_end,1,0))</f>
        <v/>
      </c>
      <c r="W21" s="22">
        <f>IF(Segments!$C$15=1,1,IF(W$3&lt;=i_conc_end,1,0))</f>
        <v/>
      </c>
      <c r="X21" s="22">
        <f>IF(Segments!$C$15=1,1,IF(X$3&lt;=i_conc_end,1,0))</f>
        <v/>
      </c>
      <c r="Y21" s="22">
        <f>IF(Segments!$C$15=1,1,IF(Y$3&lt;=i_conc_end,1,0))</f>
        <v/>
      </c>
      <c r="Z21" s="22">
        <f>IF(Segments!$C$15=1,1,IF(Z$3&lt;=i_conc_end,1,0))</f>
        <v/>
      </c>
      <c r="AA21" s="22">
        <f>IF(Segments!$C$15=1,1,IF(AA$3&lt;=i_conc_end,1,0))</f>
        <v/>
      </c>
      <c r="AB21" s="22">
        <f>IF(Segments!$C$15=1,1,IF(AB$3&lt;=i_conc_end,1,0))</f>
        <v/>
      </c>
      <c r="AC21" s="22">
        <f>IF(Segments!$C$15=1,1,IF(AC$3&lt;=i_conc_end,1,0))</f>
        <v/>
      </c>
      <c r="AD21" s="22">
        <f>IF(Segments!$C$15=1,1,IF(AD$3&lt;=i_conc_end,1,0))</f>
        <v/>
      </c>
      <c r="AE21" s="22">
        <f>IF(Segments!$C$15=1,1,IF(AE$3&lt;=i_conc_end,1,0))</f>
        <v/>
      </c>
      <c r="AF21" s="22">
        <f>IF(Segments!$C$15=1,1,IF(AF$3&lt;=i_conc_end,1,0))</f>
        <v/>
      </c>
      <c r="AG21" s="22">
        <f>IF(Segments!$C$15=1,1,IF(AG$3&lt;=i_conc_end,1,0))</f>
        <v/>
      </c>
      <c r="AH21" s="22">
        <f>IF(Segments!$C$15=1,1,IF(AH$3&lt;=i_conc_end,1,0))</f>
        <v/>
      </c>
      <c r="AI21" s="22">
        <f>IF(Segments!$C$15=1,1,IF(AI$3&lt;=i_conc_end,1,0))</f>
        <v/>
      </c>
    </row>
    <row r="22">
      <c r="B22" s="2" t="inlineStr">
        <is>
          <t xml:space="preserve">  Capacity in service (million m3)</t>
        </is>
      </c>
      <c r="D22" s="24">
        <f>i_W_cap*Segments!$C$16*D21</f>
        <v/>
      </c>
      <c r="E22" s="24">
        <f>i_W_cap*Segments!$C$16*E21</f>
        <v/>
      </c>
      <c r="F22" s="24">
        <f>i_W_cap*Segments!$C$16*F21</f>
        <v/>
      </c>
      <c r="G22" s="24">
        <f>i_W_cap*Segments!$C$16*G21</f>
        <v/>
      </c>
      <c r="H22" s="24">
        <f>i_W_cap*Segments!$C$16*H21</f>
        <v/>
      </c>
      <c r="I22" s="24">
        <f>i_W_cap*Segments!$C$16*I21</f>
        <v/>
      </c>
      <c r="J22" s="24">
        <f>i_W_cap*Segments!$C$16*J21</f>
        <v/>
      </c>
      <c r="K22" s="24">
        <f>i_W_cap*Segments!$C$16*K21</f>
        <v/>
      </c>
      <c r="L22" s="24">
        <f>i_W_cap*Segments!$C$16*L21</f>
        <v/>
      </c>
      <c r="M22" s="24">
        <f>i_W_cap*Segments!$C$16*M21</f>
        <v/>
      </c>
      <c r="N22" s="24">
        <f>i_W_cap*Segments!$C$16*N21</f>
        <v/>
      </c>
      <c r="O22" s="24">
        <f>i_W_cap*Segments!$C$16*O21</f>
        <v/>
      </c>
      <c r="P22" s="24">
        <f>i_W_cap*Segments!$C$16*P21</f>
        <v/>
      </c>
      <c r="Q22" s="24">
        <f>i_W_cap*Segments!$C$16*Q21</f>
        <v/>
      </c>
      <c r="R22" s="24">
        <f>i_W_cap*Segments!$C$16*R21</f>
        <v/>
      </c>
      <c r="S22" s="24">
        <f>i_W_cap*Segments!$C$16*S21</f>
        <v/>
      </c>
      <c r="T22" s="24">
        <f>i_W_cap*Segments!$C$16*T21</f>
        <v/>
      </c>
      <c r="U22" s="24">
        <f>i_W_cap*Segments!$C$16*U21</f>
        <v/>
      </c>
      <c r="V22" s="24">
        <f>i_W_cap*Segments!$C$16*V21</f>
        <v/>
      </c>
      <c r="W22" s="24">
        <f>i_W_cap*Segments!$C$16*W21</f>
        <v/>
      </c>
      <c r="X22" s="24">
        <f>i_W_cap*Segments!$C$16*X21</f>
        <v/>
      </c>
      <c r="Y22" s="24">
        <f>i_W_cap*Segments!$C$16*Y21</f>
        <v/>
      </c>
      <c r="Z22" s="24">
        <f>i_W_cap*Segments!$C$16*Z21</f>
        <v/>
      </c>
      <c r="AA22" s="24">
        <f>i_W_cap*Segments!$C$16*AA21</f>
        <v/>
      </c>
      <c r="AB22" s="24">
        <f>i_W_cap*Segments!$C$16*AB21</f>
        <v/>
      </c>
      <c r="AC22" s="24">
        <f>i_W_cap*Segments!$C$16*AC21</f>
        <v/>
      </c>
      <c r="AD22" s="24">
        <f>i_W_cap*Segments!$C$16*AD21</f>
        <v/>
      </c>
      <c r="AE22" s="24">
        <f>i_W_cap*Segments!$C$16*AE21</f>
        <v/>
      </c>
      <c r="AF22" s="24">
        <f>i_W_cap*Segments!$C$16*AF21</f>
        <v/>
      </c>
      <c r="AG22" s="24">
        <f>i_W_cap*Segments!$C$16*AG21</f>
        <v/>
      </c>
      <c r="AH22" s="24">
        <f>i_W_cap*Segments!$C$16*AH21</f>
        <v/>
      </c>
      <c r="AI22" s="24">
        <f>i_W_cap*Segments!$C$16*AI21</f>
        <v/>
      </c>
    </row>
    <row r="23">
      <c r="B23" s="2" t="inlineStr">
        <is>
          <t xml:space="preserve">  Share on contracts signed before 2027</t>
        </is>
      </c>
      <c r="D23" s="21">
        <f>SUMIF(i_book_years,D$3,i_W_book)</f>
        <v/>
      </c>
      <c r="E23" s="21">
        <f>SUMIF(i_book_years,E$3,i_W_book)</f>
        <v/>
      </c>
      <c r="F23" s="21">
        <f>SUMIF(i_book_years,F$3,i_W_book)</f>
        <v/>
      </c>
      <c r="G23" s="21">
        <f>SUMIF(i_book_years,G$3,i_W_book)</f>
        <v/>
      </c>
      <c r="H23" s="21">
        <f>SUMIF(i_book_years,H$3,i_W_book)</f>
        <v/>
      </c>
      <c r="I23" s="21">
        <f>SUMIF(i_book_years,I$3,i_W_book)</f>
        <v/>
      </c>
      <c r="J23" s="21">
        <f>SUMIF(i_book_years,J$3,i_W_book)</f>
        <v/>
      </c>
      <c r="K23" s="21">
        <f>SUMIF(i_book_years,K$3,i_W_book)</f>
        <v/>
      </c>
      <c r="L23" s="21">
        <f>SUMIF(i_book_years,L$3,i_W_book)</f>
        <v/>
      </c>
      <c r="M23" s="21">
        <f>SUMIF(i_book_years,M$3,i_W_book)</f>
        <v/>
      </c>
      <c r="N23" s="21">
        <f>SUMIF(i_book_years,N$3,i_W_book)</f>
        <v/>
      </c>
      <c r="O23" s="21">
        <f>SUMIF(i_book_years,O$3,i_W_book)</f>
        <v/>
      </c>
      <c r="P23" s="21">
        <f>SUMIF(i_book_years,P$3,i_W_book)</f>
        <v/>
      </c>
      <c r="Q23" s="21">
        <f>SUMIF(i_book_years,Q$3,i_W_book)</f>
        <v/>
      </c>
      <c r="R23" s="21">
        <f>SUMIF(i_book_years,R$3,i_W_book)</f>
        <v/>
      </c>
      <c r="S23" s="21">
        <f>SUMIF(i_book_years,S$3,i_W_book)</f>
        <v/>
      </c>
      <c r="T23" s="21">
        <f>SUMIF(i_book_years,T$3,i_W_book)</f>
        <v/>
      </c>
      <c r="U23" s="21">
        <f>SUMIF(i_book_years,U$3,i_W_book)</f>
        <v/>
      </c>
      <c r="V23" s="21">
        <f>SUMIF(i_book_years,V$3,i_W_book)</f>
        <v/>
      </c>
      <c r="W23" s="21">
        <f>SUMIF(i_book_years,W$3,i_W_book)</f>
        <v/>
      </c>
      <c r="X23" s="21">
        <f>SUMIF(i_book_years,X$3,i_W_book)</f>
        <v/>
      </c>
      <c r="Y23" s="21">
        <f>SUMIF(i_book_years,Y$3,i_W_book)</f>
        <v/>
      </c>
      <c r="Z23" s="21">
        <f>SUMIF(i_book_years,Z$3,i_W_book)</f>
        <v/>
      </c>
      <c r="AA23" s="21">
        <f>SUMIF(i_book_years,AA$3,i_W_book)</f>
        <v/>
      </c>
      <c r="AB23" s="21">
        <f>SUMIF(i_book_years,AB$3,i_W_book)</f>
        <v/>
      </c>
      <c r="AC23" s="21">
        <f>SUMIF(i_book_years,AC$3,i_W_book)</f>
        <v/>
      </c>
      <c r="AD23" s="21">
        <f>SUMIF(i_book_years,AD$3,i_W_book)</f>
        <v/>
      </c>
      <c r="AE23" s="21">
        <f>SUMIF(i_book_years,AE$3,i_W_book)</f>
        <v/>
      </c>
      <c r="AF23" s="21">
        <f>SUMIF(i_book_years,AF$3,i_W_book)</f>
        <v/>
      </c>
      <c r="AG23" s="21">
        <f>SUMIF(i_book_years,AG$3,i_W_book)</f>
        <v/>
      </c>
      <c r="AH23" s="21">
        <f>SUMIF(i_book_years,AH$3,i_W_book)</f>
        <v/>
      </c>
      <c r="AI23" s="21">
        <f>SUMIF(i_book_years,AI$3,i_W_book)</f>
        <v/>
      </c>
    </row>
    <row r="24">
      <c r="B24" s="2" t="inlineStr">
        <is>
          <t xml:space="preserve">  Recontracting factor against current rates</t>
        </is>
      </c>
      <c r="D24" s="21">
        <f>IF(D$4=0,0,IF(Segments!$C$8=1,i_W_mtm,i_W_mtm_plan)+Segments!$C$14)</f>
        <v/>
      </c>
      <c r="E24" s="21">
        <f>IF(E$4=0,0,IF(Segments!$C$8=1,i_W_mtm,i_W_mtm_plan)+Segments!$C$14)</f>
        <v/>
      </c>
      <c r="F24" s="21">
        <f>IF(F$4=0,0,IF(Segments!$C$8=1,i_W_mtm,i_W_mtm_plan)+Segments!$C$14)</f>
        <v/>
      </c>
      <c r="G24" s="21">
        <f>IF(G$4=0,0,IF(Segments!$C$8=1,i_W_mtm,i_W_mtm_plan)+Segments!$C$14)</f>
        <v/>
      </c>
      <c r="H24" s="21">
        <f>IF(H$4=0,0,IF(Segments!$C$8=1,i_W_mtm,i_W_mtm_plan)+Segments!$C$14)</f>
        <v/>
      </c>
      <c r="I24" s="21">
        <f>IF(I$4=0,0,IF(Segments!$C$8=1,i_W_mtm,i_W_mtm_plan)+Segments!$C$14)</f>
        <v/>
      </c>
      <c r="J24" s="21">
        <f>IF(J$4=0,0,IF(Segments!$C$8=1,i_W_mtm,i_W_mtm_plan)+Segments!$C$14)</f>
        <v/>
      </c>
      <c r="K24" s="21">
        <f>IF(K$4=0,0,IF(Segments!$C$8=1,i_W_mtm,i_W_mtm_plan)+Segments!$C$14)</f>
        <v/>
      </c>
      <c r="L24" s="21">
        <f>IF(L$4=0,0,IF(Segments!$C$8=1,i_W_mtm,i_W_mtm_plan)+Segments!$C$14)</f>
        <v/>
      </c>
      <c r="M24" s="21">
        <f>IF(M$4=0,0,IF(Segments!$C$8=1,i_W_mtm,i_W_mtm_plan)+Segments!$C$14)</f>
        <v/>
      </c>
      <c r="N24" s="21">
        <f>IF(N$4=0,0,IF(Segments!$C$8=1,i_W_mtm,i_W_mtm_plan)+Segments!$C$14)</f>
        <v/>
      </c>
      <c r="O24" s="21">
        <f>IF(O$4=0,0,IF(Segments!$C$8=1,i_W_mtm,i_W_mtm_plan)+Segments!$C$14)</f>
        <v/>
      </c>
      <c r="P24" s="21">
        <f>IF(P$4=0,0,IF(Segments!$C$8=1,i_W_mtm,i_W_mtm_plan)+Segments!$C$14)</f>
        <v/>
      </c>
      <c r="Q24" s="21">
        <f>IF(Q$4=0,0,IF(Segments!$C$8=1,i_W_mtm,i_W_mtm_plan)+Segments!$C$14)</f>
        <v/>
      </c>
      <c r="R24" s="21">
        <f>IF(R$4=0,0,IF(Segments!$C$8=1,i_W_mtm,i_W_mtm_plan)+Segments!$C$14)</f>
        <v/>
      </c>
      <c r="S24" s="21">
        <f>IF(S$4=0,0,IF(Segments!$C$8=1,i_W_mtm,i_W_mtm_plan)+Segments!$C$14)</f>
        <v/>
      </c>
      <c r="T24" s="21">
        <f>IF(T$4=0,0,IF(Segments!$C$8=1,i_W_mtm,i_W_mtm_plan)+Segments!$C$14)</f>
        <v/>
      </c>
      <c r="U24" s="21">
        <f>IF(U$4=0,0,IF(Segments!$C$8=1,i_W_mtm,i_W_mtm_plan)+Segments!$C$14)</f>
        <v/>
      </c>
      <c r="V24" s="21">
        <f>IF(V$4=0,0,IF(Segments!$C$8=1,i_W_mtm,i_W_mtm_plan)+Segments!$C$14)</f>
        <v/>
      </c>
      <c r="W24" s="21">
        <f>IF(W$4=0,0,IF(Segments!$C$8=1,i_W_mtm,i_W_mtm_plan)+Segments!$C$14)</f>
        <v/>
      </c>
      <c r="X24" s="21">
        <f>IF(X$4=0,0,IF(Segments!$C$8=1,i_W_mtm,i_W_mtm_plan)+Segments!$C$14)</f>
        <v/>
      </c>
      <c r="Y24" s="21">
        <f>IF(Y$4=0,0,IF(Segments!$C$8=1,i_W_mtm,i_W_mtm_plan)+Segments!$C$14)</f>
        <v/>
      </c>
      <c r="Z24" s="21">
        <f>IF(Z$4=0,0,IF(Segments!$C$8=1,i_W_mtm,i_W_mtm_plan)+Segments!$C$14)</f>
        <v/>
      </c>
      <c r="AA24" s="21">
        <f>IF(AA$4=0,0,IF(Segments!$C$8=1,i_W_mtm,i_W_mtm_plan)+Segments!$C$14)</f>
        <v/>
      </c>
      <c r="AB24" s="21">
        <f>IF(AB$4=0,0,IF(Segments!$C$8=1,i_W_mtm,i_W_mtm_plan)+Segments!$C$14)</f>
        <v/>
      </c>
      <c r="AC24" s="21">
        <f>IF(AC$4=0,0,IF(Segments!$C$8=1,i_W_mtm,i_W_mtm_plan)+Segments!$C$14)</f>
        <v/>
      </c>
      <c r="AD24" s="21">
        <f>IF(AD$4=0,0,IF(Segments!$C$8=1,i_W_mtm,i_W_mtm_plan)+Segments!$C$14)</f>
        <v/>
      </c>
      <c r="AE24" s="21">
        <f>IF(AE$4=0,0,IF(Segments!$C$8=1,i_W_mtm,i_W_mtm_plan)+Segments!$C$14)</f>
        <v/>
      </c>
      <c r="AF24" s="21">
        <f>IF(AF$4=0,0,IF(Segments!$C$8=1,i_W_mtm,i_W_mtm_plan)+Segments!$C$14)</f>
        <v/>
      </c>
      <c r="AG24" s="21">
        <f>IF(AG$4=0,0,IF(Segments!$C$8=1,i_W_mtm,i_W_mtm_plan)+Segments!$C$14)</f>
        <v/>
      </c>
      <c r="AH24" s="21">
        <f>IF(AH$4=0,0,IF(Segments!$C$8=1,i_W_mtm,i_W_mtm_plan)+Segments!$C$14)</f>
        <v/>
      </c>
      <c r="AI24" s="21">
        <f>IF(AI$4=0,0,IF(Segments!$C$8=1,i_W_mtm,i_W_mtm_plan)+Segments!$C$14)</f>
        <v/>
      </c>
    </row>
    <row r="25">
      <c r="B25" s="2" t="inlineStr">
        <is>
          <t xml:space="preserve">  Average rate ($ per m3 per month)</t>
        </is>
      </c>
      <c r="D25" s="24">
        <f>i_W_rate*D19*(D23+(1-D23)*(1+D24))</f>
        <v/>
      </c>
      <c r="E25" s="24">
        <f>i_W_rate*E19*(E23+(1-E23)*(1+E24))</f>
        <v/>
      </c>
      <c r="F25" s="24">
        <f>i_W_rate*F19*(F23+(1-F23)*(1+F24))</f>
        <v/>
      </c>
      <c r="G25" s="24">
        <f>i_W_rate*G19*(G23+(1-G23)*(1+G24))</f>
        <v/>
      </c>
      <c r="H25" s="24">
        <f>i_W_rate*H19*(H23+(1-H23)*(1+H24))</f>
        <v/>
      </c>
      <c r="I25" s="24">
        <f>i_W_rate*I19*(I23+(1-I23)*(1+I24))</f>
        <v/>
      </c>
      <c r="J25" s="24">
        <f>i_W_rate*J19*(J23+(1-J23)*(1+J24))</f>
        <v/>
      </c>
      <c r="K25" s="24">
        <f>i_W_rate*K19*(K23+(1-K23)*(1+K24))</f>
        <v/>
      </c>
      <c r="L25" s="24">
        <f>i_W_rate*L19*(L23+(1-L23)*(1+L24))</f>
        <v/>
      </c>
      <c r="M25" s="24">
        <f>i_W_rate*M19*(M23+(1-M23)*(1+M24))</f>
        <v/>
      </c>
      <c r="N25" s="24">
        <f>i_W_rate*N19*(N23+(1-N23)*(1+N24))</f>
        <v/>
      </c>
      <c r="O25" s="24">
        <f>i_W_rate*O19*(O23+(1-O23)*(1+O24))</f>
        <v/>
      </c>
      <c r="P25" s="24">
        <f>i_W_rate*P19*(P23+(1-P23)*(1+P24))</f>
        <v/>
      </c>
      <c r="Q25" s="24">
        <f>i_W_rate*Q19*(Q23+(1-Q23)*(1+Q24))</f>
        <v/>
      </c>
      <c r="R25" s="24">
        <f>i_W_rate*R19*(R23+(1-R23)*(1+R24))</f>
        <v/>
      </c>
      <c r="S25" s="24">
        <f>i_W_rate*S19*(S23+(1-S23)*(1+S24))</f>
        <v/>
      </c>
      <c r="T25" s="24">
        <f>i_W_rate*T19*(T23+(1-T23)*(1+T24))</f>
        <v/>
      </c>
      <c r="U25" s="24">
        <f>i_W_rate*U19*(U23+(1-U23)*(1+U24))</f>
        <v/>
      </c>
      <c r="V25" s="24">
        <f>i_W_rate*V19*(V23+(1-V23)*(1+V24))</f>
        <v/>
      </c>
      <c r="W25" s="24">
        <f>i_W_rate*W19*(W23+(1-W23)*(1+W24))</f>
        <v/>
      </c>
      <c r="X25" s="24">
        <f>i_W_rate*X19*(X23+(1-X23)*(1+X24))</f>
        <v/>
      </c>
      <c r="Y25" s="24">
        <f>i_W_rate*Y19*(Y23+(1-Y23)*(1+Y24))</f>
        <v/>
      </c>
      <c r="Z25" s="24">
        <f>i_W_rate*Z19*(Z23+(1-Z23)*(1+Z24))</f>
        <v/>
      </c>
      <c r="AA25" s="24">
        <f>i_W_rate*AA19*(AA23+(1-AA23)*(1+AA24))</f>
        <v/>
      </c>
      <c r="AB25" s="24">
        <f>i_W_rate*AB19*(AB23+(1-AB23)*(1+AB24))</f>
        <v/>
      </c>
      <c r="AC25" s="24">
        <f>i_W_rate*AC19*(AC23+(1-AC23)*(1+AC24))</f>
        <v/>
      </c>
      <c r="AD25" s="24">
        <f>i_W_rate*AD19*(AD23+(1-AD23)*(1+AD24))</f>
        <v/>
      </c>
      <c r="AE25" s="24">
        <f>i_W_rate*AE19*(AE23+(1-AE23)*(1+AE24))</f>
        <v/>
      </c>
      <c r="AF25" s="24">
        <f>i_W_rate*AF19*(AF23+(1-AF23)*(1+AF24))</f>
        <v/>
      </c>
      <c r="AG25" s="24">
        <f>i_W_rate*AG19*(AG23+(1-AG23)*(1+AG24))</f>
        <v/>
      </c>
      <c r="AH25" s="24">
        <f>i_W_rate*AH19*(AH23+(1-AH23)*(1+AH24))</f>
        <v/>
      </c>
      <c r="AI25" s="24">
        <f>i_W_rate*AI19*(AI23+(1-AI23)*(1+AI24))</f>
        <v/>
      </c>
    </row>
    <row r="26">
      <c r="B26" s="2" t="inlineStr">
        <is>
          <t xml:space="preserve">  Occupancy after the transition decline and floor</t>
        </is>
      </c>
      <c r="D26" s="21">
        <f>IF(D$3&gt;i_trans_start,MAX(i_W_floor,i_W_occ-i_W_dec*(D$3-i_trans_start)),i_W_occ)</f>
        <v/>
      </c>
      <c r="E26" s="21">
        <f>IF(E$3&gt;i_trans_start,MAX(i_W_floor,i_W_occ-i_W_dec*(E$3-i_trans_start)),i_W_occ)</f>
        <v/>
      </c>
      <c r="F26" s="21">
        <f>IF(F$3&gt;i_trans_start,MAX(i_W_floor,i_W_occ-i_W_dec*(F$3-i_trans_start)),i_W_occ)</f>
        <v/>
      </c>
      <c r="G26" s="21">
        <f>IF(G$3&gt;i_trans_start,MAX(i_W_floor,i_W_occ-i_W_dec*(G$3-i_trans_start)),i_W_occ)</f>
        <v/>
      </c>
      <c r="H26" s="21">
        <f>IF(H$3&gt;i_trans_start,MAX(i_W_floor,i_W_occ-i_W_dec*(H$3-i_trans_start)),i_W_occ)</f>
        <v/>
      </c>
      <c r="I26" s="21">
        <f>IF(I$3&gt;i_trans_start,MAX(i_W_floor,i_W_occ-i_W_dec*(I$3-i_trans_start)),i_W_occ)</f>
        <v/>
      </c>
      <c r="J26" s="21">
        <f>IF(J$3&gt;i_trans_start,MAX(i_W_floor,i_W_occ-i_W_dec*(J$3-i_trans_start)),i_W_occ)</f>
        <v/>
      </c>
      <c r="K26" s="21">
        <f>IF(K$3&gt;i_trans_start,MAX(i_W_floor,i_W_occ-i_W_dec*(K$3-i_trans_start)),i_W_occ)</f>
        <v/>
      </c>
      <c r="L26" s="21">
        <f>IF(L$3&gt;i_trans_start,MAX(i_W_floor,i_W_occ-i_W_dec*(L$3-i_trans_start)),i_W_occ)</f>
        <v/>
      </c>
      <c r="M26" s="21">
        <f>IF(M$3&gt;i_trans_start,MAX(i_W_floor,i_W_occ-i_W_dec*(M$3-i_trans_start)),i_W_occ)</f>
        <v/>
      </c>
      <c r="N26" s="21">
        <f>IF(N$3&gt;i_trans_start,MAX(i_W_floor,i_W_occ-i_W_dec*(N$3-i_trans_start)),i_W_occ)</f>
        <v/>
      </c>
      <c r="O26" s="21">
        <f>IF(O$3&gt;i_trans_start,MAX(i_W_floor,i_W_occ-i_W_dec*(O$3-i_trans_start)),i_W_occ)</f>
        <v/>
      </c>
      <c r="P26" s="21">
        <f>IF(P$3&gt;i_trans_start,MAX(i_W_floor,i_W_occ-i_W_dec*(P$3-i_trans_start)),i_W_occ)</f>
        <v/>
      </c>
      <c r="Q26" s="21">
        <f>IF(Q$3&gt;i_trans_start,MAX(i_W_floor,i_W_occ-i_W_dec*(Q$3-i_trans_start)),i_W_occ)</f>
        <v/>
      </c>
      <c r="R26" s="21">
        <f>IF(R$3&gt;i_trans_start,MAX(i_W_floor,i_W_occ-i_W_dec*(R$3-i_trans_start)),i_W_occ)</f>
        <v/>
      </c>
      <c r="S26" s="21">
        <f>IF(S$3&gt;i_trans_start,MAX(i_W_floor,i_W_occ-i_W_dec*(S$3-i_trans_start)),i_W_occ)</f>
        <v/>
      </c>
      <c r="T26" s="21">
        <f>IF(T$3&gt;i_trans_start,MAX(i_W_floor,i_W_occ-i_W_dec*(T$3-i_trans_start)),i_W_occ)</f>
        <v/>
      </c>
      <c r="U26" s="21">
        <f>IF(U$3&gt;i_trans_start,MAX(i_W_floor,i_W_occ-i_W_dec*(U$3-i_trans_start)),i_W_occ)</f>
        <v/>
      </c>
      <c r="V26" s="21">
        <f>IF(V$3&gt;i_trans_start,MAX(i_W_floor,i_W_occ-i_W_dec*(V$3-i_trans_start)),i_W_occ)</f>
        <v/>
      </c>
      <c r="W26" s="21">
        <f>IF(W$3&gt;i_trans_start,MAX(i_W_floor,i_W_occ-i_W_dec*(W$3-i_trans_start)),i_W_occ)</f>
        <v/>
      </c>
      <c r="X26" s="21">
        <f>IF(X$3&gt;i_trans_start,MAX(i_W_floor,i_W_occ-i_W_dec*(X$3-i_trans_start)),i_W_occ)</f>
        <v/>
      </c>
      <c r="Y26" s="21">
        <f>IF(Y$3&gt;i_trans_start,MAX(i_W_floor,i_W_occ-i_W_dec*(Y$3-i_trans_start)),i_W_occ)</f>
        <v/>
      </c>
      <c r="Z26" s="21">
        <f>IF(Z$3&gt;i_trans_start,MAX(i_W_floor,i_W_occ-i_W_dec*(Z$3-i_trans_start)),i_W_occ)</f>
        <v/>
      </c>
      <c r="AA26" s="21">
        <f>IF(AA$3&gt;i_trans_start,MAX(i_W_floor,i_W_occ-i_W_dec*(AA$3-i_trans_start)),i_W_occ)</f>
        <v/>
      </c>
      <c r="AB26" s="21">
        <f>IF(AB$3&gt;i_trans_start,MAX(i_W_floor,i_W_occ-i_W_dec*(AB$3-i_trans_start)),i_W_occ)</f>
        <v/>
      </c>
      <c r="AC26" s="21">
        <f>IF(AC$3&gt;i_trans_start,MAX(i_W_floor,i_W_occ-i_W_dec*(AC$3-i_trans_start)),i_W_occ)</f>
        <v/>
      </c>
      <c r="AD26" s="21">
        <f>IF(AD$3&gt;i_trans_start,MAX(i_W_floor,i_W_occ-i_W_dec*(AD$3-i_trans_start)),i_W_occ)</f>
        <v/>
      </c>
      <c r="AE26" s="21">
        <f>IF(AE$3&gt;i_trans_start,MAX(i_W_floor,i_W_occ-i_W_dec*(AE$3-i_trans_start)),i_W_occ)</f>
        <v/>
      </c>
      <c r="AF26" s="21">
        <f>IF(AF$3&gt;i_trans_start,MAX(i_W_floor,i_W_occ-i_W_dec*(AF$3-i_trans_start)),i_W_occ)</f>
        <v/>
      </c>
      <c r="AG26" s="21">
        <f>IF(AG$3&gt;i_trans_start,MAX(i_W_floor,i_W_occ-i_W_dec*(AG$3-i_trans_start)),i_W_occ)</f>
        <v/>
      </c>
      <c r="AH26" s="21">
        <f>IF(AH$3&gt;i_trans_start,MAX(i_W_floor,i_W_occ-i_W_dec*(AH$3-i_trans_start)),i_W_occ)</f>
        <v/>
      </c>
      <c r="AI26" s="21">
        <f>IF(AI$3&gt;i_trans_start,MAX(i_W_floor,i_W_occ-i_W_dec*(AI$3-i_trans_start)),i_W_occ)</f>
        <v/>
      </c>
    </row>
    <row r="27">
      <c r="B27" s="2" t="inlineStr">
        <is>
          <t xml:space="preserve">  Customer loss (points)</t>
        </is>
      </c>
      <c r="D27" s="21">
        <f>Segments!$C$9*SUMIF(i_dip_years,D$3,i_dip_vals)</f>
        <v/>
      </c>
      <c r="E27" s="21">
        <f>Segments!$C$9*SUMIF(i_dip_years,E$3,i_dip_vals)</f>
        <v/>
      </c>
      <c r="F27" s="21">
        <f>Segments!$C$9*SUMIF(i_dip_years,F$3,i_dip_vals)</f>
        <v/>
      </c>
      <c r="G27" s="21">
        <f>Segments!$C$9*SUMIF(i_dip_years,G$3,i_dip_vals)</f>
        <v/>
      </c>
      <c r="H27" s="21">
        <f>Segments!$C$9*SUMIF(i_dip_years,H$3,i_dip_vals)</f>
        <v/>
      </c>
      <c r="I27" s="21">
        <f>Segments!$C$9*SUMIF(i_dip_years,I$3,i_dip_vals)</f>
        <v/>
      </c>
      <c r="J27" s="21">
        <f>Segments!$C$9*SUMIF(i_dip_years,J$3,i_dip_vals)</f>
        <v/>
      </c>
      <c r="K27" s="21">
        <f>Segments!$C$9*SUMIF(i_dip_years,K$3,i_dip_vals)</f>
        <v/>
      </c>
      <c r="L27" s="21">
        <f>Segments!$C$9*SUMIF(i_dip_years,L$3,i_dip_vals)</f>
        <v/>
      </c>
      <c r="M27" s="21">
        <f>Segments!$C$9*SUMIF(i_dip_years,M$3,i_dip_vals)</f>
        <v/>
      </c>
      <c r="N27" s="21">
        <f>Segments!$C$9*SUMIF(i_dip_years,N$3,i_dip_vals)</f>
        <v/>
      </c>
      <c r="O27" s="21">
        <f>Segments!$C$9*SUMIF(i_dip_years,O$3,i_dip_vals)</f>
        <v/>
      </c>
      <c r="P27" s="21">
        <f>Segments!$C$9*SUMIF(i_dip_years,P$3,i_dip_vals)</f>
        <v/>
      </c>
      <c r="Q27" s="21">
        <f>Segments!$C$9*SUMIF(i_dip_years,Q$3,i_dip_vals)</f>
        <v/>
      </c>
      <c r="R27" s="21">
        <f>Segments!$C$9*SUMIF(i_dip_years,R$3,i_dip_vals)</f>
        <v/>
      </c>
      <c r="S27" s="21">
        <f>Segments!$C$9*SUMIF(i_dip_years,S$3,i_dip_vals)</f>
        <v/>
      </c>
      <c r="T27" s="21">
        <f>Segments!$C$9*SUMIF(i_dip_years,T$3,i_dip_vals)</f>
        <v/>
      </c>
      <c r="U27" s="21">
        <f>Segments!$C$9*SUMIF(i_dip_years,U$3,i_dip_vals)</f>
        <v/>
      </c>
      <c r="V27" s="21">
        <f>Segments!$C$9*SUMIF(i_dip_years,V$3,i_dip_vals)</f>
        <v/>
      </c>
      <c r="W27" s="21">
        <f>Segments!$C$9*SUMIF(i_dip_years,W$3,i_dip_vals)</f>
        <v/>
      </c>
      <c r="X27" s="21">
        <f>Segments!$C$9*SUMIF(i_dip_years,X$3,i_dip_vals)</f>
        <v/>
      </c>
      <c r="Y27" s="21">
        <f>Segments!$C$9*SUMIF(i_dip_years,Y$3,i_dip_vals)</f>
        <v/>
      </c>
      <c r="Z27" s="21">
        <f>Segments!$C$9*SUMIF(i_dip_years,Z$3,i_dip_vals)</f>
        <v/>
      </c>
      <c r="AA27" s="21">
        <f>Segments!$C$9*SUMIF(i_dip_years,AA$3,i_dip_vals)</f>
        <v/>
      </c>
      <c r="AB27" s="21">
        <f>Segments!$C$9*SUMIF(i_dip_years,AB$3,i_dip_vals)</f>
        <v/>
      </c>
      <c r="AC27" s="21">
        <f>Segments!$C$9*SUMIF(i_dip_years,AC$3,i_dip_vals)</f>
        <v/>
      </c>
      <c r="AD27" s="21">
        <f>Segments!$C$9*SUMIF(i_dip_years,AD$3,i_dip_vals)</f>
        <v/>
      </c>
      <c r="AE27" s="21">
        <f>Segments!$C$9*SUMIF(i_dip_years,AE$3,i_dip_vals)</f>
        <v/>
      </c>
      <c r="AF27" s="21">
        <f>Segments!$C$9*SUMIF(i_dip_years,AF$3,i_dip_vals)</f>
        <v/>
      </c>
      <c r="AG27" s="21">
        <f>Segments!$C$9*SUMIF(i_dip_years,AG$3,i_dip_vals)</f>
        <v/>
      </c>
      <c r="AH27" s="21">
        <f>Segments!$C$9*SUMIF(i_dip_years,AH$3,i_dip_vals)</f>
        <v/>
      </c>
      <c r="AI27" s="21">
        <f>Segments!$C$9*SUMIF(i_dip_years,AI$3,i_dip_vals)</f>
        <v/>
      </c>
    </row>
    <row r="28">
      <c r="B28" s="2" t="inlineStr">
        <is>
          <t xml:space="preserve">  Occupancy (with the shift switch from 2027)</t>
        </is>
      </c>
      <c r="D28" s="21">
        <f>IF(D$4&gt;0,MIN(1,D26-D27+Segments!$C$13),D26-D27)</f>
        <v/>
      </c>
      <c r="E28" s="21">
        <f>IF(E$4&gt;0,MIN(1,E26-E27+Segments!$C$13),E26-E27)</f>
        <v/>
      </c>
      <c r="F28" s="21">
        <f>IF(F$4&gt;0,MIN(1,F26-F27+Segments!$C$13),F26-F27)</f>
        <v/>
      </c>
      <c r="G28" s="21">
        <f>IF(G$4&gt;0,MIN(1,G26-G27+Segments!$C$13),G26-G27)</f>
        <v/>
      </c>
      <c r="H28" s="21">
        <f>IF(H$4&gt;0,MIN(1,H26-H27+Segments!$C$13),H26-H27)</f>
        <v/>
      </c>
      <c r="I28" s="21">
        <f>IF(I$4&gt;0,MIN(1,I26-I27+Segments!$C$13),I26-I27)</f>
        <v/>
      </c>
      <c r="J28" s="21">
        <f>IF(J$4&gt;0,MIN(1,J26-J27+Segments!$C$13),J26-J27)</f>
        <v/>
      </c>
      <c r="K28" s="21">
        <f>IF(K$4&gt;0,MIN(1,K26-K27+Segments!$C$13),K26-K27)</f>
        <v/>
      </c>
      <c r="L28" s="21">
        <f>IF(L$4&gt;0,MIN(1,L26-L27+Segments!$C$13),L26-L27)</f>
        <v/>
      </c>
      <c r="M28" s="21">
        <f>IF(M$4&gt;0,MIN(1,M26-M27+Segments!$C$13),M26-M27)</f>
        <v/>
      </c>
      <c r="N28" s="21">
        <f>IF(N$4&gt;0,MIN(1,N26-N27+Segments!$C$13),N26-N27)</f>
        <v/>
      </c>
      <c r="O28" s="21">
        <f>IF(O$4&gt;0,MIN(1,O26-O27+Segments!$C$13),O26-O27)</f>
        <v/>
      </c>
      <c r="P28" s="21">
        <f>IF(P$4&gt;0,MIN(1,P26-P27+Segments!$C$13),P26-P27)</f>
        <v/>
      </c>
      <c r="Q28" s="21">
        <f>IF(Q$4&gt;0,MIN(1,Q26-Q27+Segments!$C$13),Q26-Q27)</f>
        <v/>
      </c>
      <c r="R28" s="21">
        <f>IF(R$4&gt;0,MIN(1,R26-R27+Segments!$C$13),R26-R27)</f>
        <v/>
      </c>
      <c r="S28" s="21">
        <f>IF(S$4&gt;0,MIN(1,S26-S27+Segments!$C$13),S26-S27)</f>
        <v/>
      </c>
      <c r="T28" s="21">
        <f>IF(T$4&gt;0,MIN(1,T26-T27+Segments!$C$13),T26-T27)</f>
        <v/>
      </c>
      <c r="U28" s="21">
        <f>IF(U$4&gt;0,MIN(1,U26-U27+Segments!$C$13),U26-U27)</f>
        <v/>
      </c>
      <c r="V28" s="21">
        <f>IF(V$4&gt;0,MIN(1,V26-V27+Segments!$C$13),V26-V27)</f>
        <v/>
      </c>
      <c r="W28" s="21">
        <f>IF(W$4&gt;0,MIN(1,W26-W27+Segments!$C$13),W26-W27)</f>
        <v/>
      </c>
      <c r="X28" s="21">
        <f>IF(X$4&gt;0,MIN(1,X26-X27+Segments!$C$13),X26-X27)</f>
        <v/>
      </c>
      <c r="Y28" s="21">
        <f>IF(Y$4&gt;0,MIN(1,Y26-Y27+Segments!$C$13),Y26-Y27)</f>
        <v/>
      </c>
      <c r="Z28" s="21">
        <f>IF(Z$4&gt;0,MIN(1,Z26-Z27+Segments!$C$13),Z26-Z27)</f>
        <v/>
      </c>
      <c r="AA28" s="21">
        <f>IF(AA$4&gt;0,MIN(1,AA26-AA27+Segments!$C$13),AA26-AA27)</f>
        <v/>
      </c>
      <c r="AB28" s="21">
        <f>IF(AB$4&gt;0,MIN(1,AB26-AB27+Segments!$C$13),AB26-AB27)</f>
        <v/>
      </c>
      <c r="AC28" s="21">
        <f>IF(AC$4&gt;0,MIN(1,AC26-AC27+Segments!$C$13),AC26-AC27)</f>
        <v/>
      </c>
      <c r="AD28" s="21">
        <f>IF(AD$4&gt;0,MIN(1,AD26-AD27+Segments!$C$13),AD26-AD27)</f>
        <v/>
      </c>
      <c r="AE28" s="21">
        <f>IF(AE$4&gt;0,MIN(1,AE26-AE27+Segments!$C$13),AE26-AE27)</f>
        <v/>
      </c>
      <c r="AF28" s="21">
        <f>IF(AF$4&gt;0,MIN(1,AF26-AF27+Segments!$C$13),AF26-AF27)</f>
        <v/>
      </c>
      <c r="AG28" s="21">
        <f>IF(AG$4&gt;0,MIN(1,AG26-AG27+Segments!$C$13),AG26-AG27)</f>
        <v/>
      </c>
      <c r="AH28" s="21">
        <f>IF(AH$4&gt;0,MIN(1,AH26-AH27+Segments!$C$13),AH26-AH27)</f>
        <v/>
      </c>
      <c r="AI28" s="21">
        <f>IF(AI$4&gt;0,MIN(1,AI26-AI27+Segments!$C$13),AI26-AI27)</f>
        <v/>
      </c>
    </row>
    <row r="29">
      <c r="B29" s="2" t="inlineStr">
        <is>
          <t xml:space="preserve">  Storage revenue</t>
        </is>
      </c>
      <c r="D29" s="19">
        <f>D22*D25*12*D28</f>
        <v/>
      </c>
      <c r="E29" s="19">
        <f>E22*E25*12*E28</f>
        <v/>
      </c>
      <c r="F29" s="19">
        <f>F22*F25*12*F28</f>
        <v/>
      </c>
      <c r="G29" s="19">
        <f>G22*G25*12*G28</f>
        <v/>
      </c>
      <c r="H29" s="19">
        <f>H22*H25*12*H28</f>
        <v/>
      </c>
      <c r="I29" s="19">
        <f>I22*I25*12*I28</f>
        <v/>
      </c>
      <c r="J29" s="19">
        <f>J22*J25*12*J28</f>
        <v/>
      </c>
      <c r="K29" s="19">
        <f>K22*K25*12*K28</f>
        <v/>
      </c>
      <c r="L29" s="19">
        <f>L22*L25*12*L28</f>
        <v/>
      </c>
      <c r="M29" s="19">
        <f>M22*M25*12*M28</f>
        <v/>
      </c>
      <c r="N29" s="19">
        <f>N22*N25*12*N28</f>
        <v/>
      </c>
      <c r="O29" s="19">
        <f>O22*O25*12*O28</f>
        <v/>
      </c>
      <c r="P29" s="19">
        <f>P22*P25*12*P28</f>
        <v/>
      </c>
      <c r="Q29" s="19">
        <f>Q22*Q25*12*Q28</f>
        <v/>
      </c>
      <c r="R29" s="19">
        <f>R22*R25*12*R28</f>
        <v/>
      </c>
      <c r="S29" s="19">
        <f>S22*S25*12*S28</f>
        <v/>
      </c>
      <c r="T29" s="19">
        <f>T22*T25*12*T28</f>
        <v/>
      </c>
      <c r="U29" s="19">
        <f>U22*U25*12*U28</f>
        <v/>
      </c>
      <c r="V29" s="19">
        <f>V22*V25*12*V28</f>
        <v/>
      </c>
      <c r="W29" s="19">
        <f>W22*W25*12*W28</f>
        <v/>
      </c>
      <c r="X29" s="19">
        <f>X22*X25*12*X28</f>
        <v/>
      </c>
      <c r="Y29" s="19">
        <f>Y22*Y25*12*Y28</f>
        <v/>
      </c>
      <c r="Z29" s="19">
        <f>Z22*Z25*12*Z28</f>
        <v/>
      </c>
      <c r="AA29" s="19">
        <f>AA22*AA25*12*AA28</f>
        <v/>
      </c>
      <c r="AB29" s="19">
        <f>AB22*AB25*12*AB28</f>
        <v/>
      </c>
      <c r="AC29" s="19">
        <f>AC22*AC25*12*AC28</f>
        <v/>
      </c>
      <c r="AD29" s="19">
        <f>AD22*AD25*12*AD28</f>
        <v/>
      </c>
      <c r="AE29" s="19">
        <f>AE22*AE25*12*AE28</f>
        <v/>
      </c>
      <c r="AF29" s="19">
        <f>AF22*AF25*12*AF28</f>
        <v/>
      </c>
      <c r="AG29" s="19">
        <f>AG22*AG25*12*AG28</f>
        <v/>
      </c>
      <c r="AH29" s="19">
        <f>AH22*AH25*12*AH28</f>
        <v/>
      </c>
      <c r="AI29" s="19">
        <f>AI22*AI25*12*AI28</f>
        <v/>
      </c>
    </row>
    <row r="30">
      <c r="B30" s="2" t="inlineStr">
        <is>
          <t xml:space="preserve">  Ancillary and throughput revenue</t>
        </is>
      </c>
      <c r="D30" s="19">
        <f>D29*i_W_anc</f>
        <v/>
      </c>
      <c r="E30" s="19">
        <f>E29*i_W_anc</f>
        <v/>
      </c>
      <c r="F30" s="19">
        <f>F29*i_W_anc</f>
        <v/>
      </c>
      <c r="G30" s="19">
        <f>G29*i_W_anc</f>
        <v/>
      </c>
      <c r="H30" s="19">
        <f>H29*i_W_anc</f>
        <v/>
      </c>
      <c r="I30" s="19">
        <f>I29*i_W_anc</f>
        <v/>
      </c>
      <c r="J30" s="19">
        <f>J29*i_W_anc</f>
        <v/>
      </c>
      <c r="K30" s="19">
        <f>K29*i_W_anc</f>
        <v/>
      </c>
      <c r="L30" s="19">
        <f>L29*i_W_anc</f>
        <v/>
      </c>
      <c r="M30" s="19">
        <f>M29*i_W_anc</f>
        <v/>
      </c>
      <c r="N30" s="19">
        <f>N29*i_W_anc</f>
        <v/>
      </c>
      <c r="O30" s="19">
        <f>O29*i_W_anc</f>
        <v/>
      </c>
      <c r="P30" s="19">
        <f>P29*i_W_anc</f>
        <v/>
      </c>
      <c r="Q30" s="19">
        <f>Q29*i_W_anc</f>
        <v/>
      </c>
      <c r="R30" s="19">
        <f>R29*i_W_anc</f>
        <v/>
      </c>
      <c r="S30" s="19">
        <f>S29*i_W_anc</f>
        <v/>
      </c>
      <c r="T30" s="19">
        <f>T29*i_W_anc</f>
        <v/>
      </c>
      <c r="U30" s="19">
        <f>U29*i_W_anc</f>
        <v/>
      </c>
      <c r="V30" s="19">
        <f>V29*i_W_anc</f>
        <v/>
      </c>
      <c r="W30" s="19">
        <f>W29*i_W_anc</f>
        <v/>
      </c>
      <c r="X30" s="19">
        <f>X29*i_W_anc</f>
        <v/>
      </c>
      <c r="Y30" s="19">
        <f>Y29*i_W_anc</f>
        <v/>
      </c>
      <c r="Z30" s="19">
        <f>Z29*i_W_anc</f>
        <v/>
      </c>
      <c r="AA30" s="19">
        <f>AA29*i_W_anc</f>
        <v/>
      </c>
      <c r="AB30" s="19">
        <f>AB29*i_W_anc</f>
        <v/>
      </c>
      <c r="AC30" s="19">
        <f>AC29*i_W_anc</f>
        <v/>
      </c>
      <c r="AD30" s="19">
        <f>AD29*i_W_anc</f>
        <v/>
      </c>
      <c r="AE30" s="19">
        <f>AE29*i_W_anc</f>
        <v/>
      </c>
      <c r="AF30" s="19">
        <f>AF29*i_W_anc</f>
        <v/>
      </c>
      <c r="AG30" s="19">
        <f>AG29*i_W_anc</f>
        <v/>
      </c>
      <c r="AH30" s="19">
        <f>AH29*i_W_anc</f>
        <v/>
      </c>
      <c r="AI30" s="19">
        <f>AI29*i_W_anc</f>
        <v/>
      </c>
    </row>
    <row r="31">
      <c r="B31" s="3" t="inlineStr">
        <is>
          <t xml:space="preserve">  Revenue</t>
        </is>
      </c>
      <c r="D31" s="31">
        <f>D29+D30</f>
        <v/>
      </c>
      <c r="E31" s="31">
        <f>E29+E30</f>
        <v/>
      </c>
      <c r="F31" s="31">
        <f>F29+F30</f>
        <v/>
      </c>
      <c r="G31" s="31">
        <f>G29+G30</f>
        <v/>
      </c>
      <c r="H31" s="31">
        <f>H29+H30</f>
        <v/>
      </c>
      <c r="I31" s="31">
        <f>I29+I30</f>
        <v/>
      </c>
      <c r="J31" s="31">
        <f>J29+J30</f>
        <v/>
      </c>
      <c r="K31" s="31">
        <f>K29+K30</f>
        <v/>
      </c>
      <c r="L31" s="31">
        <f>L29+L30</f>
        <v/>
      </c>
      <c r="M31" s="31">
        <f>M29+M30</f>
        <v/>
      </c>
      <c r="N31" s="31">
        <f>N29+N30</f>
        <v/>
      </c>
      <c r="O31" s="31">
        <f>O29+O30</f>
        <v/>
      </c>
      <c r="P31" s="31">
        <f>P29+P30</f>
        <v/>
      </c>
      <c r="Q31" s="31">
        <f>Q29+Q30</f>
        <v/>
      </c>
      <c r="R31" s="31">
        <f>R29+R30</f>
        <v/>
      </c>
      <c r="S31" s="31">
        <f>S29+S30</f>
        <v/>
      </c>
      <c r="T31" s="31">
        <f>T29+T30</f>
        <v/>
      </c>
      <c r="U31" s="31">
        <f>U29+U30</f>
        <v/>
      </c>
      <c r="V31" s="31">
        <f>V29+V30</f>
        <v/>
      </c>
      <c r="W31" s="31">
        <f>W29+W30</f>
        <v/>
      </c>
      <c r="X31" s="31">
        <f>X29+X30</f>
        <v/>
      </c>
      <c r="Y31" s="31">
        <f>Y29+Y30</f>
        <v/>
      </c>
      <c r="Z31" s="31">
        <f>Z29+Z30</f>
        <v/>
      </c>
      <c r="AA31" s="31">
        <f>AA29+AA30</f>
        <v/>
      </c>
      <c r="AB31" s="31">
        <f>AB29+AB30</f>
        <v/>
      </c>
      <c r="AC31" s="31">
        <f>AC29+AC30</f>
        <v/>
      </c>
      <c r="AD31" s="31">
        <f>AD29+AD30</f>
        <v/>
      </c>
      <c r="AE31" s="31">
        <f>AE29+AE30</f>
        <v/>
      </c>
      <c r="AF31" s="31">
        <f>AF29+AF30</f>
        <v/>
      </c>
      <c r="AG31" s="31">
        <f>AG29+AG30</f>
        <v/>
      </c>
      <c r="AH31" s="31">
        <f>AH29+AH30</f>
        <v/>
      </c>
      <c r="AI31" s="31">
        <f>AI29+AI30</f>
        <v/>
      </c>
    </row>
    <row r="32">
      <c r="B32" s="2" t="inlineStr">
        <is>
          <t xml:space="preserve">  Fixed cost</t>
        </is>
      </c>
      <c r="D32" s="19">
        <f>D22*i_W_fix*D18</f>
        <v/>
      </c>
      <c r="E32" s="19">
        <f>E22*i_W_fix*E18</f>
        <v/>
      </c>
      <c r="F32" s="19">
        <f>F22*i_W_fix*F18</f>
        <v/>
      </c>
      <c r="G32" s="19">
        <f>G22*i_W_fix*G18</f>
        <v/>
      </c>
      <c r="H32" s="19">
        <f>H22*i_W_fix*H18</f>
        <v/>
      </c>
      <c r="I32" s="19">
        <f>I22*i_W_fix*I18</f>
        <v/>
      </c>
      <c r="J32" s="19">
        <f>J22*i_W_fix*J18</f>
        <v/>
      </c>
      <c r="K32" s="19">
        <f>K22*i_W_fix*K18</f>
        <v/>
      </c>
      <c r="L32" s="19">
        <f>L22*i_W_fix*L18</f>
        <v/>
      </c>
      <c r="M32" s="19">
        <f>M22*i_W_fix*M18</f>
        <v/>
      </c>
      <c r="N32" s="19">
        <f>N22*i_W_fix*N18</f>
        <v/>
      </c>
      <c r="O32" s="19">
        <f>O22*i_W_fix*O18</f>
        <v/>
      </c>
      <c r="P32" s="19">
        <f>P22*i_W_fix*P18</f>
        <v/>
      </c>
      <c r="Q32" s="19">
        <f>Q22*i_W_fix*Q18</f>
        <v/>
      </c>
      <c r="R32" s="19">
        <f>R22*i_W_fix*R18</f>
        <v/>
      </c>
      <c r="S32" s="19">
        <f>S22*i_W_fix*S18</f>
        <v/>
      </c>
      <c r="T32" s="19">
        <f>T22*i_W_fix*T18</f>
        <v/>
      </c>
      <c r="U32" s="19">
        <f>U22*i_W_fix*U18</f>
        <v/>
      </c>
      <c r="V32" s="19">
        <f>V22*i_W_fix*V18</f>
        <v/>
      </c>
      <c r="W32" s="19">
        <f>W22*i_W_fix*W18</f>
        <v/>
      </c>
      <c r="X32" s="19">
        <f>X22*i_W_fix*X18</f>
        <v/>
      </c>
      <c r="Y32" s="19">
        <f>Y22*i_W_fix*Y18</f>
        <v/>
      </c>
      <c r="Z32" s="19">
        <f>Z22*i_W_fix*Z18</f>
        <v/>
      </c>
      <c r="AA32" s="19">
        <f>AA22*i_W_fix*AA18</f>
        <v/>
      </c>
      <c r="AB32" s="19">
        <f>AB22*i_W_fix*AB18</f>
        <v/>
      </c>
      <c r="AC32" s="19">
        <f>AC22*i_W_fix*AC18</f>
        <v/>
      </c>
      <c r="AD32" s="19">
        <f>AD22*i_W_fix*AD18</f>
        <v/>
      </c>
      <c r="AE32" s="19">
        <f>AE22*i_W_fix*AE18</f>
        <v/>
      </c>
      <c r="AF32" s="19">
        <f>AF22*i_W_fix*AF18</f>
        <v/>
      </c>
      <c r="AG32" s="19">
        <f>AG22*i_W_fix*AG18</f>
        <v/>
      </c>
      <c r="AH32" s="19">
        <f>AH22*i_W_fix*AH18</f>
        <v/>
      </c>
      <c r="AI32" s="19">
        <f>AI22*i_W_fix*AI18</f>
        <v/>
      </c>
    </row>
    <row r="33">
      <c r="B33" s="2" t="inlineStr">
        <is>
          <t xml:space="preserve">  Variable cost</t>
        </is>
      </c>
      <c r="D33" s="19">
        <f>i_W_var*D31</f>
        <v/>
      </c>
      <c r="E33" s="19">
        <f>i_W_var*E31</f>
        <v/>
      </c>
      <c r="F33" s="19">
        <f>i_W_var*F31</f>
        <v/>
      </c>
      <c r="G33" s="19">
        <f>i_W_var*G31</f>
        <v/>
      </c>
      <c r="H33" s="19">
        <f>i_W_var*H31</f>
        <v/>
      </c>
      <c r="I33" s="19">
        <f>i_W_var*I31</f>
        <v/>
      </c>
      <c r="J33" s="19">
        <f>i_W_var*J31</f>
        <v/>
      </c>
      <c r="K33" s="19">
        <f>i_W_var*K31</f>
        <v/>
      </c>
      <c r="L33" s="19">
        <f>i_W_var*L31</f>
        <v/>
      </c>
      <c r="M33" s="19">
        <f>i_W_var*M31</f>
        <v/>
      </c>
      <c r="N33" s="19">
        <f>i_W_var*N31</f>
        <v/>
      </c>
      <c r="O33" s="19">
        <f>i_W_var*O31</f>
        <v/>
      </c>
      <c r="P33" s="19">
        <f>i_W_var*P31</f>
        <v/>
      </c>
      <c r="Q33" s="19">
        <f>i_W_var*Q31</f>
        <v/>
      </c>
      <c r="R33" s="19">
        <f>i_W_var*R31</f>
        <v/>
      </c>
      <c r="S33" s="19">
        <f>i_W_var*S31</f>
        <v/>
      </c>
      <c r="T33" s="19">
        <f>i_W_var*T31</f>
        <v/>
      </c>
      <c r="U33" s="19">
        <f>i_W_var*U31</f>
        <v/>
      </c>
      <c r="V33" s="19">
        <f>i_W_var*V31</f>
        <v/>
      </c>
      <c r="W33" s="19">
        <f>i_W_var*W31</f>
        <v/>
      </c>
      <c r="X33" s="19">
        <f>i_W_var*X31</f>
        <v/>
      </c>
      <c r="Y33" s="19">
        <f>i_W_var*Y31</f>
        <v/>
      </c>
      <c r="Z33" s="19">
        <f>i_W_var*Z31</f>
        <v/>
      </c>
      <c r="AA33" s="19">
        <f>i_W_var*AA31</f>
        <v/>
      </c>
      <c r="AB33" s="19">
        <f>i_W_var*AB31</f>
        <v/>
      </c>
      <c r="AC33" s="19">
        <f>i_W_var*AC31</f>
        <v/>
      </c>
      <c r="AD33" s="19">
        <f>i_W_var*AD31</f>
        <v/>
      </c>
      <c r="AE33" s="19">
        <f>i_W_var*AE31</f>
        <v/>
      </c>
      <c r="AF33" s="19">
        <f>i_W_var*AF31</f>
        <v/>
      </c>
      <c r="AG33" s="19">
        <f>i_W_var*AG31</f>
        <v/>
      </c>
      <c r="AH33" s="19">
        <f>i_W_var*AH31</f>
        <v/>
      </c>
      <c r="AI33" s="19">
        <f>i_W_var*AI31</f>
        <v/>
      </c>
    </row>
    <row r="34">
      <c r="B34" s="2" t="inlineStr">
        <is>
          <t xml:space="preserve">  Concession fee</t>
        </is>
      </c>
      <c r="D34" s="19">
        <f>IF(AND(Segments!$C$15=1,D$3&gt;i_conc_end),i_renew_fee,i_W_fee)*D31</f>
        <v/>
      </c>
      <c r="E34" s="19">
        <f>IF(AND(Segments!$C$15=1,E$3&gt;i_conc_end),i_renew_fee,i_W_fee)*E31</f>
        <v/>
      </c>
      <c r="F34" s="19">
        <f>IF(AND(Segments!$C$15=1,F$3&gt;i_conc_end),i_renew_fee,i_W_fee)*F31</f>
        <v/>
      </c>
      <c r="G34" s="19">
        <f>IF(AND(Segments!$C$15=1,G$3&gt;i_conc_end),i_renew_fee,i_W_fee)*G31</f>
        <v/>
      </c>
      <c r="H34" s="19">
        <f>IF(AND(Segments!$C$15=1,H$3&gt;i_conc_end),i_renew_fee,i_W_fee)*H31</f>
        <v/>
      </c>
      <c r="I34" s="19">
        <f>IF(AND(Segments!$C$15=1,I$3&gt;i_conc_end),i_renew_fee,i_W_fee)*I31</f>
        <v/>
      </c>
      <c r="J34" s="19">
        <f>IF(AND(Segments!$C$15=1,J$3&gt;i_conc_end),i_renew_fee,i_W_fee)*J31</f>
        <v/>
      </c>
      <c r="K34" s="19">
        <f>IF(AND(Segments!$C$15=1,K$3&gt;i_conc_end),i_renew_fee,i_W_fee)*K31</f>
        <v/>
      </c>
      <c r="L34" s="19">
        <f>IF(AND(Segments!$C$15=1,L$3&gt;i_conc_end),i_renew_fee,i_W_fee)*L31</f>
        <v/>
      </c>
      <c r="M34" s="19">
        <f>IF(AND(Segments!$C$15=1,M$3&gt;i_conc_end),i_renew_fee,i_W_fee)*M31</f>
        <v/>
      </c>
      <c r="N34" s="19">
        <f>IF(AND(Segments!$C$15=1,N$3&gt;i_conc_end),i_renew_fee,i_W_fee)*N31</f>
        <v/>
      </c>
      <c r="O34" s="19">
        <f>IF(AND(Segments!$C$15=1,O$3&gt;i_conc_end),i_renew_fee,i_W_fee)*O31</f>
        <v/>
      </c>
      <c r="P34" s="19">
        <f>IF(AND(Segments!$C$15=1,P$3&gt;i_conc_end),i_renew_fee,i_W_fee)*P31</f>
        <v/>
      </c>
      <c r="Q34" s="19">
        <f>IF(AND(Segments!$C$15=1,Q$3&gt;i_conc_end),i_renew_fee,i_W_fee)*Q31</f>
        <v/>
      </c>
      <c r="R34" s="19">
        <f>IF(AND(Segments!$C$15=1,R$3&gt;i_conc_end),i_renew_fee,i_W_fee)*R31</f>
        <v/>
      </c>
      <c r="S34" s="19">
        <f>IF(AND(Segments!$C$15=1,S$3&gt;i_conc_end),i_renew_fee,i_W_fee)*S31</f>
        <v/>
      </c>
      <c r="T34" s="19">
        <f>IF(AND(Segments!$C$15=1,T$3&gt;i_conc_end),i_renew_fee,i_W_fee)*T31</f>
        <v/>
      </c>
      <c r="U34" s="19">
        <f>IF(AND(Segments!$C$15=1,U$3&gt;i_conc_end),i_renew_fee,i_W_fee)*U31</f>
        <v/>
      </c>
      <c r="V34" s="19">
        <f>IF(AND(Segments!$C$15=1,V$3&gt;i_conc_end),i_renew_fee,i_W_fee)*V31</f>
        <v/>
      </c>
      <c r="W34" s="19">
        <f>IF(AND(Segments!$C$15=1,W$3&gt;i_conc_end),i_renew_fee,i_W_fee)*W31</f>
        <v/>
      </c>
      <c r="X34" s="19">
        <f>IF(AND(Segments!$C$15=1,X$3&gt;i_conc_end),i_renew_fee,i_W_fee)*X31</f>
        <v/>
      </c>
      <c r="Y34" s="19">
        <f>IF(AND(Segments!$C$15=1,Y$3&gt;i_conc_end),i_renew_fee,i_W_fee)*Y31</f>
        <v/>
      </c>
      <c r="Z34" s="19">
        <f>IF(AND(Segments!$C$15=1,Z$3&gt;i_conc_end),i_renew_fee,i_W_fee)*Z31</f>
        <v/>
      </c>
      <c r="AA34" s="19">
        <f>IF(AND(Segments!$C$15=1,AA$3&gt;i_conc_end),i_renew_fee,i_W_fee)*AA31</f>
        <v/>
      </c>
      <c r="AB34" s="19">
        <f>IF(AND(Segments!$C$15=1,AB$3&gt;i_conc_end),i_renew_fee,i_W_fee)*AB31</f>
        <v/>
      </c>
      <c r="AC34" s="19">
        <f>IF(AND(Segments!$C$15=1,AC$3&gt;i_conc_end),i_renew_fee,i_W_fee)*AC31</f>
        <v/>
      </c>
      <c r="AD34" s="19">
        <f>IF(AND(Segments!$C$15=1,AD$3&gt;i_conc_end),i_renew_fee,i_W_fee)*AD31</f>
        <v/>
      </c>
      <c r="AE34" s="19">
        <f>IF(AND(Segments!$C$15=1,AE$3&gt;i_conc_end),i_renew_fee,i_W_fee)*AE31</f>
        <v/>
      </c>
      <c r="AF34" s="19">
        <f>IF(AND(Segments!$C$15=1,AF$3&gt;i_conc_end),i_renew_fee,i_W_fee)*AF31</f>
        <v/>
      </c>
      <c r="AG34" s="19">
        <f>IF(AND(Segments!$C$15=1,AG$3&gt;i_conc_end),i_renew_fee,i_W_fee)*AG31</f>
        <v/>
      </c>
      <c r="AH34" s="19">
        <f>IF(AND(Segments!$C$15=1,AH$3&gt;i_conc_end),i_renew_fee,i_W_fee)*AH31</f>
        <v/>
      </c>
      <c r="AI34" s="19">
        <f>IF(AND(Segments!$C$15=1,AI$3&gt;i_conc_end),i_renew_fee,i_W_fee)*AI31</f>
        <v/>
      </c>
    </row>
    <row r="35">
      <c r="B35" s="2" t="inlineStr">
        <is>
          <t xml:space="preserve">  Operating cost</t>
        </is>
      </c>
      <c r="D35" s="19">
        <f>D32+D33+D34</f>
        <v/>
      </c>
      <c r="E35" s="19">
        <f>E32+E33+E34</f>
        <v/>
      </c>
      <c r="F35" s="19">
        <f>F32+F33+F34</f>
        <v/>
      </c>
      <c r="G35" s="19">
        <f>G32+G33+G34</f>
        <v/>
      </c>
      <c r="H35" s="19">
        <f>H32+H33+H34</f>
        <v/>
      </c>
      <c r="I35" s="19">
        <f>I32+I33+I34</f>
        <v/>
      </c>
      <c r="J35" s="19">
        <f>J32+J33+J34</f>
        <v/>
      </c>
      <c r="K35" s="19">
        <f>K32+K33+K34</f>
        <v/>
      </c>
      <c r="L35" s="19">
        <f>L32+L33+L34</f>
        <v/>
      </c>
      <c r="M35" s="19">
        <f>M32+M33+M34</f>
        <v/>
      </c>
      <c r="N35" s="19">
        <f>N32+N33+N34</f>
        <v/>
      </c>
      <c r="O35" s="19">
        <f>O32+O33+O34</f>
        <v/>
      </c>
      <c r="P35" s="19">
        <f>P32+P33+P34</f>
        <v/>
      </c>
      <c r="Q35" s="19">
        <f>Q32+Q33+Q34</f>
        <v/>
      </c>
      <c r="R35" s="19">
        <f>R32+R33+R34</f>
        <v/>
      </c>
      <c r="S35" s="19">
        <f>S32+S33+S34</f>
        <v/>
      </c>
      <c r="T35" s="19">
        <f>T32+T33+T34</f>
        <v/>
      </c>
      <c r="U35" s="19">
        <f>U32+U33+U34</f>
        <v/>
      </c>
      <c r="V35" s="19">
        <f>V32+V33+V34</f>
        <v/>
      </c>
      <c r="W35" s="19">
        <f>W32+W33+W34</f>
        <v/>
      </c>
      <c r="X35" s="19">
        <f>X32+X33+X34</f>
        <v/>
      </c>
      <c r="Y35" s="19">
        <f>Y32+Y33+Y34</f>
        <v/>
      </c>
      <c r="Z35" s="19">
        <f>Z32+Z33+Z34</f>
        <v/>
      </c>
      <c r="AA35" s="19">
        <f>AA32+AA33+AA34</f>
        <v/>
      </c>
      <c r="AB35" s="19">
        <f>AB32+AB33+AB34</f>
        <v/>
      </c>
      <c r="AC35" s="19">
        <f>AC32+AC33+AC34</f>
        <v/>
      </c>
      <c r="AD35" s="19">
        <f>AD32+AD33+AD34</f>
        <v/>
      </c>
      <c r="AE35" s="19">
        <f>AE32+AE33+AE34</f>
        <v/>
      </c>
      <c r="AF35" s="19">
        <f>AF32+AF33+AF34</f>
        <v/>
      </c>
      <c r="AG35" s="19">
        <f>AG32+AG33+AG34</f>
        <v/>
      </c>
      <c r="AH35" s="19">
        <f>AH32+AH33+AH34</f>
        <v/>
      </c>
      <c r="AI35" s="19">
        <f>AI32+AI33+AI34</f>
        <v/>
      </c>
    </row>
    <row r="36">
      <c r="B36" s="3" t="inlineStr">
        <is>
          <t xml:space="preserve">  EBITDA</t>
        </is>
      </c>
      <c r="D36" s="31">
        <f>D31-D35</f>
        <v/>
      </c>
      <c r="E36" s="31">
        <f>E31-E35</f>
        <v/>
      </c>
      <c r="F36" s="31">
        <f>F31-F35</f>
        <v/>
      </c>
      <c r="G36" s="31">
        <f>G31-G35</f>
        <v/>
      </c>
      <c r="H36" s="31">
        <f>H31-H35</f>
        <v/>
      </c>
      <c r="I36" s="31">
        <f>I31-I35</f>
        <v/>
      </c>
      <c r="J36" s="31">
        <f>J31-J35</f>
        <v/>
      </c>
      <c r="K36" s="31">
        <f>K31-K35</f>
        <v/>
      </c>
      <c r="L36" s="31">
        <f>L31-L35</f>
        <v/>
      </c>
      <c r="M36" s="31">
        <f>M31-M35</f>
        <v/>
      </c>
      <c r="N36" s="31">
        <f>N31-N35</f>
        <v/>
      </c>
      <c r="O36" s="31">
        <f>O31-O35</f>
        <v/>
      </c>
      <c r="P36" s="31">
        <f>P31-P35</f>
        <v/>
      </c>
      <c r="Q36" s="31">
        <f>Q31-Q35</f>
        <v/>
      </c>
      <c r="R36" s="31">
        <f>R31-R35</f>
        <v/>
      </c>
      <c r="S36" s="31">
        <f>S31-S35</f>
        <v/>
      </c>
      <c r="T36" s="31">
        <f>T31-T35</f>
        <v/>
      </c>
      <c r="U36" s="31">
        <f>U31-U35</f>
        <v/>
      </c>
      <c r="V36" s="31">
        <f>V31-V35</f>
        <v/>
      </c>
      <c r="W36" s="31">
        <f>W31-W35</f>
        <v/>
      </c>
      <c r="X36" s="31">
        <f>X31-X35</f>
        <v/>
      </c>
      <c r="Y36" s="31">
        <f>Y31-Y35</f>
        <v/>
      </c>
      <c r="Z36" s="31">
        <f>Z31-Z35</f>
        <v/>
      </c>
      <c r="AA36" s="31">
        <f>AA31-AA35</f>
        <v/>
      </c>
      <c r="AB36" s="31">
        <f>AB31-AB35</f>
        <v/>
      </c>
      <c r="AC36" s="31">
        <f>AC31-AC35</f>
        <v/>
      </c>
      <c r="AD36" s="31">
        <f>AD31-AD35</f>
        <v/>
      </c>
      <c r="AE36" s="31">
        <f>AE31-AE35</f>
        <v/>
      </c>
      <c r="AF36" s="31">
        <f>AF31-AF35</f>
        <v/>
      </c>
      <c r="AG36" s="31">
        <f>AG31-AG35</f>
        <v/>
      </c>
      <c r="AH36" s="31">
        <f>AH31-AH35</f>
        <v/>
      </c>
      <c r="AI36" s="31">
        <f>AI31-AI35</f>
        <v/>
      </c>
    </row>
    <row r="37">
      <c r="B37" s="2" t="inlineStr">
        <is>
          <t xml:space="preserve">  Maintenance capex (with jetty 3)</t>
        </is>
      </c>
      <c r="D37" s="19">
        <f>D22*i_W_mc*D18+D21*Segments!$C$10*SUMIF(i_jetty_years,D$3,i_jetty_vals)*D18</f>
        <v/>
      </c>
      <c r="E37" s="19">
        <f>E22*i_W_mc*E18+E21*Segments!$C$10*SUMIF(i_jetty_years,E$3,i_jetty_vals)*E18</f>
        <v/>
      </c>
      <c r="F37" s="19">
        <f>F22*i_W_mc*F18+F21*Segments!$C$10*SUMIF(i_jetty_years,F$3,i_jetty_vals)*F18</f>
        <v/>
      </c>
      <c r="G37" s="19">
        <f>G22*i_W_mc*G18+G21*Segments!$C$10*SUMIF(i_jetty_years,G$3,i_jetty_vals)*G18</f>
        <v/>
      </c>
      <c r="H37" s="19">
        <f>H22*i_W_mc*H18+H21*Segments!$C$10*SUMIF(i_jetty_years,H$3,i_jetty_vals)*H18</f>
        <v/>
      </c>
      <c r="I37" s="19">
        <f>I22*i_W_mc*I18+I21*Segments!$C$10*SUMIF(i_jetty_years,I$3,i_jetty_vals)*I18</f>
        <v/>
      </c>
      <c r="J37" s="19">
        <f>J22*i_W_mc*J18+J21*Segments!$C$10*SUMIF(i_jetty_years,J$3,i_jetty_vals)*J18</f>
        <v/>
      </c>
      <c r="K37" s="19">
        <f>K22*i_W_mc*K18+K21*Segments!$C$10*SUMIF(i_jetty_years,K$3,i_jetty_vals)*K18</f>
        <v/>
      </c>
      <c r="L37" s="19">
        <f>L22*i_W_mc*L18+L21*Segments!$C$10*SUMIF(i_jetty_years,L$3,i_jetty_vals)*L18</f>
        <v/>
      </c>
      <c r="M37" s="19">
        <f>M22*i_W_mc*M18+M21*Segments!$C$10*SUMIF(i_jetty_years,M$3,i_jetty_vals)*M18</f>
        <v/>
      </c>
      <c r="N37" s="19">
        <f>N22*i_W_mc*N18+N21*Segments!$C$10*SUMIF(i_jetty_years,N$3,i_jetty_vals)*N18</f>
        <v/>
      </c>
      <c r="O37" s="19">
        <f>O22*i_W_mc*O18+O21*Segments!$C$10*SUMIF(i_jetty_years,O$3,i_jetty_vals)*O18</f>
        <v/>
      </c>
      <c r="P37" s="19">
        <f>P22*i_W_mc*P18+P21*Segments!$C$10*SUMIF(i_jetty_years,P$3,i_jetty_vals)*P18</f>
        <v/>
      </c>
      <c r="Q37" s="19">
        <f>Q22*i_W_mc*Q18+Q21*Segments!$C$10*SUMIF(i_jetty_years,Q$3,i_jetty_vals)*Q18</f>
        <v/>
      </c>
      <c r="R37" s="19">
        <f>R22*i_W_mc*R18+R21*Segments!$C$10*SUMIF(i_jetty_years,R$3,i_jetty_vals)*R18</f>
        <v/>
      </c>
      <c r="S37" s="19">
        <f>S22*i_W_mc*S18+S21*Segments!$C$10*SUMIF(i_jetty_years,S$3,i_jetty_vals)*S18</f>
        <v/>
      </c>
      <c r="T37" s="19">
        <f>T22*i_W_mc*T18+T21*Segments!$C$10*SUMIF(i_jetty_years,T$3,i_jetty_vals)*T18</f>
        <v/>
      </c>
      <c r="U37" s="19">
        <f>U22*i_W_mc*U18+U21*Segments!$C$10*SUMIF(i_jetty_years,U$3,i_jetty_vals)*U18</f>
        <v/>
      </c>
      <c r="V37" s="19">
        <f>V22*i_W_mc*V18+V21*Segments!$C$10*SUMIF(i_jetty_years,V$3,i_jetty_vals)*V18</f>
        <v/>
      </c>
      <c r="W37" s="19">
        <f>W22*i_W_mc*W18+W21*Segments!$C$10*SUMIF(i_jetty_years,W$3,i_jetty_vals)*W18</f>
        <v/>
      </c>
      <c r="X37" s="19">
        <f>X22*i_W_mc*X18+X21*Segments!$C$10*SUMIF(i_jetty_years,X$3,i_jetty_vals)*X18</f>
        <v/>
      </c>
      <c r="Y37" s="19">
        <f>Y22*i_W_mc*Y18+Y21*Segments!$C$10*SUMIF(i_jetty_years,Y$3,i_jetty_vals)*Y18</f>
        <v/>
      </c>
      <c r="Z37" s="19">
        <f>Z22*i_W_mc*Z18+Z21*Segments!$C$10*SUMIF(i_jetty_years,Z$3,i_jetty_vals)*Z18</f>
        <v/>
      </c>
      <c r="AA37" s="19">
        <f>AA22*i_W_mc*AA18+AA21*Segments!$C$10*SUMIF(i_jetty_years,AA$3,i_jetty_vals)*AA18</f>
        <v/>
      </c>
      <c r="AB37" s="19">
        <f>AB22*i_W_mc*AB18+AB21*Segments!$C$10*SUMIF(i_jetty_years,AB$3,i_jetty_vals)*AB18</f>
        <v/>
      </c>
      <c r="AC37" s="19">
        <f>AC22*i_W_mc*AC18+AC21*Segments!$C$10*SUMIF(i_jetty_years,AC$3,i_jetty_vals)*AC18</f>
        <v/>
      </c>
      <c r="AD37" s="19">
        <f>AD22*i_W_mc*AD18+AD21*Segments!$C$10*SUMIF(i_jetty_years,AD$3,i_jetty_vals)*AD18</f>
        <v/>
      </c>
      <c r="AE37" s="19">
        <f>AE22*i_W_mc*AE18+AE21*Segments!$C$10*SUMIF(i_jetty_years,AE$3,i_jetty_vals)*AE18</f>
        <v/>
      </c>
      <c r="AF37" s="19">
        <f>AF22*i_W_mc*AF18+AF21*Segments!$C$10*SUMIF(i_jetty_years,AF$3,i_jetty_vals)*AF18</f>
        <v/>
      </c>
      <c r="AG37" s="19">
        <f>AG22*i_W_mc*AG18+AG21*Segments!$C$10*SUMIF(i_jetty_years,AG$3,i_jetty_vals)*AG18</f>
        <v/>
      </c>
      <c r="AH37" s="19">
        <f>AH22*i_W_mc*AH18+AH21*Segments!$C$10*SUMIF(i_jetty_years,AH$3,i_jetty_vals)*AH18</f>
        <v/>
      </c>
      <c r="AI37" s="19">
        <f>AI22*i_W_mc*AI18+AI21*Segments!$C$10*SUMIF(i_jetty_years,AI$3,i_jetty_vals)*AI18</f>
        <v/>
      </c>
    </row>
    <row r="38">
      <c r="B38" s="3" t="inlineStr">
        <is>
          <t>Rhine Inland</t>
        </is>
      </c>
    </row>
    <row r="39">
      <c r="B39" s="2" t="inlineStr">
        <is>
          <t xml:space="preserve">  Capacity in service (million m3)</t>
        </is>
      </c>
      <c r="D39" s="24">
        <f>i_R_cap</f>
        <v/>
      </c>
      <c r="E39" s="24">
        <f>i_R_cap</f>
        <v/>
      </c>
      <c r="F39" s="24">
        <f>i_R_cap</f>
        <v/>
      </c>
      <c r="G39" s="24">
        <f>i_R_cap</f>
        <v/>
      </c>
      <c r="H39" s="24">
        <f>i_R_cap</f>
        <v/>
      </c>
      <c r="I39" s="24">
        <f>i_R_cap</f>
        <v/>
      </c>
      <c r="J39" s="24">
        <f>i_R_cap</f>
        <v/>
      </c>
      <c r="K39" s="24">
        <f>i_R_cap</f>
        <v/>
      </c>
      <c r="L39" s="24">
        <f>i_R_cap</f>
        <v/>
      </c>
      <c r="M39" s="24">
        <f>i_R_cap</f>
        <v/>
      </c>
      <c r="N39" s="24">
        <f>i_R_cap</f>
        <v/>
      </c>
      <c r="O39" s="24">
        <f>i_R_cap</f>
        <v/>
      </c>
      <c r="P39" s="24">
        <f>i_R_cap</f>
        <v/>
      </c>
      <c r="Q39" s="24">
        <f>i_R_cap</f>
        <v/>
      </c>
      <c r="R39" s="24">
        <f>i_R_cap</f>
        <v/>
      </c>
      <c r="S39" s="24">
        <f>i_R_cap</f>
        <v/>
      </c>
      <c r="T39" s="24">
        <f>i_R_cap</f>
        <v/>
      </c>
      <c r="U39" s="24">
        <f>i_R_cap</f>
        <v/>
      </c>
      <c r="V39" s="24">
        <f>i_R_cap</f>
        <v/>
      </c>
      <c r="W39" s="24">
        <f>i_R_cap</f>
        <v/>
      </c>
      <c r="X39" s="24">
        <f>i_R_cap</f>
        <v/>
      </c>
      <c r="Y39" s="24">
        <f>i_R_cap</f>
        <v/>
      </c>
      <c r="Z39" s="24">
        <f>i_R_cap</f>
        <v/>
      </c>
      <c r="AA39" s="24">
        <f>i_R_cap</f>
        <v/>
      </c>
      <c r="AB39" s="24">
        <f>i_R_cap</f>
        <v/>
      </c>
      <c r="AC39" s="24">
        <f>i_R_cap</f>
        <v/>
      </c>
      <c r="AD39" s="24">
        <f>i_R_cap</f>
        <v/>
      </c>
      <c r="AE39" s="24">
        <f>i_R_cap</f>
        <v/>
      </c>
      <c r="AF39" s="24">
        <f>i_R_cap</f>
        <v/>
      </c>
      <c r="AG39" s="24">
        <f>i_R_cap</f>
        <v/>
      </c>
      <c r="AH39" s="24">
        <f>i_R_cap</f>
        <v/>
      </c>
      <c r="AI39" s="24">
        <f>i_R_cap</f>
        <v/>
      </c>
    </row>
    <row r="40">
      <c r="B40" s="2" t="inlineStr">
        <is>
          <t xml:space="preserve">  Share on contracts signed before 2027</t>
        </is>
      </c>
      <c r="D40" s="21">
        <f>SUMIF(i_book_years,D$3,i_R_book)</f>
        <v/>
      </c>
      <c r="E40" s="21">
        <f>SUMIF(i_book_years,E$3,i_R_book)</f>
        <v/>
      </c>
      <c r="F40" s="21">
        <f>SUMIF(i_book_years,F$3,i_R_book)</f>
        <v/>
      </c>
      <c r="G40" s="21">
        <f>SUMIF(i_book_years,G$3,i_R_book)</f>
        <v/>
      </c>
      <c r="H40" s="21">
        <f>SUMIF(i_book_years,H$3,i_R_book)</f>
        <v/>
      </c>
      <c r="I40" s="21">
        <f>SUMIF(i_book_years,I$3,i_R_book)</f>
        <v/>
      </c>
      <c r="J40" s="21">
        <f>SUMIF(i_book_years,J$3,i_R_book)</f>
        <v/>
      </c>
      <c r="K40" s="21">
        <f>SUMIF(i_book_years,K$3,i_R_book)</f>
        <v/>
      </c>
      <c r="L40" s="21">
        <f>SUMIF(i_book_years,L$3,i_R_book)</f>
        <v/>
      </c>
      <c r="M40" s="21">
        <f>SUMIF(i_book_years,M$3,i_R_book)</f>
        <v/>
      </c>
      <c r="N40" s="21">
        <f>SUMIF(i_book_years,N$3,i_R_book)</f>
        <v/>
      </c>
      <c r="O40" s="21">
        <f>SUMIF(i_book_years,O$3,i_R_book)</f>
        <v/>
      </c>
      <c r="P40" s="21">
        <f>SUMIF(i_book_years,P$3,i_R_book)</f>
        <v/>
      </c>
      <c r="Q40" s="21">
        <f>SUMIF(i_book_years,Q$3,i_R_book)</f>
        <v/>
      </c>
      <c r="R40" s="21">
        <f>SUMIF(i_book_years,R$3,i_R_book)</f>
        <v/>
      </c>
      <c r="S40" s="21">
        <f>SUMIF(i_book_years,S$3,i_R_book)</f>
        <v/>
      </c>
      <c r="T40" s="21">
        <f>SUMIF(i_book_years,T$3,i_R_book)</f>
        <v/>
      </c>
      <c r="U40" s="21">
        <f>SUMIF(i_book_years,U$3,i_R_book)</f>
        <v/>
      </c>
      <c r="V40" s="21">
        <f>SUMIF(i_book_years,V$3,i_R_book)</f>
        <v/>
      </c>
      <c r="W40" s="21">
        <f>SUMIF(i_book_years,W$3,i_R_book)</f>
        <v/>
      </c>
      <c r="X40" s="21">
        <f>SUMIF(i_book_years,X$3,i_R_book)</f>
        <v/>
      </c>
      <c r="Y40" s="21">
        <f>SUMIF(i_book_years,Y$3,i_R_book)</f>
        <v/>
      </c>
      <c r="Z40" s="21">
        <f>SUMIF(i_book_years,Z$3,i_R_book)</f>
        <v/>
      </c>
      <c r="AA40" s="21">
        <f>SUMIF(i_book_years,AA$3,i_R_book)</f>
        <v/>
      </c>
      <c r="AB40" s="21">
        <f>SUMIF(i_book_years,AB$3,i_R_book)</f>
        <v/>
      </c>
      <c r="AC40" s="21">
        <f>SUMIF(i_book_years,AC$3,i_R_book)</f>
        <v/>
      </c>
      <c r="AD40" s="21">
        <f>SUMIF(i_book_years,AD$3,i_R_book)</f>
        <v/>
      </c>
      <c r="AE40" s="21">
        <f>SUMIF(i_book_years,AE$3,i_R_book)</f>
        <v/>
      </c>
      <c r="AF40" s="21">
        <f>SUMIF(i_book_years,AF$3,i_R_book)</f>
        <v/>
      </c>
      <c r="AG40" s="21">
        <f>SUMIF(i_book_years,AG$3,i_R_book)</f>
        <v/>
      </c>
      <c r="AH40" s="21">
        <f>SUMIF(i_book_years,AH$3,i_R_book)</f>
        <v/>
      </c>
      <c r="AI40" s="21">
        <f>SUMIF(i_book_years,AI$3,i_R_book)</f>
        <v/>
      </c>
    </row>
    <row r="41">
      <c r="B41" s="2" t="inlineStr">
        <is>
          <t xml:space="preserve">  Recontracting factor against current rates</t>
        </is>
      </c>
      <c r="D41" s="21">
        <f>IF(D$4=0,0,IF(Segments!$C$8=1,i_R_mtm,i_R_mtm_plan)+Segments!$C$14)</f>
        <v/>
      </c>
      <c r="E41" s="21">
        <f>IF(E$4=0,0,IF(Segments!$C$8=1,i_R_mtm,i_R_mtm_plan)+Segments!$C$14)</f>
        <v/>
      </c>
      <c r="F41" s="21">
        <f>IF(F$4=0,0,IF(Segments!$C$8=1,i_R_mtm,i_R_mtm_plan)+Segments!$C$14)</f>
        <v/>
      </c>
      <c r="G41" s="21">
        <f>IF(G$4=0,0,IF(Segments!$C$8=1,i_R_mtm,i_R_mtm_plan)+Segments!$C$14)</f>
        <v/>
      </c>
      <c r="H41" s="21">
        <f>IF(H$4=0,0,IF(Segments!$C$8=1,i_R_mtm,i_R_mtm_plan)+Segments!$C$14)</f>
        <v/>
      </c>
      <c r="I41" s="21">
        <f>IF(I$4=0,0,IF(Segments!$C$8=1,i_R_mtm,i_R_mtm_plan)+Segments!$C$14)</f>
        <v/>
      </c>
      <c r="J41" s="21">
        <f>IF(J$4=0,0,IF(Segments!$C$8=1,i_R_mtm,i_R_mtm_plan)+Segments!$C$14)</f>
        <v/>
      </c>
      <c r="K41" s="21">
        <f>IF(K$4=0,0,IF(Segments!$C$8=1,i_R_mtm,i_R_mtm_plan)+Segments!$C$14)</f>
        <v/>
      </c>
      <c r="L41" s="21">
        <f>IF(L$4=0,0,IF(Segments!$C$8=1,i_R_mtm,i_R_mtm_plan)+Segments!$C$14)</f>
        <v/>
      </c>
      <c r="M41" s="21">
        <f>IF(M$4=0,0,IF(Segments!$C$8=1,i_R_mtm,i_R_mtm_plan)+Segments!$C$14)</f>
        <v/>
      </c>
      <c r="N41" s="21">
        <f>IF(N$4=0,0,IF(Segments!$C$8=1,i_R_mtm,i_R_mtm_plan)+Segments!$C$14)</f>
        <v/>
      </c>
      <c r="O41" s="21">
        <f>IF(O$4=0,0,IF(Segments!$C$8=1,i_R_mtm,i_R_mtm_plan)+Segments!$C$14)</f>
        <v/>
      </c>
      <c r="P41" s="21">
        <f>IF(P$4=0,0,IF(Segments!$C$8=1,i_R_mtm,i_R_mtm_plan)+Segments!$C$14)</f>
        <v/>
      </c>
      <c r="Q41" s="21">
        <f>IF(Q$4=0,0,IF(Segments!$C$8=1,i_R_mtm,i_R_mtm_plan)+Segments!$C$14)</f>
        <v/>
      </c>
      <c r="R41" s="21">
        <f>IF(R$4=0,0,IF(Segments!$C$8=1,i_R_mtm,i_R_mtm_plan)+Segments!$C$14)</f>
        <v/>
      </c>
      <c r="S41" s="21">
        <f>IF(S$4=0,0,IF(Segments!$C$8=1,i_R_mtm,i_R_mtm_plan)+Segments!$C$14)</f>
        <v/>
      </c>
      <c r="T41" s="21">
        <f>IF(T$4=0,0,IF(Segments!$C$8=1,i_R_mtm,i_R_mtm_plan)+Segments!$C$14)</f>
        <v/>
      </c>
      <c r="U41" s="21">
        <f>IF(U$4=0,0,IF(Segments!$C$8=1,i_R_mtm,i_R_mtm_plan)+Segments!$C$14)</f>
        <v/>
      </c>
      <c r="V41" s="21">
        <f>IF(V$4=0,0,IF(Segments!$C$8=1,i_R_mtm,i_R_mtm_plan)+Segments!$C$14)</f>
        <v/>
      </c>
      <c r="W41" s="21">
        <f>IF(W$4=0,0,IF(Segments!$C$8=1,i_R_mtm,i_R_mtm_plan)+Segments!$C$14)</f>
        <v/>
      </c>
      <c r="X41" s="21">
        <f>IF(X$4=0,0,IF(Segments!$C$8=1,i_R_mtm,i_R_mtm_plan)+Segments!$C$14)</f>
        <v/>
      </c>
      <c r="Y41" s="21">
        <f>IF(Y$4=0,0,IF(Segments!$C$8=1,i_R_mtm,i_R_mtm_plan)+Segments!$C$14)</f>
        <v/>
      </c>
      <c r="Z41" s="21">
        <f>IF(Z$4=0,0,IF(Segments!$C$8=1,i_R_mtm,i_R_mtm_plan)+Segments!$C$14)</f>
        <v/>
      </c>
      <c r="AA41" s="21">
        <f>IF(AA$4=0,0,IF(Segments!$C$8=1,i_R_mtm,i_R_mtm_plan)+Segments!$C$14)</f>
        <v/>
      </c>
      <c r="AB41" s="21">
        <f>IF(AB$4=0,0,IF(Segments!$C$8=1,i_R_mtm,i_R_mtm_plan)+Segments!$C$14)</f>
        <v/>
      </c>
      <c r="AC41" s="21">
        <f>IF(AC$4=0,0,IF(Segments!$C$8=1,i_R_mtm,i_R_mtm_plan)+Segments!$C$14)</f>
        <v/>
      </c>
      <c r="AD41" s="21">
        <f>IF(AD$4=0,0,IF(Segments!$C$8=1,i_R_mtm,i_R_mtm_plan)+Segments!$C$14)</f>
        <v/>
      </c>
      <c r="AE41" s="21">
        <f>IF(AE$4=0,0,IF(Segments!$C$8=1,i_R_mtm,i_R_mtm_plan)+Segments!$C$14)</f>
        <v/>
      </c>
      <c r="AF41" s="21">
        <f>IF(AF$4=0,0,IF(Segments!$C$8=1,i_R_mtm,i_R_mtm_plan)+Segments!$C$14)</f>
        <v/>
      </c>
      <c r="AG41" s="21">
        <f>IF(AG$4=0,0,IF(Segments!$C$8=1,i_R_mtm,i_R_mtm_plan)+Segments!$C$14)</f>
        <v/>
      </c>
      <c r="AH41" s="21">
        <f>IF(AH$4=0,0,IF(Segments!$C$8=1,i_R_mtm,i_R_mtm_plan)+Segments!$C$14)</f>
        <v/>
      </c>
      <c r="AI41" s="21">
        <f>IF(AI$4=0,0,IF(Segments!$C$8=1,i_R_mtm,i_R_mtm_plan)+Segments!$C$14)</f>
        <v/>
      </c>
    </row>
    <row r="42">
      <c r="B42" s="2" t="inlineStr">
        <is>
          <t xml:space="preserve">  Average rate ($ per m3 per month)</t>
        </is>
      </c>
      <c r="D42" s="24">
        <f>i_R_rate*D19*(D40+(1-D40)*(1+D41))</f>
        <v/>
      </c>
      <c r="E42" s="24">
        <f>i_R_rate*E19*(E40+(1-E40)*(1+E41))</f>
        <v/>
      </c>
      <c r="F42" s="24">
        <f>i_R_rate*F19*(F40+(1-F40)*(1+F41))</f>
        <v/>
      </c>
      <c r="G42" s="24">
        <f>i_R_rate*G19*(G40+(1-G40)*(1+G41))</f>
        <v/>
      </c>
      <c r="H42" s="24">
        <f>i_R_rate*H19*(H40+(1-H40)*(1+H41))</f>
        <v/>
      </c>
      <c r="I42" s="24">
        <f>i_R_rate*I19*(I40+(1-I40)*(1+I41))</f>
        <v/>
      </c>
      <c r="J42" s="24">
        <f>i_R_rate*J19*(J40+(1-J40)*(1+J41))</f>
        <v/>
      </c>
      <c r="K42" s="24">
        <f>i_R_rate*K19*(K40+(1-K40)*(1+K41))</f>
        <v/>
      </c>
      <c r="L42" s="24">
        <f>i_R_rate*L19*(L40+(1-L40)*(1+L41))</f>
        <v/>
      </c>
      <c r="M42" s="24">
        <f>i_R_rate*M19*(M40+(1-M40)*(1+M41))</f>
        <v/>
      </c>
      <c r="N42" s="24">
        <f>i_R_rate*N19*(N40+(1-N40)*(1+N41))</f>
        <v/>
      </c>
      <c r="O42" s="24">
        <f>i_R_rate*O19*(O40+(1-O40)*(1+O41))</f>
        <v/>
      </c>
      <c r="P42" s="24">
        <f>i_R_rate*P19*(P40+(1-P40)*(1+P41))</f>
        <v/>
      </c>
      <c r="Q42" s="24">
        <f>i_R_rate*Q19*(Q40+(1-Q40)*(1+Q41))</f>
        <v/>
      </c>
      <c r="R42" s="24">
        <f>i_R_rate*R19*(R40+(1-R40)*(1+R41))</f>
        <v/>
      </c>
      <c r="S42" s="24">
        <f>i_R_rate*S19*(S40+(1-S40)*(1+S41))</f>
        <v/>
      </c>
      <c r="T42" s="24">
        <f>i_R_rate*T19*(T40+(1-T40)*(1+T41))</f>
        <v/>
      </c>
      <c r="U42" s="24">
        <f>i_R_rate*U19*(U40+(1-U40)*(1+U41))</f>
        <v/>
      </c>
      <c r="V42" s="24">
        <f>i_R_rate*V19*(V40+(1-V40)*(1+V41))</f>
        <v/>
      </c>
      <c r="W42" s="24">
        <f>i_R_rate*W19*(W40+(1-W40)*(1+W41))</f>
        <v/>
      </c>
      <c r="X42" s="24">
        <f>i_R_rate*X19*(X40+(1-X40)*(1+X41))</f>
        <v/>
      </c>
      <c r="Y42" s="24">
        <f>i_R_rate*Y19*(Y40+(1-Y40)*(1+Y41))</f>
        <v/>
      </c>
      <c r="Z42" s="24">
        <f>i_R_rate*Z19*(Z40+(1-Z40)*(1+Z41))</f>
        <v/>
      </c>
      <c r="AA42" s="24">
        <f>i_R_rate*AA19*(AA40+(1-AA40)*(1+AA41))</f>
        <v/>
      </c>
      <c r="AB42" s="24">
        <f>i_R_rate*AB19*(AB40+(1-AB40)*(1+AB41))</f>
        <v/>
      </c>
      <c r="AC42" s="24">
        <f>i_R_rate*AC19*(AC40+(1-AC40)*(1+AC41))</f>
        <v/>
      </c>
      <c r="AD42" s="24">
        <f>i_R_rate*AD19*(AD40+(1-AD40)*(1+AD41))</f>
        <v/>
      </c>
      <c r="AE42" s="24">
        <f>i_R_rate*AE19*(AE40+(1-AE40)*(1+AE41))</f>
        <v/>
      </c>
      <c r="AF42" s="24">
        <f>i_R_rate*AF19*(AF40+(1-AF40)*(1+AF41))</f>
        <v/>
      </c>
      <c r="AG42" s="24">
        <f>i_R_rate*AG19*(AG40+(1-AG40)*(1+AG41))</f>
        <v/>
      </c>
      <c r="AH42" s="24">
        <f>i_R_rate*AH19*(AH40+(1-AH40)*(1+AH41))</f>
        <v/>
      </c>
      <c r="AI42" s="24">
        <f>i_R_rate*AI19*(AI40+(1-AI40)*(1+AI41))</f>
        <v/>
      </c>
    </row>
    <row r="43">
      <c r="B43" s="2" t="inlineStr">
        <is>
          <t xml:space="preserve">  Occupancy after the transition decline and floor</t>
        </is>
      </c>
      <c r="D43" s="21">
        <f>IF(D$3&gt;i_trans_start,MAX(i_R_floor,i_R_occ-i_R_dec*(D$3-i_trans_start)),i_R_occ)</f>
        <v/>
      </c>
      <c r="E43" s="21">
        <f>IF(E$3&gt;i_trans_start,MAX(i_R_floor,i_R_occ-i_R_dec*(E$3-i_trans_start)),i_R_occ)</f>
        <v/>
      </c>
      <c r="F43" s="21">
        <f>IF(F$3&gt;i_trans_start,MAX(i_R_floor,i_R_occ-i_R_dec*(F$3-i_trans_start)),i_R_occ)</f>
        <v/>
      </c>
      <c r="G43" s="21">
        <f>IF(G$3&gt;i_trans_start,MAX(i_R_floor,i_R_occ-i_R_dec*(G$3-i_trans_start)),i_R_occ)</f>
        <v/>
      </c>
      <c r="H43" s="21">
        <f>IF(H$3&gt;i_trans_start,MAX(i_R_floor,i_R_occ-i_R_dec*(H$3-i_trans_start)),i_R_occ)</f>
        <v/>
      </c>
      <c r="I43" s="21">
        <f>IF(I$3&gt;i_trans_start,MAX(i_R_floor,i_R_occ-i_R_dec*(I$3-i_trans_start)),i_R_occ)</f>
        <v/>
      </c>
      <c r="J43" s="21">
        <f>IF(J$3&gt;i_trans_start,MAX(i_R_floor,i_R_occ-i_R_dec*(J$3-i_trans_start)),i_R_occ)</f>
        <v/>
      </c>
      <c r="K43" s="21">
        <f>IF(K$3&gt;i_trans_start,MAX(i_R_floor,i_R_occ-i_R_dec*(K$3-i_trans_start)),i_R_occ)</f>
        <v/>
      </c>
      <c r="L43" s="21">
        <f>IF(L$3&gt;i_trans_start,MAX(i_R_floor,i_R_occ-i_R_dec*(L$3-i_trans_start)),i_R_occ)</f>
        <v/>
      </c>
      <c r="M43" s="21">
        <f>IF(M$3&gt;i_trans_start,MAX(i_R_floor,i_R_occ-i_R_dec*(M$3-i_trans_start)),i_R_occ)</f>
        <v/>
      </c>
      <c r="N43" s="21">
        <f>IF(N$3&gt;i_trans_start,MAX(i_R_floor,i_R_occ-i_R_dec*(N$3-i_trans_start)),i_R_occ)</f>
        <v/>
      </c>
      <c r="O43" s="21">
        <f>IF(O$3&gt;i_trans_start,MAX(i_R_floor,i_R_occ-i_R_dec*(O$3-i_trans_start)),i_R_occ)</f>
        <v/>
      </c>
      <c r="P43" s="21">
        <f>IF(P$3&gt;i_trans_start,MAX(i_R_floor,i_R_occ-i_R_dec*(P$3-i_trans_start)),i_R_occ)</f>
        <v/>
      </c>
      <c r="Q43" s="21">
        <f>IF(Q$3&gt;i_trans_start,MAX(i_R_floor,i_R_occ-i_R_dec*(Q$3-i_trans_start)),i_R_occ)</f>
        <v/>
      </c>
      <c r="R43" s="21">
        <f>IF(R$3&gt;i_trans_start,MAX(i_R_floor,i_R_occ-i_R_dec*(R$3-i_trans_start)),i_R_occ)</f>
        <v/>
      </c>
      <c r="S43" s="21">
        <f>IF(S$3&gt;i_trans_start,MAX(i_R_floor,i_R_occ-i_R_dec*(S$3-i_trans_start)),i_R_occ)</f>
        <v/>
      </c>
      <c r="T43" s="21">
        <f>IF(T$3&gt;i_trans_start,MAX(i_R_floor,i_R_occ-i_R_dec*(T$3-i_trans_start)),i_R_occ)</f>
        <v/>
      </c>
      <c r="U43" s="21">
        <f>IF(U$3&gt;i_trans_start,MAX(i_R_floor,i_R_occ-i_R_dec*(U$3-i_trans_start)),i_R_occ)</f>
        <v/>
      </c>
      <c r="V43" s="21">
        <f>IF(V$3&gt;i_trans_start,MAX(i_R_floor,i_R_occ-i_R_dec*(V$3-i_trans_start)),i_R_occ)</f>
        <v/>
      </c>
      <c r="W43" s="21">
        <f>IF(W$3&gt;i_trans_start,MAX(i_R_floor,i_R_occ-i_R_dec*(W$3-i_trans_start)),i_R_occ)</f>
        <v/>
      </c>
      <c r="X43" s="21">
        <f>IF(X$3&gt;i_trans_start,MAX(i_R_floor,i_R_occ-i_R_dec*(X$3-i_trans_start)),i_R_occ)</f>
        <v/>
      </c>
      <c r="Y43" s="21">
        <f>IF(Y$3&gt;i_trans_start,MAX(i_R_floor,i_R_occ-i_R_dec*(Y$3-i_trans_start)),i_R_occ)</f>
        <v/>
      </c>
      <c r="Z43" s="21">
        <f>IF(Z$3&gt;i_trans_start,MAX(i_R_floor,i_R_occ-i_R_dec*(Z$3-i_trans_start)),i_R_occ)</f>
        <v/>
      </c>
      <c r="AA43" s="21">
        <f>IF(AA$3&gt;i_trans_start,MAX(i_R_floor,i_R_occ-i_R_dec*(AA$3-i_trans_start)),i_R_occ)</f>
        <v/>
      </c>
      <c r="AB43" s="21">
        <f>IF(AB$3&gt;i_trans_start,MAX(i_R_floor,i_R_occ-i_R_dec*(AB$3-i_trans_start)),i_R_occ)</f>
        <v/>
      </c>
      <c r="AC43" s="21">
        <f>IF(AC$3&gt;i_trans_start,MAX(i_R_floor,i_R_occ-i_R_dec*(AC$3-i_trans_start)),i_R_occ)</f>
        <v/>
      </c>
      <c r="AD43" s="21">
        <f>IF(AD$3&gt;i_trans_start,MAX(i_R_floor,i_R_occ-i_R_dec*(AD$3-i_trans_start)),i_R_occ)</f>
        <v/>
      </c>
      <c r="AE43" s="21">
        <f>IF(AE$3&gt;i_trans_start,MAX(i_R_floor,i_R_occ-i_R_dec*(AE$3-i_trans_start)),i_R_occ)</f>
        <v/>
      </c>
      <c r="AF43" s="21">
        <f>IF(AF$3&gt;i_trans_start,MAX(i_R_floor,i_R_occ-i_R_dec*(AF$3-i_trans_start)),i_R_occ)</f>
        <v/>
      </c>
      <c r="AG43" s="21">
        <f>IF(AG$3&gt;i_trans_start,MAX(i_R_floor,i_R_occ-i_R_dec*(AG$3-i_trans_start)),i_R_occ)</f>
        <v/>
      </c>
      <c r="AH43" s="21">
        <f>IF(AH$3&gt;i_trans_start,MAX(i_R_floor,i_R_occ-i_R_dec*(AH$3-i_trans_start)),i_R_occ)</f>
        <v/>
      </c>
      <c r="AI43" s="21">
        <f>IF(AI$3&gt;i_trans_start,MAX(i_R_floor,i_R_occ-i_R_dec*(AI$3-i_trans_start)),i_R_occ)</f>
        <v/>
      </c>
    </row>
    <row r="44">
      <c r="B44" s="2" t="inlineStr">
        <is>
          <t xml:space="preserve">  Occupancy (with the shift switch from 2027)</t>
        </is>
      </c>
      <c r="D44" s="21">
        <f>IF(D$4&gt;0,MIN(1,D43+Segments!$C$13),D43)</f>
        <v/>
      </c>
      <c r="E44" s="21">
        <f>IF(E$4&gt;0,MIN(1,E43+Segments!$C$13),E43)</f>
        <v/>
      </c>
      <c r="F44" s="21">
        <f>IF(F$4&gt;0,MIN(1,F43+Segments!$C$13),F43)</f>
        <v/>
      </c>
      <c r="G44" s="21">
        <f>IF(G$4&gt;0,MIN(1,G43+Segments!$C$13),G43)</f>
        <v/>
      </c>
      <c r="H44" s="21">
        <f>IF(H$4&gt;0,MIN(1,H43+Segments!$C$13),H43)</f>
        <v/>
      </c>
      <c r="I44" s="21">
        <f>IF(I$4&gt;0,MIN(1,I43+Segments!$C$13),I43)</f>
        <v/>
      </c>
      <c r="J44" s="21">
        <f>IF(J$4&gt;0,MIN(1,J43+Segments!$C$13),J43)</f>
        <v/>
      </c>
      <c r="K44" s="21">
        <f>IF(K$4&gt;0,MIN(1,K43+Segments!$C$13),K43)</f>
        <v/>
      </c>
      <c r="L44" s="21">
        <f>IF(L$4&gt;0,MIN(1,L43+Segments!$C$13),L43)</f>
        <v/>
      </c>
      <c r="M44" s="21">
        <f>IF(M$4&gt;0,MIN(1,M43+Segments!$C$13),M43)</f>
        <v/>
      </c>
      <c r="N44" s="21">
        <f>IF(N$4&gt;0,MIN(1,N43+Segments!$C$13),N43)</f>
        <v/>
      </c>
      <c r="O44" s="21">
        <f>IF(O$4&gt;0,MIN(1,O43+Segments!$C$13),O43)</f>
        <v/>
      </c>
      <c r="P44" s="21">
        <f>IF(P$4&gt;0,MIN(1,P43+Segments!$C$13),P43)</f>
        <v/>
      </c>
      <c r="Q44" s="21">
        <f>IF(Q$4&gt;0,MIN(1,Q43+Segments!$C$13),Q43)</f>
        <v/>
      </c>
      <c r="R44" s="21">
        <f>IF(R$4&gt;0,MIN(1,R43+Segments!$C$13),R43)</f>
        <v/>
      </c>
      <c r="S44" s="21">
        <f>IF(S$4&gt;0,MIN(1,S43+Segments!$C$13),S43)</f>
        <v/>
      </c>
      <c r="T44" s="21">
        <f>IF(T$4&gt;0,MIN(1,T43+Segments!$C$13),T43)</f>
        <v/>
      </c>
      <c r="U44" s="21">
        <f>IF(U$4&gt;0,MIN(1,U43+Segments!$C$13),U43)</f>
        <v/>
      </c>
      <c r="V44" s="21">
        <f>IF(V$4&gt;0,MIN(1,V43+Segments!$C$13),V43)</f>
        <v/>
      </c>
      <c r="W44" s="21">
        <f>IF(W$4&gt;0,MIN(1,W43+Segments!$C$13),W43)</f>
        <v/>
      </c>
      <c r="X44" s="21">
        <f>IF(X$4&gt;0,MIN(1,X43+Segments!$C$13),X43)</f>
        <v/>
      </c>
      <c r="Y44" s="21">
        <f>IF(Y$4&gt;0,MIN(1,Y43+Segments!$C$13),Y43)</f>
        <v/>
      </c>
      <c r="Z44" s="21">
        <f>IF(Z$4&gt;0,MIN(1,Z43+Segments!$C$13),Z43)</f>
        <v/>
      </c>
      <c r="AA44" s="21">
        <f>IF(AA$4&gt;0,MIN(1,AA43+Segments!$C$13),AA43)</f>
        <v/>
      </c>
      <c r="AB44" s="21">
        <f>IF(AB$4&gt;0,MIN(1,AB43+Segments!$C$13),AB43)</f>
        <v/>
      </c>
      <c r="AC44" s="21">
        <f>IF(AC$4&gt;0,MIN(1,AC43+Segments!$C$13),AC43)</f>
        <v/>
      </c>
      <c r="AD44" s="21">
        <f>IF(AD$4&gt;0,MIN(1,AD43+Segments!$C$13),AD43)</f>
        <v/>
      </c>
      <c r="AE44" s="21">
        <f>IF(AE$4&gt;0,MIN(1,AE43+Segments!$C$13),AE43)</f>
        <v/>
      </c>
      <c r="AF44" s="21">
        <f>IF(AF$4&gt;0,MIN(1,AF43+Segments!$C$13),AF43)</f>
        <v/>
      </c>
      <c r="AG44" s="21">
        <f>IF(AG$4&gt;0,MIN(1,AG43+Segments!$C$13),AG43)</f>
        <v/>
      </c>
      <c r="AH44" s="21">
        <f>IF(AH$4&gt;0,MIN(1,AH43+Segments!$C$13),AH43)</f>
        <v/>
      </c>
      <c r="AI44" s="21">
        <f>IF(AI$4&gt;0,MIN(1,AI43+Segments!$C$13),AI43)</f>
        <v/>
      </c>
    </row>
    <row r="45">
      <c r="B45" s="2" t="inlineStr">
        <is>
          <t xml:space="preserve">  Storage revenue</t>
        </is>
      </c>
      <c r="D45" s="19">
        <f>D39*D42*12*D44</f>
        <v/>
      </c>
      <c r="E45" s="19">
        <f>E39*E42*12*E44</f>
        <v/>
      </c>
      <c r="F45" s="19">
        <f>F39*F42*12*F44</f>
        <v/>
      </c>
      <c r="G45" s="19">
        <f>G39*G42*12*G44</f>
        <v/>
      </c>
      <c r="H45" s="19">
        <f>H39*H42*12*H44</f>
        <v/>
      </c>
      <c r="I45" s="19">
        <f>I39*I42*12*I44</f>
        <v/>
      </c>
      <c r="J45" s="19">
        <f>J39*J42*12*J44</f>
        <v/>
      </c>
      <c r="K45" s="19">
        <f>K39*K42*12*K44</f>
        <v/>
      </c>
      <c r="L45" s="19">
        <f>L39*L42*12*L44</f>
        <v/>
      </c>
      <c r="M45" s="19">
        <f>M39*M42*12*M44</f>
        <v/>
      </c>
      <c r="N45" s="19">
        <f>N39*N42*12*N44</f>
        <v/>
      </c>
      <c r="O45" s="19">
        <f>O39*O42*12*O44</f>
        <v/>
      </c>
      <c r="P45" s="19">
        <f>P39*P42*12*P44</f>
        <v/>
      </c>
      <c r="Q45" s="19">
        <f>Q39*Q42*12*Q44</f>
        <v/>
      </c>
      <c r="R45" s="19">
        <f>R39*R42*12*R44</f>
        <v/>
      </c>
      <c r="S45" s="19">
        <f>S39*S42*12*S44</f>
        <v/>
      </c>
      <c r="T45" s="19">
        <f>T39*T42*12*T44</f>
        <v/>
      </c>
      <c r="U45" s="19">
        <f>U39*U42*12*U44</f>
        <v/>
      </c>
      <c r="V45" s="19">
        <f>V39*V42*12*V44</f>
        <v/>
      </c>
      <c r="W45" s="19">
        <f>W39*W42*12*W44</f>
        <v/>
      </c>
      <c r="X45" s="19">
        <f>X39*X42*12*X44</f>
        <v/>
      </c>
      <c r="Y45" s="19">
        <f>Y39*Y42*12*Y44</f>
        <v/>
      </c>
      <c r="Z45" s="19">
        <f>Z39*Z42*12*Z44</f>
        <v/>
      </c>
      <c r="AA45" s="19">
        <f>AA39*AA42*12*AA44</f>
        <v/>
      </c>
      <c r="AB45" s="19">
        <f>AB39*AB42*12*AB44</f>
        <v/>
      </c>
      <c r="AC45" s="19">
        <f>AC39*AC42*12*AC44</f>
        <v/>
      </c>
      <c r="AD45" s="19">
        <f>AD39*AD42*12*AD44</f>
        <v/>
      </c>
      <c r="AE45" s="19">
        <f>AE39*AE42*12*AE44</f>
        <v/>
      </c>
      <c r="AF45" s="19">
        <f>AF39*AF42*12*AF44</f>
        <v/>
      </c>
      <c r="AG45" s="19">
        <f>AG39*AG42*12*AG44</f>
        <v/>
      </c>
      <c r="AH45" s="19">
        <f>AH39*AH42*12*AH44</f>
        <v/>
      </c>
      <c r="AI45" s="19">
        <f>AI39*AI42*12*AI44</f>
        <v/>
      </c>
    </row>
    <row r="46">
      <c r="B46" s="2" t="inlineStr">
        <is>
          <t xml:space="preserve">  Ancillary and throughput revenue</t>
        </is>
      </c>
      <c r="D46" s="19">
        <f>D45*i_R_anc</f>
        <v/>
      </c>
      <c r="E46" s="19">
        <f>E45*i_R_anc</f>
        <v/>
      </c>
      <c r="F46" s="19">
        <f>F45*i_R_anc</f>
        <v/>
      </c>
      <c r="G46" s="19">
        <f>G45*i_R_anc</f>
        <v/>
      </c>
      <c r="H46" s="19">
        <f>H45*i_R_anc</f>
        <v/>
      </c>
      <c r="I46" s="19">
        <f>I45*i_R_anc</f>
        <v/>
      </c>
      <c r="J46" s="19">
        <f>J45*i_R_anc</f>
        <v/>
      </c>
      <c r="K46" s="19">
        <f>K45*i_R_anc</f>
        <v/>
      </c>
      <c r="L46" s="19">
        <f>L45*i_R_anc</f>
        <v/>
      </c>
      <c r="M46" s="19">
        <f>M45*i_R_anc</f>
        <v/>
      </c>
      <c r="N46" s="19">
        <f>N45*i_R_anc</f>
        <v/>
      </c>
      <c r="O46" s="19">
        <f>O45*i_R_anc</f>
        <v/>
      </c>
      <c r="P46" s="19">
        <f>P45*i_R_anc</f>
        <v/>
      </c>
      <c r="Q46" s="19">
        <f>Q45*i_R_anc</f>
        <v/>
      </c>
      <c r="R46" s="19">
        <f>R45*i_R_anc</f>
        <v/>
      </c>
      <c r="S46" s="19">
        <f>S45*i_R_anc</f>
        <v/>
      </c>
      <c r="T46" s="19">
        <f>T45*i_R_anc</f>
        <v/>
      </c>
      <c r="U46" s="19">
        <f>U45*i_R_anc</f>
        <v/>
      </c>
      <c r="V46" s="19">
        <f>V45*i_R_anc</f>
        <v/>
      </c>
      <c r="W46" s="19">
        <f>W45*i_R_anc</f>
        <v/>
      </c>
      <c r="X46" s="19">
        <f>X45*i_R_anc</f>
        <v/>
      </c>
      <c r="Y46" s="19">
        <f>Y45*i_R_anc</f>
        <v/>
      </c>
      <c r="Z46" s="19">
        <f>Z45*i_R_anc</f>
        <v/>
      </c>
      <c r="AA46" s="19">
        <f>AA45*i_R_anc</f>
        <v/>
      </c>
      <c r="AB46" s="19">
        <f>AB45*i_R_anc</f>
        <v/>
      </c>
      <c r="AC46" s="19">
        <f>AC45*i_R_anc</f>
        <v/>
      </c>
      <c r="AD46" s="19">
        <f>AD45*i_R_anc</f>
        <v/>
      </c>
      <c r="AE46" s="19">
        <f>AE45*i_R_anc</f>
        <v/>
      </c>
      <c r="AF46" s="19">
        <f>AF45*i_R_anc</f>
        <v/>
      </c>
      <c r="AG46" s="19">
        <f>AG45*i_R_anc</f>
        <v/>
      </c>
      <c r="AH46" s="19">
        <f>AH45*i_R_anc</f>
        <v/>
      </c>
      <c r="AI46" s="19">
        <f>AI45*i_R_anc</f>
        <v/>
      </c>
    </row>
    <row r="47">
      <c r="B47" s="3" t="inlineStr">
        <is>
          <t xml:space="preserve">  Revenue</t>
        </is>
      </c>
      <c r="D47" s="31">
        <f>D45+D46</f>
        <v/>
      </c>
      <c r="E47" s="31">
        <f>E45+E46</f>
        <v/>
      </c>
      <c r="F47" s="31">
        <f>F45+F46</f>
        <v/>
      </c>
      <c r="G47" s="31">
        <f>G45+G46</f>
        <v/>
      </c>
      <c r="H47" s="31">
        <f>H45+H46</f>
        <v/>
      </c>
      <c r="I47" s="31">
        <f>I45+I46</f>
        <v/>
      </c>
      <c r="J47" s="31">
        <f>J45+J46</f>
        <v/>
      </c>
      <c r="K47" s="31">
        <f>K45+K46</f>
        <v/>
      </c>
      <c r="L47" s="31">
        <f>L45+L46</f>
        <v/>
      </c>
      <c r="M47" s="31">
        <f>M45+M46</f>
        <v/>
      </c>
      <c r="N47" s="31">
        <f>N45+N46</f>
        <v/>
      </c>
      <c r="O47" s="31">
        <f>O45+O46</f>
        <v/>
      </c>
      <c r="P47" s="31">
        <f>P45+P46</f>
        <v/>
      </c>
      <c r="Q47" s="31">
        <f>Q45+Q46</f>
        <v/>
      </c>
      <c r="R47" s="31">
        <f>R45+R46</f>
        <v/>
      </c>
      <c r="S47" s="31">
        <f>S45+S46</f>
        <v/>
      </c>
      <c r="T47" s="31">
        <f>T45+T46</f>
        <v/>
      </c>
      <c r="U47" s="31">
        <f>U45+U46</f>
        <v/>
      </c>
      <c r="V47" s="31">
        <f>V45+V46</f>
        <v/>
      </c>
      <c r="W47" s="31">
        <f>W45+W46</f>
        <v/>
      </c>
      <c r="X47" s="31">
        <f>X45+X46</f>
        <v/>
      </c>
      <c r="Y47" s="31">
        <f>Y45+Y46</f>
        <v/>
      </c>
      <c r="Z47" s="31">
        <f>Z45+Z46</f>
        <v/>
      </c>
      <c r="AA47" s="31">
        <f>AA45+AA46</f>
        <v/>
      </c>
      <c r="AB47" s="31">
        <f>AB45+AB46</f>
        <v/>
      </c>
      <c r="AC47" s="31">
        <f>AC45+AC46</f>
        <v/>
      </c>
      <c r="AD47" s="31">
        <f>AD45+AD46</f>
        <v/>
      </c>
      <c r="AE47" s="31">
        <f>AE45+AE46</f>
        <v/>
      </c>
      <c r="AF47" s="31">
        <f>AF45+AF46</f>
        <v/>
      </c>
      <c r="AG47" s="31">
        <f>AG45+AG46</f>
        <v/>
      </c>
      <c r="AH47" s="31">
        <f>AH45+AH46</f>
        <v/>
      </c>
      <c r="AI47" s="31">
        <f>AI45+AI46</f>
        <v/>
      </c>
    </row>
    <row r="48">
      <c r="B48" s="2" t="inlineStr">
        <is>
          <t xml:space="preserve">  Fixed cost</t>
        </is>
      </c>
      <c r="D48" s="19">
        <f>D39*i_R_fix*D18</f>
        <v/>
      </c>
      <c r="E48" s="19">
        <f>E39*i_R_fix*E18</f>
        <v/>
      </c>
      <c r="F48" s="19">
        <f>F39*i_R_fix*F18</f>
        <v/>
      </c>
      <c r="G48" s="19">
        <f>G39*i_R_fix*G18</f>
        <v/>
      </c>
      <c r="H48" s="19">
        <f>H39*i_R_fix*H18</f>
        <v/>
      </c>
      <c r="I48" s="19">
        <f>I39*i_R_fix*I18</f>
        <v/>
      </c>
      <c r="J48" s="19">
        <f>J39*i_R_fix*J18</f>
        <v/>
      </c>
      <c r="K48" s="19">
        <f>K39*i_R_fix*K18</f>
        <v/>
      </c>
      <c r="L48" s="19">
        <f>L39*i_R_fix*L18</f>
        <v/>
      </c>
      <c r="M48" s="19">
        <f>M39*i_R_fix*M18</f>
        <v/>
      </c>
      <c r="N48" s="19">
        <f>N39*i_R_fix*N18</f>
        <v/>
      </c>
      <c r="O48" s="19">
        <f>O39*i_R_fix*O18</f>
        <v/>
      </c>
      <c r="P48" s="19">
        <f>P39*i_R_fix*P18</f>
        <v/>
      </c>
      <c r="Q48" s="19">
        <f>Q39*i_R_fix*Q18</f>
        <v/>
      </c>
      <c r="R48" s="19">
        <f>R39*i_R_fix*R18</f>
        <v/>
      </c>
      <c r="S48" s="19">
        <f>S39*i_R_fix*S18</f>
        <v/>
      </c>
      <c r="T48" s="19">
        <f>T39*i_R_fix*T18</f>
        <v/>
      </c>
      <c r="U48" s="19">
        <f>U39*i_R_fix*U18</f>
        <v/>
      </c>
      <c r="V48" s="19">
        <f>V39*i_R_fix*V18</f>
        <v/>
      </c>
      <c r="W48" s="19">
        <f>W39*i_R_fix*W18</f>
        <v/>
      </c>
      <c r="X48" s="19">
        <f>X39*i_R_fix*X18</f>
        <v/>
      </c>
      <c r="Y48" s="19">
        <f>Y39*i_R_fix*Y18</f>
        <v/>
      </c>
      <c r="Z48" s="19">
        <f>Z39*i_R_fix*Z18</f>
        <v/>
      </c>
      <c r="AA48" s="19">
        <f>AA39*i_R_fix*AA18</f>
        <v/>
      </c>
      <c r="AB48" s="19">
        <f>AB39*i_R_fix*AB18</f>
        <v/>
      </c>
      <c r="AC48" s="19">
        <f>AC39*i_R_fix*AC18</f>
        <v/>
      </c>
      <c r="AD48" s="19">
        <f>AD39*i_R_fix*AD18</f>
        <v/>
      </c>
      <c r="AE48" s="19">
        <f>AE39*i_R_fix*AE18</f>
        <v/>
      </c>
      <c r="AF48" s="19">
        <f>AF39*i_R_fix*AF18</f>
        <v/>
      </c>
      <c r="AG48" s="19">
        <f>AG39*i_R_fix*AG18</f>
        <v/>
      </c>
      <c r="AH48" s="19">
        <f>AH39*i_R_fix*AH18</f>
        <v/>
      </c>
      <c r="AI48" s="19">
        <f>AI39*i_R_fix*AI18</f>
        <v/>
      </c>
    </row>
    <row r="49">
      <c r="B49" s="2" t="inlineStr">
        <is>
          <t xml:space="preserve">  Variable cost</t>
        </is>
      </c>
      <c r="D49" s="19">
        <f>i_R_var*D47</f>
        <v/>
      </c>
      <c r="E49" s="19">
        <f>i_R_var*E47</f>
        <v/>
      </c>
      <c r="F49" s="19">
        <f>i_R_var*F47</f>
        <v/>
      </c>
      <c r="G49" s="19">
        <f>i_R_var*G47</f>
        <v/>
      </c>
      <c r="H49" s="19">
        <f>i_R_var*H47</f>
        <v/>
      </c>
      <c r="I49" s="19">
        <f>i_R_var*I47</f>
        <v/>
      </c>
      <c r="J49" s="19">
        <f>i_R_var*J47</f>
        <v/>
      </c>
      <c r="K49" s="19">
        <f>i_R_var*K47</f>
        <v/>
      </c>
      <c r="L49" s="19">
        <f>i_R_var*L47</f>
        <v/>
      </c>
      <c r="M49" s="19">
        <f>i_R_var*M47</f>
        <v/>
      </c>
      <c r="N49" s="19">
        <f>i_R_var*N47</f>
        <v/>
      </c>
      <c r="O49" s="19">
        <f>i_R_var*O47</f>
        <v/>
      </c>
      <c r="P49" s="19">
        <f>i_R_var*P47</f>
        <v/>
      </c>
      <c r="Q49" s="19">
        <f>i_R_var*Q47</f>
        <v/>
      </c>
      <c r="R49" s="19">
        <f>i_R_var*R47</f>
        <v/>
      </c>
      <c r="S49" s="19">
        <f>i_R_var*S47</f>
        <v/>
      </c>
      <c r="T49" s="19">
        <f>i_R_var*T47</f>
        <v/>
      </c>
      <c r="U49" s="19">
        <f>i_R_var*U47</f>
        <v/>
      </c>
      <c r="V49" s="19">
        <f>i_R_var*V47</f>
        <v/>
      </c>
      <c r="W49" s="19">
        <f>i_R_var*W47</f>
        <v/>
      </c>
      <c r="X49" s="19">
        <f>i_R_var*X47</f>
        <v/>
      </c>
      <c r="Y49" s="19">
        <f>i_R_var*Y47</f>
        <v/>
      </c>
      <c r="Z49" s="19">
        <f>i_R_var*Z47</f>
        <v/>
      </c>
      <c r="AA49" s="19">
        <f>i_R_var*AA47</f>
        <v/>
      </c>
      <c r="AB49" s="19">
        <f>i_R_var*AB47</f>
        <v/>
      </c>
      <c r="AC49" s="19">
        <f>i_R_var*AC47</f>
        <v/>
      </c>
      <c r="AD49" s="19">
        <f>i_R_var*AD47</f>
        <v/>
      </c>
      <c r="AE49" s="19">
        <f>i_R_var*AE47</f>
        <v/>
      </c>
      <c r="AF49" s="19">
        <f>i_R_var*AF47</f>
        <v/>
      </c>
      <c r="AG49" s="19">
        <f>i_R_var*AG47</f>
        <v/>
      </c>
      <c r="AH49" s="19">
        <f>i_R_var*AH47</f>
        <v/>
      </c>
      <c r="AI49" s="19">
        <f>i_R_var*AI47</f>
        <v/>
      </c>
    </row>
    <row r="50">
      <c r="B50" s="2" t="inlineStr">
        <is>
          <t xml:space="preserve">  Operating cost</t>
        </is>
      </c>
      <c r="D50" s="19">
        <f>D48+D49</f>
        <v/>
      </c>
      <c r="E50" s="19">
        <f>E48+E49</f>
        <v/>
      </c>
      <c r="F50" s="19">
        <f>F48+F49</f>
        <v/>
      </c>
      <c r="G50" s="19">
        <f>G48+G49</f>
        <v/>
      </c>
      <c r="H50" s="19">
        <f>H48+H49</f>
        <v/>
      </c>
      <c r="I50" s="19">
        <f>I48+I49</f>
        <v/>
      </c>
      <c r="J50" s="19">
        <f>J48+J49</f>
        <v/>
      </c>
      <c r="K50" s="19">
        <f>K48+K49</f>
        <v/>
      </c>
      <c r="L50" s="19">
        <f>L48+L49</f>
        <v/>
      </c>
      <c r="M50" s="19">
        <f>M48+M49</f>
        <v/>
      </c>
      <c r="N50" s="19">
        <f>N48+N49</f>
        <v/>
      </c>
      <c r="O50" s="19">
        <f>O48+O49</f>
        <v/>
      </c>
      <c r="P50" s="19">
        <f>P48+P49</f>
        <v/>
      </c>
      <c r="Q50" s="19">
        <f>Q48+Q49</f>
        <v/>
      </c>
      <c r="R50" s="19">
        <f>R48+R49</f>
        <v/>
      </c>
      <c r="S50" s="19">
        <f>S48+S49</f>
        <v/>
      </c>
      <c r="T50" s="19">
        <f>T48+T49</f>
        <v/>
      </c>
      <c r="U50" s="19">
        <f>U48+U49</f>
        <v/>
      </c>
      <c r="V50" s="19">
        <f>V48+V49</f>
        <v/>
      </c>
      <c r="W50" s="19">
        <f>W48+W49</f>
        <v/>
      </c>
      <c r="X50" s="19">
        <f>X48+X49</f>
        <v/>
      </c>
      <c r="Y50" s="19">
        <f>Y48+Y49</f>
        <v/>
      </c>
      <c r="Z50" s="19">
        <f>Z48+Z49</f>
        <v/>
      </c>
      <c r="AA50" s="19">
        <f>AA48+AA49</f>
        <v/>
      </c>
      <c r="AB50" s="19">
        <f>AB48+AB49</f>
        <v/>
      </c>
      <c r="AC50" s="19">
        <f>AC48+AC49</f>
        <v/>
      </c>
      <c r="AD50" s="19">
        <f>AD48+AD49</f>
        <v/>
      </c>
      <c r="AE50" s="19">
        <f>AE48+AE49</f>
        <v/>
      </c>
      <c r="AF50" s="19">
        <f>AF48+AF49</f>
        <v/>
      </c>
      <c r="AG50" s="19">
        <f>AG48+AG49</f>
        <v/>
      </c>
      <c r="AH50" s="19">
        <f>AH48+AH49</f>
        <v/>
      </c>
      <c r="AI50" s="19">
        <f>AI48+AI49</f>
        <v/>
      </c>
    </row>
    <row r="51">
      <c r="B51" s="3" t="inlineStr">
        <is>
          <t xml:space="preserve">  EBITDA</t>
        </is>
      </c>
      <c r="D51" s="31">
        <f>D47-D50</f>
        <v/>
      </c>
      <c r="E51" s="31">
        <f>E47-E50</f>
        <v/>
      </c>
      <c r="F51" s="31">
        <f>F47-F50</f>
        <v/>
      </c>
      <c r="G51" s="31">
        <f>G47-G50</f>
        <v/>
      </c>
      <c r="H51" s="31">
        <f>H47-H50</f>
        <v/>
      </c>
      <c r="I51" s="31">
        <f>I47-I50</f>
        <v/>
      </c>
      <c r="J51" s="31">
        <f>J47-J50</f>
        <v/>
      </c>
      <c r="K51" s="31">
        <f>K47-K50</f>
        <v/>
      </c>
      <c r="L51" s="31">
        <f>L47-L50</f>
        <v/>
      </c>
      <c r="M51" s="31">
        <f>M47-M50</f>
        <v/>
      </c>
      <c r="N51" s="31">
        <f>N47-N50</f>
        <v/>
      </c>
      <c r="O51" s="31">
        <f>O47-O50</f>
        <v/>
      </c>
      <c r="P51" s="31">
        <f>P47-P50</f>
        <v/>
      </c>
      <c r="Q51" s="31">
        <f>Q47-Q50</f>
        <v/>
      </c>
      <c r="R51" s="31">
        <f>R47-R50</f>
        <v/>
      </c>
      <c r="S51" s="31">
        <f>S47-S50</f>
        <v/>
      </c>
      <c r="T51" s="31">
        <f>T47-T50</f>
        <v/>
      </c>
      <c r="U51" s="31">
        <f>U47-U50</f>
        <v/>
      </c>
      <c r="V51" s="31">
        <f>V47-V50</f>
        <v/>
      </c>
      <c r="W51" s="31">
        <f>W47-W50</f>
        <v/>
      </c>
      <c r="X51" s="31">
        <f>X47-X50</f>
        <v/>
      </c>
      <c r="Y51" s="31">
        <f>Y47-Y50</f>
        <v/>
      </c>
      <c r="Z51" s="31">
        <f>Z47-Z50</f>
        <v/>
      </c>
      <c r="AA51" s="31">
        <f>AA47-AA50</f>
        <v/>
      </c>
      <c r="AB51" s="31">
        <f>AB47-AB50</f>
        <v/>
      </c>
      <c r="AC51" s="31">
        <f>AC47-AC50</f>
        <v/>
      </c>
      <c r="AD51" s="31">
        <f>AD47-AD50</f>
        <v/>
      </c>
      <c r="AE51" s="31">
        <f>AE47-AE50</f>
        <v/>
      </c>
      <c r="AF51" s="31">
        <f>AF47-AF50</f>
        <v/>
      </c>
      <c r="AG51" s="31">
        <f>AG47-AG50</f>
        <v/>
      </c>
      <c r="AH51" s="31">
        <f>AH47-AH50</f>
        <v/>
      </c>
      <c r="AI51" s="31">
        <f>AI47-AI50</f>
        <v/>
      </c>
    </row>
    <row r="52">
      <c r="B52" s="2" t="inlineStr">
        <is>
          <t xml:space="preserve">  Maintenance capex</t>
        </is>
      </c>
      <c r="D52" s="19">
        <f>D39*i_R_mc*D18</f>
        <v/>
      </c>
      <c r="E52" s="19">
        <f>E39*i_R_mc*E18</f>
        <v/>
      </c>
      <c r="F52" s="19">
        <f>F39*i_R_mc*F18</f>
        <v/>
      </c>
      <c r="G52" s="19">
        <f>G39*i_R_mc*G18</f>
        <v/>
      </c>
      <c r="H52" s="19">
        <f>H39*i_R_mc*H18</f>
        <v/>
      </c>
      <c r="I52" s="19">
        <f>I39*i_R_mc*I18</f>
        <v/>
      </c>
      <c r="J52" s="19">
        <f>J39*i_R_mc*J18</f>
        <v/>
      </c>
      <c r="K52" s="19">
        <f>K39*i_R_mc*K18</f>
        <v/>
      </c>
      <c r="L52" s="19">
        <f>L39*i_R_mc*L18</f>
        <v/>
      </c>
      <c r="M52" s="19">
        <f>M39*i_R_mc*M18</f>
        <v/>
      </c>
      <c r="N52" s="19">
        <f>N39*i_R_mc*N18</f>
        <v/>
      </c>
      <c r="O52" s="19">
        <f>O39*i_R_mc*O18</f>
        <v/>
      </c>
      <c r="P52" s="19">
        <f>P39*i_R_mc*P18</f>
        <v/>
      </c>
      <c r="Q52" s="19">
        <f>Q39*i_R_mc*Q18</f>
        <v/>
      </c>
      <c r="R52" s="19">
        <f>R39*i_R_mc*R18</f>
        <v/>
      </c>
      <c r="S52" s="19">
        <f>S39*i_R_mc*S18</f>
        <v/>
      </c>
      <c r="T52" s="19">
        <f>T39*i_R_mc*T18</f>
        <v/>
      </c>
      <c r="U52" s="19">
        <f>U39*i_R_mc*U18</f>
        <v/>
      </c>
      <c r="V52" s="19">
        <f>V39*i_R_mc*V18</f>
        <v/>
      </c>
      <c r="W52" s="19">
        <f>W39*i_R_mc*W18</f>
        <v/>
      </c>
      <c r="X52" s="19">
        <f>X39*i_R_mc*X18</f>
        <v/>
      </c>
      <c r="Y52" s="19">
        <f>Y39*i_R_mc*Y18</f>
        <v/>
      </c>
      <c r="Z52" s="19">
        <f>Z39*i_R_mc*Z18</f>
        <v/>
      </c>
      <c r="AA52" s="19">
        <f>AA39*i_R_mc*AA18</f>
        <v/>
      </c>
      <c r="AB52" s="19">
        <f>AB39*i_R_mc*AB18</f>
        <v/>
      </c>
      <c r="AC52" s="19">
        <f>AC39*i_R_mc*AC18</f>
        <v/>
      </c>
      <c r="AD52" s="19">
        <f>AD39*i_R_mc*AD18</f>
        <v/>
      </c>
      <c r="AE52" s="19">
        <f>AE39*i_R_mc*AE18</f>
        <v/>
      </c>
      <c r="AF52" s="19">
        <f>AF39*i_R_mc*AF18</f>
        <v/>
      </c>
      <c r="AG52" s="19">
        <f>AG39*i_R_mc*AG18</f>
        <v/>
      </c>
      <c r="AH52" s="19">
        <f>AH39*i_R_mc*AH18</f>
        <v/>
      </c>
      <c r="AI52" s="19">
        <f>AI39*i_R_mc*AI18</f>
        <v/>
      </c>
    </row>
    <row r="53">
      <c r="B53" s="3" t="inlineStr">
        <is>
          <t>Thamesbridge</t>
        </is>
      </c>
    </row>
    <row r="54">
      <c r="B54" s="2" t="inlineStr">
        <is>
          <t xml:space="preserve">  Capacity in service (million m3)</t>
        </is>
      </c>
      <c r="D54" s="24">
        <f>i_T_cap</f>
        <v/>
      </c>
      <c r="E54" s="24">
        <f>i_T_cap</f>
        <v/>
      </c>
      <c r="F54" s="24">
        <f>i_T_cap</f>
        <v/>
      </c>
      <c r="G54" s="24">
        <f>i_T_cap</f>
        <v/>
      </c>
      <c r="H54" s="24">
        <f>i_T_cap</f>
        <v/>
      </c>
      <c r="I54" s="24">
        <f>i_T_cap</f>
        <v/>
      </c>
      <c r="J54" s="24">
        <f>i_T_cap</f>
        <v/>
      </c>
      <c r="K54" s="24">
        <f>i_T_cap</f>
        <v/>
      </c>
      <c r="L54" s="24">
        <f>i_T_cap</f>
        <v/>
      </c>
      <c r="M54" s="24">
        <f>i_T_cap</f>
        <v/>
      </c>
      <c r="N54" s="24">
        <f>i_T_cap</f>
        <v/>
      </c>
      <c r="O54" s="24">
        <f>i_T_cap</f>
        <v/>
      </c>
      <c r="P54" s="24">
        <f>i_T_cap</f>
        <v/>
      </c>
      <c r="Q54" s="24">
        <f>i_T_cap</f>
        <v/>
      </c>
      <c r="R54" s="24">
        <f>i_T_cap</f>
        <v/>
      </c>
      <c r="S54" s="24">
        <f>i_T_cap</f>
        <v/>
      </c>
      <c r="T54" s="24">
        <f>i_T_cap</f>
        <v/>
      </c>
      <c r="U54" s="24">
        <f>i_T_cap</f>
        <v/>
      </c>
      <c r="V54" s="24">
        <f>i_T_cap</f>
        <v/>
      </c>
      <c r="W54" s="24">
        <f>i_T_cap</f>
        <v/>
      </c>
      <c r="X54" s="24">
        <f>i_T_cap</f>
        <v/>
      </c>
      <c r="Y54" s="24">
        <f>i_T_cap</f>
        <v/>
      </c>
      <c r="Z54" s="24">
        <f>i_T_cap</f>
        <v/>
      </c>
      <c r="AA54" s="24">
        <f>i_T_cap</f>
        <v/>
      </c>
      <c r="AB54" s="24">
        <f>i_T_cap</f>
        <v/>
      </c>
      <c r="AC54" s="24">
        <f>i_T_cap</f>
        <v/>
      </c>
      <c r="AD54" s="24">
        <f>i_T_cap</f>
        <v/>
      </c>
      <c r="AE54" s="24">
        <f>i_T_cap</f>
        <v/>
      </c>
      <c r="AF54" s="24">
        <f>i_T_cap</f>
        <v/>
      </c>
      <c r="AG54" s="24">
        <f>i_T_cap</f>
        <v/>
      </c>
      <c r="AH54" s="24">
        <f>i_T_cap</f>
        <v/>
      </c>
      <c r="AI54" s="24">
        <f>i_T_cap</f>
        <v/>
      </c>
    </row>
    <row r="55">
      <c r="B55" s="2" t="inlineStr">
        <is>
          <t xml:space="preserve">  Share on contracts signed before 2027</t>
        </is>
      </c>
      <c r="D55" s="21">
        <f>SUMIF(i_book_years,D$3,i_T_book)</f>
        <v/>
      </c>
      <c r="E55" s="21">
        <f>SUMIF(i_book_years,E$3,i_T_book)</f>
        <v/>
      </c>
      <c r="F55" s="21">
        <f>SUMIF(i_book_years,F$3,i_T_book)</f>
        <v/>
      </c>
      <c r="G55" s="21">
        <f>SUMIF(i_book_years,G$3,i_T_book)</f>
        <v/>
      </c>
      <c r="H55" s="21">
        <f>SUMIF(i_book_years,H$3,i_T_book)</f>
        <v/>
      </c>
      <c r="I55" s="21">
        <f>SUMIF(i_book_years,I$3,i_T_book)</f>
        <v/>
      </c>
      <c r="J55" s="21">
        <f>SUMIF(i_book_years,J$3,i_T_book)</f>
        <v/>
      </c>
      <c r="K55" s="21">
        <f>SUMIF(i_book_years,K$3,i_T_book)</f>
        <v/>
      </c>
      <c r="L55" s="21">
        <f>SUMIF(i_book_years,L$3,i_T_book)</f>
        <v/>
      </c>
      <c r="M55" s="21">
        <f>SUMIF(i_book_years,M$3,i_T_book)</f>
        <v/>
      </c>
      <c r="N55" s="21">
        <f>SUMIF(i_book_years,N$3,i_T_book)</f>
        <v/>
      </c>
      <c r="O55" s="21">
        <f>SUMIF(i_book_years,O$3,i_T_book)</f>
        <v/>
      </c>
      <c r="P55" s="21">
        <f>SUMIF(i_book_years,P$3,i_T_book)</f>
        <v/>
      </c>
      <c r="Q55" s="21">
        <f>SUMIF(i_book_years,Q$3,i_T_book)</f>
        <v/>
      </c>
      <c r="R55" s="21">
        <f>SUMIF(i_book_years,R$3,i_T_book)</f>
        <v/>
      </c>
      <c r="S55" s="21">
        <f>SUMIF(i_book_years,S$3,i_T_book)</f>
        <v/>
      </c>
      <c r="T55" s="21">
        <f>SUMIF(i_book_years,T$3,i_T_book)</f>
        <v/>
      </c>
      <c r="U55" s="21">
        <f>SUMIF(i_book_years,U$3,i_T_book)</f>
        <v/>
      </c>
      <c r="V55" s="21">
        <f>SUMIF(i_book_years,V$3,i_T_book)</f>
        <v/>
      </c>
      <c r="W55" s="21">
        <f>SUMIF(i_book_years,W$3,i_T_book)</f>
        <v/>
      </c>
      <c r="X55" s="21">
        <f>SUMIF(i_book_years,X$3,i_T_book)</f>
        <v/>
      </c>
      <c r="Y55" s="21">
        <f>SUMIF(i_book_years,Y$3,i_T_book)</f>
        <v/>
      </c>
      <c r="Z55" s="21">
        <f>SUMIF(i_book_years,Z$3,i_T_book)</f>
        <v/>
      </c>
      <c r="AA55" s="21">
        <f>SUMIF(i_book_years,AA$3,i_T_book)</f>
        <v/>
      </c>
      <c r="AB55" s="21">
        <f>SUMIF(i_book_years,AB$3,i_T_book)</f>
        <v/>
      </c>
      <c r="AC55" s="21">
        <f>SUMIF(i_book_years,AC$3,i_T_book)</f>
        <v/>
      </c>
      <c r="AD55" s="21">
        <f>SUMIF(i_book_years,AD$3,i_T_book)</f>
        <v/>
      </c>
      <c r="AE55" s="21">
        <f>SUMIF(i_book_years,AE$3,i_T_book)</f>
        <v/>
      </c>
      <c r="AF55" s="21">
        <f>SUMIF(i_book_years,AF$3,i_T_book)</f>
        <v/>
      </c>
      <c r="AG55" s="21">
        <f>SUMIF(i_book_years,AG$3,i_T_book)</f>
        <v/>
      </c>
      <c r="AH55" s="21">
        <f>SUMIF(i_book_years,AH$3,i_T_book)</f>
        <v/>
      </c>
      <c r="AI55" s="21">
        <f>SUMIF(i_book_years,AI$3,i_T_book)</f>
        <v/>
      </c>
    </row>
    <row r="56">
      <c r="B56" s="2" t="inlineStr">
        <is>
          <t xml:space="preserve">  Recontracting factor against current rates</t>
        </is>
      </c>
      <c r="D56" s="21">
        <f>IF(D$4=0,0,IF(Segments!$C$8=1,i_T_mtm,i_T_mtm_plan)+Segments!$C$14)</f>
        <v/>
      </c>
      <c r="E56" s="21">
        <f>IF(E$4=0,0,IF(Segments!$C$8=1,i_T_mtm,i_T_mtm_plan)+Segments!$C$14)</f>
        <v/>
      </c>
      <c r="F56" s="21">
        <f>IF(F$4=0,0,IF(Segments!$C$8=1,i_T_mtm,i_T_mtm_plan)+Segments!$C$14)</f>
        <v/>
      </c>
      <c r="G56" s="21">
        <f>IF(G$4=0,0,IF(Segments!$C$8=1,i_T_mtm,i_T_mtm_plan)+Segments!$C$14)</f>
        <v/>
      </c>
      <c r="H56" s="21">
        <f>IF(H$4=0,0,IF(Segments!$C$8=1,i_T_mtm,i_T_mtm_plan)+Segments!$C$14)</f>
        <v/>
      </c>
      <c r="I56" s="21">
        <f>IF(I$4=0,0,IF(Segments!$C$8=1,i_T_mtm,i_T_mtm_plan)+Segments!$C$14)</f>
        <v/>
      </c>
      <c r="J56" s="21">
        <f>IF(J$4=0,0,IF(Segments!$C$8=1,i_T_mtm,i_T_mtm_plan)+Segments!$C$14)</f>
        <v/>
      </c>
      <c r="K56" s="21">
        <f>IF(K$4=0,0,IF(Segments!$C$8=1,i_T_mtm,i_T_mtm_plan)+Segments!$C$14)</f>
        <v/>
      </c>
      <c r="L56" s="21">
        <f>IF(L$4=0,0,IF(Segments!$C$8=1,i_T_mtm,i_T_mtm_plan)+Segments!$C$14)</f>
        <v/>
      </c>
      <c r="M56" s="21">
        <f>IF(M$4=0,0,IF(Segments!$C$8=1,i_T_mtm,i_T_mtm_plan)+Segments!$C$14)</f>
        <v/>
      </c>
      <c r="N56" s="21">
        <f>IF(N$4=0,0,IF(Segments!$C$8=1,i_T_mtm,i_T_mtm_plan)+Segments!$C$14)</f>
        <v/>
      </c>
      <c r="O56" s="21">
        <f>IF(O$4=0,0,IF(Segments!$C$8=1,i_T_mtm,i_T_mtm_plan)+Segments!$C$14)</f>
        <v/>
      </c>
      <c r="P56" s="21">
        <f>IF(P$4=0,0,IF(Segments!$C$8=1,i_T_mtm,i_T_mtm_plan)+Segments!$C$14)</f>
        <v/>
      </c>
      <c r="Q56" s="21">
        <f>IF(Q$4=0,0,IF(Segments!$C$8=1,i_T_mtm,i_T_mtm_plan)+Segments!$C$14)</f>
        <v/>
      </c>
      <c r="R56" s="21">
        <f>IF(R$4=0,0,IF(Segments!$C$8=1,i_T_mtm,i_T_mtm_plan)+Segments!$C$14)</f>
        <v/>
      </c>
      <c r="S56" s="21">
        <f>IF(S$4=0,0,IF(Segments!$C$8=1,i_T_mtm,i_T_mtm_plan)+Segments!$C$14)</f>
        <v/>
      </c>
      <c r="T56" s="21">
        <f>IF(T$4=0,0,IF(Segments!$C$8=1,i_T_mtm,i_T_mtm_plan)+Segments!$C$14)</f>
        <v/>
      </c>
      <c r="U56" s="21">
        <f>IF(U$4=0,0,IF(Segments!$C$8=1,i_T_mtm,i_T_mtm_plan)+Segments!$C$14)</f>
        <v/>
      </c>
      <c r="V56" s="21">
        <f>IF(V$4=0,0,IF(Segments!$C$8=1,i_T_mtm,i_T_mtm_plan)+Segments!$C$14)</f>
        <v/>
      </c>
      <c r="W56" s="21">
        <f>IF(W$4=0,0,IF(Segments!$C$8=1,i_T_mtm,i_T_mtm_plan)+Segments!$C$14)</f>
        <v/>
      </c>
      <c r="X56" s="21">
        <f>IF(X$4=0,0,IF(Segments!$C$8=1,i_T_mtm,i_T_mtm_plan)+Segments!$C$14)</f>
        <v/>
      </c>
      <c r="Y56" s="21">
        <f>IF(Y$4=0,0,IF(Segments!$C$8=1,i_T_mtm,i_T_mtm_plan)+Segments!$C$14)</f>
        <v/>
      </c>
      <c r="Z56" s="21">
        <f>IF(Z$4=0,0,IF(Segments!$C$8=1,i_T_mtm,i_T_mtm_plan)+Segments!$C$14)</f>
        <v/>
      </c>
      <c r="AA56" s="21">
        <f>IF(AA$4=0,0,IF(Segments!$C$8=1,i_T_mtm,i_T_mtm_plan)+Segments!$C$14)</f>
        <v/>
      </c>
      <c r="AB56" s="21">
        <f>IF(AB$4=0,0,IF(Segments!$C$8=1,i_T_mtm,i_T_mtm_plan)+Segments!$C$14)</f>
        <v/>
      </c>
      <c r="AC56" s="21">
        <f>IF(AC$4=0,0,IF(Segments!$C$8=1,i_T_mtm,i_T_mtm_plan)+Segments!$C$14)</f>
        <v/>
      </c>
      <c r="AD56" s="21">
        <f>IF(AD$4=0,0,IF(Segments!$C$8=1,i_T_mtm,i_T_mtm_plan)+Segments!$C$14)</f>
        <v/>
      </c>
      <c r="AE56" s="21">
        <f>IF(AE$4=0,0,IF(Segments!$C$8=1,i_T_mtm,i_T_mtm_plan)+Segments!$C$14)</f>
        <v/>
      </c>
      <c r="AF56" s="21">
        <f>IF(AF$4=0,0,IF(Segments!$C$8=1,i_T_mtm,i_T_mtm_plan)+Segments!$C$14)</f>
        <v/>
      </c>
      <c r="AG56" s="21">
        <f>IF(AG$4=0,0,IF(Segments!$C$8=1,i_T_mtm,i_T_mtm_plan)+Segments!$C$14)</f>
        <v/>
      </c>
      <c r="AH56" s="21">
        <f>IF(AH$4=0,0,IF(Segments!$C$8=1,i_T_mtm,i_T_mtm_plan)+Segments!$C$14)</f>
        <v/>
      </c>
      <c r="AI56" s="21">
        <f>IF(AI$4=0,0,IF(Segments!$C$8=1,i_T_mtm,i_T_mtm_plan)+Segments!$C$14)</f>
        <v/>
      </c>
    </row>
    <row r="57">
      <c r="B57" s="2" t="inlineStr">
        <is>
          <t xml:space="preserve">  Average rate ($ per m3 per month)</t>
        </is>
      </c>
      <c r="D57" s="24">
        <f>i_T_rate*D19*(D55+(1-D55)*(1+D56))</f>
        <v/>
      </c>
      <c r="E57" s="24">
        <f>i_T_rate*E19*(E55+(1-E55)*(1+E56))</f>
        <v/>
      </c>
      <c r="F57" s="24">
        <f>i_T_rate*F19*(F55+(1-F55)*(1+F56))</f>
        <v/>
      </c>
      <c r="G57" s="24">
        <f>i_T_rate*G19*(G55+(1-G55)*(1+G56))</f>
        <v/>
      </c>
      <c r="H57" s="24">
        <f>i_T_rate*H19*(H55+(1-H55)*(1+H56))</f>
        <v/>
      </c>
      <c r="I57" s="24">
        <f>i_T_rate*I19*(I55+(1-I55)*(1+I56))</f>
        <v/>
      </c>
      <c r="J57" s="24">
        <f>i_T_rate*J19*(J55+(1-J55)*(1+J56))</f>
        <v/>
      </c>
      <c r="K57" s="24">
        <f>i_T_rate*K19*(K55+(1-K55)*(1+K56))</f>
        <v/>
      </c>
      <c r="L57" s="24">
        <f>i_T_rate*L19*(L55+(1-L55)*(1+L56))</f>
        <v/>
      </c>
      <c r="M57" s="24">
        <f>i_T_rate*M19*(M55+(1-M55)*(1+M56))</f>
        <v/>
      </c>
      <c r="N57" s="24">
        <f>i_T_rate*N19*(N55+(1-N55)*(1+N56))</f>
        <v/>
      </c>
      <c r="O57" s="24">
        <f>i_T_rate*O19*(O55+(1-O55)*(1+O56))</f>
        <v/>
      </c>
      <c r="P57" s="24">
        <f>i_T_rate*P19*(P55+(1-P55)*(1+P56))</f>
        <v/>
      </c>
      <c r="Q57" s="24">
        <f>i_T_rate*Q19*(Q55+(1-Q55)*(1+Q56))</f>
        <v/>
      </c>
      <c r="R57" s="24">
        <f>i_T_rate*R19*(R55+(1-R55)*(1+R56))</f>
        <v/>
      </c>
      <c r="S57" s="24">
        <f>i_T_rate*S19*(S55+(1-S55)*(1+S56))</f>
        <v/>
      </c>
      <c r="T57" s="24">
        <f>i_T_rate*T19*(T55+(1-T55)*(1+T56))</f>
        <v/>
      </c>
      <c r="U57" s="24">
        <f>i_T_rate*U19*(U55+(1-U55)*(1+U56))</f>
        <v/>
      </c>
      <c r="V57" s="24">
        <f>i_T_rate*V19*(V55+(1-V55)*(1+V56))</f>
        <v/>
      </c>
      <c r="W57" s="24">
        <f>i_T_rate*W19*(W55+(1-W55)*(1+W56))</f>
        <v/>
      </c>
      <c r="X57" s="24">
        <f>i_T_rate*X19*(X55+(1-X55)*(1+X56))</f>
        <v/>
      </c>
      <c r="Y57" s="24">
        <f>i_T_rate*Y19*(Y55+(1-Y55)*(1+Y56))</f>
        <v/>
      </c>
      <c r="Z57" s="24">
        <f>i_T_rate*Z19*(Z55+(1-Z55)*(1+Z56))</f>
        <v/>
      </c>
      <c r="AA57" s="24">
        <f>i_T_rate*AA19*(AA55+(1-AA55)*(1+AA56))</f>
        <v/>
      </c>
      <c r="AB57" s="24">
        <f>i_T_rate*AB19*(AB55+(1-AB55)*(1+AB56))</f>
        <v/>
      </c>
      <c r="AC57" s="24">
        <f>i_T_rate*AC19*(AC55+(1-AC55)*(1+AC56))</f>
        <v/>
      </c>
      <c r="AD57" s="24">
        <f>i_T_rate*AD19*(AD55+(1-AD55)*(1+AD56))</f>
        <v/>
      </c>
      <c r="AE57" s="24">
        <f>i_T_rate*AE19*(AE55+(1-AE55)*(1+AE56))</f>
        <v/>
      </c>
      <c r="AF57" s="24">
        <f>i_T_rate*AF19*(AF55+(1-AF55)*(1+AF56))</f>
        <v/>
      </c>
      <c r="AG57" s="24">
        <f>i_T_rate*AG19*(AG55+(1-AG55)*(1+AG56))</f>
        <v/>
      </c>
      <c r="AH57" s="24">
        <f>i_T_rate*AH19*(AH55+(1-AH55)*(1+AH56))</f>
        <v/>
      </c>
      <c r="AI57" s="24">
        <f>i_T_rate*AI19*(AI55+(1-AI55)*(1+AI56))</f>
        <v/>
      </c>
    </row>
    <row r="58">
      <c r="B58" s="2" t="inlineStr">
        <is>
          <t xml:space="preserve">  Occupancy after the transition decline and floor</t>
        </is>
      </c>
      <c r="D58" s="21">
        <f>IF(D$3&gt;i_trans_start,MAX(i_T_floor,i_T_occ-i_T_dec*(D$3-i_trans_start)),i_T_occ)</f>
        <v/>
      </c>
      <c r="E58" s="21">
        <f>IF(E$3&gt;i_trans_start,MAX(i_T_floor,i_T_occ-i_T_dec*(E$3-i_trans_start)),i_T_occ)</f>
        <v/>
      </c>
      <c r="F58" s="21">
        <f>IF(F$3&gt;i_trans_start,MAX(i_T_floor,i_T_occ-i_T_dec*(F$3-i_trans_start)),i_T_occ)</f>
        <v/>
      </c>
      <c r="G58" s="21">
        <f>IF(G$3&gt;i_trans_start,MAX(i_T_floor,i_T_occ-i_T_dec*(G$3-i_trans_start)),i_T_occ)</f>
        <v/>
      </c>
      <c r="H58" s="21">
        <f>IF(H$3&gt;i_trans_start,MAX(i_T_floor,i_T_occ-i_T_dec*(H$3-i_trans_start)),i_T_occ)</f>
        <v/>
      </c>
      <c r="I58" s="21">
        <f>IF(I$3&gt;i_trans_start,MAX(i_T_floor,i_T_occ-i_T_dec*(I$3-i_trans_start)),i_T_occ)</f>
        <v/>
      </c>
      <c r="J58" s="21">
        <f>IF(J$3&gt;i_trans_start,MAX(i_T_floor,i_T_occ-i_T_dec*(J$3-i_trans_start)),i_T_occ)</f>
        <v/>
      </c>
      <c r="K58" s="21">
        <f>IF(K$3&gt;i_trans_start,MAX(i_T_floor,i_T_occ-i_T_dec*(K$3-i_trans_start)),i_T_occ)</f>
        <v/>
      </c>
      <c r="L58" s="21">
        <f>IF(L$3&gt;i_trans_start,MAX(i_T_floor,i_T_occ-i_T_dec*(L$3-i_trans_start)),i_T_occ)</f>
        <v/>
      </c>
      <c r="M58" s="21">
        <f>IF(M$3&gt;i_trans_start,MAX(i_T_floor,i_T_occ-i_T_dec*(M$3-i_trans_start)),i_T_occ)</f>
        <v/>
      </c>
      <c r="N58" s="21">
        <f>IF(N$3&gt;i_trans_start,MAX(i_T_floor,i_T_occ-i_T_dec*(N$3-i_trans_start)),i_T_occ)</f>
        <v/>
      </c>
      <c r="O58" s="21">
        <f>IF(O$3&gt;i_trans_start,MAX(i_T_floor,i_T_occ-i_T_dec*(O$3-i_trans_start)),i_T_occ)</f>
        <v/>
      </c>
      <c r="P58" s="21">
        <f>IF(P$3&gt;i_trans_start,MAX(i_T_floor,i_T_occ-i_T_dec*(P$3-i_trans_start)),i_T_occ)</f>
        <v/>
      </c>
      <c r="Q58" s="21">
        <f>IF(Q$3&gt;i_trans_start,MAX(i_T_floor,i_T_occ-i_T_dec*(Q$3-i_trans_start)),i_T_occ)</f>
        <v/>
      </c>
      <c r="R58" s="21">
        <f>IF(R$3&gt;i_trans_start,MAX(i_T_floor,i_T_occ-i_T_dec*(R$3-i_trans_start)),i_T_occ)</f>
        <v/>
      </c>
      <c r="S58" s="21">
        <f>IF(S$3&gt;i_trans_start,MAX(i_T_floor,i_T_occ-i_T_dec*(S$3-i_trans_start)),i_T_occ)</f>
        <v/>
      </c>
      <c r="T58" s="21">
        <f>IF(T$3&gt;i_trans_start,MAX(i_T_floor,i_T_occ-i_T_dec*(T$3-i_trans_start)),i_T_occ)</f>
        <v/>
      </c>
      <c r="U58" s="21">
        <f>IF(U$3&gt;i_trans_start,MAX(i_T_floor,i_T_occ-i_T_dec*(U$3-i_trans_start)),i_T_occ)</f>
        <v/>
      </c>
      <c r="V58" s="21">
        <f>IF(V$3&gt;i_trans_start,MAX(i_T_floor,i_T_occ-i_T_dec*(V$3-i_trans_start)),i_T_occ)</f>
        <v/>
      </c>
      <c r="W58" s="21">
        <f>IF(W$3&gt;i_trans_start,MAX(i_T_floor,i_T_occ-i_T_dec*(W$3-i_trans_start)),i_T_occ)</f>
        <v/>
      </c>
      <c r="X58" s="21">
        <f>IF(X$3&gt;i_trans_start,MAX(i_T_floor,i_T_occ-i_T_dec*(X$3-i_trans_start)),i_T_occ)</f>
        <v/>
      </c>
      <c r="Y58" s="21">
        <f>IF(Y$3&gt;i_trans_start,MAX(i_T_floor,i_T_occ-i_T_dec*(Y$3-i_trans_start)),i_T_occ)</f>
        <v/>
      </c>
      <c r="Z58" s="21">
        <f>IF(Z$3&gt;i_trans_start,MAX(i_T_floor,i_T_occ-i_T_dec*(Z$3-i_trans_start)),i_T_occ)</f>
        <v/>
      </c>
      <c r="AA58" s="21">
        <f>IF(AA$3&gt;i_trans_start,MAX(i_T_floor,i_T_occ-i_T_dec*(AA$3-i_trans_start)),i_T_occ)</f>
        <v/>
      </c>
      <c r="AB58" s="21">
        <f>IF(AB$3&gt;i_trans_start,MAX(i_T_floor,i_T_occ-i_T_dec*(AB$3-i_trans_start)),i_T_occ)</f>
        <v/>
      </c>
      <c r="AC58" s="21">
        <f>IF(AC$3&gt;i_trans_start,MAX(i_T_floor,i_T_occ-i_T_dec*(AC$3-i_trans_start)),i_T_occ)</f>
        <v/>
      </c>
      <c r="AD58" s="21">
        <f>IF(AD$3&gt;i_trans_start,MAX(i_T_floor,i_T_occ-i_T_dec*(AD$3-i_trans_start)),i_T_occ)</f>
        <v/>
      </c>
      <c r="AE58" s="21">
        <f>IF(AE$3&gt;i_trans_start,MAX(i_T_floor,i_T_occ-i_T_dec*(AE$3-i_trans_start)),i_T_occ)</f>
        <v/>
      </c>
      <c r="AF58" s="21">
        <f>IF(AF$3&gt;i_trans_start,MAX(i_T_floor,i_T_occ-i_T_dec*(AF$3-i_trans_start)),i_T_occ)</f>
        <v/>
      </c>
      <c r="AG58" s="21">
        <f>IF(AG$3&gt;i_trans_start,MAX(i_T_floor,i_T_occ-i_T_dec*(AG$3-i_trans_start)),i_T_occ)</f>
        <v/>
      </c>
      <c r="AH58" s="21">
        <f>IF(AH$3&gt;i_trans_start,MAX(i_T_floor,i_T_occ-i_T_dec*(AH$3-i_trans_start)),i_T_occ)</f>
        <v/>
      </c>
      <c r="AI58" s="21">
        <f>IF(AI$3&gt;i_trans_start,MAX(i_T_floor,i_T_occ-i_T_dec*(AI$3-i_trans_start)),i_T_occ)</f>
        <v/>
      </c>
    </row>
    <row r="59">
      <c r="B59" s="2" t="inlineStr">
        <is>
          <t xml:space="preserve">  Occupancy (with the shift switch from 2027)</t>
        </is>
      </c>
      <c r="D59" s="21">
        <f>IF(D$4&gt;0,MIN(1,D58+Segments!$C$13),D58)</f>
        <v/>
      </c>
      <c r="E59" s="21">
        <f>IF(E$4&gt;0,MIN(1,E58+Segments!$C$13),E58)</f>
        <v/>
      </c>
      <c r="F59" s="21">
        <f>IF(F$4&gt;0,MIN(1,F58+Segments!$C$13),F58)</f>
        <v/>
      </c>
      <c r="G59" s="21">
        <f>IF(G$4&gt;0,MIN(1,G58+Segments!$C$13),G58)</f>
        <v/>
      </c>
      <c r="H59" s="21">
        <f>IF(H$4&gt;0,MIN(1,H58+Segments!$C$13),H58)</f>
        <v/>
      </c>
      <c r="I59" s="21">
        <f>IF(I$4&gt;0,MIN(1,I58+Segments!$C$13),I58)</f>
        <v/>
      </c>
      <c r="J59" s="21">
        <f>IF(J$4&gt;0,MIN(1,J58+Segments!$C$13),J58)</f>
        <v/>
      </c>
      <c r="K59" s="21">
        <f>IF(K$4&gt;0,MIN(1,K58+Segments!$C$13),K58)</f>
        <v/>
      </c>
      <c r="L59" s="21">
        <f>IF(L$4&gt;0,MIN(1,L58+Segments!$C$13),L58)</f>
        <v/>
      </c>
      <c r="M59" s="21">
        <f>IF(M$4&gt;0,MIN(1,M58+Segments!$C$13),M58)</f>
        <v/>
      </c>
      <c r="N59" s="21">
        <f>IF(N$4&gt;0,MIN(1,N58+Segments!$C$13),N58)</f>
        <v/>
      </c>
      <c r="O59" s="21">
        <f>IF(O$4&gt;0,MIN(1,O58+Segments!$C$13),O58)</f>
        <v/>
      </c>
      <c r="P59" s="21">
        <f>IF(P$4&gt;0,MIN(1,P58+Segments!$C$13),P58)</f>
        <v/>
      </c>
      <c r="Q59" s="21">
        <f>IF(Q$4&gt;0,MIN(1,Q58+Segments!$C$13),Q58)</f>
        <v/>
      </c>
      <c r="R59" s="21">
        <f>IF(R$4&gt;0,MIN(1,R58+Segments!$C$13),R58)</f>
        <v/>
      </c>
      <c r="S59" s="21">
        <f>IF(S$4&gt;0,MIN(1,S58+Segments!$C$13),S58)</f>
        <v/>
      </c>
      <c r="T59" s="21">
        <f>IF(T$4&gt;0,MIN(1,T58+Segments!$C$13),T58)</f>
        <v/>
      </c>
      <c r="U59" s="21">
        <f>IF(U$4&gt;0,MIN(1,U58+Segments!$C$13),U58)</f>
        <v/>
      </c>
      <c r="V59" s="21">
        <f>IF(V$4&gt;0,MIN(1,V58+Segments!$C$13),V58)</f>
        <v/>
      </c>
      <c r="W59" s="21">
        <f>IF(W$4&gt;0,MIN(1,W58+Segments!$C$13),W58)</f>
        <v/>
      </c>
      <c r="X59" s="21">
        <f>IF(X$4&gt;0,MIN(1,X58+Segments!$C$13),X58)</f>
        <v/>
      </c>
      <c r="Y59" s="21">
        <f>IF(Y$4&gt;0,MIN(1,Y58+Segments!$C$13),Y58)</f>
        <v/>
      </c>
      <c r="Z59" s="21">
        <f>IF(Z$4&gt;0,MIN(1,Z58+Segments!$C$13),Z58)</f>
        <v/>
      </c>
      <c r="AA59" s="21">
        <f>IF(AA$4&gt;0,MIN(1,AA58+Segments!$C$13),AA58)</f>
        <v/>
      </c>
      <c r="AB59" s="21">
        <f>IF(AB$4&gt;0,MIN(1,AB58+Segments!$C$13),AB58)</f>
        <v/>
      </c>
      <c r="AC59" s="21">
        <f>IF(AC$4&gt;0,MIN(1,AC58+Segments!$C$13),AC58)</f>
        <v/>
      </c>
      <c r="AD59" s="21">
        <f>IF(AD$4&gt;0,MIN(1,AD58+Segments!$C$13),AD58)</f>
        <v/>
      </c>
      <c r="AE59" s="21">
        <f>IF(AE$4&gt;0,MIN(1,AE58+Segments!$C$13),AE58)</f>
        <v/>
      </c>
      <c r="AF59" s="21">
        <f>IF(AF$4&gt;0,MIN(1,AF58+Segments!$C$13),AF58)</f>
        <v/>
      </c>
      <c r="AG59" s="21">
        <f>IF(AG$4&gt;0,MIN(1,AG58+Segments!$C$13),AG58)</f>
        <v/>
      </c>
      <c r="AH59" s="21">
        <f>IF(AH$4&gt;0,MIN(1,AH58+Segments!$C$13),AH58)</f>
        <v/>
      </c>
      <c r="AI59" s="21">
        <f>IF(AI$4&gt;0,MIN(1,AI58+Segments!$C$13),AI58)</f>
        <v/>
      </c>
    </row>
    <row r="60">
      <c r="B60" s="2" t="inlineStr">
        <is>
          <t xml:space="preserve">  Storage revenue</t>
        </is>
      </c>
      <c r="D60" s="19">
        <f>D54*D57*12*D59</f>
        <v/>
      </c>
      <c r="E60" s="19">
        <f>E54*E57*12*E59</f>
        <v/>
      </c>
      <c r="F60" s="19">
        <f>F54*F57*12*F59</f>
        <v/>
      </c>
      <c r="G60" s="19">
        <f>G54*G57*12*G59</f>
        <v/>
      </c>
      <c r="H60" s="19">
        <f>H54*H57*12*H59</f>
        <v/>
      </c>
      <c r="I60" s="19">
        <f>I54*I57*12*I59</f>
        <v/>
      </c>
      <c r="J60" s="19">
        <f>J54*J57*12*J59</f>
        <v/>
      </c>
      <c r="K60" s="19">
        <f>K54*K57*12*K59</f>
        <v/>
      </c>
      <c r="L60" s="19">
        <f>L54*L57*12*L59</f>
        <v/>
      </c>
      <c r="M60" s="19">
        <f>M54*M57*12*M59</f>
        <v/>
      </c>
      <c r="N60" s="19">
        <f>N54*N57*12*N59</f>
        <v/>
      </c>
      <c r="O60" s="19">
        <f>O54*O57*12*O59</f>
        <v/>
      </c>
      <c r="P60" s="19">
        <f>P54*P57*12*P59</f>
        <v/>
      </c>
      <c r="Q60" s="19">
        <f>Q54*Q57*12*Q59</f>
        <v/>
      </c>
      <c r="R60" s="19">
        <f>R54*R57*12*R59</f>
        <v/>
      </c>
      <c r="S60" s="19">
        <f>S54*S57*12*S59</f>
        <v/>
      </c>
      <c r="T60" s="19">
        <f>T54*T57*12*T59</f>
        <v/>
      </c>
      <c r="U60" s="19">
        <f>U54*U57*12*U59</f>
        <v/>
      </c>
      <c r="V60" s="19">
        <f>V54*V57*12*V59</f>
        <v/>
      </c>
      <c r="W60" s="19">
        <f>W54*W57*12*W59</f>
        <v/>
      </c>
      <c r="X60" s="19">
        <f>X54*X57*12*X59</f>
        <v/>
      </c>
      <c r="Y60" s="19">
        <f>Y54*Y57*12*Y59</f>
        <v/>
      </c>
      <c r="Z60" s="19">
        <f>Z54*Z57*12*Z59</f>
        <v/>
      </c>
      <c r="AA60" s="19">
        <f>AA54*AA57*12*AA59</f>
        <v/>
      </c>
      <c r="AB60" s="19">
        <f>AB54*AB57*12*AB59</f>
        <v/>
      </c>
      <c r="AC60" s="19">
        <f>AC54*AC57*12*AC59</f>
        <v/>
      </c>
      <c r="AD60" s="19">
        <f>AD54*AD57*12*AD59</f>
        <v/>
      </c>
      <c r="AE60" s="19">
        <f>AE54*AE57*12*AE59</f>
        <v/>
      </c>
      <c r="AF60" s="19">
        <f>AF54*AF57*12*AF59</f>
        <v/>
      </c>
      <c r="AG60" s="19">
        <f>AG54*AG57*12*AG59</f>
        <v/>
      </c>
      <c r="AH60" s="19">
        <f>AH54*AH57*12*AH59</f>
        <v/>
      </c>
      <c r="AI60" s="19">
        <f>AI54*AI57*12*AI59</f>
        <v/>
      </c>
    </row>
    <row r="61">
      <c r="B61" s="2" t="inlineStr">
        <is>
          <t xml:space="preserve">  Ancillary and throughput revenue</t>
        </is>
      </c>
      <c r="D61" s="19">
        <f>D60*i_T_anc</f>
        <v/>
      </c>
      <c r="E61" s="19">
        <f>E60*i_T_anc</f>
        <v/>
      </c>
      <c r="F61" s="19">
        <f>F60*i_T_anc</f>
        <v/>
      </c>
      <c r="G61" s="19">
        <f>G60*i_T_anc</f>
        <v/>
      </c>
      <c r="H61" s="19">
        <f>H60*i_T_anc</f>
        <v/>
      </c>
      <c r="I61" s="19">
        <f>I60*i_T_anc</f>
        <v/>
      </c>
      <c r="J61" s="19">
        <f>J60*i_T_anc</f>
        <v/>
      </c>
      <c r="K61" s="19">
        <f>K60*i_T_anc</f>
        <v/>
      </c>
      <c r="L61" s="19">
        <f>L60*i_T_anc</f>
        <v/>
      </c>
      <c r="M61" s="19">
        <f>M60*i_T_anc</f>
        <v/>
      </c>
      <c r="N61" s="19">
        <f>N60*i_T_anc</f>
        <v/>
      </c>
      <c r="O61" s="19">
        <f>O60*i_T_anc</f>
        <v/>
      </c>
      <c r="P61" s="19">
        <f>P60*i_T_anc</f>
        <v/>
      </c>
      <c r="Q61" s="19">
        <f>Q60*i_T_anc</f>
        <v/>
      </c>
      <c r="R61" s="19">
        <f>R60*i_T_anc</f>
        <v/>
      </c>
      <c r="S61" s="19">
        <f>S60*i_T_anc</f>
        <v/>
      </c>
      <c r="T61" s="19">
        <f>T60*i_T_anc</f>
        <v/>
      </c>
      <c r="U61" s="19">
        <f>U60*i_T_anc</f>
        <v/>
      </c>
      <c r="V61" s="19">
        <f>V60*i_T_anc</f>
        <v/>
      </c>
      <c r="W61" s="19">
        <f>W60*i_T_anc</f>
        <v/>
      </c>
      <c r="X61" s="19">
        <f>X60*i_T_anc</f>
        <v/>
      </c>
      <c r="Y61" s="19">
        <f>Y60*i_T_anc</f>
        <v/>
      </c>
      <c r="Z61" s="19">
        <f>Z60*i_T_anc</f>
        <v/>
      </c>
      <c r="AA61" s="19">
        <f>AA60*i_T_anc</f>
        <v/>
      </c>
      <c r="AB61" s="19">
        <f>AB60*i_T_anc</f>
        <v/>
      </c>
      <c r="AC61" s="19">
        <f>AC60*i_T_anc</f>
        <v/>
      </c>
      <c r="AD61" s="19">
        <f>AD60*i_T_anc</f>
        <v/>
      </c>
      <c r="AE61" s="19">
        <f>AE60*i_T_anc</f>
        <v/>
      </c>
      <c r="AF61" s="19">
        <f>AF60*i_T_anc</f>
        <v/>
      </c>
      <c r="AG61" s="19">
        <f>AG60*i_T_anc</f>
        <v/>
      </c>
      <c r="AH61" s="19">
        <f>AH60*i_T_anc</f>
        <v/>
      </c>
      <c r="AI61" s="19">
        <f>AI60*i_T_anc</f>
        <v/>
      </c>
    </row>
    <row r="62">
      <c r="B62" s="3" t="inlineStr">
        <is>
          <t xml:space="preserve">  Revenue</t>
        </is>
      </c>
      <c r="D62" s="31">
        <f>D60+D61</f>
        <v/>
      </c>
      <c r="E62" s="31">
        <f>E60+E61</f>
        <v/>
      </c>
      <c r="F62" s="31">
        <f>F60+F61</f>
        <v/>
      </c>
      <c r="G62" s="31">
        <f>G60+G61</f>
        <v/>
      </c>
      <c r="H62" s="31">
        <f>H60+H61</f>
        <v/>
      </c>
      <c r="I62" s="31">
        <f>I60+I61</f>
        <v/>
      </c>
      <c r="J62" s="31">
        <f>J60+J61</f>
        <v/>
      </c>
      <c r="K62" s="31">
        <f>K60+K61</f>
        <v/>
      </c>
      <c r="L62" s="31">
        <f>L60+L61</f>
        <v/>
      </c>
      <c r="M62" s="31">
        <f>M60+M61</f>
        <v/>
      </c>
      <c r="N62" s="31">
        <f>N60+N61</f>
        <v/>
      </c>
      <c r="O62" s="31">
        <f>O60+O61</f>
        <v/>
      </c>
      <c r="P62" s="31">
        <f>P60+P61</f>
        <v/>
      </c>
      <c r="Q62" s="31">
        <f>Q60+Q61</f>
        <v/>
      </c>
      <c r="R62" s="31">
        <f>R60+R61</f>
        <v/>
      </c>
      <c r="S62" s="31">
        <f>S60+S61</f>
        <v/>
      </c>
      <c r="T62" s="31">
        <f>T60+T61</f>
        <v/>
      </c>
      <c r="U62" s="31">
        <f>U60+U61</f>
        <v/>
      </c>
      <c r="V62" s="31">
        <f>V60+V61</f>
        <v/>
      </c>
      <c r="W62" s="31">
        <f>W60+W61</f>
        <v/>
      </c>
      <c r="X62" s="31">
        <f>X60+X61</f>
        <v/>
      </c>
      <c r="Y62" s="31">
        <f>Y60+Y61</f>
        <v/>
      </c>
      <c r="Z62" s="31">
        <f>Z60+Z61</f>
        <v/>
      </c>
      <c r="AA62" s="31">
        <f>AA60+AA61</f>
        <v/>
      </c>
      <c r="AB62" s="31">
        <f>AB60+AB61</f>
        <v/>
      </c>
      <c r="AC62" s="31">
        <f>AC60+AC61</f>
        <v/>
      </c>
      <c r="AD62" s="31">
        <f>AD60+AD61</f>
        <v/>
      </c>
      <c r="AE62" s="31">
        <f>AE60+AE61</f>
        <v/>
      </c>
      <c r="AF62" s="31">
        <f>AF60+AF61</f>
        <v/>
      </c>
      <c r="AG62" s="31">
        <f>AG60+AG61</f>
        <v/>
      </c>
      <c r="AH62" s="31">
        <f>AH60+AH61</f>
        <v/>
      </c>
      <c r="AI62" s="31">
        <f>AI60+AI61</f>
        <v/>
      </c>
    </row>
    <row r="63">
      <c r="B63" s="2" t="inlineStr">
        <is>
          <t xml:space="preserve">  Fixed cost</t>
        </is>
      </c>
      <c r="D63" s="19">
        <f>D54*i_T_fix*D18</f>
        <v/>
      </c>
      <c r="E63" s="19">
        <f>E54*i_T_fix*E18</f>
        <v/>
      </c>
      <c r="F63" s="19">
        <f>F54*i_T_fix*F18</f>
        <v/>
      </c>
      <c r="G63" s="19">
        <f>G54*i_T_fix*G18</f>
        <v/>
      </c>
      <c r="H63" s="19">
        <f>H54*i_T_fix*H18</f>
        <v/>
      </c>
      <c r="I63" s="19">
        <f>I54*i_T_fix*I18</f>
        <v/>
      </c>
      <c r="J63" s="19">
        <f>J54*i_T_fix*J18</f>
        <v/>
      </c>
      <c r="K63" s="19">
        <f>K54*i_T_fix*K18</f>
        <v/>
      </c>
      <c r="L63" s="19">
        <f>L54*i_T_fix*L18</f>
        <v/>
      </c>
      <c r="M63" s="19">
        <f>M54*i_T_fix*M18</f>
        <v/>
      </c>
      <c r="N63" s="19">
        <f>N54*i_T_fix*N18</f>
        <v/>
      </c>
      <c r="O63" s="19">
        <f>O54*i_T_fix*O18</f>
        <v/>
      </c>
      <c r="P63" s="19">
        <f>P54*i_T_fix*P18</f>
        <v/>
      </c>
      <c r="Q63" s="19">
        <f>Q54*i_T_fix*Q18</f>
        <v/>
      </c>
      <c r="R63" s="19">
        <f>R54*i_T_fix*R18</f>
        <v/>
      </c>
      <c r="S63" s="19">
        <f>S54*i_T_fix*S18</f>
        <v/>
      </c>
      <c r="T63" s="19">
        <f>T54*i_T_fix*T18</f>
        <v/>
      </c>
      <c r="U63" s="19">
        <f>U54*i_T_fix*U18</f>
        <v/>
      </c>
      <c r="V63" s="19">
        <f>V54*i_T_fix*V18</f>
        <v/>
      </c>
      <c r="W63" s="19">
        <f>W54*i_T_fix*W18</f>
        <v/>
      </c>
      <c r="X63" s="19">
        <f>X54*i_T_fix*X18</f>
        <v/>
      </c>
      <c r="Y63" s="19">
        <f>Y54*i_T_fix*Y18</f>
        <v/>
      </c>
      <c r="Z63" s="19">
        <f>Z54*i_T_fix*Z18</f>
        <v/>
      </c>
      <c r="AA63" s="19">
        <f>AA54*i_T_fix*AA18</f>
        <v/>
      </c>
      <c r="AB63" s="19">
        <f>AB54*i_T_fix*AB18</f>
        <v/>
      </c>
      <c r="AC63" s="19">
        <f>AC54*i_T_fix*AC18</f>
        <v/>
      </c>
      <c r="AD63" s="19">
        <f>AD54*i_T_fix*AD18</f>
        <v/>
      </c>
      <c r="AE63" s="19">
        <f>AE54*i_T_fix*AE18</f>
        <v/>
      </c>
      <c r="AF63" s="19">
        <f>AF54*i_T_fix*AF18</f>
        <v/>
      </c>
      <c r="AG63" s="19">
        <f>AG54*i_T_fix*AG18</f>
        <v/>
      </c>
      <c r="AH63" s="19">
        <f>AH54*i_T_fix*AH18</f>
        <v/>
      </c>
      <c r="AI63" s="19">
        <f>AI54*i_T_fix*AI18</f>
        <v/>
      </c>
    </row>
    <row r="64">
      <c r="B64" s="2" t="inlineStr">
        <is>
          <t xml:space="preserve">  Variable cost</t>
        </is>
      </c>
      <c r="D64" s="19">
        <f>i_T_var*D62</f>
        <v/>
      </c>
      <c r="E64" s="19">
        <f>i_T_var*E62</f>
        <v/>
      </c>
      <c r="F64" s="19">
        <f>i_T_var*F62</f>
        <v/>
      </c>
      <c r="G64" s="19">
        <f>i_T_var*G62</f>
        <v/>
      </c>
      <c r="H64" s="19">
        <f>i_T_var*H62</f>
        <v/>
      </c>
      <c r="I64" s="19">
        <f>i_T_var*I62</f>
        <v/>
      </c>
      <c r="J64" s="19">
        <f>i_T_var*J62</f>
        <v/>
      </c>
      <c r="K64" s="19">
        <f>i_T_var*K62</f>
        <v/>
      </c>
      <c r="L64" s="19">
        <f>i_T_var*L62</f>
        <v/>
      </c>
      <c r="M64" s="19">
        <f>i_T_var*M62</f>
        <v/>
      </c>
      <c r="N64" s="19">
        <f>i_T_var*N62</f>
        <v/>
      </c>
      <c r="O64" s="19">
        <f>i_T_var*O62</f>
        <v/>
      </c>
      <c r="P64" s="19">
        <f>i_T_var*P62</f>
        <v/>
      </c>
      <c r="Q64" s="19">
        <f>i_T_var*Q62</f>
        <v/>
      </c>
      <c r="R64" s="19">
        <f>i_T_var*R62</f>
        <v/>
      </c>
      <c r="S64" s="19">
        <f>i_T_var*S62</f>
        <v/>
      </c>
      <c r="T64" s="19">
        <f>i_T_var*T62</f>
        <v/>
      </c>
      <c r="U64" s="19">
        <f>i_T_var*U62</f>
        <v/>
      </c>
      <c r="V64" s="19">
        <f>i_T_var*V62</f>
        <v/>
      </c>
      <c r="W64" s="19">
        <f>i_T_var*W62</f>
        <v/>
      </c>
      <c r="X64" s="19">
        <f>i_T_var*X62</f>
        <v/>
      </c>
      <c r="Y64" s="19">
        <f>i_T_var*Y62</f>
        <v/>
      </c>
      <c r="Z64" s="19">
        <f>i_T_var*Z62</f>
        <v/>
      </c>
      <c r="AA64" s="19">
        <f>i_T_var*AA62</f>
        <v/>
      </c>
      <c r="AB64" s="19">
        <f>i_T_var*AB62</f>
        <v/>
      </c>
      <c r="AC64" s="19">
        <f>i_T_var*AC62</f>
        <v/>
      </c>
      <c r="AD64" s="19">
        <f>i_T_var*AD62</f>
        <v/>
      </c>
      <c r="AE64" s="19">
        <f>i_T_var*AE62</f>
        <v/>
      </c>
      <c r="AF64" s="19">
        <f>i_T_var*AF62</f>
        <v/>
      </c>
      <c r="AG64" s="19">
        <f>i_T_var*AG62</f>
        <v/>
      </c>
      <c r="AH64" s="19">
        <f>i_T_var*AH62</f>
        <v/>
      </c>
      <c r="AI64" s="19">
        <f>i_T_var*AI62</f>
        <v/>
      </c>
    </row>
    <row r="65">
      <c r="B65" s="2" t="inlineStr">
        <is>
          <t xml:space="preserve">  Operating cost</t>
        </is>
      </c>
      <c r="D65" s="19">
        <f>D63+D64</f>
        <v/>
      </c>
      <c r="E65" s="19">
        <f>E63+E64</f>
        <v/>
      </c>
      <c r="F65" s="19">
        <f>F63+F64</f>
        <v/>
      </c>
      <c r="G65" s="19">
        <f>G63+G64</f>
        <v/>
      </c>
      <c r="H65" s="19">
        <f>H63+H64</f>
        <v/>
      </c>
      <c r="I65" s="19">
        <f>I63+I64</f>
        <v/>
      </c>
      <c r="J65" s="19">
        <f>J63+J64</f>
        <v/>
      </c>
      <c r="K65" s="19">
        <f>K63+K64</f>
        <v/>
      </c>
      <c r="L65" s="19">
        <f>L63+L64</f>
        <v/>
      </c>
      <c r="M65" s="19">
        <f>M63+M64</f>
        <v/>
      </c>
      <c r="N65" s="19">
        <f>N63+N64</f>
        <v/>
      </c>
      <c r="O65" s="19">
        <f>O63+O64</f>
        <v/>
      </c>
      <c r="P65" s="19">
        <f>P63+P64</f>
        <v/>
      </c>
      <c r="Q65" s="19">
        <f>Q63+Q64</f>
        <v/>
      </c>
      <c r="R65" s="19">
        <f>R63+R64</f>
        <v/>
      </c>
      <c r="S65" s="19">
        <f>S63+S64</f>
        <v/>
      </c>
      <c r="T65" s="19">
        <f>T63+T64</f>
        <v/>
      </c>
      <c r="U65" s="19">
        <f>U63+U64</f>
        <v/>
      </c>
      <c r="V65" s="19">
        <f>V63+V64</f>
        <v/>
      </c>
      <c r="W65" s="19">
        <f>W63+W64</f>
        <v/>
      </c>
      <c r="X65" s="19">
        <f>X63+X64</f>
        <v/>
      </c>
      <c r="Y65" s="19">
        <f>Y63+Y64</f>
        <v/>
      </c>
      <c r="Z65" s="19">
        <f>Z63+Z64</f>
        <v/>
      </c>
      <c r="AA65" s="19">
        <f>AA63+AA64</f>
        <v/>
      </c>
      <c r="AB65" s="19">
        <f>AB63+AB64</f>
        <v/>
      </c>
      <c r="AC65" s="19">
        <f>AC63+AC64</f>
        <v/>
      </c>
      <c r="AD65" s="19">
        <f>AD63+AD64</f>
        <v/>
      </c>
      <c r="AE65" s="19">
        <f>AE63+AE64</f>
        <v/>
      </c>
      <c r="AF65" s="19">
        <f>AF63+AF64</f>
        <v/>
      </c>
      <c r="AG65" s="19">
        <f>AG63+AG64</f>
        <v/>
      </c>
      <c r="AH65" s="19">
        <f>AH63+AH64</f>
        <v/>
      </c>
      <c r="AI65" s="19">
        <f>AI63+AI64</f>
        <v/>
      </c>
    </row>
    <row r="66">
      <c r="B66" s="3" t="inlineStr">
        <is>
          <t xml:space="preserve">  EBITDA</t>
        </is>
      </c>
      <c r="D66" s="31">
        <f>D62-D65</f>
        <v/>
      </c>
      <c r="E66" s="31">
        <f>E62-E65</f>
        <v/>
      </c>
      <c r="F66" s="31">
        <f>F62-F65</f>
        <v/>
      </c>
      <c r="G66" s="31">
        <f>G62-G65</f>
        <v/>
      </c>
      <c r="H66" s="31">
        <f>H62-H65</f>
        <v/>
      </c>
      <c r="I66" s="31">
        <f>I62-I65</f>
        <v/>
      </c>
      <c r="J66" s="31">
        <f>J62-J65</f>
        <v/>
      </c>
      <c r="K66" s="31">
        <f>K62-K65</f>
        <v/>
      </c>
      <c r="L66" s="31">
        <f>L62-L65</f>
        <v/>
      </c>
      <c r="M66" s="31">
        <f>M62-M65</f>
        <v/>
      </c>
      <c r="N66" s="31">
        <f>N62-N65</f>
        <v/>
      </c>
      <c r="O66" s="31">
        <f>O62-O65</f>
        <v/>
      </c>
      <c r="P66" s="31">
        <f>P62-P65</f>
        <v/>
      </c>
      <c r="Q66" s="31">
        <f>Q62-Q65</f>
        <v/>
      </c>
      <c r="R66" s="31">
        <f>R62-R65</f>
        <v/>
      </c>
      <c r="S66" s="31">
        <f>S62-S65</f>
        <v/>
      </c>
      <c r="T66" s="31">
        <f>T62-T65</f>
        <v/>
      </c>
      <c r="U66" s="31">
        <f>U62-U65</f>
        <v/>
      </c>
      <c r="V66" s="31">
        <f>V62-V65</f>
        <v/>
      </c>
      <c r="W66" s="31">
        <f>W62-W65</f>
        <v/>
      </c>
      <c r="X66" s="31">
        <f>X62-X65</f>
        <v/>
      </c>
      <c r="Y66" s="31">
        <f>Y62-Y65</f>
        <v/>
      </c>
      <c r="Z66" s="31">
        <f>Z62-Z65</f>
        <v/>
      </c>
      <c r="AA66" s="31">
        <f>AA62-AA65</f>
        <v/>
      </c>
      <c r="AB66" s="31">
        <f>AB62-AB65</f>
        <v/>
      </c>
      <c r="AC66" s="31">
        <f>AC62-AC65</f>
        <v/>
      </c>
      <c r="AD66" s="31">
        <f>AD62-AD65</f>
        <v/>
      </c>
      <c r="AE66" s="31">
        <f>AE62-AE65</f>
        <v/>
      </c>
      <c r="AF66" s="31">
        <f>AF62-AF65</f>
        <v/>
      </c>
      <c r="AG66" s="31">
        <f>AG62-AG65</f>
        <v/>
      </c>
      <c r="AH66" s="31">
        <f>AH62-AH65</f>
        <v/>
      </c>
      <c r="AI66" s="31">
        <f>AI62-AI65</f>
        <v/>
      </c>
    </row>
    <row r="67">
      <c r="B67" s="2" t="inlineStr">
        <is>
          <t xml:space="preserve">  Maintenance capex</t>
        </is>
      </c>
      <c r="D67" s="19">
        <f>D54*i_T_mc*D18</f>
        <v/>
      </c>
      <c r="E67" s="19">
        <f>E54*i_T_mc*E18</f>
        <v/>
      </c>
      <c r="F67" s="19">
        <f>F54*i_T_mc*F18</f>
        <v/>
      </c>
      <c r="G67" s="19">
        <f>G54*i_T_mc*G18</f>
        <v/>
      </c>
      <c r="H67" s="19">
        <f>H54*i_T_mc*H18</f>
        <v/>
      </c>
      <c r="I67" s="19">
        <f>I54*i_T_mc*I18</f>
        <v/>
      </c>
      <c r="J67" s="19">
        <f>J54*i_T_mc*J18</f>
        <v/>
      </c>
      <c r="K67" s="19">
        <f>K54*i_T_mc*K18</f>
        <v/>
      </c>
      <c r="L67" s="19">
        <f>L54*i_T_mc*L18</f>
        <v/>
      </c>
      <c r="M67" s="19">
        <f>M54*i_T_mc*M18</f>
        <v/>
      </c>
      <c r="N67" s="19">
        <f>N54*i_T_mc*N18</f>
        <v/>
      </c>
      <c r="O67" s="19">
        <f>O54*i_T_mc*O18</f>
        <v/>
      </c>
      <c r="P67" s="19">
        <f>P54*i_T_mc*P18</f>
        <v/>
      </c>
      <c r="Q67" s="19">
        <f>Q54*i_T_mc*Q18</f>
        <v/>
      </c>
      <c r="R67" s="19">
        <f>R54*i_T_mc*R18</f>
        <v/>
      </c>
      <c r="S67" s="19">
        <f>S54*i_T_mc*S18</f>
        <v/>
      </c>
      <c r="T67" s="19">
        <f>T54*i_T_mc*T18</f>
        <v/>
      </c>
      <c r="U67" s="19">
        <f>U54*i_T_mc*U18</f>
        <v/>
      </c>
      <c r="V67" s="19">
        <f>V54*i_T_mc*V18</f>
        <v/>
      </c>
      <c r="W67" s="19">
        <f>W54*i_T_mc*W18</f>
        <v/>
      </c>
      <c r="X67" s="19">
        <f>X54*i_T_mc*X18</f>
        <v/>
      </c>
      <c r="Y67" s="19">
        <f>Y54*i_T_mc*Y18</f>
        <v/>
      </c>
      <c r="Z67" s="19">
        <f>Z54*i_T_mc*Z18</f>
        <v/>
      </c>
      <c r="AA67" s="19">
        <f>AA54*i_T_mc*AA18</f>
        <v/>
      </c>
      <c r="AB67" s="19">
        <f>AB54*i_T_mc*AB18</f>
        <v/>
      </c>
      <c r="AC67" s="19">
        <f>AC54*i_T_mc*AC18</f>
        <v/>
      </c>
      <c r="AD67" s="19">
        <f>AD54*i_T_mc*AD18</f>
        <v/>
      </c>
      <c r="AE67" s="19">
        <f>AE54*i_T_mc*AE18</f>
        <v/>
      </c>
      <c r="AF67" s="19">
        <f>AF54*i_T_mc*AF18</f>
        <v/>
      </c>
      <c r="AG67" s="19">
        <f>AG54*i_T_mc*AG18</f>
        <v/>
      </c>
      <c r="AH67" s="19">
        <f>AH54*i_T_mc*AH18</f>
        <v/>
      </c>
      <c r="AI67" s="19">
        <f>AI54*i_T_mc*AI18</f>
        <v/>
      </c>
    </row>
    <row r="68">
      <c r="B68" s="3" t="inlineStr">
        <is>
          <t>Sabine Bend</t>
        </is>
      </c>
    </row>
    <row r="69">
      <c r="B69" s="2" t="inlineStr">
        <is>
          <t xml:space="preserve">  Capacity in service (million m3)</t>
        </is>
      </c>
      <c r="D69" s="24">
        <f>i_G_cap</f>
        <v/>
      </c>
      <c r="E69" s="24">
        <f>i_G_cap</f>
        <v/>
      </c>
      <c r="F69" s="24">
        <f>i_G_cap</f>
        <v/>
      </c>
      <c r="G69" s="24">
        <f>i_G_cap</f>
        <v/>
      </c>
      <c r="H69" s="24">
        <f>i_G_cap</f>
        <v/>
      </c>
      <c r="I69" s="24">
        <f>i_G_cap</f>
        <v/>
      </c>
      <c r="J69" s="24">
        <f>i_G_cap</f>
        <v/>
      </c>
      <c r="K69" s="24">
        <f>i_G_cap</f>
        <v/>
      </c>
      <c r="L69" s="24">
        <f>i_G_cap</f>
        <v/>
      </c>
      <c r="M69" s="24">
        <f>i_G_cap</f>
        <v/>
      </c>
      <c r="N69" s="24">
        <f>i_G_cap</f>
        <v/>
      </c>
      <c r="O69" s="24">
        <f>i_G_cap</f>
        <v/>
      </c>
      <c r="P69" s="24">
        <f>i_G_cap</f>
        <v/>
      </c>
      <c r="Q69" s="24">
        <f>i_G_cap</f>
        <v/>
      </c>
      <c r="R69" s="24">
        <f>i_G_cap</f>
        <v/>
      </c>
      <c r="S69" s="24">
        <f>i_G_cap</f>
        <v/>
      </c>
      <c r="T69" s="24">
        <f>i_G_cap</f>
        <v/>
      </c>
      <c r="U69" s="24">
        <f>i_G_cap</f>
        <v/>
      </c>
      <c r="V69" s="24">
        <f>i_G_cap</f>
        <v/>
      </c>
      <c r="W69" s="24">
        <f>i_G_cap</f>
        <v/>
      </c>
      <c r="X69" s="24">
        <f>i_G_cap</f>
        <v/>
      </c>
      <c r="Y69" s="24">
        <f>i_G_cap</f>
        <v/>
      </c>
      <c r="Z69" s="24">
        <f>i_G_cap</f>
        <v/>
      </c>
      <c r="AA69" s="24">
        <f>i_G_cap</f>
        <v/>
      </c>
      <c r="AB69" s="24">
        <f>i_G_cap</f>
        <v/>
      </c>
      <c r="AC69" s="24">
        <f>i_G_cap</f>
        <v/>
      </c>
      <c r="AD69" s="24">
        <f>i_G_cap</f>
        <v/>
      </c>
      <c r="AE69" s="24">
        <f>i_G_cap</f>
        <v/>
      </c>
      <c r="AF69" s="24">
        <f>i_G_cap</f>
        <v/>
      </c>
      <c r="AG69" s="24">
        <f>i_G_cap</f>
        <v/>
      </c>
      <c r="AH69" s="24">
        <f>i_G_cap</f>
        <v/>
      </c>
      <c r="AI69" s="24">
        <f>i_G_cap</f>
        <v/>
      </c>
    </row>
    <row r="70">
      <c r="B70" s="2" t="inlineStr">
        <is>
          <t xml:space="preserve">  Share on contracts signed before 2027</t>
        </is>
      </c>
      <c r="D70" s="21">
        <f>SUMIF(i_book_years,D$3,i_G_book)</f>
        <v/>
      </c>
      <c r="E70" s="21">
        <f>SUMIF(i_book_years,E$3,i_G_book)</f>
        <v/>
      </c>
      <c r="F70" s="21">
        <f>SUMIF(i_book_years,F$3,i_G_book)</f>
        <v/>
      </c>
      <c r="G70" s="21">
        <f>SUMIF(i_book_years,G$3,i_G_book)</f>
        <v/>
      </c>
      <c r="H70" s="21">
        <f>SUMIF(i_book_years,H$3,i_G_book)</f>
        <v/>
      </c>
      <c r="I70" s="21">
        <f>SUMIF(i_book_years,I$3,i_G_book)</f>
        <v/>
      </c>
      <c r="J70" s="21">
        <f>SUMIF(i_book_years,J$3,i_G_book)</f>
        <v/>
      </c>
      <c r="K70" s="21">
        <f>SUMIF(i_book_years,K$3,i_G_book)</f>
        <v/>
      </c>
      <c r="L70" s="21">
        <f>SUMIF(i_book_years,L$3,i_G_book)</f>
        <v/>
      </c>
      <c r="M70" s="21">
        <f>SUMIF(i_book_years,M$3,i_G_book)</f>
        <v/>
      </c>
      <c r="N70" s="21">
        <f>SUMIF(i_book_years,N$3,i_G_book)</f>
        <v/>
      </c>
      <c r="O70" s="21">
        <f>SUMIF(i_book_years,O$3,i_G_book)</f>
        <v/>
      </c>
      <c r="P70" s="21">
        <f>SUMIF(i_book_years,P$3,i_G_book)</f>
        <v/>
      </c>
      <c r="Q70" s="21">
        <f>SUMIF(i_book_years,Q$3,i_G_book)</f>
        <v/>
      </c>
      <c r="R70" s="21">
        <f>SUMIF(i_book_years,R$3,i_G_book)</f>
        <v/>
      </c>
      <c r="S70" s="21">
        <f>SUMIF(i_book_years,S$3,i_G_book)</f>
        <v/>
      </c>
      <c r="T70" s="21">
        <f>SUMIF(i_book_years,T$3,i_G_book)</f>
        <v/>
      </c>
      <c r="U70" s="21">
        <f>SUMIF(i_book_years,U$3,i_G_book)</f>
        <v/>
      </c>
      <c r="V70" s="21">
        <f>SUMIF(i_book_years,V$3,i_G_book)</f>
        <v/>
      </c>
      <c r="W70" s="21">
        <f>SUMIF(i_book_years,W$3,i_G_book)</f>
        <v/>
      </c>
      <c r="X70" s="21">
        <f>SUMIF(i_book_years,X$3,i_G_book)</f>
        <v/>
      </c>
      <c r="Y70" s="21">
        <f>SUMIF(i_book_years,Y$3,i_G_book)</f>
        <v/>
      </c>
      <c r="Z70" s="21">
        <f>SUMIF(i_book_years,Z$3,i_G_book)</f>
        <v/>
      </c>
      <c r="AA70" s="21">
        <f>SUMIF(i_book_years,AA$3,i_G_book)</f>
        <v/>
      </c>
      <c r="AB70" s="21">
        <f>SUMIF(i_book_years,AB$3,i_G_book)</f>
        <v/>
      </c>
      <c r="AC70" s="21">
        <f>SUMIF(i_book_years,AC$3,i_G_book)</f>
        <v/>
      </c>
      <c r="AD70" s="21">
        <f>SUMIF(i_book_years,AD$3,i_G_book)</f>
        <v/>
      </c>
      <c r="AE70" s="21">
        <f>SUMIF(i_book_years,AE$3,i_G_book)</f>
        <v/>
      </c>
      <c r="AF70" s="21">
        <f>SUMIF(i_book_years,AF$3,i_G_book)</f>
        <v/>
      </c>
      <c r="AG70" s="21">
        <f>SUMIF(i_book_years,AG$3,i_G_book)</f>
        <v/>
      </c>
      <c r="AH70" s="21">
        <f>SUMIF(i_book_years,AH$3,i_G_book)</f>
        <v/>
      </c>
      <c r="AI70" s="21">
        <f>SUMIF(i_book_years,AI$3,i_G_book)</f>
        <v/>
      </c>
    </row>
    <row r="71">
      <c r="B71" s="2" t="inlineStr">
        <is>
          <t xml:space="preserve">  Recontracting factor against current rates</t>
        </is>
      </c>
      <c r="D71" s="21">
        <f>IF(D$4=0,0,IF(Segments!$C$8=1,i_G_mtm,i_G_mtm_plan)+Segments!$C$14)</f>
        <v/>
      </c>
      <c r="E71" s="21">
        <f>IF(E$4=0,0,IF(Segments!$C$8=1,i_G_mtm,i_G_mtm_plan)+Segments!$C$14)</f>
        <v/>
      </c>
      <c r="F71" s="21">
        <f>IF(F$4=0,0,IF(Segments!$C$8=1,i_G_mtm,i_G_mtm_plan)+Segments!$C$14)</f>
        <v/>
      </c>
      <c r="G71" s="21">
        <f>IF(G$4=0,0,IF(Segments!$C$8=1,i_G_mtm,i_G_mtm_plan)+Segments!$C$14)</f>
        <v/>
      </c>
      <c r="H71" s="21">
        <f>IF(H$4=0,0,IF(Segments!$C$8=1,i_G_mtm,i_G_mtm_plan)+Segments!$C$14)</f>
        <v/>
      </c>
      <c r="I71" s="21">
        <f>IF(I$4=0,0,IF(Segments!$C$8=1,i_G_mtm,i_G_mtm_plan)+Segments!$C$14)</f>
        <v/>
      </c>
      <c r="J71" s="21">
        <f>IF(J$4=0,0,IF(Segments!$C$8=1,i_G_mtm,i_G_mtm_plan)+Segments!$C$14)</f>
        <v/>
      </c>
      <c r="K71" s="21">
        <f>IF(K$4=0,0,IF(Segments!$C$8=1,i_G_mtm,i_G_mtm_plan)+Segments!$C$14)</f>
        <v/>
      </c>
      <c r="L71" s="21">
        <f>IF(L$4=0,0,IF(Segments!$C$8=1,i_G_mtm,i_G_mtm_plan)+Segments!$C$14)</f>
        <v/>
      </c>
      <c r="M71" s="21">
        <f>IF(M$4=0,0,IF(Segments!$C$8=1,i_G_mtm,i_G_mtm_plan)+Segments!$C$14)</f>
        <v/>
      </c>
      <c r="N71" s="21">
        <f>IF(N$4=0,0,IF(Segments!$C$8=1,i_G_mtm,i_G_mtm_plan)+Segments!$C$14)</f>
        <v/>
      </c>
      <c r="O71" s="21">
        <f>IF(O$4=0,0,IF(Segments!$C$8=1,i_G_mtm,i_G_mtm_plan)+Segments!$C$14)</f>
        <v/>
      </c>
      <c r="P71" s="21">
        <f>IF(P$4=0,0,IF(Segments!$C$8=1,i_G_mtm,i_G_mtm_plan)+Segments!$C$14)</f>
        <v/>
      </c>
      <c r="Q71" s="21">
        <f>IF(Q$4=0,0,IF(Segments!$C$8=1,i_G_mtm,i_G_mtm_plan)+Segments!$C$14)</f>
        <v/>
      </c>
      <c r="R71" s="21">
        <f>IF(R$4=0,0,IF(Segments!$C$8=1,i_G_mtm,i_G_mtm_plan)+Segments!$C$14)</f>
        <v/>
      </c>
      <c r="S71" s="21">
        <f>IF(S$4=0,0,IF(Segments!$C$8=1,i_G_mtm,i_G_mtm_plan)+Segments!$C$14)</f>
        <v/>
      </c>
      <c r="T71" s="21">
        <f>IF(T$4=0,0,IF(Segments!$C$8=1,i_G_mtm,i_G_mtm_plan)+Segments!$C$14)</f>
        <v/>
      </c>
      <c r="U71" s="21">
        <f>IF(U$4=0,0,IF(Segments!$C$8=1,i_G_mtm,i_G_mtm_plan)+Segments!$C$14)</f>
        <v/>
      </c>
      <c r="V71" s="21">
        <f>IF(V$4=0,0,IF(Segments!$C$8=1,i_G_mtm,i_G_mtm_plan)+Segments!$C$14)</f>
        <v/>
      </c>
      <c r="W71" s="21">
        <f>IF(W$4=0,0,IF(Segments!$C$8=1,i_G_mtm,i_G_mtm_plan)+Segments!$C$14)</f>
        <v/>
      </c>
      <c r="X71" s="21">
        <f>IF(X$4=0,0,IF(Segments!$C$8=1,i_G_mtm,i_G_mtm_plan)+Segments!$C$14)</f>
        <v/>
      </c>
      <c r="Y71" s="21">
        <f>IF(Y$4=0,0,IF(Segments!$C$8=1,i_G_mtm,i_G_mtm_plan)+Segments!$C$14)</f>
        <v/>
      </c>
      <c r="Z71" s="21">
        <f>IF(Z$4=0,0,IF(Segments!$C$8=1,i_G_mtm,i_G_mtm_plan)+Segments!$C$14)</f>
        <v/>
      </c>
      <c r="AA71" s="21">
        <f>IF(AA$4=0,0,IF(Segments!$C$8=1,i_G_mtm,i_G_mtm_plan)+Segments!$C$14)</f>
        <v/>
      </c>
      <c r="AB71" s="21">
        <f>IF(AB$4=0,0,IF(Segments!$C$8=1,i_G_mtm,i_G_mtm_plan)+Segments!$C$14)</f>
        <v/>
      </c>
      <c r="AC71" s="21">
        <f>IF(AC$4=0,0,IF(Segments!$C$8=1,i_G_mtm,i_G_mtm_plan)+Segments!$C$14)</f>
        <v/>
      </c>
      <c r="AD71" s="21">
        <f>IF(AD$4=0,0,IF(Segments!$C$8=1,i_G_mtm,i_G_mtm_plan)+Segments!$C$14)</f>
        <v/>
      </c>
      <c r="AE71" s="21">
        <f>IF(AE$4=0,0,IF(Segments!$C$8=1,i_G_mtm,i_G_mtm_plan)+Segments!$C$14)</f>
        <v/>
      </c>
      <c r="AF71" s="21">
        <f>IF(AF$4=0,0,IF(Segments!$C$8=1,i_G_mtm,i_G_mtm_plan)+Segments!$C$14)</f>
        <v/>
      </c>
      <c r="AG71" s="21">
        <f>IF(AG$4=0,0,IF(Segments!$C$8=1,i_G_mtm,i_G_mtm_plan)+Segments!$C$14)</f>
        <v/>
      </c>
      <c r="AH71" s="21">
        <f>IF(AH$4=0,0,IF(Segments!$C$8=1,i_G_mtm,i_G_mtm_plan)+Segments!$C$14)</f>
        <v/>
      </c>
      <c r="AI71" s="21">
        <f>IF(AI$4=0,0,IF(Segments!$C$8=1,i_G_mtm,i_G_mtm_plan)+Segments!$C$14)</f>
        <v/>
      </c>
    </row>
    <row r="72">
      <c r="B72" s="2" t="inlineStr">
        <is>
          <t xml:space="preserve">  Average rate ($ per m3 per month)</t>
        </is>
      </c>
      <c r="D72" s="24">
        <f>i_G_rate*D19*(D70+(1-D70)*(1+D71))</f>
        <v/>
      </c>
      <c r="E72" s="24">
        <f>i_G_rate*E19*(E70+(1-E70)*(1+E71))</f>
        <v/>
      </c>
      <c r="F72" s="24">
        <f>i_G_rate*F19*(F70+(1-F70)*(1+F71))</f>
        <v/>
      </c>
      <c r="G72" s="24">
        <f>i_G_rate*G19*(G70+(1-G70)*(1+G71))</f>
        <v/>
      </c>
      <c r="H72" s="24">
        <f>i_G_rate*H19*(H70+(1-H70)*(1+H71))</f>
        <v/>
      </c>
      <c r="I72" s="24">
        <f>i_G_rate*I19*(I70+(1-I70)*(1+I71))</f>
        <v/>
      </c>
      <c r="J72" s="24">
        <f>i_G_rate*J19*(J70+(1-J70)*(1+J71))</f>
        <v/>
      </c>
      <c r="K72" s="24">
        <f>i_G_rate*K19*(K70+(1-K70)*(1+K71))</f>
        <v/>
      </c>
      <c r="L72" s="24">
        <f>i_G_rate*L19*(L70+(1-L70)*(1+L71))</f>
        <v/>
      </c>
      <c r="M72" s="24">
        <f>i_G_rate*M19*(M70+(1-M70)*(1+M71))</f>
        <v/>
      </c>
      <c r="N72" s="24">
        <f>i_G_rate*N19*(N70+(1-N70)*(1+N71))</f>
        <v/>
      </c>
      <c r="O72" s="24">
        <f>i_G_rate*O19*(O70+(1-O70)*(1+O71))</f>
        <v/>
      </c>
      <c r="P72" s="24">
        <f>i_G_rate*P19*(P70+(1-P70)*(1+P71))</f>
        <v/>
      </c>
      <c r="Q72" s="24">
        <f>i_G_rate*Q19*(Q70+(1-Q70)*(1+Q71))</f>
        <v/>
      </c>
      <c r="R72" s="24">
        <f>i_G_rate*R19*(R70+(1-R70)*(1+R71))</f>
        <v/>
      </c>
      <c r="S72" s="24">
        <f>i_G_rate*S19*(S70+(1-S70)*(1+S71))</f>
        <v/>
      </c>
      <c r="T72" s="24">
        <f>i_G_rate*T19*(T70+(1-T70)*(1+T71))</f>
        <v/>
      </c>
      <c r="U72" s="24">
        <f>i_G_rate*U19*(U70+(1-U70)*(1+U71))</f>
        <v/>
      </c>
      <c r="V72" s="24">
        <f>i_G_rate*V19*(V70+(1-V70)*(1+V71))</f>
        <v/>
      </c>
      <c r="W72" s="24">
        <f>i_G_rate*W19*(W70+(1-W70)*(1+W71))</f>
        <v/>
      </c>
      <c r="X72" s="24">
        <f>i_G_rate*X19*(X70+(1-X70)*(1+X71))</f>
        <v/>
      </c>
      <c r="Y72" s="24">
        <f>i_G_rate*Y19*(Y70+(1-Y70)*(1+Y71))</f>
        <v/>
      </c>
      <c r="Z72" s="24">
        <f>i_G_rate*Z19*(Z70+(1-Z70)*(1+Z71))</f>
        <v/>
      </c>
      <c r="AA72" s="24">
        <f>i_G_rate*AA19*(AA70+(1-AA70)*(1+AA71))</f>
        <v/>
      </c>
      <c r="AB72" s="24">
        <f>i_G_rate*AB19*(AB70+(1-AB70)*(1+AB71))</f>
        <v/>
      </c>
      <c r="AC72" s="24">
        <f>i_G_rate*AC19*(AC70+(1-AC70)*(1+AC71))</f>
        <v/>
      </c>
      <c r="AD72" s="24">
        <f>i_G_rate*AD19*(AD70+(1-AD70)*(1+AD71))</f>
        <v/>
      </c>
      <c r="AE72" s="24">
        <f>i_G_rate*AE19*(AE70+(1-AE70)*(1+AE71))</f>
        <v/>
      </c>
      <c r="AF72" s="24">
        <f>i_G_rate*AF19*(AF70+(1-AF70)*(1+AF71))</f>
        <v/>
      </c>
      <c r="AG72" s="24">
        <f>i_G_rate*AG19*(AG70+(1-AG70)*(1+AG71))</f>
        <v/>
      </c>
      <c r="AH72" s="24">
        <f>i_G_rate*AH19*(AH70+(1-AH70)*(1+AH71))</f>
        <v/>
      </c>
      <c r="AI72" s="24">
        <f>i_G_rate*AI19*(AI70+(1-AI70)*(1+AI71))</f>
        <v/>
      </c>
    </row>
    <row r="73">
      <c r="B73" s="2" t="inlineStr">
        <is>
          <t xml:space="preserve">  Occupancy after the transition decline and floor</t>
        </is>
      </c>
      <c r="D73" s="21">
        <f>IF(D$3&gt;i_trans_start,MAX(i_G_floor,i_G_occ-i_G_dec*(D$3-i_trans_start)),i_G_occ)</f>
        <v/>
      </c>
      <c r="E73" s="21">
        <f>IF(E$3&gt;i_trans_start,MAX(i_G_floor,i_G_occ-i_G_dec*(E$3-i_trans_start)),i_G_occ)</f>
        <v/>
      </c>
      <c r="F73" s="21">
        <f>IF(F$3&gt;i_trans_start,MAX(i_G_floor,i_G_occ-i_G_dec*(F$3-i_trans_start)),i_G_occ)</f>
        <v/>
      </c>
      <c r="G73" s="21">
        <f>IF(G$3&gt;i_trans_start,MAX(i_G_floor,i_G_occ-i_G_dec*(G$3-i_trans_start)),i_G_occ)</f>
        <v/>
      </c>
      <c r="H73" s="21">
        <f>IF(H$3&gt;i_trans_start,MAX(i_G_floor,i_G_occ-i_G_dec*(H$3-i_trans_start)),i_G_occ)</f>
        <v/>
      </c>
      <c r="I73" s="21">
        <f>IF(I$3&gt;i_trans_start,MAX(i_G_floor,i_G_occ-i_G_dec*(I$3-i_trans_start)),i_G_occ)</f>
        <v/>
      </c>
      <c r="J73" s="21">
        <f>IF(J$3&gt;i_trans_start,MAX(i_G_floor,i_G_occ-i_G_dec*(J$3-i_trans_start)),i_G_occ)</f>
        <v/>
      </c>
      <c r="K73" s="21">
        <f>IF(K$3&gt;i_trans_start,MAX(i_G_floor,i_G_occ-i_G_dec*(K$3-i_trans_start)),i_G_occ)</f>
        <v/>
      </c>
      <c r="L73" s="21">
        <f>IF(L$3&gt;i_trans_start,MAX(i_G_floor,i_G_occ-i_G_dec*(L$3-i_trans_start)),i_G_occ)</f>
        <v/>
      </c>
      <c r="M73" s="21">
        <f>IF(M$3&gt;i_trans_start,MAX(i_G_floor,i_G_occ-i_G_dec*(M$3-i_trans_start)),i_G_occ)</f>
        <v/>
      </c>
      <c r="N73" s="21">
        <f>IF(N$3&gt;i_trans_start,MAX(i_G_floor,i_G_occ-i_G_dec*(N$3-i_trans_start)),i_G_occ)</f>
        <v/>
      </c>
      <c r="O73" s="21">
        <f>IF(O$3&gt;i_trans_start,MAX(i_G_floor,i_G_occ-i_G_dec*(O$3-i_trans_start)),i_G_occ)</f>
        <v/>
      </c>
      <c r="P73" s="21">
        <f>IF(P$3&gt;i_trans_start,MAX(i_G_floor,i_G_occ-i_G_dec*(P$3-i_trans_start)),i_G_occ)</f>
        <v/>
      </c>
      <c r="Q73" s="21">
        <f>IF(Q$3&gt;i_trans_start,MAX(i_G_floor,i_G_occ-i_G_dec*(Q$3-i_trans_start)),i_G_occ)</f>
        <v/>
      </c>
      <c r="R73" s="21">
        <f>IF(R$3&gt;i_trans_start,MAX(i_G_floor,i_G_occ-i_G_dec*(R$3-i_trans_start)),i_G_occ)</f>
        <v/>
      </c>
      <c r="S73" s="21">
        <f>IF(S$3&gt;i_trans_start,MAX(i_G_floor,i_G_occ-i_G_dec*(S$3-i_trans_start)),i_G_occ)</f>
        <v/>
      </c>
      <c r="T73" s="21">
        <f>IF(T$3&gt;i_trans_start,MAX(i_G_floor,i_G_occ-i_G_dec*(T$3-i_trans_start)),i_G_occ)</f>
        <v/>
      </c>
      <c r="U73" s="21">
        <f>IF(U$3&gt;i_trans_start,MAX(i_G_floor,i_G_occ-i_G_dec*(U$3-i_trans_start)),i_G_occ)</f>
        <v/>
      </c>
      <c r="V73" s="21">
        <f>IF(V$3&gt;i_trans_start,MAX(i_G_floor,i_G_occ-i_G_dec*(V$3-i_trans_start)),i_G_occ)</f>
        <v/>
      </c>
      <c r="W73" s="21">
        <f>IF(W$3&gt;i_trans_start,MAX(i_G_floor,i_G_occ-i_G_dec*(W$3-i_trans_start)),i_G_occ)</f>
        <v/>
      </c>
      <c r="X73" s="21">
        <f>IF(X$3&gt;i_trans_start,MAX(i_G_floor,i_G_occ-i_G_dec*(X$3-i_trans_start)),i_G_occ)</f>
        <v/>
      </c>
      <c r="Y73" s="21">
        <f>IF(Y$3&gt;i_trans_start,MAX(i_G_floor,i_G_occ-i_G_dec*(Y$3-i_trans_start)),i_G_occ)</f>
        <v/>
      </c>
      <c r="Z73" s="21">
        <f>IF(Z$3&gt;i_trans_start,MAX(i_G_floor,i_G_occ-i_G_dec*(Z$3-i_trans_start)),i_G_occ)</f>
        <v/>
      </c>
      <c r="AA73" s="21">
        <f>IF(AA$3&gt;i_trans_start,MAX(i_G_floor,i_G_occ-i_G_dec*(AA$3-i_trans_start)),i_G_occ)</f>
        <v/>
      </c>
      <c r="AB73" s="21">
        <f>IF(AB$3&gt;i_trans_start,MAX(i_G_floor,i_G_occ-i_G_dec*(AB$3-i_trans_start)),i_G_occ)</f>
        <v/>
      </c>
      <c r="AC73" s="21">
        <f>IF(AC$3&gt;i_trans_start,MAX(i_G_floor,i_G_occ-i_G_dec*(AC$3-i_trans_start)),i_G_occ)</f>
        <v/>
      </c>
      <c r="AD73" s="21">
        <f>IF(AD$3&gt;i_trans_start,MAX(i_G_floor,i_G_occ-i_G_dec*(AD$3-i_trans_start)),i_G_occ)</f>
        <v/>
      </c>
      <c r="AE73" s="21">
        <f>IF(AE$3&gt;i_trans_start,MAX(i_G_floor,i_G_occ-i_G_dec*(AE$3-i_trans_start)),i_G_occ)</f>
        <v/>
      </c>
      <c r="AF73" s="21">
        <f>IF(AF$3&gt;i_trans_start,MAX(i_G_floor,i_G_occ-i_G_dec*(AF$3-i_trans_start)),i_G_occ)</f>
        <v/>
      </c>
      <c r="AG73" s="21">
        <f>IF(AG$3&gt;i_trans_start,MAX(i_G_floor,i_G_occ-i_G_dec*(AG$3-i_trans_start)),i_G_occ)</f>
        <v/>
      </c>
      <c r="AH73" s="21">
        <f>IF(AH$3&gt;i_trans_start,MAX(i_G_floor,i_G_occ-i_G_dec*(AH$3-i_trans_start)),i_G_occ)</f>
        <v/>
      </c>
      <c r="AI73" s="21">
        <f>IF(AI$3&gt;i_trans_start,MAX(i_G_floor,i_G_occ-i_G_dec*(AI$3-i_trans_start)),i_G_occ)</f>
        <v/>
      </c>
    </row>
    <row r="74">
      <c r="B74" s="2" t="inlineStr">
        <is>
          <t xml:space="preserve">  Occupancy (with the shift switch from 2027)</t>
        </is>
      </c>
      <c r="D74" s="21">
        <f>IF(D$4&gt;0,MIN(1,D73+Segments!$C$13),D73)</f>
        <v/>
      </c>
      <c r="E74" s="21">
        <f>IF(E$4&gt;0,MIN(1,E73+Segments!$C$13),E73)</f>
        <v/>
      </c>
      <c r="F74" s="21">
        <f>IF(F$4&gt;0,MIN(1,F73+Segments!$C$13),F73)</f>
        <v/>
      </c>
      <c r="G74" s="21">
        <f>IF(G$4&gt;0,MIN(1,G73+Segments!$C$13),G73)</f>
        <v/>
      </c>
      <c r="H74" s="21">
        <f>IF(H$4&gt;0,MIN(1,H73+Segments!$C$13),H73)</f>
        <v/>
      </c>
      <c r="I74" s="21">
        <f>IF(I$4&gt;0,MIN(1,I73+Segments!$C$13),I73)</f>
        <v/>
      </c>
      <c r="J74" s="21">
        <f>IF(J$4&gt;0,MIN(1,J73+Segments!$C$13),J73)</f>
        <v/>
      </c>
      <c r="K74" s="21">
        <f>IF(K$4&gt;0,MIN(1,K73+Segments!$C$13),K73)</f>
        <v/>
      </c>
      <c r="L74" s="21">
        <f>IF(L$4&gt;0,MIN(1,L73+Segments!$C$13),L73)</f>
        <v/>
      </c>
      <c r="M74" s="21">
        <f>IF(M$4&gt;0,MIN(1,M73+Segments!$C$13),M73)</f>
        <v/>
      </c>
      <c r="N74" s="21">
        <f>IF(N$4&gt;0,MIN(1,N73+Segments!$C$13),N73)</f>
        <v/>
      </c>
      <c r="O74" s="21">
        <f>IF(O$4&gt;0,MIN(1,O73+Segments!$C$13),O73)</f>
        <v/>
      </c>
      <c r="P74" s="21">
        <f>IF(P$4&gt;0,MIN(1,P73+Segments!$C$13),P73)</f>
        <v/>
      </c>
      <c r="Q74" s="21">
        <f>IF(Q$4&gt;0,MIN(1,Q73+Segments!$C$13),Q73)</f>
        <v/>
      </c>
      <c r="R74" s="21">
        <f>IF(R$4&gt;0,MIN(1,R73+Segments!$C$13),R73)</f>
        <v/>
      </c>
      <c r="S74" s="21">
        <f>IF(S$4&gt;0,MIN(1,S73+Segments!$C$13),S73)</f>
        <v/>
      </c>
      <c r="T74" s="21">
        <f>IF(T$4&gt;0,MIN(1,T73+Segments!$C$13),T73)</f>
        <v/>
      </c>
      <c r="U74" s="21">
        <f>IF(U$4&gt;0,MIN(1,U73+Segments!$C$13),U73)</f>
        <v/>
      </c>
      <c r="V74" s="21">
        <f>IF(V$4&gt;0,MIN(1,V73+Segments!$C$13),V73)</f>
        <v/>
      </c>
      <c r="W74" s="21">
        <f>IF(W$4&gt;0,MIN(1,W73+Segments!$C$13),W73)</f>
        <v/>
      </c>
      <c r="X74" s="21">
        <f>IF(X$4&gt;0,MIN(1,X73+Segments!$C$13),X73)</f>
        <v/>
      </c>
      <c r="Y74" s="21">
        <f>IF(Y$4&gt;0,MIN(1,Y73+Segments!$C$13),Y73)</f>
        <v/>
      </c>
      <c r="Z74" s="21">
        <f>IF(Z$4&gt;0,MIN(1,Z73+Segments!$C$13),Z73)</f>
        <v/>
      </c>
      <c r="AA74" s="21">
        <f>IF(AA$4&gt;0,MIN(1,AA73+Segments!$C$13),AA73)</f>
        <v/>
      </c>
      <c r="AB74" s="21">
        <f>IF(AB$4&gt;0,MIN(1,AB73+Segments!$C$13),AB73)</f>
        <v/>
      </c>
      <c r="AC74" s="21">
        <f>IF(AC$4&gt;0,MIN(1,AC73+Segments!$C$13),AC73)</f>
        <v/>
      </c>
      <c r="AD74" s="21">
        <f>IF(AD$4&gt;0,MIN(1,AD73+Segments!$C$13),AD73)</f>
        <v/>
      </c>
      <c r="AE74" s="21">
        <f>IF(AE$4&gt;0,MIN(1,AE73+Segments!$C$13),AE73)</f>
        <v/>
      </c>
      <c r="AF74" s="21">
        <f>IF(AF$4&gt;0,MIN(1,AF73+Segments!$C$13),AF73)</f>
        <v/>
      </c>
      <c r="AG74" s="21">
        <f>IF(AG$4&gt;0,MIN(1,AG73+Segments!$C$13),AG73)</f>
        <v/>
      </c>
      <c r="AH74" s="21">
        <f>IF(AH$4&gt;0,MIN(1,AH73+Segments!$C$13),AH73)</f>
        <v/>
      </c>
      <c r="AI74" s="21">
        <f>IF(AI$4&gt;0,MIN(1,AI73+Segments!$C$13),AI73)</f>
        <v/>
      </c>
    </row>
    <row r="75">
      <c r="B75" s="2" t="inlineStr">
        <is>
          <t xml:space="preserve">  Storage revenue</t>
        </is>
      </c>
      <c r="D75" s="19">
        <f>D69*D72*12*D74</f>
        <v/>
      </c>
      <c r="E75" s="19">
        <f>E69*E72*12*E74</f>
        <v/>
      </c>
      <c r="F75" s="19">
        <f>F69*F72*12*F74</f>
        <v/>
      </c>
      <c r="G75" s="19">
        <f>G69*G72*12*G74</f>
        <v/>
      </c>
      <c r="H75" s="19">
        <f>H69*H72*12*H74</f>
        <v/>
      </c>
      <c r="I75" s="19">
        <f>I69*I72*12*I74</f>
        <v/>
      </c>
      <c r="J75" s="19">
        <f>J69*J72*12*J74</f>
        <v/>
      </c>
      <c r="K75" s="19">
        <f>K69*K72*12*K74</f>
        <v/>
      </c>
      <c r="L75" s="19">
        <f>L69*L72*12*L74</f>
        <v/>
      </c>
      <c r="M75" s="19">
        <f>M69*M72*12*M74</f>
        <v/>
      </c>
      <c r="N75" s="19">
        <f>N69*N72*12*N74</f>
        <v/>
      </c>
      <c r="O75" s="19">
        <f>O69*O72*12*O74</f>
        <v/>
      </c>
      <c r="P75" s="19">
        <f>P69*P72*12*P74</f>
        <v/>
      </c>
      <c r="Q75" s="19">
        <f>Q69*Q72*12*Q74</f>
        <v/>
      </c>
      <c r="R75" s="19">
        <f>R69*R72*12*R74</f>
        <v/>
      </c>
      <c r="S75" s="19">
        <f>S69*S72*12*S74</f>
        <v/>
      </c>
      <c r="T75" s="19">
        <f>T69*T72*12*T74</f>
        <v/>
      </c>
      <c r="U75" s="19">
        <f>U69*U72*12*U74</f>
        <v/>
      </c>
      <c r="V75" s="19">
        <f>V69*V72*12*V74</f>
        <v/>
      </c>
      <c r="W75" s="19">
        <f>W69*W72*12*W74</f>
        <v/>
      </c>
      <c r="X75" s="19">
        <f>X69*X72*12*X74</f>
        <v/>
      </c>
      <c r="Y75" s="19">
        <f>Y69*Y72*12*Y74</f>
        <v/>
      </c>
      <c r="Z75" s="19">
        <f>Z69*Z72*12*Z74</f>
        <v/>
      </c>
      <c r="AA75" s="19">
        <f>AA69*AA72*12*AA74</f>
        <v/>
      </c>
      <c r="AB75" s="19">
        <f>AB69*AB72*12*AB74</f>
        <v/>
      </c>
      <c r="AC75" s="19">
        <f>AC69*AC72*12*AC74</f>
        <v/>
      </c>
      <c r="AD75" s="19">
        <f>AD69*AD72*12*AD74</f>
        <v/>
      </c>
      <c r="AE75" s="19">
        <f>AE69*AE72*12*AE74</f>
        <v/>
      </c>
      <c r="AF75" s="19">
        <f>AF69*AF72*12*AF74</f>
        <v/>
      </c>
      <c r="AG75" s="19">
        <f>AG69*AG72*12*AG74</f>
        <v/>
      </c>
      <c r="AH75" s="19">
        <f>AH69*AH72*12*AH74</f>
        <v/>
      </c>
      <c r="AI75" s="19">
        <f>AI69*AI72*12*AI74</f>
        <v/>
      </c>
    </row>
    <row r="76">
      <c r="B76" s="2" t="inlineStr">
        <is>
          <t xml:space="preserve">  Ancillary and throughput revenue</t>
        </is>
      </c>
      <c r="D76" s="19">
        <f>D75*i_G_anc</f>
        <v/>
      </c>
      <c r="E76" s="19">
        <f>E75*i_G_anc</f>
        <v/>
      </c>
      <c r="F76" s="19">
        <f>F75*i_G_anc</f>
        <v/>
      </c>
      <c r="G76" s="19">
        <f>G75*i_G_anc</f>
        <v/>
      </c>
      <c r="H76" s="19">
        <f>H75*i_G_anc</f>
        <v/>
      </c>
      <c r="I76" s="19">
        <f>I75*i_G_anc</f>
        <v/>
      </c>
      <c r="J76" s="19">
        <f>J75*i_G_anc</f>
        <v/>
      </c>
      <c r="K76" s="19">
        <f>K75*i_G_anc</f>
        <v/>
      </c>
      <c r="L76" s="19">
        <f>L75*i_G_anc</f>
        <v/>
      </c>
      <c r="M76" s="19">
        <f>M75*i_G_anc</f>
        <v/>
      </c>
      <c r="N76" s="19">
        <f>N75*i_G_anc</f>
        <v/>
      </c>
      <c r="O76" s="19">
        <f>O75*i_G_anc</f>
        <v/>
      </c>
      <c r="P76" s="19">
        <f>P75*i_G_anc</f>
        <v/>
      </c>
      <c r="Q76" s="19">
        <f>Q75*i_G_anc</f>
        <v/>
      </c>
      <c r="R76" s="19">
        <f>R75*i_G_anc</f>
        <v/>
      </c>
      <c r="S76" s="19">
        <f>S75*i_G_anc</f>
        <v/>
      </c>
      <c r="T76" s="19">
        <f>T75*i_G_anc</f>
        <v/>
      </c>
      <c r="U76" s="19">
        <f>U75*i_G_anc</f>
        <v/>
      </c>
      <c r="V76" s="19">
        <f>V75*i_G_anc</f>
        <v/>
      </c>
      <c r="W76" s="19">
        <f>W75*i_G_anc</f>
        <v/>
      </c>
      <c r="X76" s="19">
        <f>X75*i_G_anc</f>
        <v/>
      </c>
      <c r="Y76" s="19">
        <f>Y75*i_G_anc</f>
        <v/>
      </c>
      <c r="Z76" s="19">
        <f>Z75*i_G_anc</f>
        <v/>
      </c>
      <c r="AA76" s="19">
        <f>AA75*i_G_anc</f>
        <v/>
      </c>
      <c r="AB76" s="19">
        <f>AB75*i_G_anc</f>
        <v/>
      </c>
      <c r="AC76" s="19">
        <f>AC75*i_G_anc</f>
        <v/>
      </c>
      <c r="AD76" s="19">
        <f>AD75*i_G_anc</f>
        <v/>
      </c>
      <c r="AE76" s="19">
        <f>AE75*i_G_anc</f>
        <v/>
      </c>
      <c r="AF76" s="19">
        <f>AF75*i_G_anc</f>
        <v/>
      </c>
      <c r="AG76" s="19">
        <f>AG75*i_G_anc</f>
        <v/>
      </c>
      <c r="AH76" s="19">
        <f>AH75*i_G_anc</f>
        <v/>
      </c>
      <c r="AI76" s="19">
        <f>AI75*i_G_anc</f>
        <v/>
      </c>
    </row>
    <row r="77">
      <c r="B77" s="3" t="inlineStr">
        <is>
          <t xml:space="preserve">  Revenue</t>
        </is>
      </c>
      <c r="D77" s="31">
        <f>D75+D76</f>
        <v/>
      </c>
      <c r="E77" s="31">
        <f>E75+E76</f>
        <v/>
      </c>
      <c r="F77" s="31">
        <f>F75+F76</f>
        <v/>
      </c>
      <c r="G77" s="31">
        <f>G75+G76</f>
        <v/>
      </c>
      <c r="H77" s="31">
        <f>H75+H76</f>
        <v/>
      </c>
      <c r="I77" s="31">
        <f>I75+I76</f>
        <v/>
      </c>
      <c r="J77" s="31">
        <f>J75+J76</f>
        <v/>
      </c>
      <c r="K77" s="31">
        <f>K75+K76</f>
        <v/>
      </c>
      <c r="L77" s="31">
        <f>L75+L76</f>
        <v/>
      </c>
      <c r="M77" s="31">
        <f>M75+M76</f>
        <v/>
      </c>
      <c r="N77" s="31">
        <f>N75+N76</f>
        <v/>
      </c>
      <c r="O77" s="31">
        <f>O75+O76</f>
        <v/>
      </c>
      <c r="P77" s="31">
        <f>P75+P76</f>
        <v/>
      </c>
      <c r="Q77" s="31">
        <f>Q75+Q76</f>
        <v/>
      </c>
      <c r="R77" s="31">
        <f>R75+R76</f>
        <v/>
      </c>
      <c r="S77" s="31">
        <f>S75+S76</f>
        <v/>
      </c>
      <c r="T77" s="31">
        <f>T75+T76</f>
        <v/>
      </c>
      <c r="U77" s="31">
        <f>U75+U76</f>
        <v/>
      </c>
      <c r="V77" s="31">
        <f>V75+V76</f>
        <v/>
      </c>
      <c r="W77" s="31">
        <f>W75+W76</f>
        <v/>
      </c>
      <c r="X77" s="31">
        <f>X75+X76</f>
        <v/>
      </c>
      <c r="Y77" s="31">
        <f>Y75+Y76</f>
        <v/>
      </c>
      <c r="Z77" s="31">
        <f>Z75+Z76</f>
        <v/>
      </c>
      <c r="AA77" s="31">
        <f>AA75+AA76</f>
        <v/>
      </c>
      <c r="AB77" s="31">
        <f>AB75+AB76</f>
        <v/>
      </c>
      <c r="AC77" s="31">
        <f>AC75+AC76</f>
        <v/>
      </c>
      <c r="AD77" s="31">
        <f>AD75+AD76</f>
        <v/>
      </c>
      <c r="AE77" s="31">
        <f>AE75+AE76</f>
        <v/>
      </c>
      <c r="AF77" s="31">
        <f>AF75+AF76</f>
        <v/>
      </c>
      <c r="AG77" s="31">
        <f>AG75+AG76</f>
        <v/>
      </c>
      <c r="AH77" s="31">
        <f>AH75+AH76</f>
        <v/>
      </c>
      <c r="AI77" s="31">
        <f>AI75+AI76</f>
        <v/>
      </c>
    </row>
    <row r="78">
      <c r="B78" s="2" t="inlineStr">
        <is>
          <t xml:space="preserve">  Fixed cost</t>
        </is>
      </c>
      <c r="D78" s="19">
        <f>D69*i_G_fix*D18</f>
        <v/>
      </c>
      <c r="E78" s="19">
        <f>E69*i_G_fix*E18</f>
        <v/>
      </c>
      <c r="F78" s="19">
        <f>F69*i_G_fix*F18</f>
        <v/>
      </c>
      <c r="G78" s="19">
        <f>G69*i_G_fix*G18</f>
        <v/>
      </c>
      <c r="H78" s="19">
        <f>H69*i_G_fix*H18</f>
        <v/>
      </c>
      <c r="I78" s="19">
        <f>I69*i_G_fix*I18</f>
        <v/>
      </c>
      <c r="J78" s="19">
        <f>J69*i_G_fix*J18</f>
        <v/>
      </c>
      <c r="K78" s="19">
        <f>K69*i_G_fix*K18</f>
        <v/>
      </c>
      <c r="L78" s="19">
        <f>L69*i_G_fix*L18</f>
        <v/>
      </c>
      <c r="M78" s="19">
        <f>M69*i_G_fix*M18</f>
        <v/>
      </c>
      <c r="N78" s="19">
        <f>N69*i_G_fix*N18</f>
        <v/>
      </c>
      <c r="O78" s="19">
        <f>O69*i_G_fix*O18</f>
        <v/>
      </c>
      <c r="P78" s="19">
        <f>P69*i_G_fix*P18</f>
        <v/>
      </c>
      <c r="Q78" s="19">
        <f>Q69*i_G_fix*Q18</f>
        <v/>
      </c>
      <c r="R78" s="19">
        <f>R69*i_G_fix*R18</f>
        <v/>
      </c>
      <c r="S78" s="19">
        <f>S69*i_G_fix*S18</f>
        <v/>
      </c>
      <c r="T78" s="19">
        <f>T69*i_G_fix*T18</f>
        <v/>
      </c>
      <c r="U78" s="19">
        <f>U69*i_G_fix*U18</f>
        <v/>
      </c>
      <c r="V78" s="19">
        <f>V69*i_G_fix*V18</f>
        <v/>
      </c>
      <c r="W78" s="19">
        <f>W69*i_G_fix*W18</f>
        <v/>
      </c>
      <c r="X78" s="19">
        <f>X69*i_G_fix*X18</f>
        <v/>
      </c>
      <c r="Y78" s="19">
        <f>Y69*i_G_fix*Y18</f>
        <v/>
      </c>
      <c r="Z78" s="19">
        <f>Z69*i_G_fix*Z18</f>
        <v/>
      </c>
      <c r="AA78" s="19">
        <f>AA69*i_G_fix*AA18</f>
        <v/>
      </c>
      <c r="AB78" s="19">
        <f>AB69*i_G_fix*AB18</f>
        <v/>
      </c>
      <c r="AC78" s="19">
        <f>AC69*i_G_fix*AC18</f>
        <v/>
      </c>
      <c r="AD78" s="19">
        <f>AD69*i_G_fix*AD18</f>
        <v/>
      </c>
      <c r="AE78" s="19">
        <f>AE69*i_G_fix*AE18</f>
        <v/>
      </c>
      <c r="AF78" s="19">
        <f>AF69*i_G_fix*AF18</f>
        <v/>
      </c>
      <c r="AG78" s="19">
        <f>AG69*i_G_fix*AG18</f>
        <v/>
      </c>
      <c r="AH78" s="19">
        <f>AH69*i_G_fix*AH18</f>
        <v/>
      </c>
      <c r="AI78" s="19">
        <f>AI69*i_G_fix*AI18</f>
        <v/>
      </c>
    </row>
    <row r="79">
      <c r="B79" s="2" t="inlineStr">
        <is>
          <t xml:space="preserve">  Variable cost</t>
        </is>
      </c>
      <c r="D79" s="19">
        <f>i_G_var*D77</f>
        <v/>
      </c>
      <c r="E79" s="19">
        <f>i_G_var*E77</f>
        <v/>
      </c>
      <c r="F79" s="19">
        <f>i_G_var*F77</f>
        <v/>
      </c>
      <c r="G79" s="19">
        <f>i_G_var*G77</f>
        <v/>
      </c>
      <c r="H79" s="19">
        <f>i_G_var*H77</f>
        <v/>
      </c>
      <c r="I79" s="19">
        <f>i_G_var*I77</f>
        <v/>
      </c>
      <c r="J79" s="19">
        <f>i_G_var*J77</f>
        <v/>
      </c>
      <c r="K79" s="19">
        <f>i_G_var*K77</f>
        <v/>
      </c>
      <c r="L79" s="19">
        <f>i_G_var*L77</f>
        <v/>
      </c>
      <c r="M79" s="19">
        <f>i_G_var*M77</f>
        <v/>
      </c>
      <c r="N79" s="19">
        <f>i_G_var*N77</f>
        <v/>
      </c>
      <c r="O79" s="19">
        <f>i_G_var*O77</f>
        <v/>
      </c>
      <c r="P79" s="19">
        <f>i_G_var*P77</f>
        <v/>
      </c>
      <c r="Q79" s="19">
        <f>i_G_var*Q77</f>
        <v/>
      </c>
      <c r="R79" s="19">
        <f>i_G_var*R77</f>
        <v/>
      </c>
      <c r="S79" s="19">
        <f>i_G_var*S77</f>
        <v/>
      </c>
      <c r="T79" s="19">
        <f>i_G_var*T77</f>
        <v/>
      </c>
      <c r="U79" s="19">
        <f>i_G_var*U77</f>
        <v/>
      </c>
      <c r="V79" s="19">
        <f>i_G_var*V77</f>
        <v/>
      </c>
      <c r="W79" s="19">
        <f>i_G_var*W77</f>
        <v/>
      </c>
      <c r="X79" s="19">
        <f>i_G_var*X77</f>
        <v/>
      </c>
      <c r="Y79" s="19">
        <f>i_G_var*Y77</f>
        <v/>
      </c>
      <c r="Z79" s="19">
        <f>i_G_var*Z77</f>
        <v/>
      </c>
      <c r="AA79" s="19">
        <f>i_G_var*AA77</f>
        <v/>
      </c>
      <c r="AB79" s="19">
        <f>i_G_var*AB77</f>
        <v/>
      </c>
      <c r="AC79" s="19">
        <f>i_G_var*AC77</f>
        <v/>
      </c>
      <c r="AD79" s="19">
        <f>i_G_var*AD77</f>
        <v/>
      </c>
      <c r="AE79" s="19">
        <f>i_G_var*AE77</f>
        <v/>
      </c>
      <c r="AF79" s="19">
        <f>i_G_var*AF77</f>
        <v/>
      </c>
      <c r="AG79" s="19">
        <f>i_G_var*AG77</f>
        <v/>
      </c>
      <c r="AH79" s="19">
        <f>i_G_var*AH77</f>
        <v/>
      </c>
      <c r="AI79" s="19">
        <f>i_G_var*AI77</f>
        <v/>
      </c>
    </row>
    <row r="80">
      <c r="B80" s="2" t="inlineStr">
        <is>
          <t xml:space="preserve">  Extra windstorm insurance</t>
        </is>
      </c>
      <c r="D80" s="19">
        <f>IF(D$4&gt;0,Segments!$C$11*i_g_ins*D18,0)</f>
        <v/>
      </c>
      <c r="E80" s="19">
        <f>IF(E$4&gt;0,Segments!$C$11*i_g_ins*E18,0)</f>
        <v/>
      </c>
      <c r="F80" s="19">
        <f>IF(F$4&gt;0,Segments!$C$11*i_g_ins*F18,0)</f>
        <v/>
      </c>
      <c r="G80" s="19">
        <f>IF(G$4&gt;0,Segments!$C$11*i_g_ins*G18,0)</f>
        <v/>
      </c>
      <c r="H80" s="19">
        <f>IF(H$4&gt;0,Segments!$C$11*i_g_ins*H18,0)</f>
        <v/>
      </c>
      <c r="I80" s="19">
        <f>IF(I$4&gt;0,Segments!$C$11*i_g_ins*I18,0)</f>
        <v/>
      </c>
      <c r="J80" s="19">
        <f>IF(J$4&gt;0,Segments!$C$11*i_g_ins*J18,0)</f>
        <v/>
      </c>
      <c r="K80" s="19">
        <f>IF(K$4&gt;0,Segments!$C$11*i_g_ins*K18,0)</f>
        <v/>
      </c>
      <c r="L80" s="19">
        <f>IF(L$4&gt;0,Segments!$C$11*i_g_ins*L18,0)</f>
        <v/>
      </c>
      <c r="M80" s="19">
        <f>IF(M$4&gt;0,Segments!$C$11*i_g_ins*M18,0)</f>
        <v/>
      </c>
      <c r="N80" s="19">
        <f>IF(N$4&gt;0,Segments!$C$11*i_g_ins*N18,0)</f>
        <v/>
      </c>
      <c r="O80" s="19">
        <f>IF(O$4&gt;0,Segments!$C$11*i_g_ins*O18,0)</f>
        <v/>
      </c>
      <c r="P80" s="19">
        <f>IF(P$4&gt;0,Segments!$C$11*i_g_ins*P18,0)</f>
        <v/>
      </c>
      <c r="Q80" s="19">
        <f>IF(Q$4&gt;0,Segments!$C$11*i_g_ins*Q18,0)</f>
        <v/>
      </c>
      <c r="R80" s="19">
        <f>IF(R$4&gt;0,Segments!$C$11*i_g_ins*R18,0)</f>
        <v/>
      </c>
      <c r="S80" s="19">
        <f>IF(S$4&gt;0,Segments!$C$11*i_g_ins*S18,0)</f>
        <v/>
      </c>
      <c r="T80" s="19">
        <f>IF(T$4&gt;0,Segments!$C$11*i_g_ins*T18,0)</f>
        <v/>
      </c>
      <c r="U80" s="19">
        <f>IF(U$4&gt;0,Segments!$C$11*i_g_ins*U18,0)</f>
        <v/>
      </c>
      <c r="V80" s="19">
        <f>IF(V$4&gt;0,Segments!$C$11*i_g_ins*V18,0)</f>
        <v/>
      </c>
      <c r="W80" s="19">
        <f>IF(W$4&gt;0,Segments!$C$11*i_g_ins*W18,0)</f>
        <v/>
      </c>
      <c r="X80" s="19">
        <f>IF(X$4&gt;0,Segments!$C$11*i_g_ins*X18,0)</f>
        <v/>
      </c>
      <c r="Y80" s="19">
        <f>IF(Y$4&gt;0,Segments!$C$11*i_g_ins*Y18,0)</f>
        <v/>
      </c>
      <c r="Z80" s="19">
        <f>IF(Z$4&gt;0,Segments!$C$11*i_g_ins*Z18,0)</f>
        <v/>
      </c>
      <c r="AA80" s="19">
        <f>IF(AA$4&gt;0,Segments!$C$11*i_g_ins*AA18,0)</f>
        <v/>
      </c>
      <c r="AB80" s="19">
        <f>IF(AB$4&gt;0,Segments!$C$11*i_g_ins*AB18,0)</f>
        <v/>
      </c>
      <c r="AC80" s="19">
        <f>IF(AC$4&gt;0,Segments!$C$11*i_g_ins*AC18,0)</f>
        <v/>
      </c>
      <c r="AD80" s="19">
        <f>IF(AD$4&gt;0,Segments!$C$11*i_g_ins*AD18,0)</f>
        <v/>
      </c>
      <c r="AE80" s="19">
        <f>IF(AE$4&gt;0,Segments!$C$11*i_g_ins*AE18,0)</f>
        <v/>
      </c>
      <c r="AF80" s="19">
        <f>IF(AF$4&gt;0,Segments!$C$11*i_g_ins*AF18,0)</f>
        <v/>
      </c>
      <c r="AG80" s="19">
        <f>IF(AG$4&gt;0,Segments!$C$11*i_g_ins*AG18,0)</f>
        <v/>
      </c>
      <c r="AH80" s="19">
        <f>IF(AH$4&gt;0,Segments!$C$11*i_g_ins*AH18,0)</f>
        <v/>
      </c>
      <c r="AI80" s="19">
        <f>IF(AI$4&gt;0,Segments!$C$11*i_g_ins*AI18,0)</f>
        <v/>
      </c>
    </row>
    <row r="81">
      <c r="B81" s="2" t="inlineStr">
        <is>
          <t xml:space="preserve">  Operating cost</t>
        </is>
      </c>
      <c r="D81" s="19">
        <f>D78+D79+D80</f>
        <v/>
      </c>
      <c r="E81" s="19">
        <f>E78+E79+E80</f>
        <v/>
      </c>
      <c r="F81" s="19">
        <f>F78+F79+F80</f>
        <v/>
      </c>
      <c r="G81" s="19">
        <f>G78+G79+G80</f>
        <v/>
      </c>
      <c r="H81" s="19">
        <f>H78+H79+H80</f>
        <v/>
      </c>
      <c r="I81" s="19">
        <f>I78+I79+I80</f>
        <v/>
      </c>
      <c r="J81" s="19">
        <f>J78+J79+J80</f>
        <v/>
      </c>
      <c r="K81" s="19">
        <f>K78+K79+K80</f>
        <v/>
      </c>
      <c r="L81" s="19">
        <f>L78+L79+L80</f>
        <v/>
      </c>
      <c r="M81" s="19">
        <f>M78+M79+M80</f>
        <v/>
      </c>
      <c r="N81" s="19">
        <f>N78+N79+N80</f>
        <v/>
      </c>
      <c r="O81" s="19">
        <f>O78+O79+O80</f>
        <v/>
      </c>
      <c r="P81" s="19">
        <f>P78+P79+P80</f>
        <v/>
      </c>
      <c r="Q81" s="19">
        <f>Q78+Q79+Q80</f>
        <v/>
      </c>
      <c r="R81" s="19">
        <f>R78+R79+R80</f>
        <v/>
      </c>
      <c r="S81" s="19">
        <f>S78+S79+S80</f>
        <v/>
      </c>
      <c r="T81" s="19">
        <f>T78+T79+T80</f>
        <v/>
      </c>
      <c r="U81" s="19">
        <f>U78+U79+U80</f>
        <v/>
      </c>
      <c r="V81" s="19">
        <f>V78+V79+V80</f>
        <v/>
      </c>
      <c r="W81" s="19">
        <f>W78+W79+W80</f>
        <v/>
      </c>
      <c r="X81" s="19">
        <f>X78+X79+X80</f>
        <v/>
      </c>
      <c r="Y81" s="19">
        <f>Y78+Y79+Y80</f>
        <v/>
      </c>
      <c r="Z81" s="19">
        <f>Z78+Z79+Z80</f>
        <v/>
      </c>
      <c r="AA81" s="19">
        <f>AA78+AA79+AA80</f>
        <v/>
      </c>
      <c r="AB81" s="19">
        <f>AB78+AB79+AB80</f>
        <v/>
      </c>
      <c r="AC81" s="19">
        <f>AC78+AC79+AC80</f>
        <v/>
      </c>
      <c r="AD81" s="19">
        <f>AD78+AD79+AD80</f>
        <v/>
      </c>
      <c r="AE81" s="19">
        <f>AE78+AE79+AE80</f>
        <v/>
      </c>
      <c r="AF81" s="19">
        <f>AF78+AF79+AF80</f>
        <v/>
      </c>
      <c r="AG81" s="19">
        <f>AG78+AG79+AG80</f>
        <v/>
      </c>
      <c r="AH81" s="19">
        <f>AH78+AH79+AH80</f>
        <v/>
      </c>
      <c r="AI81" s="19">
        <f>AI78+AI79+AI80</f>
        <v/>
      </c>
    </row>
    <row r="82">
      <c r="B82" s="3" t="inlineStr">
        <is>
          <t xml:space="preserve">  EBITDA</t>
        </is>
      </c>
      <c r="D82" s="31">
        <f>D77-D81</f>
        <v/>
      </c>
      <c r="E82" s="31">
        <f>E77-E81</f>
        <v/>
      </c>
      <c r="F82" s="31">
        <f>F77-F81</f>
        <v/>
      </c>
      <c r="G82" s="31">
        <f>G77-G81</f>
        <v/>
      </c>
      <c r="H82" s="31">
        <f>H77-H81</f>
        <v/>
      </c>
      <c r="I82" s="31">
        <f>I77-I81</f>
        <v/>
      </c>
      <c r="J82" s="31">
        <f>J77-J81</f>
        <v/>
      </c>
      <c r="K82" s="31">
        <f>K77-K81</f>
        <v/>
      </c>
      <c r="L82" s="31">
        <f>L77-L81</f>
        <v/>
      </c>
      <c r="M82" s="31">
        <f>M77-M81</f>
        <v/>
      </c>
      <c r="N82" s="31">
        <f>N77-N81</f>
        <v/>
      </c>
      <c r="O82" s="31">
        <f>O77-O81</f>
        <v/>
      </c>
      <c r="P82" s="31">
        <f>P77-P81</f>
        <v/>
      </c>
      <c r="Q82" s="31">
        <f>Q77-Q81</f>
        <v/>
      </c>
      <c r="R82" s="31">
        <f>R77-R81</f>
        <v/>
      </c>
      <c r="S82" s="31">
        <f>S77-S81</f>
        <v/>
      </c>
      <c r="T82" s="31">
        <f>T77-T81</f>
        <v/>
      </c>
      <c r="U82" s="31">
        <f>U77-U81</f>
        <v/>
      </c>
      <c r="V82" s="31">
        <f>V77-V81</f>
        <v/>
      </c>
      <c r="W82" s="31">
        <f>W77-W81</f>
        <v/>
      </c>
      <c r="X82" s="31">
        <f>X77-X81</f>
        <v/>
      </c>
      <c r="Y82" s="31">
        <f>Y77-Y81</f>
        <v/>
      </c>
      <c r="Z82" s="31">
        <f>Z77-Z81</f>
        <v/>
      </c>
      <c r="AA82" s="31">
        <f>AA77-AA81</f>
        <v/>
      </c>
      <c r="AB82" s="31">
        <f>AB77-AB81</f>
        <v/>
      </c>
      <c r="AC82" s="31">
        <f>AC77-AC81</f>
        <v/>
      </c>
      <c r="AD82" s="31">
        <f>AD77-AD81</f>
        <v/>
      </c>
      <c r="AE82" s="31">
        <f>AE77-AE81</f>
        <v/>
      </c>
      <c r="AF82" s="31">
        <f>AF77-AF81</f>
        <v/>
      </c>
      <c r="AG82" s="31">
        <f>AG77-AG81</f>
        <v/>
      </c>
      <c r="AH82" s="31">
        <f>AH77-AH81</f>
        <v/>
      </c>
      <c r="AI82" s="31">
        <f>AI77-AI81</f>
        <v/>
      </c>
    </row>
    <row r="83">
      <c r="B83" s="2" t="inlineStr">
        <is>
          <t xml:space="preserve">  Maintenance capex</t>
        </is>
      </c>
      <c r="D83" s="19">
        <f>D69*i_G_mc*D18</f>
        <v/>
      </c>
      <c r="E83" s="19">
        <f>E69*i_G_mc*E18</f>
        <v/>
      </c>
      <c r="F83" s="19">
        <f>F69*i_G_mc*F18</f>
        <v/>
      </c>
      <c r="G83" s="19">
        <f>G69*i_G_mc*G18</f>
        <v/>
      </c>
      <c r="H83" s="19">
        <f>H69*i_G_mc*H18</f>
        <v/>
      </c>
      <c r="I83" s="19">
        <f>I69*i_G_mc*I18</f>
        <v/>
      </c>
      <c r="J83" s="19">
        <f>J69*i_G_mc*J18</f>
        <v/>
      </c>
      <c r="K83" s="19">
        <f>K69*i_G_mc*K18</f>
        <v/>
      </c>
      <c r="L83" s="19">
        <f>L69*i_G_mc*L18</f>
        <v/>
      </c>
      <c r="M83" s="19">
        <f>M69*i_G_mc*M18</f>
        <v/>
      </c>
      <c r="N83" s="19">
        <f>N69*i_G_mc*N18</f>
        <v/>
      </c>
      <c r="O83" s="19">
        <f>O69*i_G_mc*O18</f>
        <v/>
      </c>
      <c r="P83" s="19">
        <f>P69*i_G_mc*P18</f>
        <v/>
      </c>
      <c r="Q83" s="19">
        <f>Q69*i_G_mc*Q18</f>
        <v/>
      </c>
      <c r="R83" s="19">
        <f>R69*i_G_mc*R18</f>
        <v/>
      </c>
      <c r="S83" s="19">
        <f>S69*i_G_mc*S18</f>
        <v/>
      </c>
      <c r="T83" s="19">
        <f>T69*i_G_mc*T18</f>
        <v/>
      </c>
      <c r="U83" s="19">
        <f>U69*i_G_mc*U18</f>
        <v/>
      </c>
      <c r="V83" s="19">
        <f>V69*i_G_mc*V18</f>
        <v/>
      </c>
      <c r="W83" s="19">
        <f>W69*i_G_mc*W18</f>
        <v/>
      </c>
      <c r="X83" s="19">
        <f>X69*i_G_mc*X18</f>
        <v/>
      </c>
      <c r="Y83" s="19">
        <f>Y69*i_G_mc*Y18</f>
        <v/>
      </c>
      <c r="Z83" s="19">
        <f>Z69*i_G_mc*Z18</f>
        <v/>
      </c>
      <c r="AA83" s="19">
        <f>AA69*i_G_mc*AA18</f>
        <v/>
      </c>
      <c r="AB83" s="19">
        <f>AB69*i_G_mc*AB18</f>
        <v/>
      </c>
      <c r="AC83" s="19">
        <f>AC69*i_G_mc*AC18</f>
        <v/>
      </c>
      <c r="AD83" s="19">
        <f>AD69*i_G_mc*AD18</f>
        <v/>
      </c>
      <c r="AE83" s="19">
        <f>AE69*i_G_mc*AE18</f>
        <v/>
      </c>
      <c r="AF83" s="19">
        <f>AF69*i_G_mc*AF18</f>
        <v/>
      </c>
      <c r="AG83" s="19">
        <f>AG69*i_G_mc*AG18</f>
        <v/>
      </c>
      <c r="AH83" s="19">
        <f>AH69*i_G_mc*AH18</f>
        <v/>
      </c>
      <c r="AI83" s="19">
        <f>AI69*i_G_mc*AI18</f>
        <v/>
      </c>
    </row>
    <row r="84">
      <c r="B84" s="3" t="inlineStr">
        <is>
          <t>Sabine Bend expansion (renewable fuels)</t>
        </is>
      </c>
    </row>
    <row r="85">
      <c r="B85" s="2" t="inlineStr">
        <is>
          <t xml:space="preserve">  Growth capex</t>
        </is>
      </c>
      <c r="D85" s="19">
        <f>Segments!$C$12*SUMIF(i_exp_capex_years,D$3,i_exp_capex_vals)*D18</f>
        <v/>
      </c>
      <c r="E85" s="19">
        <f>Segments!$C$12*SUMIF(i_exp_capex_years,E$3,i_exp_capex_vals)*E18</f>
        <v/>
      </c>
      <c r="F85" s="19">
        <f>Segments!$C$12*SUMIF(i_exp_capex_years,F$3,i_exp_capex_vals)*F18</f>
        <v/>
      </c>
      <c r="G85" s="19">
        <f>Segments!$C$12*SUMIF(i_exp_capex_years,G$3,i_exp_capex_vals)*G18</f>
        <v/>
      </c>
      <c r="H85" s="19">
        <f>Segments!$C$12*SUMIF(i_exp_capex_years,H$3,i_exp_capex_vals)*H18</f>
        <v/>
      </c>
      <c r="I85" s="19">
        <f>Segments!$C$12*SUMIF(i_exp_capex_years,I$3,i_exp_capex_vals)*I18</f>
        <v/>
      </c>
      <c r="J85" s="19">
        <f>Segments!$C$12*SUMIF(i_exp_capex_years,J$3,i_exp_capex_vals)*J18</f>
        <v/>
      </c>
      <c r="K85" s="19">
        <f>Segments!$C$12*SUMIF(i_exp_capex_years,K$3,i_exp_capex_vals)*K18</f>
        <v/>
      </c>
      <c r="L85" s="19">
        <f>Segments!$C$12*SUMIF(i_exp_capex_years,L$3,i_exp_capex_vals)*L18</f>
        <v/>
      </c>
      <c r="M85" s="19">
        <f>Segments!$C$12*SUMIF(i_exp_capex_years,M$3,i_exp_capex_vals)*M18</f>
        <v/>
      </c>
      <c r="N85" s="19">
        <f>Segments!$C$12*SUMIF(i_exp_capex_years,N$3,i_exp_capex_vals)*N18</f>
        <v/>
      </c>
      <c r="O85" s="19">
        <f>Segments!$C$12*SUMIF(i_exp_capex_years,O$3,i_exp_capex_vals)*O18</f>
        <v/>
      </c>
      <c r="P85" s="19">
        <f>Segments!$C$12*SUMIF(i_exp_capex_years,P$3,i_exp_capex_vals)*P18</f>
        <v/>
      </c>
      <c r="Q85" s="19">
        <f>Segments!$C$12*SUMIF(i_exp_capex_years,Q$3,i_exp_capex_vals)*Q18</f>
        <v/>
      </c>
      <c r="R85" s="19">
        <f>Segments!$C$12*SUMIF(i_exp_capex_years,R$3,i_exp_capex_vals)*R18</f>
        <v/>
      </c>
      <c r="S85" s="19">
        <f>Segments!$C$12*SUMIF(i_exp_capex_years,S$3,i_exp_capex_vals)*S18</f>
        <v/>
      </c>
      <c r="T85" s="19">
        <f>Segments!$C$12*SUMIF(i_exp_capex_years,T$3,i_exp_capex_vals)*T18</f>
        <v/>
      </c>
      <c r="U85" s="19">
        <f>Segments!$C$12*SUMIF(i_exp_capex_years,U$3,i_exp_capex_vals)*U18</f>
        <v/>
      </c>
      <c r="V85" s="19">
        <f>Segments!$C$12*SUMIF(i_exp_capex_years,V$3,i_exp_capex_vals)*V18</f>
        <v/>
      </c>
      <c r="W85" s="19">
        <f>Segments!$C$12*SUMIF(i_exp_capex_years,W$3,i_exp_capex_vals)*W18</f>
        <v/>
      </c>
      <c r="X85" s="19">
        <f>Segments!$C$12*SUMIF(i_exp_capex_years,X$3,i_exp_capex_vals)*X18</f>
        <v/>
      </c>
      <c r="Y85" s="19">
        <f>Segments!$C$12*SUMIF(i_exp_capex_years,Y$3,i_exp_capex_vals)*Y18</f>
        <v/>
      </c>
      <c r="Z85" s="19">
        <f>Segments!$C$12*SUMIF(i_exp_capex_years,Z$3,i_exp_capex_vals)*Z18</f>
        <v/>
      </c>
      <c r="AA85" s="19">
        <f>Segments!$C$12*SUMIF(i_exp_capex_years,AA$3,i_exp_capex_vals)*AA18</f>
        <v/>
      </c>
      <c r="AB85" s="19">
        <f>Segments!$C$12*SUMIF(i_exp_capex_years,AB$3,i_exp_capex_vals)*AB18</f>
        <v/>
      </c>
      <c r="AC85" s="19">
        <f>Segments!$C$12*SUMIF(i_exp_capex_years,AC$3,i_exp_capex_vals)*AC18</f>
        <v/>
      </c>
      <c r="AD85" s="19">
        <f>Segments!$C$12*SUMIF(i_exp_capex_years,AD$3,i_exp_capex_vals)*AD18</f>
        <v/>
      </c>
      <c r="AE85" s="19">
        <f>Segments!$C$12*SUMIF(i_exp_capex_years,AE$3,i_exp_capex_vals)*AE18</f>
        <v/>
      </c>
      <c r="AF85" s="19">
        <f>Segments!$C$12*SUMIF(i_exp_capex_years,AF$3,i_exp_capex_vals)*AF18</f>
        <v/>
      </c>
      <c r="AG85" s="19">
        <f>Segments!$C$12*SUMIF(i_exp_capex_years,AG$3,i_exp_capex_vals)*AG18</f>
        <v/>
      </c>
      <c r="AH85" s="19">
        <f>Segments!$C$12*SUMIF(i_exp_capex_years,AH$3,i_exp_capex_vals)*AH18</f>
        <v/>
      </c>
      <c r="AI85" s="19">
        <f>Segments!$C$12*SUMIF(i_exp_capex_years,AI$3,i_exp_capex_vals)*AI18</f>
        <v/>
      </c>
    </row>
    <row r="86">
      <c r="B86" s="2" t="inlineStr">
        <is>
          <t xml:space="preserve">  Operating (1/0)</t>
        </is>
      </c>
      <c r="D86" s="22">
        <f>IF(D$3&gt;=i_exp_start,Segments!$C$12,0)</f>
        <v/>
      </c>
      <c r="E86" s="22">
        <f>IF(E$3&gt;=i_exp_start,Segments!$C$12,0)</f>
        <v/>
      </c>
      <c r="F86" s="22">
        <f>IF(F$3&gt;=i_exp_start,Segments!$C$12,0)</f>
        <v/>
      </c>
      <c r="G86" s="22">
        <f>IF(G$3&gt;=i_exp_start,Segments!$C$12,0)</f>
        <v/>
      </c>
      <c r="H86" s="22">
        <f>IF(H$3&gt;=i_exp_start,Segments!$C$12,0)</f>
        <v/>
      </c>
      <c r="I86" s="22">
        <f>IF(I$3&gt;=i_exp_start,Segments!$C$12,0)</f>
        <v/>
      </c>
      <c r="J86" s="22">
        <f>IF(J$3&gt;=i_exp_start,Segments!$C$12,0)</f>
        <v/>
      </c>
      <c r="K86" s="22">
        <f>IF(K$3&gt;=i_exp_start,Segments!$C$12,0)</f>
        <v/>
      </c>
      <c r="L86" s="22">
        <f>IF(L$3&gt;=i_exp_start,Segments!$C$12,0)</f>
        <v/>
      </c>
      <c r="M86" s="22">
        <f>IF(M$3&gt;=i_exp_start,Segments!$C$12,0)</f>
        <v/>
      </c>
      <c r="N86" s="22">
        <f>IF(N$3&gt;=i_exp_start,Segments!$C$12,0)</f>
        <v/>
      </c>
      <c r="O86" s="22">
        <f>IF(O$3&gt;=i_exp_start,Segments!$C$12,0)</f>
        <v/>
      </c>
      <c r="P86" s="22">
        <f>IF(P$3&gt;=i_exp_start,Segments!$C$12,0)</f>
        <v/>
      </c>
      <c r="Q86" s="22">
        <f>IF(Q$3&gt;=i_exp_start,Segments!$C$12,0)</f>
        <v/>
      </c>
      <c r="R86" s="22">
        <f>IF(R$3&gt;=i_exp_start,Segments!$C$12,0)</f>
        <v/>
      </c>
      <c r="S86" s="22">
        <f>IF(S$3&gt;=i_exp_start,Segments!$C$12,0)</f>
        <v/>
      </c>
      <c r="T86" s="22">
        <f>IF(T$3&gt;=i_exp_start,Segments!$C$12,0)</f>
        <v/>
      </c>
      <c r="U86" s="22">
        <f>IF(U$3&gt;=i_exp_start,Segments!$C$12,0)</f>
        <v/>
      </c>
      <c r="V86" s="22">
        <f>IF(V$3&gt;=i_exp_start,Segments!$C$12,0)</f>
        <v/>
      </c>
      <c r="W86" s="22">
        <f>IF(W$3&gt;=i_exp_start,Segments!$C$12,0)</f>
        <v/>
      </c>
      <c r="X86" s="22">
        <f>IF(X$3&gt;=i_exp_start,Segments!$C$12,0)</f>
        <v/>
      </c>
      <c r="Y86" s="22">
        <f>IF(Y$3&gt;=i_exp_start,Segments!$C$12,0)</f>
        <v/>
      </c>
      <c r="Z86" s="22">
        <f>IF(Z$3&gt;=i_exp_start,Segments!$C$12,0)</f>
        <v/>
      </c>
      <c r="AA86" s="22">
        <f>IF(AA$3&gt;=i_exp_start,Segments!$C$12,0)</f>
        <v/>
      </c>
      <c r="AB86" s="22">
        <f>IF(AB$3&gt;=i_exp_start,Segments!$C$12,0)</f>
        <v/>
      </c>
      <c r="AC86" s="22">
        <f>IF(AC$3&gt;=i_exp_start,Segments!$C$12,0)</f>
        <v/>
      </c>
      <c r="AD86" s="22">
        <f>IF(AD$3&gt;=i_exp_start,Segments!$C$12,0)</f>
        <v/>
      </c>
      <c r="AE86" s="22">
        <f>IF(AE$3&gt;=i_exp_start,Segments!$C$12,0)</f>
        <v/>
      </c>
      <c r="AF86" s="22">
        <f>IF(AF$3&gt;=i_exp_start,Segments!$C$12,0)</f>
        <v/>
      </c>
      <c r="AG86" s="22">
        <f>IF(AG$3&gt;=i_exp_start,Segments!$C$12,0)</f>
        <v/>
      </c>
      <c r="AH86" s="22">
        <f>IF(AH$3&gt;=i_exp_start,Segments!$C$12,0)</f>
        <v/>
      </c>
      <c r="AI86" s="22">
        <f>IF(AI$3&gt;=i_exp_start,Segments!$C$12,0)</f>
        <v/>
      </c>
    </row>
    <row r="87">
      <c r="B87" s="2" t="inlineStr">
        <is>
          <t xml:space="preserve">  Under the anchor contract (1/0)</t>
        </is>
      </c>
      <c r="D87" s="22">
        <f>IF(D$3&lt;i_exp_start+i_exp_years,1,0)</f>
        <v/>
      </c>
      <c r="E87" s="22">
        <f>IF(E$3&lt;i_exp_start+i_exp_years,1,0)</f>
        <v/>
      </c>
      <c r="F87" s="22">
        <f>IF(F$3&lt;i_exp_start+i_exp_years,1,0)</f>
        <v/>
      </c>
      <c r="G87" s="22">
        <f>IF(G$3&lt;i_exp_start+i_exp_years,1,0)</f>
        <v/>
      </c>
      <c r="H87" s="22">
        <f>IF(H$3&lt;i_exp_start+i_exp_years,1,0)</f>
        <v/>
      </c>
      <c r="I87" s="22">
        <f>IF(I$3&lt;i_exp_start+i_exp_years,1,0)</f>
        <v/>
      </c>
      <c r="J87" s="22">
        <f>IF(J$3&lt;i_exp_start+i_exp_years,1,0)</f>
        <v/>
      </c>
      <c r="K87" s="22">
        <f>IF(K$3&lt;i_exp_start+i_exp_years,1,0)</f>
        <v/>
      </c>
      <c r="L87" s="22">
        <f>IF(L$3&lt;i_exp_start+i_exp_years,1,0)</f>
        <v/>
      </c>
      <c r="M87" s="22">
        <f>IF(M$3&lt;i_exp_start+i_exp_years,1,0)</f>
        <v/>
      </c>
      <c r="N87" s="22">
        <f>IF(N$3&lt;i_exp_start+i_exp_years,1,0)</f>
        <v/>
      </c>
      <c r="O87" s="22">
        <f>IF(O$3&lt;i_exp_start+i_exp_years,1,0)</f>
        <v/>
      </c>
      <c r="P87" s="22">
        <f>IF(P$3&lt;i_exp_start+i_exp_years,1,0)</f>
        <v/>
      </c>
      <c r="Q87" s="22">
        <f>IF(Q$3&lt;i_exp_start+i_exp_years,1,0)</f>
        <v/>
      </c>
      <c r="R87" s="22">
        <f>IF(R$3&lt;i_exp_start+i_exp_years,1,0)</f>
        <v/>
      </c>
      <c r="S87" s="22">
        <f>IF(S$3&lt;i_exp_start+i_exp_years,1,0)</f>
        <v/>
      </c>
      <c r="T87" s="22">
        <f>IF(T$3&lt;i_exp_start+i_exp_years,1,0)</f>
        <v/>
      </c>
      <c r="U87" s="22">
        <f>IF(U$3&lt;i_exp_start+i_exp_years,1,0)</f>
        <v/>
      </c>
      <c r="V87" s="22">
        <f>IF(V$3&lt;i_exp_start+i_exp_years,1,0)</f>
        <v/>
      </c>
      <c r="W87" s="22">
        <f>IF(W$3&lt;i_exp_start+i_exp_years,1,0)</f>
        <v/>
      </c>
      <c r="X87" s="22">
        <f>IF(X$3&lt;i_exp_start+i_exp_years,1,0)</f>
        <v/>
      </c>
      <c r="Y87" s="22">
        <f>IF(Y$3&lt;i_exp_start+i_exp_years,1,0)</f>
        <v/>
      </c>
      <c r="Z87" s="22">
        <f>IF(Z$3&lt;i_exp_start+i_exp_years,1,0)</f>
        <v/>
      </c>
      <c r="AA87" s="22">
        <f>IF(AA$3&lt;i_exp_start+i_exp_years,1,0)</f>
        <v/>
      </c>
      <c r="AB87" s="22">
        <f>IF(AB$3&lt;i_exp_start+i_exp_years,1,0)</f>
        <v/>
      </c>
      <c r="AC87" s="22">
        <f>IF(AC$3&lt;i_exp_start+i_exp_years,1,0)</f>
        <v/>
      </c>
      <c r="AD87" s="22">
        <f>IF(AD$3&lt;i_exp_start+i_exp_years,1,0)</f>
        <v/>
      </c>
      <c r="AE87" s="22">
        <f>IF(AE$3&lt;i_exp_start+i_exp_years,1,0)</f>
        <v/>
      </c>
      <c r="AF87" s="22">
        <f>IF(AF$3&lt;i_exp_start+i_exp_years,1,0)</f>
        <v/>
      </c>
      <c r="AG87" s="22">
        <f>IF(AG$3&lt;i_exp_start+i_exp_years,1,0)</f>
        <v/>
      </c>
      <c r="AH87" s="22">
        <f>IF(AH$3&lt;i_exp_start+i_exp_years,1,0)</f>
        <v/>
      </c>
      <c r="AI87" s="22">
        <f>IF(AI$3&lt;i_exp_start+i_exp_years,1,0)</f>
        <v/>
      </c>
    </row>
    <row r="88">
      <c r="B88" s="2" t="inlineStr">
        <is>
          <t xml:space="preserve">  Rate ($ per m3 per month)</t>
        </is>
      </c>
      <c r="D88" s="24">
        <f>i_exp_rate*D19*IF(D87=1,1,1+i_exp_mtm)</f>
        <v/>
      </c>
      <c r="E88" s="24">
        <f>i_exp_rate*E19*IF(E87=1,1,1+i_exp_mtm)</f>
        <v/>
      </c>
      <c r="F88" s="24">
        <f>i_exp_rate*F19*IF(F87=1,1,1+i_exp_mtm)</f>
        <v/>
      </c>
      <c r="G88" s="24">
        <f>i_exp_rate*G19*IF(G87=1,1,1+i_exp_mtm)</f>
        <v/>
      </c>
      <c r="H88" s="24">
        <f>i_exp_rate*H19*IF(H87=1,1,1+i_exp_mtm)</f>
        <v/>
      </c>
      <c r="I88" s="24">
        <f>i_exp_rate*I19*IF(I87=1,1,1+i_exp_mtm)</f>
        <v/>
      </c>
      <c r="J88" s="24">
        <f>i_exp_rate*J19*IF(J87=1,1,1+i_exp_mtm)</f>
        <v/>
      </c>
      <c r="K88" s="24">
        <f>i_exp_rate*K19*IF(K87=1,1,1+i_exp_mtm)</f>
        <v/>
      </c>
      <c r="L88" s="24">
        <f>i_exp_rate*L19*IF(L87=1,1,1+i_exp_mtm)</f>
        <v/>
      </c>
      <c r="M88" s="24">
        <f>i_exp_rate*M19*IF(M87=1,1,1+i_exp_mtm)</f>
        <v/>
      </c>
      <c r="N88" s="24">
        <f>i_exp_rate*N19*IF(N87=1,1,1+i_exp_mtm)</f>
        <v/>
      </c>
      <c r="O88" s="24">
        <f>i_exp_rate*O19*IF(O87=1,1,1+i_exp_mtm)</f>
        <v/>
      </c>
      <c r="P88" s="24">
        <f>i_exp_rate*P19*IF(P87=1,1,1+i_exp_mtm)</f>
        <v/>
      </c>
      <c r="Q88" s="24">
        <f>i_exp_rate*Q19*IF(Q87=1,1,1+i_exp_mtm)</f>
        <v/>
      </c>
      <c r="R88" s="24">
        <f>i_exp_rate*R19*IF(R87=1,1,1+i_exp_mtm)</f>
        <v/>
      </c>
      <c r="S88" s="24">
        <f>i_exp_rate*S19*IF(S87=1,1,1+i_exp_mtm)</f>
        <v/>
      </c>
      <c r="T88" s="24">
        <f>i_exp_rate*T19*IF(T87=1,1,1+i_exp_mtm)</f>
        <v/>
      </c>
      <c r="U88" s="24">
        <f>i_exp_rate*U19*IF(U87=1,1,1+i_exp_mtm)</f>
        <v/>
      </c>
      <c r="V88" s="24">
        <f>i_exp_rate*V19*IF(V87=1,1,1+i_exp_mtm)</f>
        <v/>
      </c>
      <c r="W88" s="24">
        <f>i_exp_rate*W19*IF(W87=1,1,1+i_exp_mtm)</f>
        <v/>
      </c>
      <c r="X88" s="24">
        <f>i_exp_rate*X19*IF(X87=1,1,1+i_exp_mtm)</f>
        <v/>
      </c>
      <c r="Y88" s="24">
        <f>i_exp_rate*Y19*IF(Y87=1,1,1+i_exp_mtm)</f>
        <v/>
      </c>
      <c r="Z88" s="24">
        <f>i_exp_rate*Z19*IF(Z87=1,1,1+i_exp_mtm)</f>
        <v/>
      </c>
      <c r="AA88" s="24">
        <f>i_exp_rate*AA19*IF(AA87=1,1,1+i_exp_mtm)</f>
        <v/>
      </c>
      <c r="AB88" s="24">
        <f>i_exp_rate*AB19*IF(AB87=1,1,1+i_exp_mtm)</f>
        <v/>
      </c>
      <c r="AC88" s="24">
        <f>i_exp_rate*AC19*IF(AC87=1,1,1+i_exp_mtm)</f>
        <v/>
      </c>
      <c r="AD88" s="24">
        <f>i_exp_rate*AD19*IF(AD87=1,1,1+i_exp_mtm)</f>
        <v/>
      </c>
      <c r="AE88" s="24">
        <f>i_exp_rate*AE19*IF(AE87=1,1,1+i_exp_mtm)</f>
        <v/>
      </c>
      <c r="AF88" s="24">
        <f>i_exp_rate*AF19*IF(AF87=1,1,1+i_exp_mtm)</f>
        <v/>
      </c>
      <c r="AG88" s="24">
        <f>i_exp_rate*AG19*IF(AG87=1,1,1+i_exp_mtm)</f>
        <v/>
      </c>
      <c r="AH88" s="24">
        <f>i_exp_rate*AH19*IF(AH87=1,1,1+i_exp_mtm)</f>
        <v/>
      </c>
      <c r="AI88" s="24">
        <f>i_exp_rate*AI19*IF(AI87=1,1,1+i_exp_mtm)</f>
        <v/>
      </c>
    </row>
    <row r="89">
      <c r="B89" s="2" t="inlineStr">
        <is>
          <t xml:space="preserve">  Occupancy</t>
        </is>
      </c>
      <c r="D89" s="21">
        <f>IF(D87=1,i_exp_occ_c,i_exp_occ_m)</f>
        <v/>
      </c>
      <c r="E89" s="21">
        <f>IF(E87=1,i_exp_occ_c,i_exp_occ_m)</f>
        <v/>
      </c>
      <c r="F89" s="21">
        <f>IF(F87=1,i_exp_occ_c,i_exp_occ_m)</f>
        <v/>
      </c>
      <c r="G89" s="21">
        <f>IF(G87=1,i_exp_occ_c,i_exp_occ_m)</f>
        <v/>
      </c>
      <c r="H89" s="21">
        <f>IF(H87=1,i_exp_occ_c,i_exp_occ_m)</f>
        <v/>
      </c>
      <c r="I89" s="21">
        <f>IF(I87=1,i_exp_occ_c,i_exp_occ_m)</f>
        <v/>
      </c>
      <c r="J89" s="21">
        <f>IF(J87=1,i_exp_occ_c,i_exp_occ_m)</f>
        <v/>
      </c>
      <c r="K89" s="21">
        <f>IF(K87=1,i_exp_occ_c,i_exp_occ_m)</f>
        <v/>
      </c>
      <c r="L89" s="21">
        <f>IF(L87=1,i_exp_occ_c,i_exp_occ_m)</f>
        <v/>
      </c>
      <c r="M89" s="21">
        <f>IF(M87=1,i_exp_occ_c,i_exp_occ_m)</f>
        <v/>
      </c>
      <c r="N89" s="21">
        <f>IF(N87=1,i_exp_occ_c,i_exp_occ_m)</f>
        <v/>
      </c>
      <c r="O89" s="21">
        <f>IF(O87=1,i_exp_occ_c,i_exp_occ_m)</f>
        <v/>
      </c>
      <c r="P89" s="21">
        <f>IF(P87=1,i_exp_occ_c,i_exp_occ_m)</f>
        <v/>
      </c>
      <c r="Q89" s="21">
        <f>IF(Q87=1,i_exp_occ_c,i_exp_occ_m)</f>
        <v/>
      </c>
      <c r="R89" s="21">
        <f>IF(R87=1,i_exp_occ_c,i_exp_occ_m)</f>
        <v/>
      </c>
      <c r="S89" s="21">
        <f>IF(S87=1,i_exp_occ_c,i_exp_occ_m)</f>
        <v/>
      </c>
      <c r="T89" s="21">
        <f>IF(T87=1,i_exp_occ_c,i_exp_occ_m)</f>
        <v/>
      </c>
      <c r="U89" s="21">
        <f>IF(U87=1,i_exp_occ_c,i_exp_occ_m)</f>
        <v/>
      </c>
      <c r="V89" s="21">
        <f>IF(V87=1,i_exp_occ_c,i_exp_occ_m)</f>
        <v/>
      </c>
      <c r="W89" s="21">
        <f>IF(W87=1,i_exp_occ_c,i_exp_occ_m)</f>
        <v/>
      </c>
      <c r="X89" s="21">
        <f>IF(X87=1,i_exp_occ_c,i_exp_occ_m)</f>
        <v/>
      </c>
      <c r="Y89" s="21">
        <f>IF(Y87=1,i_exp_occ_c,i_exp_occ_m)</f>
        <v/>
      </c>
      <c r="Z89" s="21">
        <f>IF(Z87=1,i_exp_occ_c,i_exp_occ_m)</f>
        <v/>
      </c>
      <c r="AA89" s="21">
        <f>IF(AA87=1,i_exp_occ_c,i_exp_occ_m)</f>
        <v/>
      </c>
      <c r="AB89" s="21">
        <f>IF(AB87=1,i_exp_occ_c,i_exp_occ_m)</f>
        <v/>
      </c>
      <c r="AC89" s="21">
        <f>IF(AC87=1,i_exp_occ_c,i_exp_occ_m)</f>
        <v/>
      </c>
      <c r="AD89" s="21">
        <f>IF(AD87=1,i_exp_occ_c,i_exp_occ_m)</f>
        <v/>
      </c>
      <c r="AE89" s="21">
        <f>IF(AE87=1,i_exp_occ_c,i_exp_occ_m)</f>
        <v/>
      </c>
      <c r="AF89" s="21">
        <f>IF(AF87=1,i_exp_occ_c,i_exp_occ_m)</f>
        <v/>
      </c>
      <c r="AG89" s="21">
        <f>IF(AG87=1,i_exp_occ_c,i_exp_occ_m)</f>
        <v/>
      </c>
      <c r="AH89" s="21">
        <f>IF(AH87=1,i_exp_occ_c,i_exp_occ_m)</f>
        <v/>
      </c>
      <c r="AI89" s="21">
        <f>IF(AI87=1,i_exp_occ_c,i_exp_occ_m)</f>
        <v/>
      </c>
    </row>
    <row r="90">
      <c r="B90" s="2" t="inlineStr">
        <is>
          <t xml:space="preserve">  Storage revenue</t>
        </is>
      </c>
      <c r="D90" s="19">
        <f>D86*i_exp_cap*D88*12*D89</f>
        <v/>
      </c>
      <c r="E90" s="19">
        <f>E86*i_exp_cap*E88*12*E89</f>
        <v/>
      </c>
      <c r="F90" s="19">
        <f>F86*i_exp_cap*F88*12*F89</f>
        <v/>
      </c>
      <c r="G90" s="19">
        <f>G86*i_exp_cap*G88*12*G89</f>
        <v/>
      </c>
      <c r="H90" s="19">
        <f>H86*i_exp_cap*H88*12*H89</f>
        <v/>
      </c>
      <c r="I90" s="19">
        <f>I86*i_exp_cap*I88*12*I89</f>
        <v/>
      </c>
      <c r="J90" s="19">
        <f>J86*i_exp_cap*J88*12*J89</f>
        <v/>
      </c>
      <c r="K90" s="19">
        <f>K86*i_exp_cap*K88*12*K89</f>
        <v/>
      </c>
      <c r="L90" s="19">
        <f>L86*i_exp_cap*L88*12*L89</f>
        <v/>
      </c>
      <c r="M90" s="19">
        <f>M86*i_exp_cap*M88*12*M89</f>
        <v/>
      </c>
      <c r="N90" s="19">
        <f>N86*i_exp_cap*N88*12*N89</f>
        <v/>
      </c>
      <c r="O90" s="19">
        <f>O86*i_exp_cap*O88*12*O89</f>
        <v/>
      </c>
      <c r="P90" s="19">
        <f>P86*i_exp_cap*P88*12*P89</f>
        <v/>
      </c>
      <c r="Q90" s="19">
        <f>Q86*i_exp_cap*Q88*12*Q89</f>
        <v/>
      </c>
      <c r="R90" s="19">
        <f>R86*i_exp_cap*R88*12*R89</f>
        <v/>
      </c>
      <c r="S90" s="19">
        <f>S86*i_exp_cap*S88*12*S89</f>
        <v/>
      </c>
      <c r="T90" s="19">
        <f>T86*i_exp_cap*T88*12*T89</f>
        <v/>
      </c>
      <c r="U90" s="19">
        <f>U86*i_exp_cap*U88*12*U89</f>
        <v/>
      </c>
      <c r="V90" s="19">
        <f>V86*i_exp_cap*V88*12*V89</f>
        <v/>
      </c>
      <c r="W90" s="19">
        <f>W86*i_exp_cap*W88*12*W89</f>
        <v/>
      </c>
      <c r="X90" s="19">
        <f>X86*i_exp_cap*X88*12*X89</f>
        <v/>
      </c>
      <c r="Y90" s="19">
        <f>Y86*i_exp_cap*Y88*12*Y89</f>
        <v/>
      </c>
      <c r="Z90" s="19">
        <f>Z86*i_exp_cap*Z88*12*Z89</f>
        <v/>
      </c>
      <c r="AA90" s="19">
        <f>AA86*i_exp_cap*AA88*12*AA89</f>
        <v/>
      </c>
      <c r="AB90" s="19">
        <f>AB86*i_exp_cap*AB88*12*AB89</f>
        <v/>
      </c>
      <c r="AC90" s="19">
        <f>AC86*i_exp_cap*AC88*12*AC89</f>
        <v/>
      </c>
      <c r="AD90" s="19">
        <f>AD86*i_exp_cap*AD88*12*AD89</f>
        <v/>
      </c>
      <c r="AE90" s="19">
        <f>AE86*i_exp_cap*AE88*12*AE89</f>
        <v/>
      </c>
      <c r="AF90" s="19">
        <f>AF86*i_exp_cap*AF88*12*AF89</f>
        <v/>
      </c>
      <c r="AG90" s="19">
        <f>AG86*i_exp_cap*AG88*12*AG89</f>
        <v/>
      </c>
      <c r="AH90" s="19">
        <f>AH86*i_exp_cap*AH88*12*AH89</f>
        <v/>
      </c>
      <c r="AI90" s="19">
        <f>AI86*i_exp_cap*AI88*12*AI89</f>
        <v/>
      </c>
    </row>
    <row r="91">
      <c r="B91" s="3" t="inlineStr">
        <is>
          <t xml:space="preserve">  Revenue</t>
        </is>
      </c>
      <c r="D91" s="31">
        <f>D90*(1+i_exp_anc)</f>
        <v/>
      </c>
      <c r="E91" s="31">
        <f>E90*(1+i_exp_anc)</f>
        <v/>
      </c>
      <c r="F91" s="31">
        <f>F90*(1+i_exp_anc)</f>
        <v/>
      </c>
      <c r="G91" s="31">
        <f>G90*(1+i_exp_anc)</f>
        <v/>
      </c>
      <c r="H91" s="31">
        <f>H90*(1+i_exp_anc)</f>
        <v/>
      </c>
      <c r="I91" s="31">
        <f>I90*(1+i_exp_anc)</f>
        <v/>
      </c>
      <c r="J91" s="31">
        <f>J90*(1+i_exp_anc)</f>
        <v/>
      </c>
      <c r="K91" s="31">
        <f>K90*(1+i_exp_anc)</f>
        <v/>
      </c>
      <c r="L91" s="31">
        <f>L90*(1+i_exp_anc)</f>
        <v/>
      </c>
      <c r="M91" s="31">
        <f>M90*(1+i_exp_anc)</f>
        <v/>
      </c>
      <c r="N91" s="31">
        <f>N90*(1+i_exp_anc)</f>
        <v/>
      </c>
      <c r="O91" s="31">
        <f>O90*(1+i_exp_anc)</f>
        <v/>
      </c>
      <c r="P91" s="31">
        <f>P90*(1+i_exp_anc)</f>
        <v/>
      </c>
      <c r="Q91" s="31">
        <f>Q90*(1+i_exp_anc)</f>
        <v/>
      </c>
      <c r="R91" s="31">
        <f>R90*(1+i_exp_anc)</f>
        <v/>
      </c>
      <c r="S91" s="31">
        <f>S90*(1+i_exp_anc)</f>
        <v/>
      </c>
      <c r="T91" s="31">
        <f>T90*(1+i_exp_anc)</f>
        <v/>
      </c>
      <c r="U91" s="31">
        <f>U90*(1+i_exp_anc)</f>
        <v/>
      </c>
      <c r="V91" s="31">
        <f>V90*(1+i_exp_anc)</f>
        <v/>
      </c>
      <c r="W91" s="31">
        <f>W90*(1+i_exp_anc)</f>
        <v/>
      </c>
      <c r="X91" s="31">
        <f>X90*(1+i_exp_anc)</f>
        <v/>
      </c>
      <c r="Y91" s="31">
        <f>Y90*(1+i_exp_anc)</f>
        <v/>
      </c>
      <c r="Z91" s="31">
        <f>Z90*(1+i_exp_anc)</f>
        <v/>
      </c>
      <c r="AA91" s="31">
        <f>AA90*(1+i_exp_anc)</f>
        <v/>
      </c>
      <c r="AB91" s="31">
        <f>AB90*(1+i_exp_anc)</f>
        <v/>
      </c>
      <c r="AC91" s="31">
        <f>AC90*(1+i_exp_anc)</f>
        <v/>
      </c>
      <c r="AD91" s="31">
        <f>AD90*(1+i_exp_anc)</f>
        <v/>
      </c>
      <c r="AE91" s="31">
        <f>AE90*(1+i_exp_anc)</f>
        <v/>
      </c>
      <c r="AF91" s="31">
        <f>AF90*(1+i_exp_anc)</f>
        <v/>
      </c>
      <c r="AG91" s="31">
        <f>AG90*(1+i_exp_anc)</f>
        <v/>
      </c>
      <c r="AH91" s="31">
        <f>AH90*(1+i_exp_anc)</f>
        <v/>
      </c>
      <c r="AI91" s="31">
        <f>AI90*(1+i_exp_anc)</f>
        <v/>
      </c>
    </row>
    <row r="92">
      <c r="B92" s="2" t="inlineStr">
        <is>
          <t xml:space="preserve">  Operating cost</t>
        </is>
      </c>
      <c r="D92" s="19">
        <f>D86*i_exp_fix*i_exp_cap*D18+i_exp_var*D91</f>
        <v/>
      </c>
      <c r="E92" s="19">
        <f>E86*i_exp_fix*i_exp_cap*E18+i_exp_var*E91</f>
        <v/>
      </c>
      <c r="F92" s="19">
        <f>F86*i_exp_fix*i_exp_cap*F18+i_exp_var*F91</f>
        <v/>
      </c>
      <c r="G92" s="19">
        <f>G86*i_exp_fix*i_exp_cap*G18+i_exp_var*G91</f>
        <v/>
      </c>
      <c r="H92" s="19">
        <f>H86*i_exp_fix*i_exp_cap*H18+i_exp_var*H91</f>
        <v/>
      </c>
      <c r="I92" s="19">
        <f>I86*i_exp_fix*i_exp_cap*I18+i_exp_var*I91</f>
        <v/>
      </c>
      <c r="J92" s="19">
        <f>J86*i_exp_fix*i_exp_cap*J18+i_exp_var*J91</f>
        <v/>
      </c>
      <c r="K92" s="19">
        <f>K86*i_exp_fix*i_exp_cap*K18+i_exp_var*K91</f>
        <v/>
      </c>
      <c r="L92" s="19">
        <f>L86*i_exp_fix*i_exp_cap*L18+i_exp_var*L91</f>
        <v/>
      </c>
      <c r="M92" s="19">
        <f>M86*i_exp_fix*i_exp_cap*M18+i_exp_var*M91</f>
        <v/>
      </c>
      <c r="N92" s="19">
        <f>N86*i_exp_fix*i_exp_cap*N18+i_exp_var*N91</f>
        <v/>
      </c>
      <c r="O92" s="19">
        <f>O86*i_exp_fix*i_exp_cap*O18+i_exp_var*O91</f>
        <v/>
      </c>
      <c r="P92" s="19">
        <f>P86*i_exp_fix*i_exp_cap*P18+i_exp_var*P91</f>
        <v/>
      </c>
      <c r="Q92" s="19">
        <f>Q86*i_exp_fix*i_exp_cap*Q18+i_exp_var*Q91</f>
        <v/>
      </c>
      <c r="R92" s="19">
        <f>R86*i_exp_fix*i_exp_cap*R18+i_exp_var*R91</f>
        <v/>
      </c>
      <c r="S92" s="19">
        <f>S86*i_exp_fix*i_exp_cap*S18+i_exp_var*S91</f>
        <v/>
      </c>
      <c r="T92" s="19">
        <f>T86*i_exp_fix*i_exp_cap*T18+i_exp_var*T91</f>
        <v/>
      </c>
      <c r="U92" s="19">
        <f>U86*i_exp_fix*i_exp_cap*U18+i_exp_var*U91</f>
        <v/>
      </c>
      <c r="V92" s="19">
        <f>V86*i_exp_fix*i_exp_cap*V18+i_exp_var*V91</f>
        <v/>
      </c>
      <c r="W92" s="19">
        <f>W86*i_exp_fix*i_exp_cap*W18+i_exp_var*W91</f>
        <v/>
      </c>
      <c r="X92" s="19">
        <f>X86*i_exp_fix*i_exp_cap*X18+i_exp_var*X91</f>
        <v/>
      </c>
      <c r="Y92" s="19">
        <f>Y86*i_exp_fix*i_exp_cap*Y18+i_exp_var*Y91</f>
        <v/>
      </c>
      <c r="Z92" s="19">
        <f>Z86*i_exp_fix*i_exp_cap*Z18+i_exp_var*Z91</f>
        <v/>
      </c>
      <c r="AA92" s="19">
        <f>AA86*i_exp_fix*i_exp_cap*AA18+i_exp_var*AA91</f>
        <v/>
      </c>
      <c r="AB92" s="19">
        <f>AB86*i_exp_fix*i_exp_cap*AB18+i_exp_var*AB91</f>
        <v/>
      </c>
      <c r="AC92" s="19">
        <f>AC86*i_exp_fix*i_exp_cap*AC18+i_exp_var*AC91</f>
        <v/>
      </c>
      <c r="AD92" s="19">
        <f>AD86*i_exp_fix*i_exp_cap*AD18+i_exp_var*AD91</f>
        <v/>
      </c>
      <c r="AE92" s="19">
        <f>AE86*i_exp_fix*i_exp_cap*AE18+i_exp_var*AE91</f>
        <v/>
      </c>
      <c r="AF92" s="19">
        <f>AF86*i_exp_fix*i_exp_cap*AF18+i_exp_var*AF91</f>
        <v/>
      </c>
      <c r="AG92" s="19">
        <f>AG86*i_exp_fix*i_exp_cap*AG18+i_exp_var*AG91</f>
        <v/>
      </c>
      <c r="AH92" s="19">
        <f>AH86*i_exp_fix*i_exp_cap*AH18+i_exp_var*AH91</f>
        <v/>
      </c>
      <c r="AI92" s="19">
        <f>AI86*i_exp_fix*i_exp_cap*AI18+i_exp_var*AI91</f>
        <v/>
      </c>
    </row>
    <row r="93">
      <c r="B93" s="3" t="inlineStr">
        <is>
          <t xml:space="preserve">  EBITDA</t>
        </is>
      </c>
      <c r="D93" s="31">
        <f>D91-D92</f>
        <v/>
      </c>
      <c r="E93" s="31">
        <f>E91-E92</f>
        <v/>
      </c>
      <c r="F93" s="31">
        <f>F91-F92</f>
        <v/>
      </c>
      <c r="G93" s="31">
        <f>G91-G92</f>
        <v/>
      </c>
      <c r="H93" s="31">
        <f>H91-H92</f>
        <v/>
      </c>
      <c r="I93" s="31">
        <f>I91-I92</f>
        <v/>
      </c>
      <c r="J93" s="31">
        <f>J91-J92</f>
        <v/>
      </c>
      <c r="K93" s="31">
        <f>K91-K92</f>
        <v/>
      </c>
      <c r="L93" s="31">
        <f>L91-L92</f>
        <v/>
      </c>
      <c r="M93" s="31">
        <f>M91-M92</f>
        <v/>
      </c>
      <c r="N93" s="31">
        <f>N91-N92</f>
        <v/>
      </c>
      <c r="O93" s="31">
        <f>O91-O92</f>
        <v/>
      </c>
      <c r="P93" s="31">
        <f>P91-P92</f>
        <v/>
      </c>
      <c r="Q93" s="31">
        <f>Q91-Q92</f>
        <v/>
      </c>
      <c r="R93" s="31">
        <f>R91-R92</f>
        <v/>
      </c>
      <c r="S93" s="31">
        <f>S91-S92</f>
        <v/>
      </c>
      <c r="T93" s="31">
        <f>T91-T92</f>
        <v/>
      </c>
      <c r="U93" s="31">
        <f>U91-U92</f>
        <v/>
      </c>
      <c r="V93" s="31">
        <f>V91-V92</f>
        <v/>
      </c>
      <c r="W93" s="31">
        <f>W91-W92</f>
        <v/>
      </c>
      <c r="X93" s="31">
        <f>X91-X92</f>
        <v/>
      </c>
      <c r="Y93" s="31">
        <f>Y91-Y92</f>
        <v/>
      </c>
      <c r="Z93" s="31">
        <f>Z91-Z92</f>
        <v/>
      </c>
      <c r="AA93" s="31">
        <f>AA91-AA92</f>
        <v/>
      </c>
      <c r="AB93" s="31">
        <f>AB91-AB92</f>
        <v/>
      </c>
      <c r="AC93" s="31">
        <f>AC91-AC92</f>
        <v/>
      </c>
      <c r="AD93" s="31">
        <f>AD91-AD92</f>
        <v/>
      </c>
      <c r="AE93" s="31">
        <f>AE91-AE92</f>
        <v/>
      </c>
      <c r="AF93" s="31">
        <f>AF91-AF92</f>
        <v/>
      </c>
      <c r="AG93" s="31">
        <f>AG91-AG92</f>
        <v/>
      </c>
      <c r="AH93" s="31">
        <f>AH91-AH92</f>
        <v/>
      </c>
      <c r="AI93" s="31">
        <f>AI91-AI92</f>
        <v/>
      </c>
    </row>
    <row r="94">
      <c r="B94" s="2" t="inlineStr">
        <is>
          <t xml:space="preserve">  Maintenance capex</t>
        </is>
      </c>
      <c r="D94" s="19">
        <f>D86*i_exp_mc*i_exp_cap*D18</f>
        <v/>
      </c>
      <c r="E94" s="19">
        <f>E86*i_exp_mc*i_exp_cap*E18</f>
        <v/>
      </c>
      <c r="F94" s="19">
        <f>F86*i_exp_mc*i_exp_cap*F18</f>
        <v/>
      </c>
      <c r="G94" s="19">
        <f>G86*i_exp_mc*i_exp_cap*G18</f>
        <v/>
      </c>
      <c r="H94" s="19">
        <f>H86*i_exp_mc*i_exp_cap*H18</f>
        <v/>
      </c>
      <c r="I94" s="19">
        <f>I86*i_exp_mc*i_exp_cap*I18</f>
        <v/>
      </c>
      <c r="J94" s="19">
        <f>J86*i_exp_mc*i_exp_cap*J18</f>
        <v/>
      </c>
      <c r="K94" s="19">
        <f>K86*i_exp_mc*i_exp_cap*K18</f>
        <v/>
      </c>
      <c r="L94" s="19">
        <f>L86*i_exp_mc*i_exp_cap*L18</f>
        <v/>
      </c>
      <c r="M94" s="19">
        <f>M86*i_exp_mc*i_exp_cap*M18</f>
        <v/>
      </c>
      <c r="N94" s="19">
        <f>N86*i_exp_mc*i_exp_cap*N18</f>
        <v/>
      </c>
      <c r="O94" s="19">
        <f>O86*i_exp_mc*i_exp_cap*O18</f>
        <v/>
      </c>
      <c r="P94" s="19">
        <f>P86*i_exp_mc*i_exp_cap*P18</f>
        <v/>
      </c>
      <c r="Q94" s="19">
        <f>Q86*i_exp_mc*i_exp_cap*Q18</f>
        <v/>
      </c>
      <c r="R94" s="19">
        <f>R86*i_exp_mc*i_exp_cap*R18</f>
        <v/>
      </c>
      <c r="S94" s="19">
        <f>S86*i_exp_mc*i_exp_cap*S18</f>
        <v/>
      </c>
      <c r="T94" s="19">
        <f>T86*i_exp_mc*i_exp_cap*T18</f>
        <v/>
      </c>
      <c r="U94" s="19">
        <f>U86*i_exp_mc*i_exp_cap*U18</f>
        <v/>
      </c>
      <c r="V94" s="19">
        <f>V86*i_exp_mc*i_exp_cap*V18</f>
        <v/>
      </c>
      <c r="W94" s="19">
        <f>W86*i_exp_mc*i_exp_cap*W18</f>
        <v/>
      </c>
      <c r="X94" s="19">
        <f>X86*i_exp_mc*i_exp_cap*X18</f>
        <v/>
      </c>
      <c r="Y94" s="19">
        <f>Y86*i_exp_mc*i_exp_cap*Y18</f>
        <v/>
      </c>
      <c r="Z94" s="19">
        <f>Z86*i_exp_mc*i_exp_cap*Z18</f>
        <v/>
      </c>
      <c r="AA94" s="19">
        <f>AA86*i_exp_mc*i_exp_cap*AA18</f>
        <v/>
      </c>
      <c r="AB94" s="19">
        <f>AB86*i_exp_mc*i_exp_cap*AB18</f>
        <v/>
      </c>
      <c r="AC94" s="19">
        <f>AC86*i_exp_mc*i_exp_cap*AC18</f>
        <v/>
      </c>
      <c r="AD94" s="19">
        <f>AD86*i_exp_mc*i_exp_cap*AD18</f>
        <v/>
      </c>
      <c r="AE94" s="19">
        <f>AE86*i_exp_mc*i_exp_cap*AE18</f>
        <v/>
      </c>
      <c r="AF94" s="19">
        <f>AF86*i_exp_mc*i_exp_cap*AF18</f>
        <v/>
      </c>
      <c r="AG94" s="19">
        <f>AG86*i_exp_mc*i_exp_cap*AG18</f>
        <v/>
      </c>
      <c r="AH94" s="19">
        <f>AH86*i_exp_mc*i_exp_cap*AH18</f>
        <v/>
      </c>
      <c r="AI94" s="19">
        <f>AI86*i_exp_mc*i_exp_cap*AI18</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1:AI153"/>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s>
  <sheetData>
    <row r="1">
      <c r="B1" s="1" t="inlineStr">
        <is>
          <t>Platform: consolidated cash flow, live case beside the seller's plan (chapters 3, 4, 8)</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Consolidated (Live (switches) case)</t>
        </is>
      </c>
    </row>
    <row r="7">
      <c r="B7" s="2" t="inlineStr">
        <is>
          <t>Revenue</t>
        </is>
      </c>
      <c r="D7" s="19">
        <f>Segments!D31+Segments!D47+Segments!D62+Segments!D77+Segments!D91</f>
        <v/>
      </c>
      <c r="E7" s="19">
        <f>Segments!E31+Segments!E47+Segments!E62+Segments!E77+Segments!E91</f>
        <v/>
      </c>
      <c r="F7" s="19">
        <f>Segments!F31+Segments!F47+Segments!F62+Segments!F77+Segments!F91</f>
        <v/>
      </c>
      <c r="G7" s="19">
        <f>Segments!G31+Segments!G47+Segments!G62+Segments!G77+Segments!G91</f>
        <v/>
      </c>
      <c r="H7" s="19">
        <f>Segments!H31+Segments!H47+Segments!H62+Segments!H77+Segments!H91</f>
        <v/>
      </c>
      <c r="I7" s="19">
        <f>Segments!I31+Segments!I47+Segments!I62+Segments!I77+Segments!I91</f>
        <v/>
      </c>
      <c r="J7" s="19">
        <f>Segments!J31+Segments!J47+Segments!J62+Segments!J77+Segments!J91</f>
        <v/>
      </c>
      <c r="K7" s="19">
        <f>Segments!K31+Segments!K47+Segments!K62+Segments!K77+Segments!K91</f>
        <v/>
      </c>
      <c r="L7" s="19">
        <f>Segments!L31+Segments!L47+Segments!L62+Segments!L77+Segments!L91</f>
        <v/>
      </c>
      <c r="M7" s="19">
        <f>Segments!M31+Segments!M47+Segments!M62+Segments!M77+Segments!M91</f>
        <v/>
      </c>
      <c r="N7" s="19">
        <f>Segments!N31+Segments!N47+Segments!N62+Segments!N77+Segments!N91</f>
        <v/>
      </c>
      <c r="O7" s="19">
        <f>Segments!O31+Segments!O47+Segments!O62+Segments!O77+Segments!O91</f>
        <v/>
      </c>
      <c r="P7" s="19">
        <f>Segments!P31+Segments!P47+Segments!P62+Segments!P77+Segments!P91</f>
        <v/>
      </c>
      <c r="Q7" s="19">
        <f>Segments!Q31+Segments!Q47+Segments!Q62+Segments!Q77+Segments!Q91</f>
        <v/>
      </c>
      <c r="R7" s="19">
        <f>Segments!R31+Segments!R47+Segments!R62+Segments!R77+Segments!R91</f>
        <v/>
      </c>
      <c r="S7" s="19">
        <f>Segments!S31+Segments!S47+Segments!S62+Segments!S77+Segments!S91</f>
        <v/>
      </c>
      <c r="T7" s="19">
        <f>Segments!T31+Segments!T47+Segments!T62+Segments!T77+Segments!T91</f>
        <v/>
      </c>
      <c r="U7" s="19">
        <f>Segments!U31+Segments!U47+Segments!U62+Segments!U77+Segments!U91</f>
        <v/>
      </c>
      <c r="V7" s="19">
        <f>Segments!V31+Segments!V47+Segments!V62+Segments!V77+Segments!V91</f>
        <v/>
      </c>
      <c r="W7" s="19">
        <f>Segments!W31+Segments!W47+Segments!W62+Segments!W77+Segments!W91</f>
        <v/>
      </c>
      <c r="X7" s="19">
        <f>Segments!X31+Segments!X47+Segments!X62+Segments!X77+Segments!X91</f>
        <v/>
      </c>
      <c r="Y7" s="19">
        <f>Segments!Y31+Segments!Y47+Segments!Y62+Segments!Y77+Segments!Y91</f>
        <v/>
      </c>
      <c r="Z7" s="19">
        <f>Segments!Z31+Segments!Z47+Segments!Z62+Segments!Z77+Segments!Z91</f>
        <v/>
      </c>
      <c r="AA7" s="19">
        <f>Segments!AA31+Segments!AA47+Segments!AA62+Segments!AA77+Segments!AA91</f>
        <v/>
      </c>
      <c r="AB7" s="19">
        <f>Segments!AB31+Segments!AB47+Segments!AB62+Segments!AB77+Segments!AB91</f>
        <v/>
      </c>
      <c r="AC7" s="19">
        <f>Segments!AC31+Segments!AC47+Segments!AC62+Segments!AC77+Segments!AC91</f>
        <v/>
      </c>
      <c r="AD7" s="19">
        <f>Segments!AD31+Segments!AD47+Segments!AD62+Segments!AD77+Segments!AD91</f>
        <v/>
      </c>
      <c r="AE7" s="19">
        <f>Segments!AE31+Segments!AE47+Segments!AE62+Segments!AE77+Segments!AE91</f>
        <v/>
      </c>
      <c r="AF7" s="19">
        <f>Segments!AF31+Segments!AF47+Segments!AF62+Segments!AF77+Segments!AF91</f>
        <v/>
      </c>
      <c r="AG7" s="19">
        <f>Segments!AG31+Segments!AG47+Segments!AG62+Segments!AG77+Segments!AG91</f>
        <v/>
      </c>
      <c r="AH7" s="19">
        <f>Segments!AH31+Segments!AH47+Segments!AH62+Segments!AH77+Segments!AH91</f>
        <v/>
      </c>
      <c r="AI7" s="19">
        <f>Segments!AI31+Segments!AI47+Segments!AI62+Segments!AI77+Segments!AI91</f>
        <v/>
      </c>
    </row>
    <row r="8">
      <c r="B8" s="2" t="inlineStr">
        <is>
          <t>Business unit EBITDA (with the expansion)</t>
        </is>
      </c>
      <c r="D8" s="19">
        <f>Segments!D36+Segments!D51+Segments!D66+Segments!D82+Segments!D93</f>
        <v/>
      </c>
      <c r="E8" s="19">
        <f>Segments!E36+Segments!E51+Segments!E66+Segments!E82+Segments!E93</f>
        <v/>
      </c>
      <c r="F8" s="19">
        <f>Segments!F36+Segments!F51+Segments!F66+Segments!F82+Segments!F93</f>
        <v/>
      </c>
      <c r="G8" s="19">
        <f>Segments!G36+Segments!G51+Segments!G66+Segments!G82+Segments!G93</f>
        <v/>
      </c>
      <c r="H8" s="19">
        <f>Segments!H36+Segments!H51+Segments!H66+Segments!H82+Segments!H93</f>
        <v/>
      </c>
      <c r="I8" s="19">
        <f>Segments!I36+Segments!I51+Segments!I66+Segments!I82+Segments!I93</f>
        <v/>
      </c>
      <c r="J8" s="19">
        <f>Segments!J36+Segments!J51+Segments!J66+Segments!J82+Segments!J93</f>
        <v/>
      </c>
      <c r="K8" s="19">
        <f>Segments!K36+Segments!K51+Segments!K66+Segments!K82+Segments!K93</f>
        <v/>
      </c>
      <c r="L8" s="19">
        <f>Segments!L36+Segments!L51+Segments!L66+Segments!L82+Segments!L93</f>
        <v/>
      </c>
      <c r="M8" s="19">
        <f>Segments!M36+Segments!M51+Segments!M66+Segments!M82+Segments!M93</f>
        <v/>
      </c>
      <c r="N8" s="19">
        <f>Segments!N36+Segments!N51+Segments!N66+Segments!N82+Segments!N93</f>
        <v/>
      </c>
      <c r="O8" s="19">
        <f>Segments!O36+Segments!O51+Segments!O66+Segments!O82+Segments!O93</f>
        <v/>
      </c>
      <c r="P8" s="19">
        <f>Segments!P36+Segments!P51+Segments!P66+Segments!P82+Segments!P93</f>
        <v/>
      </c>
      <c r="Q8" s="19">
        <f>Segments!Q36+Segments!Q51+Segments!Q66+Segments!Q82+Segments!Q93</f>
        <v/>
      </c>
      <c r="R8" s="19">
        <f>Segments!R36+Segments!R51+Segments!R66+Segments!R82+Segments!R93</f>
        <v/>
      </c>
      <c r="S8" s="19">
        <f>Segments!S36+Segments!S51+Segments!S66+Segments!S82+Segments!S93</f>
        <v/>
      </c>
      <c r="T8" s="19">
        <f>Segments!T36+Segments!T51+Segments!T66+Segments!T82+Segments!T93</f>
        <v/>
      </c>
      <c r="U8" s="19">
        <f>Segments!U36+Segments!U51+Segments!U66+Segments!U82+Segments!U93</f>
        <v/>
      </c>
      <c r="V8" s="19">
        <f>Segments!V36+Segments!V51+Segments!V66+Segments!V82+Segments!V93</f>
        <v/>
      </c>
      <c r="W8" s="19">
        <f>Segments!W36+Segments!W51+Segments!W66+Segments!W82+Segments!W93</f>
        <v/>
      </c>
      <c r="X8" s="19">
        <f>Segments!X36+Segments!X51+Segments!X66+Segments!X82+Segments!X93</f>
        <v/>
      </c>
      <c r="Y8" s="19">
        <f>Segments!Y36+Segments!Y51+Segments!Y66+Segments!Y82+Segments!Y93</f>
        <v/>
      </c>
      <c r="Z8" s="19">
        <f>Segments!Z36+Segments!Z51+Segments!Z66+Segments!Z82+Segments!Z93</f>
        <v/>
      </c>
      <c r="AA8" s="19">
        <f>Segments!AA36+Segments!AA51+Segments!AA66+Segments!AA82+Segments!AA93</f>
        <v/>
      </c>
      <c r="AB8" s="19">
        <f>Segments!AB36+Segments!AB51+Segments!AB66+Segments!AB82+Segments!AB93</f>
        <v/>
      </c>
      <c r="AC8" s="19">
        <f>Segments!AC36+Segments!AC51+Segments!AC66+Segments!AC82+Segments!AC93</f>
        <v/>
      </c>
      <c r="AD8" s="19">
        <f>Segments!AD36+Segments!AD51+Segments!AD66+Segments!AD82+Segments!AD93</f>
        <v/>
      </c>
      <c r="AE8" s="19">
        <f>Segments!AE36+Segments!AE51+Segments!AE66+Segments!AE82+Segments!AE93</f>
        <v/>
      </c>
      <c r="AF8" s="19">
        <f>Segments!AF36+Segments!AF51+Segments!AF66+Segments!AF82+Segments!AF93</f>
        <v/>
      </c>
      <c r="AG8" s="19">
        <f>Segments!AG36+Segments!AG51+Segments!AG66+Segments!AG82+Segments!AG93</f>
        <v/>
      </c>
      <c r="AH8" s="19">
        <f>Segments!AH36+Segments!AH51+Segments!AH66+Segments!AH82+Segments!AH93</f>
        <v/>
      </c>
      <c r="AI8" s="19">
        <f>Segments!AI36+Segments!AI51+Segments!AI66+Segments!AI82+Segments!AI93</f>
        <v/>
      </c>
    </row>
    <row r="9">
      <c r="B9" s="2" t="inlineStr">
        <is>
          <t>Corporate costs</t>
        </is>
      </c>
      <c r="D9" s="19">
        <f>i_corp*Segments!D18*IF(OR(Segments!$C$15=1,D$3&lt;=i_conc_end),1,i_corp_after_w)+IF(D$3&gt;=i_mitig_start,Segments!$C$17*Segments!D18,0)</f>
        <v/>
      </c>
      <c r="E9" s="19">
        <f>i_corp*Segments!E18*IF(OR(Segments!$C$15=1,E$3&lt;=i_conc_end),1,i_corp_after_w)+IF(E$3&gt;=i_mitig_start,Segments!$C$17*Segments!E18,0)</f>
        <v/>
      </c>
      <c r="F9" s="19">
        <f>i_corp*Segments!F18*IF(OR(Segments!$C$15=1,F$3&lt;=i_conc_end),1,i_corp_after_w)+IF(F$3&gt;=i_mitig_start,Segments!$C$17*Segments!F18,0)</f>
        <v/>
      </c>
      <c r="G9" s="19">
        <f>i_corp*Segments!G18*IF(OR(Segments!$C$15=1,G$3&lt;=i_conc_end),1,i_corp_after_w)+IF(G$3&gt;=i_mitig_start,Segments!$C$17*Segments!G18,0)</f>
        <v/>
      </c>
      <c r="H9" s="19">
        <f>i_corp*Segments!H18*IF(OR(Segments!$C$15=1,H$3&lt;=i_conc_end),1,i_corp_after_w)+IF(H$3&gt;=i_mitig_start,Segments!$C$17*Segments!H18,0)</f>
        <v/>
      </c>
      <c r="I9" s="19">
        <f>i_corp*Segments!I18*IF(OR(Segments!$C$15=1,I$3&lt;=i_conc_end),1,i_corp_after_w)+IF(I$3&gt;=i_mitig_start,Segments!$C$17*Segments!I18,0)</f>
        <v/>
      </c>
      <c r="J9" s="19">
        <f>i_corp*Segments!J18*IF(OR(Segments!$C$15=1,J$3&lt;=i_conc_end),1,i_corp_after_w)+IF(J$3&gt;=i_mitig_start,Segments!$C$17*Segments!J18,0)</f>
        <v/>
      </c>
      <c r="K9" s="19">
        <f>i_corp*Segments!K18*IF(OR(Segments!$C$15=1,K$3&lt;=i_conc_end),1,i_corp_after_w)+IF(K$3&gt;=i_mitig_start,Segments!$C$17*Segments!K18,0)</f>
        <v/>
      </c>
      <c r="L9" s="19">
        <f>i_corp*Segments!L18*IF(OR(Segments!$C$15=1,L$3&lt;=i_conc_end),1,i_corp_after_w)+IF(L$3&gt;=i_mitig_start,Segments!$C$17*Segments!L18,0)</f>
        <v/>
      </c>
      <c r="M9" s="19">
        <f>i_corp*Segments!M18*IF(OR(Segments!$C$15=1,M$3&lt;=i_conc_end),1,i_corp_after_w)+IF(M$3&gt;=i_mitig_start,Segments!$C$17*Segments!M18,0)</f>
        <v/>
      </c>
      <c r="N9" s="19">
        <f>i_corp*Segments!N18*IF(OR(Segments!$C$15=1,N$3&lt;=i_conc_end),1,i_corp_after_w)+IF(N$3&gt;=i_mitig_start,Segments!$C$17*Segments!N18,0)</f>
        <v/>
      </c>
      <c r="O9" s="19">
        <f>i_corp*Segments!O18*IF(OR(Segments!$C$15=1,O$3&lt;=i_conc_end),1,i_corp_after_w)+IF(O$3&gt;=i_mitig_start,Segments!$C$17*Segments!O18,0)</f>
        <v/>
      </c>
      <c r="P9" s="19">
        <f>i_corp*Segments!P18*IF(OR(Segments!$C$15=1,P$3&lt;=i_conc_end),1,i_corp_after_w)+IF(P$3&gt;=i_mitig_start,Segments!$C$17*Segments!P18,0)</f>
        <v/>
      </c>
      <c r="Q9" s="19">
        <f>i_corp*Segments!Q18*IF(OR(Segments!$C$15=1,Q$3&lt;=i_conc_end),1,i_corp_after_w)+IF(Q$3&gt;=i_mitig_start,Segments!$C$17*Segments!Q18,0)</f>
        <v/>
      </c>
      <c r="R9" s="19">
        <f>i_corp*Segments!R18*IF(OR(Segments!$C$15=1,R$3&lt;=i_conc_end),1,i_corp_after_w)+IF(R$3&gt;=i_mitig_start,Segments!$C$17*Segments!R18,0)</f>
        <v/>
      </c>
      <c r="S9" s="19">
        <f>i_corp*Segments!S18*IF(OR(Segments!$C$15=1,S$3&lt;=i_conc_end),1,i_corp_after_w)+IF(S$3&gt;=i_mitig_start,Segments!$C$17*Segments!S18,0)</f>
        <v/>
      </c>
      <c r="T9" s="19">
        <f>i_corp*Segments!T18*IF(OR(Segments!$C$15=1,T$3&lt;=i_conc_end),1,i_corp_after_w)+IF(T$3&gt;=i_mitig_start,Segments!$C$17*Segments!T18,0)</f>
        <v/>
      </c>
      <c r="U9" s="19">
        <f>i_corp*Segments!U18*IF(OR(Segments!$C$15=1,U$3&lt;=i_conc_end),1,i_corp_after_w)+IF(U$3&gt;=i_mitig_start,Segments!$C$17*Segments!U18,0)</f>
        <v/>
      </c>
      <c r="V9" s="19">
        <f>i_corp*Segments!V18*IF(OR(Segments!$C$15=1,V$3&lt;=i_conc_end),1,i_corp_after_w)+IF(V$3&gt;=i_mitig_start,Segments!$C$17*Segments!V18,0)</f>
        <v/>
      </c>
      <c r="W9" s="19">
        <f>i_corp*Segments!W18*IF(OR(Segments!$C$15=1,W$3&lt;=i_conc_end),1,i_corp_after_w)+IF(W$3&gt;=i_mitig_start,Segments!$C$17*Segments!W18,0)</f>
        <v/>
      </c>
      <c r="X9" s="19">
        <f>i_corp*Segments!X18*IF(OR(Segments!$C$15=1,X$3&lt;=i_conc_end),1,i_corp_after_w)+IF(X$3&gt;=i_mitig_start,Segments!$C$17*Segments!X18,0)</f>
        <v/>
      </c>
      <c r="Y9" s="19">
        <f>i_corp*Segments!Y18*IF(OR(Segments!$C$15=1,Y$3&lt;=i_conc_end),1,i_corp_after_w)+IF(Y$3&gt;=i_mitig_start,Segments!$C$17*Segments!Y18,0)</f>
        <v/>
      </c>
      <c r="Z9" s="19">
        <f>i_corp*Segments!Z18*IF(OR(Segments!$C$15=1,Z$3&lt;=i_conc_end),1,i_corp_after_w)+IF(Z$3&gt;=i_mitig_start,Segments!$C$17*Segments!Z18,0)</f>
        <v/>
      </c>
      <c r="AA9" s="19">
        <f>i_corp*Segments!AA18*IF(OR(Segments!$C$15=1,AA$3&lt;=i_conc_end),1,i_corp_after_w)+IF(AA$3&gt;=i_mitig_start,Segments!$C$17*Segments!AA18,0)</f>
        <v/>
      </c>
      <c r="AB9" s="19">
        <f>i_corp*Segments!AB18*IF(OR(Segments!$C$15=1,AB$3&lt;=i_conc_end),1,i_corp_after_w)+IF(AB$3&gt;=i_mitig_start,Segments!$C$17*Segments!AB18,0)</f>
        <v/>
      </c>
      <c r="AC9" s="19">
        <f>i_corp*Segments!AC18*IF(OR(Segments!$C$15=1,AC$3&lt;=i_conc_end),1,i_corp_after_w)+IF(AC$3&gt;=i_mitig_start,Segments!$C$17*Segments!AC18,0)</f>
        <v/>
      </c>
      <c r="AD9" s="19">
        <f>i_corp*Segments!AD18*IF(OR(Segments!$C$15=1,AD$3&lt;=i_conc_end),1,i_corp_after_w)+IF(AD$3&gt;=i_mitig_start,Segments!$C$17*Segments!AD18,0)</f>
        <v/>
      </c>
      <c r="AE9" s="19">
        <f>i_corp*Segments!AE18*IF(OR(Segments!$C$15=1,AE$3&lt;=i_conc_end),1,i_corp_after_w)+IF(AE$3&gt;=i_mitig_start,Segments!$C$17*Segments!AE18,0)</f>
        <v/>
      </c>
      <c r="AF9" s="19">
        <f>i_corp*Segments!AF18*IF(OR(Segments!$C$15=1,AF$3&lt;=i_conc_end),1,i_corp_after_w)+IF(AF$3&gt;=i_mitig_start,Segments!$C$17*Segments!AF18,0)</f>
        <v/>
      </c>
      <c r="AG9" s="19">
        <f>i_corp*Segments!AG18*IF(OR(Segments!$C$15=1,AG$3&lt;=i_conc_end),1,i_corp_after_w)+IF(AG$3&gt;=i_mitig_start,Segments!$C$17*Segments!AG18,0)</f>
        <v/>
      </c>
      <c r="AH9" s="19">
        <f>i_corp*Segments!AH18*IF(OR(Segments!$C$15=1,AH$3&lt;=i_conc_end),1,i_corp_after_w)+IF(AH$3&gt;=i_mitig_start,Segments!$C$17*Segments!AH18,0)</f>
        <v/>
      </c>
      <c r="AI9" s="19">
        <f>i_corp*Segments!AI18*IF(OR(Segments!$C$15=1,AI$3&lt;=i_conc_end),1,i_corp_after_w)+IF(AI$3&gt;=i_mitig_start,Segments!$C$17*Segments!AI18,0)</f>
        <v/>
      </c>
    </row>
    <row r="10">
      <c r="B10" s="3" t="inlineStr">
        <is>
          <t>EBITDA</t>
        </is>
      </c>
      <c r="D10" s="31">
        <f>D8-D9</f>
        <v/>
      </c>
      <c r="E10" s="31">
        <f>E8-E9</f>
        <v/>
      </c>
      <c r="F10" s="31">
        <f>F8-F9</f>
        <v/>
      </c>
      <c r="G10" s="31">
        <f>G8-G9</f>
        <v/>
      </c>
      <c r="H10" s="31">
        <f>H8-H9</f>
        <v/>
      </c>
      <c r="I10" s="31">
        <f>I8-I9</f>
        <v/>
      </c>
      <c r="J10" s="31">
        <f>J8-J9</f>
        <v/>
      </c>
      <c r="K10" s="31">
        <f>K8-K9</f>
        <v/>
      </c>
      <c r="L10" s="31">
        <f>L8-L9</f>
        <v/>
      </c>
      <c r="M10" s="31">
        <f>M8-M9</f>
        <v/>
      </c>
      <c r="N10" s="31">
        <f>N8-N9</f>
        <v/>
      </c>
      <c r="O10" s="31">
        <f>O8-O9</f>
        <v/>
      </c>
      <c r="P10" s="31">
        <f>P8-P9</f>
        <v/>
      </c>
      <c r="Q10" s="31">
        <f>Q8-Q9</f>
        <v/>
      </c>
      <c r="R10" s="31">
        <f>R8-R9</f>
        <v/>
      </c>
      <c r="S10" s="31">
        <f>S8-S9</f>
        <v/>
      </c>
      <c r="T10" s="31">
        <f>T8-T9</f>
        <v/>
      </c>
      <c r="U10" s="31">
        <f>U8-U9</f>
        <v/>
      </c>
      <c r="V10" s="31">
        <f>V8-V9</f>
        <v/>
      </c>
      <c r="W10" s="31">
        <f>W8-W9</f>
        <v/>
      </c>
      <c r="X10" s="31">
        <f>X8-X9</f>
        <v/>
      </c>
      <c r="Y10" s="31">
        <f>Y8-Y9</f>
        <v/>
      </c>
      <c r="Z10" s="31">
        <f>Z8-Z9</f>
        <v/>
      </c>
      <c r="AA10" s="31">
        <f>AA8-AA9</f>
        <v/>
      </c>
      <c r="AB10" s="31">
        <f>AB8-AB9</f>
        <v/>
      </c>
      <c r="AC10" s="31">
        <f>AC8-AC9</f>
        <v/>
      </c>
      <c r="AD10" s="31">
        <f>AD8-AD9</f>
        <v/>
      </c>
      <c r="AE10" s="31">
        <f>AE8-AE9</f>
        <v/>
      </c>
      <c r="AF10" s="31">
        <f>AF8-AF9</f>
        <v/>
      </c>
      <c r="AG10" s="31">
        <f>AG8-AG9</f>
        <v/>
      </c>
      <c r="AH10" s="31">
        <f>AH8-AH9</f>
        <v/>
      </c>
      <c r="AI10" s="31">
        <f>AI8-AI9</f>
        <v/>
      </c>
    </row>
    <row r="11">
      <c r="B11" s="2" t="inlineStr">
        <is>
          <t>Maintenance capex</t>
        </is>
      </c>
      <c r="D11" s="19">
        <f>Segments!D37+Segments!D52+Segments!D67+Segments!D83+Segments!D94</f>
        <v/>
      </c>
      <c r="E11" s="19">
        <f>Segments!E37+Segments!E52+Segments!E67+Segments!E83+Segments!E94</f>
        <v/>
      </c>
      <c r="F11" s="19">
        <f>Segments!F37+Segments!F52+Segments!F67+Segments!F83+Segments!F94</f>
        <v/>
      </c>
      <c r="G11" s="19">
        <f>Segments!G37+Segments!G52+Segments!G67+Segments!G83+Segments!G94</f>
        <v/>
      </c>
      <c r="H11" s="19">
        <f>Segments!H37+Segments!H52+Segments!H67+Segments!H83+Segments!H94</f>
        <v/>
      </c>
      <c r="I11" s="19">
        <f>Segments!I37+Segments!I52+Segments!I67+Segments!I83+Segments!I94</f>
        <v/>
      </c>
      <c r="J11" s="19">
        <f>Segments!J37+Segments!J52+Segments!J67+Segments!J83+Segments!J94</f>
        <v/>
      </c>
      <c r="K11" s="19">
        <f>Segments!K37+Segments!K52+Segments!K67+Segments!K83+Segments!K94</f>
        <v/>
      </c>
      <c r="L11" s="19">
        <f>Segments!L37+Segments!L52+Segments!L67+Segments!L83+Segments!L94</f>
        <v/>
      </c>
      <c r="M11" s="19">
        <f>Segments!M37+Segments!M52+Segments!M67+Segments!M83+Segments!M94</f>
        <v/>
      </c>
      <c r="N11" s="19">
        <f>Segments!N37+Segments!N52+Segments!N67+Segments!N83+Segments!N94</f>
        <v/>
      </c>
      <c r="O11" s="19">
        <f>Segments!O37+Segments!O52+Segments!O67+Segments!O83+Segments!O94</f>
        <v/>
      </c>
      <c r="P11" s="19">
        <f>Segments!P37+Segments!P52+Segments!P67+Segments!P83+Segments!P94</f>
        <v/>
      </c>
      <c r="Q11" s="19">
        <f>Segments!Q37+Segments!Q52+Segments!Q67+Segments!Q83+Segments!Q94</f>
        <v/>
      </c>
      <c r="R11" s="19">
        <f>Segments!R37+Segments!R52+Segments!R67+Segments!R83+Segments!R94</f>
        <v/>
      </c>
      <c r="S11" s="19">
        <f>Segments!S37+Segments!S52+Segments!S67+Segments!S83+Segments!S94</f>
        <v/>
      </c>
      <c r="T11" s="19">
        <f>Segments!T37+Segments!T52+Segments!T67+Segments!T83+Segments!T94</f>
        <v/>
      </c>
      <c r="U11" s="19">
        <f>Segments!U37+Segments!U52+Segments!U67+Segments!U83+Segments!U94</f>
        <v/>
      </c>
      <c r="V11" s="19">
        <f>Segments!V37+Segments!V52+Segments!V67+Segments!V83+Segments!V94</f>
        <v/>
      </c>
      <c r="W11" s="19">
        <f>Segments!W37+Segments!W52+Segments!W67+Segments!W83+Segments!W94</f>
        <v/>
      </c>
      <c r="X11" s="19">
        <f>Segments!X37+Segments!X52+Segments!X67+Segments!X83+Segments!X94</f>
        <v/>
      </c>
      <c r="Y11" s="19">
        <f>Segments!Y37+Segments!Y52+Segments!Y67+Segments!Y83+Segments!Y94</f>
        <v/>
      </c>
      <c r="Z11" s="19">
        <f>Segments!Z37+Segments!Z52+Segments!Z67+Segments!Z83+Segments!Z94</f>
        <v/>
      </c>
      <c r="AA11" s="19">
        <f>Segments!AA37+Segments!AA52+Segments!AA67+Segments!AA83+Segments!AA94</f>
        <v/>
      </c>
      <c r="AB11" s="19">
        <f>Segments!AB37+Segments!AB52+Segments!AB67+Segments!AB83+Segments!AB94</f>
        <v/>
      </c>
      <c r="AC11" s="19">
        <f>Segments!AC37+Segments!AC52+Segments!AC67+Segments!AC83+Segments!AC94</f>
        <v/>
      </c>
      <c r="AD11" s="19">
        <f>Segments!AD37+Segments!AD52+Segments!AD67+Segments!AD83+Segments!AD94</f>
        <v/>
      </c>
      <c r="AE11" s="19">
        <f>Segments!AE37+Segments!AE52+Segments!AE67+Segments!AE83+Segments!AE94</f>
        <v/>
      </c>
      <c r="AF11" s="19">
        <f>Segments!AF37+Segments!AF52+Segments!AF67+Segments!AF83+Segments!AF94</f>
        <v/>
      </c>
      <c r="AG11" s="19">
        <f>Segments!AG37+Segments!AG52+Segments!AG67+Segments!AG83+Segments!AG94</f>
        <v/>
      </c>
      <c r="AH11" s="19">
        <f>Segments!AH37+Segments!AH52+Segments!AH67+Segments!AH83+Segments!AH94</f>
        <v/>
      </c>
      <c r="AI11" s="19">
        <f>Segments!AI37+Segments!AI52+Segments!AI67+Segments!AI83+Segments!AI94</f>
        <v/>
      </c>
    </row>
    <row r="12">
      <c r="B12" s="2" t="inlineStr">
        <is>
          <t>Growth capex</t>
        </is>
      </c>
      <c r="D12" s="19">
        <f>Segments!D85</f>
        <v/>
      </c>
      <c r="E12" s="19">
        <f>Segments!E85</f>
        <v/>
      </c>
      <c r="F12" s="19">
        <f>Segments!F85</f>
        <v/>
      </c>
      <c r="G12" s="19">
        <f>Segments!G85</f>
        <v/>
      </c>
      <c r="H12" s="19">
        <f>Segments!H85</f>
        <v/>
      </c>
      <c r="I12" s="19">
        <f>Segments!I85</f>
        <v/>
      </c>
      <c r="J12" s="19">
        <f>Segments!J85</f>
        <v/>
      </c>
      <c r="K12" s="19">
        <f>Segments!K85</f>
        <v/>
      </c>
      <c r="L12" s="19">
        <f>Segments!L85</f>
        <v/>
      </c>
      <c r="M12" s="19">
        <f>Segments!M85</f>
        <v/>
      </c>
      <c r="N12" s="19">
        <f>Segments!N85</f>
        <v/>
      </c>
      <c r="O12" s="19">
        <f>Segments!O85</f>
        <v/>
      </c>
      <c r="P12" s="19">
        <f>Segments!P85</f>
        <v/>
      </c>
      <c r="Q12" s="19">
        <f>Segments!Q85</f>
        <v/>
      </c>
      <c r="R12" s="19">
        <f>Segments!R85</f>
        <v/>
      </c>
      <c r="S12" s="19">
        <f>Segments!S85</f>
        <v/>
      </c>
      <c r="T12" s="19">
        <f>Segments!T85</f>
        <v/>
      </c>
      <c r="U12" s="19">
        <f>Segments!U85</f>
        <v/>
      </c>
      <c r="V12" s="19">
        <f>Segments!V85</f>
        <v/>
      </c>
      <c r="W12" s="19">
        <f>Segments!W85</f>
        <v/>
      </c>
      <c r="X12" s="19">
        <f>Segments!X85</f>
        <v/>
      </c>
      <c r="Y12" s="19">
        <f>Segments!Y85</f>
        <v/>
      </c>
      <c r="Z12" s="19">
        <f>Segments!Z85</f>
        <v/>
      </c>
      <c r="AA12" s="19">
        <f>Segments!AA85</f>
        <v/>
      </c>
      <c r="AB12" s="19">
        <f>Segments!AB85</f>
        <v/>
      </c>
      <c r="AC12" s="19">
        <f>Segments!AC85</f>
        <v/>
      </c>
      <c r="AD12" s="19">
        <f>Segments!AD85</f>
        <v/>
      </c>
      <c r="AE12" s="19">
        <f>Segments!AE85</f>
        <v/>
      </c>
      <c r="AF12" s="19">
        <f>Segments!AF85</f>
        <v/>
      </c>
      <c r="AG12" s="19">
        <f>Segments!AG85</f>
        <v/>
      </c>
      <c r="AH12" s="19">
        <f>Segments!AH85</f>
        <v/>
      </c>
      <c r="AI12" s="19">
        <f>Segments!AI85</f>
        <v/>
      </c>
    </row>
    <row r="13">
      <c r="B13" s="2" t="inlineStr">
        <is>
          <t>Tax depreciation</t>
        </is>
      </c>
      <c r="D13" s="19">
        <f>D11+IF(D$3&lt;=i_tax_dep_end,i_tax_dep_extra,0)</f>
        <v/>
      </c>
      <c r="E13" s="19">
        <f>E11+IF(E$3&lt;=i_tax_dep_end,i_tax_dep_extra,0)</f>
        <v/>
      </c>
      <c r="F13" s="19">
        <f>F11+IF(F$3&lt;=i_tax_dep_end,i_tax_dep_extra,0)</f>
        <v/>
      </c>
      <c r="G13" s="19">
        <f>G11+IF(G$3&lt;=i_tax_dep_end,i_tax_dep_extra,0)</f>
        <v/>
      </c>
      <c r="H13" s="19">
        <f>H11+IF(H$3&lt;=i_tax_dep_end,i_tax_dep_extra,0)</f>
        <v/>
      </c>
      <c r="I13" s="19">
        <f>I11+IF(I$3&lt;=i_tax_dep_end,i_tax_dep_extra,0)</f>
        <v/>
      </c>
      <c r="J13" s="19">
        <f>J11+IF(J$3&lt;=i_tax_dep_end,i_tax_dep_extra,0)</f>
        <v/>
      </c>
      <c r="K13" s="19">
        <f>K11+IF(K$3&lt;=i_tax_dep_end,i_tax_dep_extra,0)</f>
        <v/>
      </c>
      <c r="L13" s="19">
        <f>L11+IF(L$3&lt;=i_tax_dep_end,i_tax_dep_extra,0)</f>
        <v/>
      </c>
      <c r="M13" s="19">
        <f>M11+IF(M$3&lt;=i_tax_dep_end,i_tax_dep_extra,0)</f>
        <v/>
      </c>
      <c r="N13" s="19">
        <f>N11+IF(N$3&lt;=i_tax_dep_end,i_tax_dep_extra,0)</f>
        <v/>
      </c>
      <c r="O13" s="19">
        <f>O11+IF(O$3&lt;=i_tax_dep_end,i_tax_dep_extra,0)</f>
        <v/>
      </c>
      <c r="P13" s="19">
        <f>P11+IF(P$3&lt;=i_tax_dep_end,i_tax_dep_extra,0)</f>
        <v/>
      </c>
      <c r="Q13" s="19">
        <f>Q11+IF(Q$3&lt;=i_tax_dep_end,i_tax_dep_extra,0)</f>
        <v/>
      </c>
      <c r="R13" s="19">
        <f>R11+IF(R$3&lt;=i_tax_dep_end,i_tax_dep_extra,0)</f>
        <v/>
      </c>
      <c r="S13" s="19">
        <f>S11+IF(S$3&lt;=i_tax_dep_end,i_tax_dep_extra,0)</f>
        <v/>
      </c>
      <c r="T13" s="19">
        <f>T11+IF(T$3&lt;=i_tax_dep_end,i_tax_dep_extra,0)</f>
        <v/>
      </c>
      <c r="U13" s="19">
        <f>U11+IF(U$3&lt;=i_tax_dep_end,i_tax_dep_extra,0)</f>
        <v/>
      </c>
      <c r="V13" s="19">
        <f>V11+IF(V$3&lt;=i_tax_dep_end,i_tax_dep_extra,0)</f>
        <v/>
      </c>
      <c r="W13" s="19">
        <f>W11+IF(W$3&lt;=i_tax_dep_end,i_tax_dep_extra,0)</f>
        <v/>
      </c>
      <c r="X13" s="19">
        <f>X11+IF(X$3&lt;=i_tax_dep_end,i_tax_dep_extra,0)</f>
        <v/>
      </c>
      <c r="Y13" s="19">
        <f>Y11+IF(Y$3&lt;=i_tax_dep_end,i_tax_dep_extra,0)</f>
        <v/>
      </c>
      <c r="Z13" s="19">
        <f>Z11+IF(Z$3&lt;=i_tax_dep_end,i_tax_dep_extra,0)</f>
        <v/>
      </c>
      <c r="AA13" s="19">
        <f>AA11+IF(AA$3&lt;=i_tax_dep_end,i_tax_dep_extra,0)</f>
        <v/>
      </c>
      <c r="AB13" s="19">
        <f>AB11+IF(AB$3&lt;=i_tax_dep_end,i_tax_dep_extra,0)</f>
        <v/>
      </c>
      <c r="AC13" s="19">
        <f>AC11+IF(AC$3&lt;=i_tax_dep_end,i_tax_dep_extra,0)</f>
        <v/>
      </c>
      <c r="AD13" s="19">
        <f>AD11+IF(AD$3&lt;=i_tax_dep_end,i_tax_dep_extra,0)</f>
        <v/>
      </c>
      <c r="AE13" s="19">
        <f>AE11+IF(AE$3&lt;=i_tax_dep_end,i_tax_dep_extra,0)</f>
        <v/>
      </c>
      <c r="AF13" s="19">
        <f>AF11+IF(AF$3&lt;=i_tax_dep_end,i_tax_dep_extra,0)</f>
        <v/>
      </c>
      <c r="AG13" s="19">
        <f>AG11+IF(AG$3&lt;=i_tax_dep_end,i_tax_dep_extra,0)</f>
        <v/>
      </c>
      <c r="AH13" s="19">
        <f>AH11+IF(AH$3&lt;=i_tax_dep_end,i_tax_dep_extra,0)</f>
        <v/>
      </c>
      <c r="AI13" s="19">
        <f>AI11+IF(AI$3&lt;=i_tax_dep_end,i_tax_dep_extra,0)</f>
        <v/>
      </c>
    </row>
    <row r="14">
      <c r="B14" s="2" t="inlineStr">
        <is>
          <t>Unlevered cash tax</t>
        </is>
      </c>
      <c r="D14" s="19">
        <f>i_tax*MAX(0,D10-D13)</f>
        <v/>
      </c>
      <c r="E14" s="19">
        <f>i_tax*MAX(0,E10-E13)</f>
        <v/>
      </c>
      <c r="F14" s="19">
        <f>i_tax*MAX(0,F10-F13)</f>
        <v/>
      </c>
      <c r="G14" s="19">
        <f>i_tax*MAX(0,G10-G13)</f>
        <v/>
      </c>
      <c r="H14" s="19">
        <f>i_tax*MAX(0,H10-H13)</f>
        <v/>
      </c>
      <c r="I14" s="19">
        <f>i_tax*MAX(0,I10-I13)</f>
        <v/>
      </c>
      <c r="J14" s="19">
        <f>i_tax*MAX(0,J10-J13)</f>
        <v/>
      </c>
      <c r="K14" s="19">
        <f>i_tax*MAX(0,K10-K13)</f>
        <v/>
      </c>
      <c r="L14" s="19">
        <f>i_tax*MAX(0,L10-L13)</f>
        <v/>
      </c>
      <c r="M14" s="19">
        <f>i_tax*MAX(0,M10-M13)</f>
        <v/>
      </c>
      <c r="N14" s="19">
        <f>i_tax*MAX(0,N10-N13)</f>
        <v/>
      </c>
      <c r="O14" s="19">
        <f>i_tax*MAX(0,O10-O13)</f>
        <v/>
      </c>
      <c r="P14" s="19">
        <f>i_tax*MAX(0,P10-P13)</f>
        <v/>
      </c>
      <c r="Q14" s="19">
        <f>i_tax*MAX(0,Q10-Q13)</f>
        <v/>
      </c>
      <c r="R14" s="19">
        <f>i_tax*MAX(0,R10-R13)</f>
        <v/>
      </c>
      <c r="S14" s="19">
        <f>i_tax*MAX(0,S10-S13)</f>
        <v/>
      </c>
      <c r="T14" s="19">
        <f>i_tax*MAX(0,T10-T13)</f>
        <v/>
      </c>
      <c r="U14" s="19">
        <f>i_tax*MAX(0,U10-U13)</f>
        <v/>
      </c>
      <c r="V14" s="19">
        <f>i_tax*MAX(0,V10-V13)</f>
        <v/>
      </c>
      <c r="W14" s="19">
        <f>i_tax*MAX(0,W10-W13)</f>
        <v/>
      </c>
      <c r="X14" s="19">
        <f>i_tax*MAX(0,X10-X13)</f>
        <v/>
      </c>
      <c r="Y14" s="19">
        <f>i_tax*MAX(0,Y10-Y13)</f>
        <v/>
      </c>
      <c r="Z14" s="19">
        <f>i_tax*MAX(0,Z10-Z13)</f>
        <v/>
      </c>
      <c r="AA14" s="19">
        <f>i_tax*MAX(0,AA10-AA13)</f>
        <v/>
      </c>
      <c r="AB14" s="19">
        <f>i_tax*MAX(0,AB10-AB13)</f>
        <v/>
      </c>
      <c r="AC14" s="19">
        <f>i_tax*MAX(0,AC10-AC13)</f>
        <v/>
      </c>
      <c r="AD14" s="19">
        <f>i_tax*MAX(0,AD10-AD13)</f>
        <v/>
      </c>
      <c r="AE14" s="19">
        <f>i_tax*MAX(0,AE10-AE13)</f>
        <v/>
      </c>
      <c r="AF14" s="19">
        <f>i_tax*MAX(0,AF10-AF13)</f>
        <v/>
      </c>
      <c r="AG14" s="19">
        <f>i_tax*MAX(0,AG10-AG13)</f>
        <v/>
      </c>
      <c r="AH14" s="19">
        <f>i_tax*MAX(0,AH10-AH13)</f>
        <v/>
      </c>
      <c r="AI14" s="19">
        <f>i_tax*MAX(0,AI10-AI13)</f>
        <v/>
      </c>
    </row>
    <row r="15">
      <c r="B15" s="2" t="inlineStr">
        <is>
          <t>Westerhaven handback works</t>
        </is>
      </c>
      <c r="D15" s="19">
        <f>IF(AND(Segments!$C$15=0,D$3=i_conc_end),i_handback*Segments!D18,0)</f>
        <v/>
      </c>
      <c r="E15" s="19">
        <f>IF(AND(Segments!$C$15=0,E$3=i_conc_end),i_handback*Segments!E18,0)</f>
        <v/>
      </c>
      <c r="F15" s="19">
        <f>IF(AND(Segments!$C$15=0,F$3=i_conc_end),i_handback*Segments!F18,0)</f>
        <v/>
      </c>
      <c r="G15" s="19">
        <f>IF(AND(Segments!$C$15=0,G$3=i_conc_end),i_handback*Segments!G18,0)</f>
        <v/>
      </c>
      <c r="H15" s="19">
        <f>IF(AND(Segments!$C$15=0,H$3=i_conc_end),i_handback*Segments!H18,0)</f>
        <v/>
      </c>
      <c r="I15" s="19">
        <f>IF(AND(Segments!$C$15=0,I$3=i_conc_end),i_handback*Segments!I18,0)</f>
        <v/>
      </c>
      <c r="J15" s="19">
        <f>IF(AND(Segments!$C$15=0,J$3=i_conc_end),i_handback*Segments!J18,0)</f>
        <v/>
      </c>
      <c r="K15" s="19">
        <f>IF(AND(Segments!$C$15=0,K$3=i_conc_end),i_handback*Segments!K18,0)</f>
        <v/>
      </c>
      <c r="L15" s="19">
        <f>IF(AND(Segments!$C$15=0,L$3=i_conc_end),i_handback*Segments!L18,0)</f>
        <v/>
      </c>
      <c r="M15" s="19">
        <f>IF(AND(Segments!$C$15=0,M$3=i_conc_end),i_handback*Segments!M18,0)</f>
        <v/>
      </c>
      <c r="N15" s="19">
        <f>IF(AND(Segments!$C$15=0,N$3=i_conc_end),i_handback*Segments!N18,0)</f>
        <v/>
      </c>
      <c r="O15" s="19">
        <f>IF(AND(Segments!$C$15=0,O$3=i_conc_end),i_handback*Segments!O18,0)</f>
        <v/>
      </c>
      <c r="P15" s="19">
        <f>IF(AND(Segments!$C$15=0,P$3=i_conc_end),i_handback*Segments!P18,0)</f>
        <v/>
      </c>
      <c r="Q15" s="19">
        <f>IF(AND(Segments!$C$15=0,Q$3=i_conc_end),i_handback*Segments!Q18,0)</f>
        <v/>
      </c>
      <c r="R15" s="19">
        <f>IF(AND(Segments!$C$15=0,R$3=i_conc_end),i_handback*Segments!R18,0)</f>
        <v/>
      </c>
      <c r="S15" s="19">
        <f>IF(AND(Segments!$C$15=0,S$3=i_conc_end),i_handback*Segments!S18,0)</f>
        <v/>
      </c>
      <c r="T15" s="19">
        <f>IF(AND(Segments!$C$15=0,T$3=i_conc_end),i_handback*Segments!T18,0)</f>
        <v/>
      </c>
      <c r="U15" s="19">
        <f>IF(AND(Segments!$C$15=0,U$3=i_conc_end),i_handback*Segments!U18,0)</f>
        <v/>
      </c>
      <c r="V15" s="19">
        <f>IF(AND(Segments!$C$15=0,V$3=i_conc_end),i_handback*Segments!V18,0)</f>
        <v/>
      </c>
      <c r="W15" s="19">
        <f>IF(AND(Segments!$C$15=0,W$3=i_conc_end),i_handback*Segments!W18,0)</f>
        <v/>
      </c>
      <c r="X15" s="19">
        <f>IF(AND(Segments!$C$15=0,X$3=i_conc_end),i_handback*Segments!X18,0)</f>
        <v/>
      </c>
      <c r="Y15" s="19">
        <f>IF(AND(Segments!$C$15=0,Y$3=i_conc_end),i_handback*Segments!Y18,0)</f>
        <v/>
      </c>
      <c r="Z15" s="19">
        <f>IF(AND(Segments!$C$15=0,Z$3=i_conc_end),i_handback*Segments!Z18,0)</f>
        <v/>
      </c>
      <c r="AA15" s="19">
        <f>IF(AND(Segments!$C$15=0,AA$3=i_conc_end),i_handback*Segments!AA18,0)</f>
        <v/>
      </c>
      <c r="AB15" s="19">
        <f>IF(AND(Segments!$C$15=0,AB$3=i_conc_end),i_handback*Segments!AB18,0)</f>
        <v/>
      </c>
      <c r="AC15" s="19">
        <f>IF(AND(Segments!$C$15=0,AC$3=i_conc_end),i_handback*Segments!AC18,0)</f>
        <v/>
      </c>
      <c r="AD15" s="19">
        <f>IF(AND(Segments!$C$15=0,AD$3=i_conc_end),i_handback*Segments!AD18,0)</f>
        <v/>
      </c>
      <c r="AE15" s="19">
        <f>IF(AND(Segments!$C$15=0,AE$3=i_conc_end),i_handback*Segments!AE18,0)</f>
        <v/>
      </c>
      <c r="AF15" s="19">
        <f>IF(AND(Segments!$C$15=0,AF$3=i_conc_end),i_handback*Segments!AF18,0)</f>
        <v/>
      </c>
      <c r="AG15" s="19">
        <f>IF(AND(Segments!$C$15=0,AG$3=i_conc_end),i_handback*Segments!AG18,0)</f>
        <v/>
      </c>
      <c r="AH15" s="19">
        <f>IF(AND(Segments!$C$15=0,AH$3=i_conc_end),i_handback*Segments!AH18,0)</f>
        <v/>
      </c>
      <c r="AI15" s="19">
        <f>IF(AND(Segments!$C$15=0,AI$3=i_conc_end),i_handback*Segments!AI18,0)</f>
        <v/>
      </c>
    </row>
    <row r="16">
      <c r="B16" s="3" t="inlineStr">
        <is>
          <t>Free cash flow (unlevered)</t>
        </is>
      </c>
      <c r="D16" s="31">
        <f>D10-D11-D12-D14-D15</f>
        <v/>
      </c>
      <c r="E16" s="31">
        <f>E10-E11-E12-E14-E15</f>
        <v/>
      </c>
      <c r="F16" s="31">
        <f>F10-F11-F12-F14-F15</f>
        <v/>
      </c>
      <c r="G16" s="31">
        <f>G10-G11-G12-G14-G15</f>
        <v/>
      </c>
      <c r="H16" s="31">
        <f>H10-H11-H12-H14-H15</f>
        <v/>
      </c>
      <c r="I16" s="31">
        <f>I10-I11-I12-I14-I15</f>
        <v/>
      </c>
      <c r="J16" s="31">
        <f>J10-J11-J12-J14-J15</f>
        <v/>
      </c>
      <c r="K16" s="31">
        <f>K10-K11-K12-K14-K15</f>
        <v/>
      </c>
      <c r="L16" s="31">
        <f>L10-L11-L12-L14-L15</f>
        <v/>
      </c>
      <c r="M16" s="31">
        <f>M10-M11-M12-M14-M15</f>
        <v/>
      </c>
      <c r="N16" s="31">
        <f>N10-N11-N12-N14-N15</f>
        <v/>
      </c>
      <c r="O16" s="31">
        <f>O10-O11-O12-O14-O15</f>
        <v/>
      </c>
      <c r="P16" s="31">
        <f>P10-P11-P12-P14-P15</f>
        <v/>
      </c>
      <c r="Q16" s="31">
        <f>Q10-Q11-Q12-Q14-Q15</f>
        <v/>
      </c>
      <c r="R16" s="31">
        <f>R10-R11-R12-R14-R15</f>
        <v/>
      </c>
      <c r="S16" s="31">
        <f>S10-S11-S12-S14-S15</f>
        <v/>
      </c>
      <c r="T16" s="31">
        <f>T10-T11-T12-T14-T15</f>
        <v/>
      </c>
      <c r="U16" s="31">
        <f>U10-U11-U12-U14-U15</f>
        <v/>
      </c>
      <c r="V16" s="31">
        <f>V10-V11-V12-V14-V15</f>
        <v/>
      </c>
      <c r="W16" s="31">
        <f>W10-W11-W12-W14-W15</f>
        <v/>
      </c>
      <c r="X16" s="31">
        <f>X10-X11-X12-X14-X15</f>
        <v/>
      </c>
      <c r="Y16" s="31">
        <f>Y10-Y11-Y12-Y14-Y15</f>
        <v/>
      </c>
      <c r="Z16" s="31">
        <f>Z10-Z11-Z12-Z14-Z15</f>
        <v/>
      </c>
      <c r="AA16" s="31">
        <f>AA10-AA11-AA12-AA14-AA15</f>
        <v/>
      </c>
      <c r="AB16" s="31">
        <f>AB10-AB11-AB12-AB14-AB15</f>
        <v/>
      </c>
      <c r="AC16" s="31">
        <f>AC10-AC11-AC12-AC14-AC15</f>
        <v/>
      </c>
      <c r="AD16" s="31">
        <f>AD10-AD11-AD12-AD14-AD15</f>
        <v/>
      </c>
      <c r="AE16" s="31">
        <f>AE10-AE11-AE12-AE14-AE15</f>
        <v/>
      </c>
      <c r="AF16" s="31">
        <f>AF10-AF11-AF12-AF14-AF15</f>
        <v/>
      </c>
      <c r="AG16" s="31">
        <f>AG10-AG11-AG12-AG14-AG15</f>
        <v/>
      </c>
      <c r="AH16" s="31">
        <f>AH10-AH11-AH12-AH14-AH15</f>
        <v/>
      </c>
      <c r="AI16" s="31">
        <f>AI10-AI11-AI12-AI14-AI15</f>
        <v/>
      </c>
    </row>
    <row r="17">
      <c r="B17" s="2" t="inlineStr">
        <is>
          <t>Present value at the discount rate (2027 to 2056)</t>
        </is>
      </c>
      <c r="D17" s="19">
        <f>IF(AND(D$3&gt;i_base_year,D$3&lt;=i_last),D16/(1+i_r)^D$4,0)</f>
        <v/>
      </c>
      <c r="E17" s="19">
        <f>IF(AND(E$3&gt;i_base_year,E$3&lt;=i_last),E16/(1+i_r)^E$4,0)</f>
        <v/>
      </c>
      <c r="F17" s="19">
        <f>IF(AND(F$3&gt;i_base_year,F$3&lt;=i_last),F16/(1+i_r)^F$4,0)</f>
        <v/>
      </c>
      <c r="G17" s="19">
        <f>IF(AND(G$3&gt;i_base_year,G$3&lt;=i_last),G16/(1+i_r)^G$4,0)</f>
        <v/>
      </c>
      <c r="H17" s="19">
        <f>IF(AND(H$3&gt;i_base_year,H$3&lt;=i_last),H16/(1+i_r)^H$4,0)</f>
        <v/>
      </c>
      <c r="I17" s="19">
        <f>IF(AND(I$3&gt;i_base_year,I$3&lt;=i_last),I16/(1+i_r)^I$4,0)</f>
        <v/>
      </c>
      <c r="J17" s="19">
        <f>IF(AND(J$3&gt;i_base_year,J$3&lt;=i_last),J16/(1+i_r)^J$4,0)</f>
        <v/>
      </c>
      <c r="K17" s="19">
        <f>IF(AND(K$3&gt;i_base_year,K$3&lt;=i_last),K16/(1+i_r)^K$4,0)</f>
        <v/>
      </c>
      <c r="L17" s="19">
        <f>IF(AND(L$3&gt;i_base_year,L$3&lt;=i_last),L16/(1+i_r)^L$4,0)</f>
        <v/>
      </c>
      <c r="M17" s="19">
        <f>IF(AND(M$3&gt;i_base_year,M$3&lt;=i_last),M16/(1+i_r)^M$4,0)</f>
        <v/>
      </c>
      <c r="N17" s="19">
        <f>IF(AND(N$3&gt;i_base_year,N$3&lt;=i_last),N16/(1+i_r)^N$4,0)</f>
        <v/>
      </c>
      <c r="O17" s="19">
        <f>IF(AND(O$3&gt;i_base_year,O$3&lt;=i_last),O16/(1+i_r)^O$4,0)</f>
        <v/>
      </c>
      <c r="P17" s="19">
        <f>IF(AND(P$3&gt;i_base_year,P$3&lt;=i_last),P16/(1+i_r)^P$4,0)</f>
        <v/>
      </c>
      <c r="Q17" s="19">
        <f>IF(AND(Q$3&gt;i_base_year,Q$3&lt;=i_last),Q16/(1+i_r)^Q$4,0)</f>
        <v/>
      </c>
      <c r="R17" s="19">
        <f>IF(AND(R$3&gt;i_base_year,R$3&lt;=i_last),R16/(1+i_r)^R$4,0)</f>
        <v/>
      </c>
      <c r="S17" s="19">
        <f>IF(AND(S$3&gt;i_base_year,S$3&lt;=i_last),S16/(1+i_r)^S$4,0)</f>
        <v/>
      </c>
      <c r="T17" s="19">
        <f>IF(AND(T$3&gt;i_base_year,T$3&lt;=i_last),T16/(1+i_r)^T$4,0)</f>
        <v/>
      </c>
      <c r="U17" s="19">
        <f>IF(AND(U$3&gt;i_base_year,U$3&lt;=i_last),U16/(1+i_r)^U$4,0)</f>
        <v/>
      </c>
      <c r="V17" s="19">
        <f>IF(AND(V$3&gt;i_base_year,V$3&lt;=i_last),V16/(1+i_r)^V$4,0)</f>
        <v/>
      </c>
      <c r="W17" s="19">
        <f>IF(AND(W$3&gt;i_base_year,W$3&lt;=i_last),W16/(1+i_r)^W$4,0)</f>
        <v/>
      </c>
      <c r="X17" s="19">
        <f>IF(AND(X$3&gt;i_base_year,X$3&lt;=i_last),X16/(1+i_r)^X$4,0)</f>
        <v/>
      </c>
      <c r="Y17" s="19">
        <f>IF(AND(Y$3&gt;i_base_year,Y$3&lt;=i_last),Y16/(1+i_r)^Y$4,0)</f>
        <v/>
      </c>
      <c r="Z17" s="19">
        <f>IF(AND(Z$3&gt;i_base_year,Z$3&lt;=i_last),Z16/(1+i_r)^Z$4,0)</f>
        <v/>
      </c>
      <c r="AA17" s="19">
        <f>IF(AND(AA$3&gt;i_base_year,AA$3&lt;=i_last),AA16/(1+i_r)^AA$4,0)</f>
        <v/>
      </c>
      <c r="AB17" s="19">
        <f>IF(AND(AB$3&gt;i_base_year,AB$3&lt;=i_last),AB16/(1+i_r)^AB$4,0)</f>
        <v/>
      </c>
      <c r="AC17" s="19">
        <f>IF(AND(AC$3&gt;i_base_year,AC$3&lt;=i_last),AC16/(1+i_r)^AC$4,0)</f>
        <v/>
      </c>
      <c r="AD17" s="19">
        <f>IF(AND(AD$3&gt;i_base_year,AD$3&lt;=i_last),AD16/(1+i_r)^AD$4,0)</f>
        <v/>
      </c>
      <c r="AE17" s="19">
        <f>IF(AND(AE$3&gt;i_base_year,AE$3&lt;=i_last),AE16/(1+i_r)^AE$4,0)</f>
        <v/>
      </c>
      <c r="AF17" s="19">
        <f>IF(AND(AF$3&gt;i_base_year,AF$3&lt;=i_last),AF16/(1+i_r)^AF$4,0)</f>
        <v/>
      </c>
      <c r="AG17" s="19">
        <f>IF(AND(AG$3&gt;i_base_year,AG$3&lt;=i_last),AG16/(1+i_r)^AG$4,0)</f>
        <v/>
      </c>
      <c r="AH17" s="19">
        <f>IF(AND(AH$3&gt;i_base_year,AH$3&lt;=i_last),AH16/(1+i_r)^AH$4,0)</f>
        <v/>
      </c>
      <c r="AI17" s="19">
        <f>IF(AND(AI$3&gt;i_base_year,AI$3&lt;=i_last),AI16/(1+i_r)^AI$4,0)</f>
        <v/>
      </c>
    </row>
    <row r="18">
      <c r="B18" s="2" t="inlineStr">
        <is>
          <t>Present value of 2027 to 2056 free cash flow</t>
        </is>
      </c>
      <c r="C18" s="19">
        <f>SUM(D17:AI17)</f>
        <v/>
      </c>
    </row>
    <row r="19">
      <c r="B19" s="2" t="inlineStr">
        <is>
          <t>Terminal value at the end of 2056 (on 2057 free cash flow)</t>
        </is>
      </c>
      <c r="C19" s="19">
        <f>AI16/(i_r-i_g)</f>
        <v/>
      </c>
    </row>
    <row r="20">
      <c r="B20" s="2" t="inlineStr">
        <is>
          <t>Present value of the terminal value</t>
        </is>
      </c>
      <c r="C20" s="19">
        <f>C19/(1+i_r)^(i_last-i_base_year)</f>
        <v/>
      </c>
    </row>
    <row r="21">
      <c r="B21" s="3" t="inlineStr">
        <is>
          <t>Enterprise value at 31 December 2026</t>
        </is>
      </c>
      <c r="C21" s="31">
        <f>C18+C20</f>
        <v/>
      </c>
    </row>
    <row r="24">
      <c r="B24" s="5" t="inlineStr">
        <is>
          <t>Seller's plan (fixed case: no diligence findings, seller's recontracting rates)</t>
        </is>
      </c>
    </row>
    <row r="25">
      <c r="B25" s="4" t="inlineStr">
        <is>
          <t>Inflation</t>
        </is>
      </c>
      <c r="C25" s="27">
        <f>Inputs!$E$219</f>
        <v/>
      </c>
    </row>
    <row r="26">
      <c r="B26" s="4" t="inlineStr">
        <is>
          <t>Buyer's recontracting rates (1) or seller's plan rates (0)</t>
        </is>
      </c>
      <c r="C26" s="26">
        <f>Inputs!$E$220</f>
        <v/>
      </c>
    </row>
    <row r="27">
      <c r="B27" s="4" t="inlineStr">
        <is>
          <t>Largest Westerhaven customer leaves (1/0)</t>
        </is>
      </c>
      <c r="C27" s="26">
        <f>Inputs!$E$221</f>
        <v/>
      </c>
    </row>
    <row r="28">
      <c r="B28" s="4" t="inlineStr">
        <is>
          <t>Jetty 3 refurbishment (1/0)</t>
        </is>
      </c>
      <c r="C28" s="26">
        <f>Inputs!$E$222</f>
        <v/>
      </c>
    </row>
    <row r="29">
      <c r="B29" s="4" t="inlineStr">
        <is>
          <t>Sabine Bend extra insurance (1/0)</t>
        </is>
      </c>
      <c r="C29" s="26">
        <f>Inputs!$E$223</f>
        <v/>
      </c>
    </row>
    <row r="30">
      <c r="B30" s="4" t="inlineStr">
        <is>
          <t>Expansion built (1/0)</t>
        </is>
      </c>
      <c r="C30" s="26">
        <f>Inputs!$E$224</f>
        <v/>
      </c>
    </row>
    <row r="31">
      <c r="B31" s="4" t="inlineStr">
        <is>
          <t>Occupancy shift from 2027</t>
        </is>
      </c>
      <c r="C31" s="27">
        <f>Inputs!$E$225</f>
        <v/>
      </c>
    </row>
    <row r="32">
      <c r="B32" s="4" t="inlineStr">
        <is>
          <t>Recontracting shift</t>
        </is>
      </c>
      <c r="C32" s="27">
        <f>Inputs!$E$226</f>
        <v/>
      </c>
    </row>
    <row r="33">
      <c r="B33" s="4" t="inlineStr">
        <is>
          <t>Concession renewed (1/0)</t>
        </is>
      </c>
      <c r="C33" s="26">
        <f>Inputs!$E$227</f>
        <v/>
      </c>
    </row>
    <row r="34">
      <c r="B34" s="4" t="inlineStr">
        <is>
          <t>Westerhaven capacity multiplier</t>
        </is>
      </c>
      <c r="C34" s="28">
        <f>Inputs!$E$228</f>
        <v/>
      </c>
    </row>
    <row r="35">
      <c r="B35" s="4" t="inlineStr">
        <is>
          <t>Extra yearly cost from 2028 ($m, 2026 dollars)</t>
        </is>
      </c>
      <c r="C35" s="29">
        <f>Inputs!$E$229</f>
        <v/>
      </c>
    </row>
    <row r="36">
      <c r="B36" s="2" t="inlineStr">
        <is>
          <t>Cost index (inflation)</t>
        </is>
      </c>
      <c r="D36" s="30">
        <f>(1+Platform!$C$25)^D$4</f>
        <v/>
      </c>
      <c r="E36" s="30">
        <f>(1+Platform!$C$25)^E$4</f>
        <v/>
      </c>
      <c r="F36" s="30">
        <f>(1+Platform!$C$25)^F$4</f>
        <v/>
      </c>
      <c r="G36" s="30">
        <f>(1+Platform!$C$25)^G$4</f>
        <v/>
      </c>
      <c r="H36" s="30">
        <f>(1+Platform!$C$25)^H$4</f>
        <v/>
      </c>
      <c r="I36" s="30">
        <f>(1+Platform!$C$25)^I$4</f>
        <v/>
      </c>
      <c r="J36" s="30">
        <f>(1+Platform!$C$25)^J$4</f>
        <v/>
      </c>
      <c r="K36" s="30">
        <f>(1+Platform!$C$25)^K$4</f>
        <v/>
      </c>
      <c r="L36" s="30">
        <f>(1+Platform!$C$25)^L$4</f>
        <v/>
      </c>
      <c r="M36" s="30">
        <f>(1+Platform!$C$25)^M$4</f>
        <v/>
      </c>
      <c r="N36" s="30">
        <f>(1+Platform!$C$25)^N$4</f>
        <v/>
      </c>
      <c r="O36" s="30">
        <f>(1+Platform!$C$25)^O$4</f>
        <v/>
      </c>
      <c r="P36" s="30">
        <f>(1+Platform!$C$25)^P$4</f>
        <v/>
      </c>
      <c r="Q36" s="30">
        <f>(1+Platform!$C$25)^Q$4</f>
        <v/>
      </c>
      <c r="R36" s="30">
        <f>(1+Platform!$C$25)^R$4</f>
        <v/>
      </c>
      <c r="S36" s="30">
        <f>(1+Platform!$C$25)^S$4</f>
        <v/>
      </c>
      <c r="T36" s="30">
        <f>(1+Platform!$C$25)^T$4</f>
        <v/>
      </c>
      <c r="U36" s="30">
        <f>(1+Platform!$C$25)^U$4</f>
        <v/>
      </c>
      <c r="V36" s="30">
        <f>(1+Platform!$C$25)^V$4</f>
        <v/>
      </c>
      <c r="W36" s="30">
        <f>(1+Platform!$C$25)^W$4</f>
        <v/>
      </c>
      <c r="X36" s="30">
        <f>(1+Platform!$C$25)^X$4</f>
        <v/>
      </c>
      <c r="Y36" s="30">
        <f>(1+Platform!$C$25)^Y$4</f>
        <v/>
      </c>
      <c r="Z36" s="30">
        <f>(1+Platform!$C$25)^Z$4</f>
        <v/>
      </c>
      <c r="AA36" s="30">
        <f>(1+Platform!$C$25)^AA$4</f>
        <v/>
      </c>
      <c r="AB36" s="30">
        <f>(1+Platform!$C$25)^AB$4</f>
        <v/>
      </c>
      <c r="AC36" s="30">
        <f>(1+Platform!$C$25)^AC$4</f>
        <v/>
      </c>
      <c r="AD36" s="30">
        <f>(1+Platform!$C$25)^AD$4</f>
        <v/>
      </c>
      <c r="AE36" s="30">
        <f>(1+Platform!$C$25)^AE$4</f>
        <v/>
      </c>
      <c r="AF36" s="30">
        <f>(1+Platform!$C$25)^AF$4</f>
        <v/>
      </c>
      <c r="AG36" s="30">
        <f>(1+Platform!$C$25)^AG$4</f>
        <v/>
      </c>
      <c r="AH36" s="30">
        <f>(1+Platform!$C$25)^AH$4</f>
        <v/>
      </c>
      <c r="AI36" s="30">
        <f>(1+Platform!$C$25)^AI$4</f>
        <v/>
      </c>
    </row>
    <row r="37">
      <c r="B37" s="2" t="inlineStr">
        <is>
          <t>Rate index (inflation x pass-through)</t>
        </is>
      </c>
      <c r="D37" s="30">
        <f>(1+Platform!$C$25*i_index_share)^D$4</f>
        <v/>
      </c>
      <c r="E37" s="30">
        <f>(1+Platform!$C$25*i_index_share)^E$4</f>
        <v/>
      </c>
      <c r="F37" s="30">
        <f>(1+Platform!$C$25*i_index_share)^F$4</f>
        <v/>
      </c>
      <c r="G37" s="30">
        <f>(1+Platform!$C$25*i_index_share)^G$4</f>
        <v/>
      </c>
      <c r="H37" s="30">
        <f>(1+Platform!$C$25*i_index_share)^H$4</f>
        <v/>
      </c>
      <c r="I37" s="30">
        <f>(1+Platform!$C$25*i_index_share)^I$4</f>
        <v/>
      </c>
      <c r="J37" s="30">
        <f>(1+Platform!$C$25*i_index_share)^J$4</f>
        <v/>
      </c>
      <c r="K37" s="30">
        <f>(1+Platform!$C$25*i_index_share)^K$4</f>
        <v/>
      </c>
      <c r="L37" s="30">
        <f>(1+Platform!$C$25*i_index_share)^L$4</f>
        <v/>
      </c>
      <c r="M37" s="30">
        <f>(1+Platform!$C$25*i_index_share)^M$4</f>
        <v/>
      </c>
      <c r="N37" s="30">
        <f>(1+Platform!$C$25*i_index_share)^N$4</f>
        <v/>
      </c>
      <c r="O37" s="30">
        <f>(1+Platform!$C$25*i_index_share)^O$4</f>
        <v/>
      </c>
      <c r="P37" s="30">
        <f>(1+Platform!$C$25*i_index_share)^P$4</f>
        <v/>
      </c>
      <c r="Q37" s="30">
        <f>(1+Platform!$C$25*i_index_share)^Q$4</f>
        <v/>
      </c>
      <c r="R37" s="30">
        <f>(1+Platform!$C$25*i_index_share)^R$4</f>
        <v/>
      </c>
      <c r="S37" s="30">
        <f>(1+Platform!$C$25*i_index_share)^S$4</f>
        <v/>
      </c>
      <c r="T37" s="30">
        <f>(1+Platform!$C$25*i_index_share)^T$4</f>
        <v/>
      </c>
      <c r="U37" s="30">
        <f>(1+Platform!$C$25*i_index_share)^U$4</f>
        <v/>
      </c>
      <c r="V37" s="30">
        <f>(1+Platform!$C$25*i_index_share)^V$4</f>
        <v/>
      </c>
      <c r="W37" s="30">
        <f>(1+Platform!$C$25*i_index_share)^W$4</f>
        <v/>
      </c>
      <c r="X37" s="30">
        <f>(1+Platform!$C$25*i_index_share)^X$4</f>
        <v/>
      </c>
      <c r="Y37" s="30">
        <f>(1+Platform!$C$25*i_index_share)^Y$4</f>
        <v/>
      </c>
      <c r="Z37" s="30">
        <f>(1+Platform!$C$25*i_index_share)^Z$4</f>
        <v/>
      </c>
      <c r="AA37" s="30">
        <f>(1+Platform!$C$25*i_index_share)^AA$4</f>
        <v/>
      </c>
      <c r="AB37" s="30">
        <f>(1+Platform!$C$25*i_index_share)^AB$4</f>
        <v/>
      </c>
      <c r="AC37" s="30">
        <f>(1+Platform!$C$25*i_index_share)^AC$4</f>
        <v/>
      </c>
      <c r="AD37" s="30">
        <f>(1+Platform!$C$25*i_index_share)^AD$4</f>
        <v/>
      </c>
      <c r="AE37" s="30">
        <f>(1+Platform!$C$25*i_index_share)^AE$4</f>
        <v/>
      </c>
      <c r="AF37" s="30">
        <f>(1+Platform!$C$25*i_index_share)^AF$4</f>
        <v/>
      </c>
      <c r="AG37" s="30">
        <f>(1+Platform!$C$25*i_index_share)^AG$4</f>
        <v/>
      </c>
      <c r="AH37" s="30">
        <f>(1+Platform!$C$25*i_index_share)^AH$4</f>
        <v/>
      </c>
      <c r="AI37" s="30">
        <f>(1+Platform!$C$25*i_index_share)^AI$4</f>
        <v/>
      </c>
    </row>
    <row r="38">
      <c r="B38" s="3" t="inlineStr">
        <is>
          <t>Westerhaven</t>
        </is>
      </c>
    </row>
    <row r="39">
      <c r="B39" s="2" t="inlineStr">
        <is>
          <t xml:space="preserve">  Concession in force (1/0)</t>
        </is>
      </c>
      <c r="D39" s="22">
        <f>IF(Platform!$C$33=1,1,IF(D$3&lt;=i_conc_end,1,0))</f>
        <v/>
      </c>
      <c r="E39" s="22">
        <f>IF(Platform!$C$33=1,1,IF(E$3&lt;=i_conc_end,1,0))</f>
        <v/>
      </c>
      <c r="F39" s="22">
        <f>IF(Platform!$C$33=1,1,IF(F$3&lt;=i_conc_end,1,0))</f>
        <v/>
      </c>
      <c r="G39" s="22">
        <f>IF(Platform!$C$33=1,1,IF(G$3&lt;=i_conc_end,1,0))</f>
        <v/>
      </c>
      <c r="H39" s="22">
        <f>IF(Platform!$C$33=1,1,IF(H$3&lt;=i_conc_end,1,0))</f>
        <v/>
      </c>
      <c r="I39" s="22">
        <f>IF(Platform!$C$33=1,1,IF(I$3&lt;=i_conc_end,1,0))</f>
        <v/>
      </c>
      <c r="J39" s="22">
        <f>IF(Platform!$C$33=1,1,IF(J$3&lt;=i_conc_end,1,0))</f>
        <v/>
      </c>
      <c r="K39" s="22">
        <f>IF(Platform!$C$33=1,1,IF(K$3&lt;=i_conc_end,1,0))</f>
        <v/>
      </c>
      <c r="L39" s="22">
        <f>IF(Platform!$C$33=1,1,IF(L$3&lt;=i_conc_end,1,0))</f>
        <v/>
      </c>
      <c r="M39" s="22">
        <f>IF(Platform!$C$33=1,1,IF(M$3&lt;=i_conc_end,1,0))</f>
        <v/>
      </c>
      <c r="N39" s="22">
        <f>IF(Platform!$C$33=1,1,IF(N$3&lt;=i_conc_end,1,0))</f>
        <v/>
      </c>
      <c r="O39" s="22">
        <f>IF(Platform!$C$33=1,1,IF(O$3&lt;=i_conc_end,1,0))</f>
        <v/>
      </c>
      <c r="P39" s="22">
        <f>IF(Platform!$C$33=1,1,IF(P$3&lt;=i_conc_end,1,0))</f>
        <v/>
      </c>
      <c r="Q39" s="22">
        <f>IF(Platform!$C$33=1,1,IF(Q$3&lt;=i_conc_end,1,0))</f>
        <v/>
      </c>
      <c r="R39" s="22">
        <f>IF(Platform!$C$33=1,1,IF(R$3&lt;=i_conc_end,1,0))</f>
        <v/>
      </c>
      <c r="S39" s="22">
        <f>IF(Platform!$C$33=1,1,IF(S$3&lt;=i_conc_end,1,0))</f>
        <v/>
      </c>
      <c r="T39" s="22">
        <f>IF(Platform!$C$33=1,1,IF(T$3&lt;=i_conc_end,1,0))</f>
        <v/>
      </c>
      <c r="U39" s="22">
        <f>IF(Platform!$C$33=1,1,IF(U$3&lt;=i_conc_end,1,0))</f>
        <v/>
      </c>
      <c r="V39" s="22">
        <f>IF(Platform!$C$33=1,1,IF(V$3&lt;=i_conc_end,1,0))</f>
        <v/>
      </c>
      <c r="W39" s="22">
        <f>IF(Platform!$C$33=1,1,IF(W$3&lt;=i_conc_end,1,0))</f>
        <v/>
      </c>
      <c r="X39" s="22">
        <f>IF(Platform!$C$33=1,1,IF(X$3&lt;=i_conc_end,1,0))</f>
        <v/>
      </c>
      <c r="Y39" s="22">
        <f>IF(Platform!$C$33=1,1,IF(Y$3&lt;=i_conc_end,1,0))</f>
        <v/>
      </c>
      <c r="Z39" s="22">
        <f>IF(Platform!$C$33=1,1,IF(Z$3&lt;=i_conc_end,1,0))</f>
        <v/>
      </c>
      <c r="AA39" s="22">
        <f>IF(Platform!$C$33=1,1,IF(AA$3&lt;=i_conc_end,1,0))</f>
        <v/>
      </c>
      <c r="AB39" s="22">
        <f>IF(Platform!$C$33=1,1,IF(AB$3&lt;=i_conc_end,1,0))</f>
        <v/>
      </c>
      <c r="AC39" s="22">
        <f>IF(Platform!$C$33=1,1,IF(AC$3&lt;=i_conc_end,1,0))</f>
        <v/>
      </c>
      <c r="AD39" s="22">
        <f>IF(Platform!$C$33=1,1,IF(AD$3&lt;=i_conc_end,1,0))</f>
        <v/>
      </c>
      <c r="AE39" s="22">
        <f>IF(Platform!$C$33=1,1,IF(AE$3&lt;=i_conc_end,1,0))</f>
        <v/>
      </c>
      <c r="AF39" s="22">
        <f>IF(Platform!$C$33=1,1,IF(AF$3&lt;=i_conc_end,1,0))</f>
        <v/>
      </c>
      <c r="AG39" s="22">
        <f>IF(Platform!$C$33=1,1,IF(AG$3&lt;=i_conc_end,1,0))</f>
        <v/>
      </c>
      <c r="AH39" s="22">
        <f>IF(Platform!$C$33=1,1,IF(AH$3&lt;=i_conc_end,1,0))</f>
        <v/>
      </c>
      <c r="AI39" s="22">
        <f>IF(Platform!$C$33=1,1,IF(AI$3&lt;=i_conc_end,1,0))</f>
        <v/>
      </c>
    </row>
    <row r="40">
      <c r="B40" s="2" t="inlineStr">
        <is>
          <t xml:space="preserve">  Capacity in service (million m3)</t>
        </is>
      </c>
      <c r="D40" s="24">
        <f>i_W_cap*Platform!$C$34*D39</f>
        <v/>
      </c>
      <c r="E40" s="24">
        <f>i_W_cap*Platform!$C$34*E39</f>
        <v/>
      </c>
      <c r="F40" s="24">
        <f>i_W_cap*Platform!$C$34*F39</f>
        <v/>
      </c>
      <c r="G40" s="24">
        <f>i_W_cap*Platform!$C$34*G39</f>
        <v/>
      </c>
      <c r="H40" s="24">
        <f>i_W_cap*Platform!$C$34*H39</f>
        <v/>
      </c>
      <c r="I40" s="24">
        <f>i_W_cap*Platform!$C$34*I39</f>
        <v/>
      </c>
      <c r="J40" s="24">
        <f>i_W_cap*Platform!$C$34*J39</f>
        <v/>
      </c>
      <c r="K40" s="24">
        <f>i_W_cap*Platform!$C$34*K39</f>
        <v/>
      </c>
      <c r="L40" s="24">
        <f>i_W_cap*Platform!$C$34*L39</f>
        <v/>
      </c>
      <c r="M40" s="24">
        <f>i_W_cap*Platform!$C$34*M39</f>
        <v/>
      </c>
      <c r="N40" s="24">
        <f>i_W_cap*Platform!$C$34*N39</f>
        <v/>
      </c>
      <c r="O40" s="24">
        <f>i_W_cap*Platform!$C$34*O39</f>
        <v/>
      </c>
      <c r="P40" s="24">
        <f>i_W_cap*Platform!$C$34*P39</f>
        <v/>
      </c>
      <c r="Q40" s="24">
        <f>i_W_cap*Platform!$C$34*Q39</f>
        <v/>
      </c>
      <c r="R40" s="24">
        <f>i_W_cap*Platform!$C$34*R39</f>
        <v/>
      </c>
      <c r="S40" s="24">
        <f>i_W_cap*Platform!$C$34*S39</f>
        <v/>
      </c>
      <c r="T40" s="24">
        <f>i_W_cap*Platform!$C$34*T39</f>
        <v/>
      </c>
      <c r="U40" s="24">
        <f>i_W_cap*Platform!$C$34*U39</f>
        <v/>
      </c>
      <c r="V40" s="24">
        <f>i_W_cap*Platform!$C$34*V39</f>
        <v/>
      </c>
      <c r="W40" s="24">
        <f>i_W_cap*Platform!$C$34*W39</f>
        <v/>
      </c>
      <c r="X40" s="24">
        <f>i_W_cap*Platform!$C$34*X39</f>
        <v/>
      </c>
      <c r="Y40" s="24">
        <f>i_W_cap*Platform!$C$34*Y39</f>
        <v/>
      </c>
      <c r="Z40" s="24">
        <f>i_W_cap*Platform!$C$34*Z39</f>
        <v/>
      </c>
      <c r="AA40" s="24">
        <f>i_W_cap*Platform!$C$34*AA39</f>
        <v/>
      </c>
      <c r="AB40" s="24">
        <f>i_W_cap*Platform!$C$34*AB39</f>
        <v/>
      </c>
      <c r="AC40" s="24">
        <f>i_W_cap*Platform!$C$34*AC39</f>
        <v/>
      </c>
      <c r="AD40" s="24">
        <f>i_W_cap*Platform!$C$34*AD39</f>
        <v/>
      </c>
      <c r="AE40" s="24">
        <f>i_W_cap*Platform!$C$34*AE39</f>
        <v/>
      </c>
      <c r="AF40" s="24">
        <f>i_W_cap*Platform!$C$34*AF39</f>
        <v/>
      </c>
      <c r="AG40" s="24">
        <f>i_W_cap*Platform!$C$34*AG39</f>
        <v/>
      </c>
      <c r="AH40" s="24">
        <f>i_W_cap*Platform!$C$34*AH39</f>
        <v/>
      </c>
      <c r="AI40" s="24">
        <f>i_W_cap*Platform!$C$34*AI39</f>
        <v/>
      </c>
    </row>
    <row r="41">
      <c r="B41" s="2" t="inlineStr">
        <is>
          <t xml:space="preserve">  Share on contracts signed before 2027</t>
        </is>
      </c>
      <c r="D41" s="21">
        <f>SUMIF(i_book_years,D$3,i_W_book)</f>
        <v/>
      </c>
      <c r="E41" s="21">
        <f>SUMIF(i_book_years,E$3,i_W_book)</f>
        <v/>
      </c>
      <c r="F41" s="21">
        <f>SUMIF(i_book_years,F$3,i_W_book)</f>
        <v/>
      </c>
      <c r="G41" s="21">
        <f>SUMIF(i_book_years,G$3,i_W_book)</f>
        <v/>
      </c>
      <c r="H41" s="21">
        <f>SUMIF(i_book_years,H$3,i_W_book)</f>
        <v/>
      </c>
      <c r="I41" s="21">
        <f>SUMIF(i_book_years,I$3,i_W_book)</f>
        <v/>
      </c>
      <c r="J41" s="21">
        <f>SUMIF(i_book_years,J$3,i_W_book)</f>
        <v/>
      </c>
      <c r="K41" s="21">
        <f>SUMIF(i_book_years,K$3,i_W_book)</f>
        <v/>
      </c>
      <c r="L41" s="21">
        <f>SUMIF(i_book_years,L$3,i_W_book)</f>
        <v/>
      </c>
      <c r="M41" s="21">
        <f>SUMIF(i_book_years,M$3,i_W_book)</f>
        <v/>
      </c>
      <c r="N41" s="21">
        <f>SUMIF(i_book_years,N$3,i_W_book)</f>
        <v/>
      </c>
      <c r="O41" s="21">
        <f>SUMIF(i_book_years,O$3,i_W_book)</f>
        <v/>
      </c>
      <c r="P41" s="21">
        <f>SUMIF(i_book_years,P$3,i_W_book)</f>
        <v/>
      </c>
      <c r="Q41" s="21">
        <f>SUMIF(i_book_years,Q$3,i_W_book)</f>
        <v/>
      </c>
      <c r="R41" s="21">
        <f>SUMIF(i_book_years,R$3,i_W_book)</f>
        <v/>
      </c>
      <c r="S41" s="21">
        <f>SUMIF(i_book_years,S$3,i_W_book)</f>
        <v/>
      </c>
      <c r="T41" s="21">
        <f>SUMIF(i_book_years,T$3,i_W_book)</f>
        <v/>
      </c>
      <c r="U41" s="21">
        <f>SUMIF(i_book_years,U$3,i_W_book)</f>
        <v/>
      </c>
      <c r="V41" s="21">
        <f>SUMIF(i_book_years,V$3,i_W_book)</f>
        <v/>
      </c>
      <c r="W41" s="21">
        <f>SUMIF(i_book_years,W$3,i_W_book)</f>
        <v/>
      </c>
      <c r="X41" s="21">
        <f>SUMIF(i_book_years,X$3,i_W_book)</f>
        <v/>
      </c>
      <c r="Y41" s="21">
        <f>SUMIF(i_book_years,Y$3,i_W_book)</f>
        <v/>
      </c>
      <c r="Z41" s="21">
        <f>SUMIF(i_book_years,Z$3,i_W_book)</f>
        <v/>
      </c>
      <c r="AA41" s="21">
        <f>SUMIF(i_book_years,AA$3,i_W_book)</f>
        <v/>
      </c>
      <c r="AB41" s="21">
        <f>SUMIF(i_book_years,AB$3,i_W_book)</f>
        <v/>
      </c>
      <c r="AC41" s="21">
        <f>SUMIF(i_book_years,AC$3,i_W_book)</f>
        <v/>
      </c>
      <c r="AD41" s="21">
        <f>SUMIF(i_book_years,AD$3,i_W_book)</f>
        <v/>
      </c>
      <c r="AE41" s="21">
        <f>SUMIF(i_book_years,AE$3,i_W_book)</f>
        <v/>
      </c>
      <c r="AF41" s="21">
        <f>SUMIF(i_book_years,AF$3,i_W_book)</f>
        <v/>
      </c>
      <c r="AG41" s="21">
        <f>SUMIF(i_book_years,AG$3,i_W_book)</f>
        <v/>
      </c>
      <c r="AH41" s="21">
        <f>SUMIF(i_book_years,AH$3,i_W_book)</f>
        <v/>
      </c>
      <c r="AI41" s="21">
        <f>SUMIF(i_book_years,AI$3,i_W_book)</f>
        <v/>
      </c>
    </row>
    <row r="42">
      <c r="B42" s="2" t="inlineStr">
        <is>
          <t xml:space="preserve">  Recontracting factor against current rates</t>
        </is>
      </c>
      <c r="D42" s="21">
        <f>IF(D$4=0,0,IF(Platform!$C$26=1,i_W_mtm,i_W_mtm_plan)+Platform!$C$32)</f>
        <v/>
      </c>
      <c r="E42" s="21">
        <f>IF(E$4=0,0,IF(Platform!$C$26=1,i_W_mtm,i_W_mtm_plan)+Platform!$C$32)</f>
        <v/>
      </c>
      <c r="F42" s="21">
        <f>IF(F$4=0,0,IF(Platform!$C$26=1,i_W_mtm,i_W_mtm_plan)+Platform!$C$32)</f>
        <v/>
      </c>
      <c r="G42" s="21">
        <f>IF(G$4=0,0,IF(Platform!$C$26=1,i_W_mtm,i_W_mtm_plan)+Platform!$C$32)</f>
        <v/>
      </c>
      <c r="H42" s="21">
        <f>IF(H$4=0,0,IF(Platform!$C$26=1,i_W_mtm,i_W_mtm_plan)+Platform!$C$32)</f>
        <v/>
      </c>
      <c r="I42" s="21">
        <f>IF(I$4=0,0,IF(Platform!$C$26=1,i_W_mtm,i_W_mtm_plan)+Platform!$C$32)</f>
        <v/>
      </c>
      <c r="J42" s="21">
        <f>IF(J$4=0,0,IF(Platform!$C$26=1,i_W_mtm,i_W_mtm_plan)+Platform!$C$32)</f>
        <v/>
      </c>
      <c r="K42" s="21">
        <f>IF(K$4=0,0,IF(Platform!$C$26=1,i_W_mtm,i_W_mtm_plan)+Platform!$C$32)</f>
        <v/>
      </c>
      <c r="L42" s="21">
        <f>IF(L$4=0,0,IF(Platform!$C$26=1,i_W_mtm,i_W_mtm_plan)+Platform!$C$32)</f>
        <v/>
      </c>
      <c r="M42" s="21">
        <f>IF(M$4=0,0,IF(Platform!$C$26=1,i_W_mtm,i_W_mtm_plan)+Platform!$C$32)</f>
        <v/>
      </c>
      <c r="N42" s="21">
        <f>IF(N$4=0,0,IF(Platform!$C$26=1,i_W_mtm,i_W_mtm_plan)+Platform!$C$32)</f>
        <v/>
      </c>
      <c r="O42" s="21">
        <f>IF(O$4=0,0,IF(Platform!$C$26=1,i_W_mtm,i_W_mtm_plan)+Platform!$C$32)</f>
        <v/>
      </c>
      <c r="P42" s="21">
        <f>IF(P$4=0,0,IF(Platform!$C$26=1,i_W_mtm,i_W_mtm_plan)+Platform!$C$32)</f>
        <v/>
      </c>
      <c r="Q42" s="21">
        <f>IF(Q$4=0,0,IF(Platform!$C$26=1,i_W_mtm,i_W_mtm_plan)+Platform!$C$32)</f>
        <v/>
      </c>
      <c r="R42" s="21">
        <f>IF(R$4=0,0,IF(Platform!$C$26=1,i_W_mtm,i_W_mtm_plan)+Platform!$C$32)</f>
        <v/>
      </c>
      <c r="S42" s="21">
        <f>IF(S$4=0,0,IF(Platform!$C$26=1,i_W_mtm,i_W_mtm_plan)+Platform!$C$32)</f>
        <v/>
      </c>
      <c r="T42" s="21">
        <f>IF(T$4=0,0,IF(Platform!$C$26=1,i_W_mtm,i_W_mtm_plan)+Platform!$C$32)</f>
        <v/>
      </c>
      <c r="U42" s="21">
        <f>IF(U$4=0,0,IF(Platform!$C$26=1,i_W_mtm,i_W_mtm_plan)+Platform!$C$32)</f>
        <v/>
      </c>
      <c r="V42" s="21">
        <f>IF(V$4=0,0,IF(Platform!$C$26=1,i_W_mtm,i_W_mtm_plan)+Platform!$C$32)</f>
        <v/>
      </c>
      <c r="W42" s="21">
        <f>IF(W$4=0,0,IF(Platform!$C$26=1,i_W_mtm,i_W_mtm_plan)+Platform!$C$32)</f>
        <v/>
      </c>
      <c r="X42" s="21">
        <f>IF(X$4=0,0,IF(Platform!$C$26=1,i_W_mtm,i_W_mtm_plan)+Platform!$C$32)</f>
        <v/>
      </c>
      <c r="Y42" s="21">
        <f>IF(Y$4=0,0,IF(Platform!$C$26=1,i_W_mtm,i_W_mtm_plan)+Platform!$C$32)</f>
        <v/>
      </c>
      <c r="Z42" s="21">
        <f>IF(Z$4=0,0,IF(Platform!$C$26=1,i_W_mtm,i_W_mtm_plan)+Platform!$C$32)</f>
        <v/>
      </c>
      <c r="AA42" s="21">
        <f>IF(AA$4=0,0,IF(Platform!$C$26=1,i_W_mtm,i_W_mtm_plan)+Platform!$C$32)</f>
        <v/>
      </c>
      <c r="AB42" s="21">
        <f>IF(AB$4=0,0,IF(Platform!$C$26=1,i_W_mtm,i_W_mtm_plan)+Platform!$C$32)</f>
        <v/>
      </c>
      <c r="AC42" s="21">
        <f>IF(AC$4=0,0,IF(Platform!$C$26=1,i_W_mtm,i_W_mtm_plan)+Platform!$C$32)</f>
        <v/>
      </c>
      <c r="AD42" s="21">
        <f>IF(AD$4=0,0,IF(Platform!$C$26=1,i_W_mtm,i_W_mtm_plan)+Platform!$C$32)</f>
        <v/>
      </c>
      <c r="AE42" s="21">
        <f>IF(AE$4=0,0,IF(Platform!$C$26=1,i_W_mtm,i_W_mtm_plan)+Platform!$C$32)</f>
        <v/>
      </c>
      <c r="AF42" s="21">
        <f>IF(AF$4=0,0,IF(Platform!$C$26=1,i_W_mtm,i_W_mtm_plan)+Platform!$C$32)</f>
        <v/>
      </c>
      <c r="AG42" s="21">
        <f>IF(AG$4=0,0,IF(Platform!$C$26=1,i_W_mtm,i_W_mtm_plan)+Platform!$C$32)</f>
        <v/>
      </c>
      <c r="AH42" s="21">
        <f>IF(AH$4=0,0,IF(Platform!$C$26=1,i_W_mtm,i_W_mtm_plan)+Platform!$C$32)</f>
        <v/>
      </c>
      <c r="AI42" s="21">
        <f>IF(AI$4=0,0,IF(Platform!$C$26=1,i_W_mtm,i_W_mtm_plan)+Platform!$C$32)</f>
        <v/>
      </c>
    </row>
    <row r="43">
      <c r="B43" s="2" t="inlineStr">
        <is>
          <t xml:space="preserve">  Average rate ($ per m3 per month)</t>
        </is>
      </c>
      <c r="D43" s="24">
        <f>i_W_rate*D37*(D41+(1-D41)*(1+D42))</f>
        <v/>
      </c>
      <c r="E43" s="24">
        <f>i_W_rate*E37*(E41+(1-E41)*(1+E42))</f>
        <v/>
      </c>
      <c r="F43" s="24">
        <f>i_W_rate*F37*(F41+(1-F41)*(1+F42))</f>
        <v/>
      </c>
      <c r="G43" s="24">
        <f>i_W_rate*G37*(G41+(1-G41)*(1+G42))</f>
        <v/>
      </c>
      <c r="H43" s="24">
        <f>i_W_rate*H37*(H41+(1-H41)*(1+H42))</f>
        <v/>
      </c>
      <c r="I43" s="24">
        <f>i_W_rate*I37*(I41+(1-I41)*(1+I42))</f>
        <v/>
      </c>
      <c r="J43" s="24">
        <f>i_W_rate*J37*(J41+(1-J41)*(1+J42))</f>
        <v/>
      </c>
      <c r="K43" s="24">
        <f>i_W_rate*K37*(K41+(1-K41)*(1+K42))</f>
        <v/>
      </c>
      <c r="L43" s="24">
        <f>i_W_rate*L37*(L41+(1-L41)*(1+L42))</f>
        <v/>
      </c>
      <c r="M43" s="24">
        <f>i_W_rate*M37*(M41+(1-M41)*(1+M42))</f>
        <v/>
      </c>
      <c r="N43" s="24">
        <f>i_W_rate*N37*(N41+(1-N41)*(1+N42))</f>
        <v/>
      </c>
      <c r="O43" s="24">
        <f>i_W_rate*O37*(O41+(1-O41)*(1+O42))</f>
        <v/>
      </c>
      <c r="P43" s="24">
        <f>i_W_rate*P37*(P41+(1-P41)*(1+P42))</f>
        <v/>
      </c>
      <c r="Q43" s="24">
        <f>i_W_rate*Q37*(Q41+(1-Q41)*(1+Q42))</f>
        <v/>
      </c>
      <c r="R43" s="24">
        <f>i_W_rate*R37*(R41+(1-R41)*(1+R42))</f>
        <v/>
      </c>
      <c r="S43" s="24">
        <f>i_W_rate*S37*(S41+(1-S41)*(1+S42))</f>
        <v/>
      </c>
      <c r="T43" s="24">
        <f>i_W_rate*T37*(T41+(1-T41)*(1+T42))</f>
        <v/>
      </c>
      <c r="U43" s="24">
        <f>i_W_rate*U37*(U41+(1-U41)*(1+U42))</f>
        <v/>
      </c>
      <c r="V43" s="24">
        <f>i_W_rate*V37*(V41+(1-V41)*(1+V42))</f>
        <v/>
      </c>
      <c r="W43" s="24">
        <f>i_W_rate*W37*(W41+(1-W41)*(1+W42))</f>
        <v/>
      </c>
      <c r="X43" s="24">
        <f>i_W_rate*X37*(X41+(1-X41)*(1+X42))</f>
        <v/>
      </c>
      <c r="Y43" s="24">
        <f>i_W_rate*Y37*(Y41+(1-Y41)*(1+Y42))</f>
        <v/>
      </c>
      <c r="Z43" s="24">
        <f>i_W_rate*Z37*(Z41+(1-Z41)*(1+Z42))</f>
        <v/>
      </c>
      <c r="AA43" s="24">
        <f>i_W_rate*AA37*(AA41+(1-AA41)*(1+AA42))</f>
        <v/>
      </c>
      <c r="AB43" s="24">
        <f>i_W_rate*AB37*(AB41+(1-AB41)*(1+AB42))</f>
        <v/>
      </c>
      <c r="AC43" s="24">
        <f>i_W_rate*AC37*(AC41+(1-AC41)*(1+AC42))</f>
        <v/>
      </c>
      <c r="AD43" s="24">
        <f>i_W_rate*AD37*(AD41+(1-AD41)*(1+AD42))</f>
        <v/>
      </c>
      <c r="AE43" s="24">
        <f>i_W_rate*AE37*(AE41+(1-AE41)*(1+AE42))</f>
        <v/>
      </c>
      <c r="AF43" s="24">
        <f>i_W_rate*AF37*(AF41+(1-AF41)*(1+AF42))</f>
        <v/>
      </c>
      <c r="AG43" s="24">
        <f>i_W_rate*AG37*(AG41+(1-AG41)*(1+AG42))</f>
        <v/>
      </c>
      <c r="AH43" s="24">
        <f>i_W_rate*AH37*(AH41+(1-AH41)*(1+AH42))</f>
        <v/>
      </c>
      <c r="AI43" s="24">
        <f>i_W_rate*AI37*(AI41+(1-AI41)*(1+AI42))</f>
        <v/>
      </c>
    </row>
    <row r="44">
      <c r="B44" s="2" t="inlineStr">
        <is>
          <t xml:space="preserve">  Occupancy after the transition decline and floor</t>
        </is>
      </c>
      <c r="D44" s="21">
        <f>IF(D$3&gt;i_trans_start,MAX(i_W_floor,i_W_occ-i_W_dec*(D$3-i_trans_start)),i_W_occ)</f>
        <v/>
      </c>
      <c r="E44" s="21">
        <f>IF(E$3&gt;i_trans_start,MAX(i_W_floor,i_W_occ-i_W_dec*(E$3-i_trans_start)),i_W_occ)</f>
        <v/>
      </c>
      <c r="F44" s="21">
        <f>IF(F$3&gt;i_trans_start,MAX(i_W_floor,i_W_occ-i_W_dec*(F$3-i_trans_start)),i_W_occ)</f>
        <v/>
      </c>
      <c r="G44" s="21">
        <f>IF(G$3&gt;i_trans_start,MAX(i_W_floor,i_W_occ-i_W_dec*(G$3-i_trans_start)),i_W_occ)</f>
        <v/>
      </c>
      <c r="H44" s="21">
        <f>IF(H$3&gt;i_trans_start,MAX(i_W_floor,i_W_occ-i_W_dec*(H$3-i_trans_start)),i_W_occ)</f>
        <v/>
      </c>
      <c r="I44" s="21">
        <f>IF(I$3&gt;i_trans_start,MAX(i_W_floor,i_W_occ-i_W_dec*(I$3-i_trans_start)),i_W_occ)</f>
        <v/>
      </c>
      <c r="J44" s="21">
        <f>IF(J$3&gt;i_trans_start,MAX(i_W_floor,i_W_occ-i_W_dec*(J$3-i_trans_start)),i_W_occ)</f>
        <v/>
      </c>
      <c r="K44" s="21">
        <f>IF(K$3&gt;i_trans_start,MAX(i_W_floor,i_W_occ-i_W_dec*(K$3-i_trans_start)),i_W_occ)</f>
        <v/>
      </c>
      <c r="L44" s="21">
        <f>IF(L$3&gt;i_trans_start,MAX(i_W_floor,i_W_occ-i_W_dec*(L$3-i_trans_start)),i_W_occ)</f>
        <v/>
      </c>
      <c r="M44" s="21">
        <f>IF(M$3&gt;i_trans_start,MAX(i_W_floor,i_W_occ-i_W_dec*(M$3-i_trans_start)),i_W_occ)</f>
        <v/>
      </c>
      <c r="N44" s="21">
        <f>IF(N$3&gt;i_trans_start,MAX(i_W_floor,i_W_occ-i_W_dec*(N$3-i_trans_start)),i_W_occ)</f>
        <v/>
      </c>
      <c r="O44" s="21">
        <f>IF(O$3&gt;i_trans_start,MAX(i_W_floor,i_W_occ-i_W_dec*(O$3-i_trans_start)),i_W_occ)</f>
        <v/>
      </c>
      <c r="P44" s="21">
        <f>IF(P$3&gt;i_trans_start,MAX(i_W_floor,i_W_occ-i_W_dec*(P$3-i_trans_start)),i_W_occ)</f>
        <v/>
      </c>
      <c r="Q44" s="21">
        <f>IF(Q$3&gt;i_trans_start,MAX(i_W_floor,i_W_occ-i_W_dec*(Q$3-i_trans_start)),i_W_occ)</f>
        <v/>
      </c>
      <c r="R44" s="21">
        <f>IF(R$3&gt;i_trans_start,MAX(i_W_floor,i_W_occ-i_W_dec*(R$3-i_trans_start)),i_W_occ)</f>
        <v/>
      </c>
      <c r="S44" s="21">
        <f>IF(S$3&gt;i_trans_start,MAX(i_W_floor,i_W_occ-i_W_dec*(S$3-i_trans_start)),i_W_occ)</f>
        <v/>
      </c>
      <c r="T44" s="21">
        <f>IF(T$3&gt;i_trans_start,MAX(i_W_floor,i_W_occ-i_W_dec*(T$3-i_trans_start)),i_W_occ)</f>
        <v/>
      </c>
      <c r="U44" s="21">
        <f>IF(U$3&gt;i_trans_start,MAX(i_W_floor,i_W_occ-i_W_dec*(U$3-i_trans_start)),i_W_occ)</f>
        <v/>
      </c>
      <c r="V44" s="21">
        <f>IF(V$3&gt;i_trans_start,MAX(i_W_floor,i_W_occ-i_W_dec*(V$3-i_trans_start)),i_W_occ)</f>
        <v/>
      </c>
      <c r="W44" s="21">
        <f>IF(W$3&gt;i_trans_start,MAX(i_W_floor,i_W_occ-i_W_dec*(W$3-i_trans_start)),i_W_occ)</f>
        <v/>
      </c>
      <c r="X44" s="21">
        <f>IF(X$3&gt;i_trans_start,MAX(i_W_floor,i_W_occ-i_W_dec*(X$3-i_trans_start)),i_W_occ)</f>
        <v/>
      </c>
      <c r="Y44" s="21">
        <f>IF(Y$3&gt;i_trans_start,MAX(i_W_floor,i_W_occ-i_W_dec*(Y$3-i_trans_start)),i_W_occ)</f>
        <v/>
      </c>
      <c r="Z44" s="21">
        <f>IF(Z$3&gt;i_trans_start,MAX(i_W_floor,i_W_occ-i_W_dec*(Z$3-i_trans_start)),i_W_occ)</f>
        <v/>
      </c>
      <c r="AA44" s="21">
        <f>IF(AA$3&gt;i_trans_start,MAX(i_W_floor,i_W_occ-i_W_dec*(AA$3-i_trans_start)),i_W_occ)</f>
        <v/>
      </c>
      <c r="AB44" s="21">
        <f>IF(AB$3&gt;i_trans_start,MAX(i_W_floor,i_W_occ-i_W_dec*(AB$3-i_trans_start)),i_W_occ)</f>
        <v/>
      </c>
      <c r="AC44" s="21">
        <f>IF(AC$3&gt;i_trans_start,MAX(i_W_floor,i_W_occ-i_W_dec*(AC$3-i_trans_start)),i_W_occ)</f>
        <v/>
      </c>
      <c r="AD44" s="21">
        <f>IF(AD$3&gt;i_trans_start,MAX(i_W_floor,i_W_occ-i_W_dec*(AD$3-i_trans_start)),i_W_occ)</f>
        <v/>
      </c>
      <c r="AE44" s="21">
        <f>IF(AE$3&gt;i_trans_start,MAX(i_W_floor,i_W_occ-i_W_dec*(AE$3-i_trans_start)),i_W_occ)</f>
        <v/>
      </c>
      <c r="AF44" s="21">
        <f>IF(AF$3&gt;i_trans_start,MAX(i_W_floor,i_W_occ-i_W_dec*(AF$3-i_trans_start)),i_W_occ)</f>
        <v/>
      </c>
      <c r="AG44" s="21">
        <f>IF(AG$3&gt;i_trans_start,MAX(i_W_floor,i_W_occ-i_W_dec*(AG$3-i_trans_start)),i_W_occ)</f>
        <v/>
      </c>
      <c r="AH44" s="21">
        <f>IF(AH$3&gt;i_trans_start,MAX(i_W_floor,i_W_occ-i_W_dec*(AH$3-i_trans_start)),i_W_occ)</f>
        <v/>
      </c>
      <c r="AI44" s="21">
        <f>IF(AI$3&gt;i_trans_start,MAX(i_W_floor,i_W_occ-i_W_dec*(AI$3-i_trans_start)),i_W_occ)</f>
        <v/>
      </c>
    </row>
    <row r="45">
      <c r="B45" s="2" t="inlineStr">
        <is>
          <t xml:space="preserve">  Customer loss (points)</t>
        </is>
      </c>
      <c r="D45" s="21">
        <f>Platform!$C$27*SUMIF(i_dip_years,D$3,i_dip_vals)</f>
        <v/>
      </c>
      <c r="E45" s="21">
        <f>Platform!$C$27*SUMIF(i_dip_years,E$3,i_dip_vals)</f>
        <v/>
      </c>
      <c r="F45" s="21">
        <f>Platform!$C$27*SUMIF(i_dip_years,F$3,i_dip_vals)</f>
        <v/>
      </c>
      <c r="G45" s="21">
        <f>Platform!$C$27*SUMIF(i_dip_years,G$3,i_dip_vals)</f>
        <v/>
      </c>
      <c r="H45" s="21">
        <f>Platform!$C$27*SUMIF(i_dip_years,H$3,i_dip_vals)</f>
        <v/>
      </c>
      <c r="I45" s="21">
        <f>Platform!$C$27*SUMIF(i_dip_years,I$3,i_dip_vals)</f>
        <v/>
      </c>
      <c r="J45" s="21">
        <f>Platform!$C$27*SUMIF(i_dip_years,J$3,i_dip_vals)</f>
        <v/>
      </c>
      <c r="K45" s="21">
        <f>Platform!$C$27*SUMIF(i_dip_years,K$3,i_dip_vals)</f>
        <v/>
      </c>
      <c r="L45" s="21">
        <f>Platform!$C$27*SUMIF(i_dip_years,L$3,i_dip_vals)</f>
        <v/>
      </c>
      <c r="M45" s="21">
        <f>Platform!$C$27*SUMIF(i_dip_years,M$3,i_dip_vals)</f>
        <v/>
      </c>
      <c r="N45" s="21">
        <f>Platform!$C$27*SUMIF(i_dip_years,N$3,i_dip_vals)</f>
        <v/>
      </c>
      <c r="O45" s="21">
        <f>Platform!$C$27*SUMIF(i_dip_years,O$3,i_dip_vals)</f>
        <v/>
      </c>
      <c r="P45" s="21">
        <f>Platform!$C$27*SUMIF(i_dip_years,P$3,i_dip_vals)</f>
        <v/>
      </c>
      <c r="Q45" s="21">
        <f>Platform!$C$27*SUMIF(i_dip_years,Q$3,i_dip_vals)</f>
        <v/>
      </c>
      <c r="R45" s="21">
        <f>Platform!$C$27*SUMIF(i_dip_years,R$3,i_dip_vals)</f>
        <v/>
      </c>
      <c r="S45" s="21">
        <f>Platform!$C$27*SUMIF(i_dip_years,S$3,i_dip_vals)</f>
        <v/>
      </c>
      <c r="T45" s="21">
        <f>Platform!$C$27*SUMIF(i_dip_years,T$3,i_dip_vals)</f>
        <v/>
      </c>
      <c r="U45" s="21">
        <f>Platform!$C$27*SUMIF(i_dip_years,U$3,i_dip_vals)</f>
        <v/>
      </c>
      <c r="V45" s="21">
        <f>Platform!$C$27*SUMIF(i_dip_years,V$3,i_dip_vals)</f>
        <v/>
      </c>
      <c r="W45" s="21">
        <f>Platform!$C$27*SUMIF(i_dip_years,W$3,i_dip_vals)</f>
        <v/>
      </c>
      <c r="X45" s="21">
        <f>Platform!$C$27*SUMIF(i_dip_years,X$3,i_dip_vals)</f>
        <v/>
      </c>
      <c r="Y45" s="21">
        <f>Platform!$C$27*SUMIF(i_dip_years,Y$3,i_dip_vals)</f>
        <v/>
      </c>
      <c r="Z45" s="21">
        <f>Platform!$C$27*SUMIF(i_dip_years,Z$3,i_dip_vals)</f>
        <v/>
      </c>
      <c r="AA45" s="21">
        <f>Platform!$C$27*SUMIF(i_dip_years,AA$3,i_dip_vals)</f>
        <v/>
      </c>
      <c r="AB45" s="21">
        <f>Platform!$C$27*SUMIF(i_dip_years,AB$3,i_dip_vals)</f>
        <v/>
      </c>
      <c r="AC45" s="21">
        <f>Platform!$C$27*SUMIF(i_dip_years,AC$3,i_dip_vals)</f>
        <v/>
      </c>
      <c r="AD45" s="21">
        <f>Platform!$C$27*SUMIF(i_dip_years,AD$3,i_dip_vals)</f>
        <v/>
      </c>
      <c r="AE45" s="21">
        <f>Platform!$C$27*SUMIF(i_dip_years,AE$3,i_dip_vals)</f>
        <v/>
      </c>
      <c r="AF45" s="21">
        <f>Platform!$C$27*SUMIF(i_dip_years,AF$3,i_dip_vals)</f>
        <v/>
      </c>
      <c r="AG45" s="21">
        <f>Platform!$C$27*SUMIF(i_dip_years,AG$3,i_dip_vals)</f>
        <v/>
      </c>
      <c r="AH45" s="21">
        <f>Platform!$C$27*SUMIF(i_dip_years,AH$3,i_dip_vals)</f>
        <v/>
      </c>
      <c r="AI45" s="21">
        <f>Platform!$C$27*SUMIF(i_dip_years,AI$3,i_dip_vals)</f>
        <v/>
      </c>
    </row>
    <row r="46">
      <c r="B46" s="2" t="inlineStr">
        <is>
          <t xml:space="preserve">  Occupancy (with the shift switch from 2027)</t>
        </is>
      </c>
      <c r="D46" s="21">
        <f>IF(D$4&gt;0,MIN(1,D44-D45+Platform!$C$31),D44-D45)</f>
        <v/>
      </c>
      <c r="E46" s="21">
        <f>IF(E$4&gt;0,MIN(1,E44-E45+Platform!$C$31),E44-E45)</f>
        <v/>
      </c>
      <c r="F46" s="21">
        <f>IF(F$4&gt;0,MIN(1,F44-F45+Platform!$C$31),F44-F45)</f>
        <v/>
      </c>
      <c r="G46" s="21">
        <f>IF(G$4&gt;0,MIN(1,G44-G45+Platform!$C$31),G44-G45)</f>
        <v/>
      </c>
      <c r="H46" s="21">
        <f>IF(H$4&gt;0,MIN(1,H44-H45+Platform!$C$31),H44-H45)</f>
        <v/>
      </c>
      <c r="I46" s="21">
        <f>IF(I$4&gt;0,MIN(1,I44-I45+Platform!$C$31),I44-I45)</f>
        <v/>
      </c>
      <c r="J46" s="21">
        <f>IF(J$4&gt;0,MIN(1,J44-J45+Platform!$C$31),J44-J45)</f>
        <v/>
      </c>
      <c r="K46" s="21">
        <f>IF(K$4&gt;0,MIN(1,K44-K45+Platform!$C$31),K44-K45)</f>
        <v/>
      </c>
      <c r="L46" s="21">
        <f>IF(L$4&gt;0,MIN(1,L44-L45+Platform!$C$31),L44-L45)</f>
        <v/>
      </c>
      <c r="M46" s="21">
        <f>IF(M$4&gt;0,MIN(1,M44-M45+Platform!$C$31),M44-M45)</f>
        <v/>
      </c>
      <c r="N46" s="21">
        <f>IF(N$4&gt;0,MIN(1,N44-N45+Platform!$C$31),N44-N45)</f>
        <v/>
      </c>
      <c r="O46" s="21">
        <f>IF(O$4&gt;0,MIN(1,O44-O45+Platform!$C$31),O44-O45)</f>
        <v/>
      </c>
      <c r="P46" s="21">
        <f>IF(P$4&gt;0,MIN(1,P44-P45+Platform!$C$31),P44-P45)</f>
        <v/>
      </c>
      <c r="Q46" s="21">
        <f>IF(Q$4&gt;0,MIN(1,Q44-Q45+Platform!$C$31),Q44-Q45)</f>
        <v/>
      </c>
      <c r="R46" s="21">
        <f>IF(R$4&gt;0,MIN(1,R44-R45+Platform!$C$31),R44-R45)</f>
        <v/>
      </c>
      <c r="S46" s="21">
        <f>IF(S$4&gt;0,MIN(1,S44-S45+Platform!$C$31),S44-S45)</f>
        <v/>
      </c>
      <c r="T46" s="21">
        <f>IF(T$4&gt;0,MIN(1,T44-T45+Platform!$C$31),T44-T45)</f>
        <v/>
      </c>
      <c r="U46" s="21">
        <f>IF(U$4&gt;0,MIN(1,U44-U45+Platform!$C$31),U44-U45)</f>
        <v/>
      </c>
      <c r="V46" s="21">
        <f>IF(V$4&gt;0,MIN(1,V44-V45+Platform!$C$31),V44-V45)</f>
        <v/>
      </c>
      <c r="W46" s="21">
        <f>IF(W$4&gt;0,MIN(1,W44-W45+Platform!$C$31),W44-W45)</f>
        <v/>
      </c>
      <c r="X46" s="21">
        <f>IF(X$4&gt;0,MIN(1,X44-X45+Platform!$C$31),X44-X45)</f>
        <v/>
      </c>
      <c r="Y46" s="21">
        <f>IF(Y$4&gt;0,MIN(1,Y44-Y45+Platform!$C$31),Y44-Y45)</f>
        <v/>
      </c>
      <c r="Z46" s="21">
        <f>IF(Z$4&gt;0,MIN(1,Z44-Z45+Platform!$C$31),Z44-Z45)</f>
        <v/>
      </c>
      <c r="AA46" s="21">
        <f>IF(AA$4&gt;0,MIN(1,AA44-AA45+Platform!$C$31),AA44-AA45)</f>
        <v/>
      </c>
      <c r="AB46" s="21">
        <f>IF(AB$4&gt;0,MIN(1,AB44-AB45+Platform!$C$31),AB44-AB45)</f>
        <v/>
      </c>
      <c r="AC46" s="21">
        <f>IF(AC$4&gt;0,MIN(1,AC44-AC45+Platform!$C$31),AC44-AC45)</f>
        <v/>
      </c>
      <c r="AD46" s="21">
        <f>IF(AD$4&gt;0,MIN(1,AD44-AD45+Platform!$C$31),AD44-AD45)</f>
        <v/>
      </c>
      <c r="AE46" s="21">
        <f>IF(AE$4&gt;0,MIN(1,AE44-AE45+Platform!$C$31),AE44-AE45)</f>
        <v/>
      </c>
      <c r="AF46" s="21">
        <f>IF(AF$4&gt;0,MIN(1,AF44-AF45+Platform!$C$31),AF44-AF45)</f>
        <v/>
      </c>
      <c r="AG46" s="21">
        <f>IF(AG$4&gt;0,MIN(1,AG44-AG45+Platform!$C$31),AG44-AG45)</f>
        <v/>
      </c>
      <c r="AH46" s="21">
        <f>IF(AH$4&gt;0,MIN(1,AH44-AH45+Platform!$C$31),AH44-AH45)</f>
        <v/>
      </c>
      <c r="AI46" s="21">
        <f>IF(AI$4&gt;0,MIN(1,AI44-AI45+Platform!$C$31),AI44-AI45)</f>
        <v/>
      </c>
    </row>
    <row r="47">
      <c r="B47" s="2" t="inlineStr">
        <is>
          <t xml:space="preserve">  Storage revenue</t>
        </is>
      </c>
      <c r="D47" s="19">
        <f>D40*D43*12*D46</f>
        <v/>
      </c>
      <c r="E47" s="19">
        <f>E40*E43*12*E46</f>
        <v/>
      </c>
      <c r="F47" s="19">
        <f>F40*F43*12*F46</f>
        <v/>
      </c>
      <c r="G47" s="19">
        <f>G40*G43*12*G46</f>
        <v/>
      </c>
      <c r="H47" s="19">
        <f>H40*H43*12*H46</f>
        <v/>
      </c>
      <c r="I47" s="19">
        <f>I40*I43*12*I46</f>
        <v/>
      </c>
      <c r="J47" s="19">
        <f>J40*J43*12*J46</f>
        <v/>
      </c>
      <c r="K47" s="19">
        <f>K40*K43*12*K46</f>
        <v/>
      </c>
      <c r="L47" s="19">
        <f>L40*L43*12*L46</f>
        <v/>
      </c>
      <c r="M47" s="19">
        <f>M40*M43*12*M46</f>
        <v/>
      </c>
      <c r="N47" s="19">
        <f>N40*N43*12*N46</f>
        <v/>
      </c>
      <c r="O47" s="19">
        <f>O40*O43*12*O46</f>
        <v/>
      </c>
      <c r="P47" s="19">
        <f>P40*P43*12*P46</f>
        <v/>
      </c>
      <c r="Q47" s="19">
        <f>Q40*Q43*12*Q46</f>
        <v/>
      </c>
      <c r="R47" s="19">
        <f>R40*R43*12*R46</f>
        <v/>
      </c>
      <c r="S47" s="19">
        <f>S40*S43*12*S46</f>
        <v/>
      </c>
      <c r="T47" s="19">
        <f>T40*T43*12*T46</f>
        <v/>
      </c>
      <c r="U47" s="19">
        <f>U40*U43*12*U46</f>
        <v/>
      </c>
      <c r="V47" s="19">
        <f>V40*V43*12*V46</f>
        <v/>
      </c>
      <c r="W47" s="19">
        <f>W40*W43*12*W46</f>
        <v/>
      </c>
      <c r="X47" s="19">
        <f>X40*X43*12*X46</f>
        <v/>
      </c>
      <c r="Y47" s="19">
        <f>Y40*Y43*12*Y46</f>
        <v/>
      </c>
      <c r="Z47" s="19">
        <f>Z40*Z43*12*Z46</f>
        <v/>
      </c>
      <c r="AA47" s="19">
        <f>AA40*AA43*12*AA46</f>
        <v/>
      </c>
      <c r="AB47" s="19">
        <f>AB40*AB43*12*AB46</f>
        <v/>
      </c>
      <c r="AC47" s="19">
        <f>AC40*AC43*12*AC46</f>
        <v/>
      </c>
      <c r="AD47" s="19">
        <f>AD40*AD43*12*AD46</f>
        <v/>
      </c>
      <c r="AE47" s="19">
        <f>AE40*AE43*12*AE46</f>
        <v/>
      </c>
      <c r="AF47" s="19">
        <f>AF40*AF43*12*AF46</f>
        <v/>
      </c>
      <c r="AG47" s="19">
        <f>AG40*AG43*12*AG46</f>
        <v/>
      </c>
      <c r="AH47" s="19">
        <f>AH40*AH43*12*AH46</f>
        <v/>
      </c>
      <c r="AI47" s="19">
        <f>AI40*AI43*12*AI46</f>
        <v/>
      </c>
    </row>
    <row r="48">
      <c r="B48" s="2" t="inlineStr">
        <is>
          <t xml:space="preserve">  Ancillary and throughput revenue</t>
        </is>
      </c>
      <c r="D48" s="19">
        <f>D47*i_W_anc</f>
        <v/>
      </c>
      <c r="E48" s="19">
        <f>E47*i_W_anc</f>
        <v/>
      </c>
      <c r="F48" s="19">
        <f>F47*i_W_anc</f>
        <v/>
      </c>
      <c r="G48" s="19">
        <f>G47*i_W_anc</f>
        <v/>
      </c>
      <c r="H48" s="19">
        <f>H47*i_W_anc</f>
        <v/>
      </c>
      <c r="I48" s="19">
        <f>I47*i_W_anc</f>
        <v/>
      </c>
      <c r="J48" s="19">
        <f>J47*i_W_anc</f>
        <v/>
      </c>
      <c r="K48" s="19">
        <f>K47*i_W_anc</f>
        <v/>
      </c>
      <c r="L48" s="19">
        <f>L47*i_W_anc</f>
        <v/>
      </c>
      <c r="M48" s="19">
        <f>M47*i_W_anc</f>
        <v/>
      </c>
      <c r="N48" s="19">
        <f>N47*i_W_anc</f>
        <v/>
      </c>
      <c r="O48" s="19">
        <f>O47*i_W_anc</f>
        <v/>
      </c>
      <c r="P48" s="19">
        <f>P47*i_W_anc</f>
        <v/>
      </c>
      <c r="Q48" s="19">
        <f>Q47*i_W_anc</f>
        <v/>
      </c>
      <c r="R48" s="19">
        <f>R47*i_W_anc</f>
        <v/>
      </c>
      <c r="S48" s="19">
        <f>S47*i_W_anc</f>
        <v/>
      </c>
      <c r="T48" s="19">
        <f>T47*i_W_anc</f>
        <v/>
      </c>
      <c r="U48" s="19">
        <f>U47*i_W_anc</f>
        <v/>
      </c>
      <c r="V48" s="19">
        <f>V47*i_W_anc</f>
        <v/>
      </c>
      <c r="W48" s="19">
        <f>W47*i_W_anc</f>
        <v/>
      </c>
      <c r="X48" s="19">
        <f>X47*i_W_anc</f>
        <v/>
      </c>
      <c r="Y48" s="19">
        <f>Y47*i_W_anc</f>
        <v/>
      </c>
      <c r="Z48" s="19">
        <f>Z47*i_W_anc</f>
        <v/>
      </c>
      <c r="AA48" s="19">
        <f>AA47*i_W_anc</f>
        <v/>
      </c>
      <c r="AB48" s="19">
        <f>AB47*i_W_anc</f>
        <v/>
      </c>
      <c r="AC48" s="19">
        <f>AC47*i_W_anc</f>
        <v/>
      </c>
      <c r="AD48" s="19">
        <f>AD47*i_W_anc</f>
        <v/>
      </c>
      <c r="AE48" s="19">
        <f>AE47*i_W_anc</f>
        <v/>
      </c>
      <c r="AF48" s="19">
        <f>AF47*i_W_anc</f>
        <v/>
      </c>
      <c r="AG48" s="19">
        <f>AG47*i_W_anc</f>
        <v/>
      </c>
      <c r="AH48" s="19">
        <f>AH47*i_W_anc</f>
        <v/>
      </c>
      <c r="AI48" s="19">
        <f>AI47*i_W_anc</f>
        <v/>
      </c>
    </row>
    <row r="49">
      <c r="B49" s="3" t="inlineStr">
        <is>
          <t xml:space="preserve">  Revenue</t>
        </is>
      </c>
      <c r="D49" s="31">
        <f>D47+D48</f>
        <v/>
      </c>
      <c r="E49" s="31">
        <f>E47+E48</f>
        <v/>
      </c>
      <c r="F49" s="31">
        <f>F47+F48</f>
        <v/>
      </c>
      <c r="G49" s="31">
        <f>G47+G48</f>
        <v/>
      </c>
      <c r="H49" s="31">
        <f>H47+H48</f>
        <v/>
      </c>
      <c r="I49" s="31">
        <f>I47+I48</f>
        <v/>
      </c>
      <c r="J49" s="31">
        <f>J47+J48</f>
        <v/>
      </c>
      <c r="K49" s="31">
        <f>K47+K48</f>
        <v/>
      </c>
      <c r="L49" s="31">
        <f>L47+L48</f>
        <v/>
      </c>
      <c r="M49" s="31">
        <f>M47+M48</f>
        <v/>
      </c>
      <c r="N49" s="31">
        <f>N47+N48</f>
        <v/>
      </c>
      <c r="O49" s="31">
        <f>O47+O48</f>
        <v/>
      </c>
      <c r="P49" s="31">
        <f>P47+P48</f>
        <v/>
      </c>
      <c r="Q49" s="31">
        <f>Q47+Q48</f>
        <v/>
      </c>
      <c r="R49" s="31">
        <f>R47+R48</f>
        <v/>
      </c>
      <c r="S49" s="31">
        <f>S47+S48</f>
        <v/>
      </c>
      <c r="T49" s="31">
        <f>T47+T48</f>
        <v/>
      </c>
      <c r="U49" s="31">
        <f>U47+U48</f>
        <v/>
      </c>
      <c r="V49" s="31">
        <f>V47+V48</f>
        <v/>
      </c>
      <c r="W49" s="31">
        <f>W47+W48</f>
        <v/>
      </c>
      <c r="X49" s="31">
        <f>X47+X48</f>
        <v/>
      </c>
      <c r="Y49" s="31">
        <f>Y47+Y48</f>
        <v/>
      </c>
      <c r="Z49" s="31">
        <f>Z47+Z48</f>
        <v/>
      </c>
      <c r="AA49" s="31">
        <f>AA47+AA48</f>
        <v/>
      </c>
      <c r="AB49" s="31">
        <f>AB47+AB48</f>
        <v/>
      </c>
      <c r="AC49" s="31">
        <f>AC47+AC48</f>
        <v/>
      </c>
      <c r="AD49" s="31">
        <f>AD47+AD48</f>
        <v/>
      </c>
      <c r="AE49" s="31">
        <f>AE47+AE48</f>
        <v/>
      </c>
      <c r="AF49" s="31">
        <f>AF47+AF48</f>
        <v/>
      </c>
      <c r="AG49" s="31">
        <f>AG47+AG48</f>
        <v/>
      </c>
      <c r="AH49" s="31">
        <f>AH47+AH48</f>
        <v/>
      </c>
      <c r="AI49" s="31">
        <f>AI47+AI48</f>
        <v/>
      </c>
    </row>
    <row r="50">
      <c r="B50" s="2" t="inlineStr">
        <is>
          <t xml:space="preserve">  Fixed cost</t>
        </is>
      </c>
      <c r="D50" s="19">
        <f>D40*i_W_fix*D36</f>
        <v/>
      </c>
      <c r="E50" s="19">
        <f>E40*i_W_fix*E36</f>
        <v/>
      </c>
      <c r="F50" s="19">
        <f>F40*i_W_fix*F36</f>
        <v/>
      </c>
      <c r="G50" s="19">
        <f>G40*i_W_fix*G36</f>
        <v/>
      </c>
      <c r="H50" s="19">
        <f>H40*i_W_fix*H36</f>
        <v/>
      </c>
      <c r="I50" s="19">
        <f>I40*i_W_fix*I36</f>
        <v/>
      </c>
      <c r="J50" s="19">
        <f>J40*i_W_fix*J36</f>
        <v/>
      </c>
      <c r="K50" s="19">
        <f>K40*i_W_fix*K36</f>
        <v/>
      </c>
      <c r="L50" s="19">
        <f>L40*i_W_fix*L36</f>
        <v/>
      </c>
      <c r="M50" s="19">
        <f>M40*i_W_fix*M36</f>
        <v/>
      </c>
      <c r="N50" s="19">
        <f>N40*i_W_fix*N36</f>
        <v/>
      </c>
      <c r="O50" s="19">
        <f>O40*i_W_fix*O36</f>
        <v/>
      </c>
      <c r="P50" s="19">
        <f>P40*i_W_fix*P36</f>
        <v/>
      </c>
      <c r="Q50" s="19">
        <f>Q40*i_W_fix*Q36</f>
        <v/>
      </c>
      <c r="R50" s="19">
        <f>R40*i_W_fix*R36</f>
        <v/>
      </c>
      <c r="S50" s="19">
        <f>S40*i_W_fix*S36</f>
        <v/>
      </c>
      <c r="T50" s="19">
        <f>T40*i_W_fix*T36</f>
        <v/>
      </c>
      <c r="U50" s="19">
        <f>U40*i_W_fix*U36</f>
        <v/>
      </c>
      <c r="V50" s="19">
        <f>V40*i_W_fix*V36</f>
        <v/>
      </c>
      <c r="W50" s="19">
        <f>W40*i_W_fix*W36</f>
        <v/>
      </c>
      <c r="X50" s="19">
        <f>X40*i_W_fix*X36</f>
        <v/>
      </c>
      <c r="Y50" s="19">
        <f>Y40*i_W_fix*Y36</f>
        <v/>
      </c>
      <c r="Z50" s="19">
        <f>Z40*i_W_fix*Z36</f>
        <v/>
      </c>
      <c r="AA50" s="19">
        <f>AA40*i_W_fix*AA36</f>
        <v/>
      </c>
      <c r="AB50" s="19">
        <f>AB40*i_W_fix*AB36</f>
        <v/>
      </c>
      <c r="AC50" s="19">
        <f>AC40*i_W_fix*AC36</f>
        <v/>
      </c>
      <c r="AD50" s="19">
        <f>AD40*i_W_fix*AD36</f>
        <v/>
      </c>
      <c r="AE50" s="19">
        <f>AE40*i_W_fix*AE36</f>
        <v/>
      </c>
      <c r="AF50" s="19">
        <f>AF40*i_W_fix*AF36</f>
        <v/>
      </c>
      <c r="AG50" s="19">
        <f>AG40*i_W_fix*AG36</f>
        <v/>
      </c>
      <c r="AH50" s="19">
        <f>AH40*i_W_fix*AH36</f>
        <v/>
      </c>
      <c r="AI50" s="19">
        <f>AI40*i_W_fix*AI36</f>
        <v/>
      </c>
    </row>
    <row r="51">
      <c r="B51" s="2" t="inlineStr">
        <is>
          <t xml:space="preserve">  Variable cost</t>
        </is>
      </c>
      <c r="D51" s="19">
        <f>i_W_var*D49</f>
        <v/>
      </c>
      <c r="E51" s="19">
        <f>i_W_var*E49</f>
        <v/>
      </c>
      <c r="F51" s="19">
        <f>i_W_var*F49</f>
        <v/>
      </c>
      <c r="G51" s="19">
        <f>i_W_var*G49</f>
        <v/>
      </c>
      <c r="H51" s="19">
        <f>i_W_var*H49</f>
        <v/>
      </c>
      <c r="I51" s="19">
        <f>i_W_var*I49</f>
        <v/>
      </c>
      <c r="J51" s="19">
        <f>i_W_var*J49</f>
        <v/>
      </c>
      <c r="K51" s="19">
        <f>i_W_var*K49</f>
        <v/>
      </c>
      <c r="L51" s="19">
        <f>i_W_var*L49</f>
        <v/>
      </c>
      <c r="M51" s="19">
        <f>i_W_var*M49</f>
        <v/>
      </c>
      <c r="N51" s="19">
        <f>i_W_var*N49</f>
        <v/>
      </c>
      <c r="O51" s="19">
        <f>i_W_var*O49</f>
        <v/>
      </c>
      <c r="P51" s="19">
        <f>i_W_var*P49</f>
        <v/>
      </c>
      <c r="Q51" s="19">
        <f>i_W_var*Q49</f>
        <v/>
      </c>
      <c r="R51" s="19">
        <f>i_W_var*R49</f>
        <v/>
      </c>
      <c r="S51" s="19">
        <f>i_W_var*S49</f>
        <v/>
      </c>
      <c r="T51" s="19">
        <f>i_W_var*T49</f>
        <v/>
      </c>
      <c r="U51" s="19">
        <f>i_W_var*U49</f>
        <v/>
      </c>
      <c r="V51" s="19">
        <f>i_W_var*V49</f>
        <v/>
      </c>
      <c r="W51" s="19">
        <f>i_W_var*W49</f>
        <v/>
      </c>
      <c r="X51" s="19">
        <f>i_W_var*X49</f>
        <v/>
      </c>
      <c r="Y51" s="19">
        <f>i_W_var*Y49</f>
        <v/>
      </c>
      <c r="Z51" s="19">
        <f>i_W_var*Z49</f>
        <v/>
      </c>
      <c r="AA51" s="19">
        <f>i_W_var*AA49</f>
        <v/>
      </c>
      <c r="AB51" s="19">
        <f>i_W_var*AB49</f>
        <v/>
      </c>
      <c r="AC51" s="19">
        <f>i_W_var*AC49</f>
        <v/>
      </c>
      <c r="AD51" s="19">
        <f>i_W_var*AD49</f>
        <v/>
      </c>
      <c r="AE51" s="19">
        <f>i_W_var*AE49</f>
        <v/>
      </c>
      <c r="AF51" s="19">
        <f>i_W_var*AF49</f>
        <v/>
      </c>
      <c r="AG51" s="19">
        <f>i_W_var*AG49</f>
        <v/>
      </c>
      <c r="AH51" s="19">
        <f>i_W_var*AH49</f>
        <v/>
      </c>
      <c r="AI51" s="19">
        <f>i_W_var*AI49</f>
        <v/>
      </c>
    </row>
    <row r="52">
      <c r="B52" s="2" t="inlineStr">
        <is>
          <t xml:space="preserve">  Concession fee</t>
        </is>
      </c>
      <c r="D52" s="19">
        <f>IF(AND(Platform!$C$33=1,D$3&gt;i_conc_end),i_renew_fee,i_W_fee)*D49</f>
        <v/>
      </c>
      <c r="E52" s="19">
        <f>IF(AND(Platform!$C$33=1,E$3&gt;i_conc_end),i_renew_fee,i_W_fee)*E49</f>
        <v/>
      </c>
      <c r="F52" s="19">
        <f>IF(AND(Platform!$C$33=1,F$3&gt;i_conc_end),i_renew_fee,i_W_fee)*F49</f>
        <v/>
      </c>
      <c r="G52" s="19">
        <f>IF(AND(Platform!$C$33=1,G$3&gt;i_conc_end),i_renew_fee,i_W_fee)*G49</f>
        <v/>
      </c>
      <c r="H52" s="19">
        <f>IF(AND(Platform!$C$33=1,H$3&gt;i_conc_end),i_renew_fee,i_W_fee)*H49</f>
        <v/>
      </c>
      <c r="I52" s="19">
        <f>IF(AND(Platform!$C$33=1,I$3&gt;i_conc_end),i_renew_fee,i_W_fee)*I49</f>
        <v/>
      </c>
      <c r="J52" s="19">
        <f>IF(AND(Platform!$C$33=1,J$3&gt;i_conc_end),i_renew_fee,i_W_fee)*J49</f>
        <v/>
      </c>
      <c r="K52" s="19">
        <f>IF(AND(Platform!$C$33=1,K$3&gt;i_conc_end),i_renew_fee,i_W_fee)*K49</f>
        <v/>
      </c>
      <c r="L52" s="19">
        <f>IF(AND(Platform!$C$33=1,L$3&gt;i_conc_end),i_renew_fee,i_W_fee)*L49</f>
        <v/>
      </c>
      <c r="M52" s="19">
        <f>IF(AND(Platform!$C$33=1,M$3&gt;i_conc_end),i_renew_fee,i_W_fee)*M49</f>
        <v/>
      </c>
      <c r="N52" s="19">
        <f>IF(AND(Platform!$C$33=1,N$3&gt;i_conc_end),i_renew_fee,i_W_fee)*N49</f>
        <v/>
      </c>
      <c r="O52" s="19">
        <f>IF(AND(Platform!$C$33=1,O$3&gt;i_conc_end),i_renew_fee,i_W_fee)*O49</f>
        <v/>
      </c>
      <c r="P52" s="19">
        <f>IF(AND(Platform!$C$33=1,P$3&gt;i_conc_end),i_renew_fee,i_W_fee)*P49</f>
        <v/>
      </c>
      <c r="Q52" s="19">
        <f>IF(AND(Platform!$C$33=1,Q$3&gt;i_conc_end),i_renew_fee,i_W_fee)*Q49</f>
        <v/>
      </c>
      <c r="R52" s="19">
        <f>IF(AND(Platform!$C$33=1,R$3&gt;i_conc_end),i_renew_fee,i_W_fee)*R49</f>
        <v/>
      </c>
      <c r="S52" s="19">
        <f>IF(AND(Platform!$C$33=1,S$3&gt;i_conc_end),i_renew_fee,i_W_fee)*S49</f>
        <v/>
      </c>
      <c r="T52" s="19">
        <f>IF(AND(Platform!$C$33=1,T$3&gt;i_conc_end),i_renew_fee,i_W_fee)*T49</f>
        <v/>
      </c>
      <c r="U52" s="19">
        <f>IF(AND(Platform!$C$33=1,U$3&gt;i_conc_end),i_renew_fee,i_W_fee)*U49</f>
        <v/>
      </c>
      <c r="V52" s="19">
        <f>IF(AND(Platform!$C$33=1,V$3&gt;i_conc_end),i_renew_fee,i_W_fee)*V49</f>
        <v/>
      </c>
      <c r="W52" s="19">
        <f>IF(AND(Platform!$C$33=1,W$3&gt;i_conc_end),i_renew_fee,i_W_fee)*W49</f>
        <v/>
      </c>
      <c r="X52" s="19">
        <f>IF(AND(Platform!$C$33=1,X$3&gt;i_conc_end),i_renew_fee,i_W_fee)*X49</f>
        <v/>
      </c>
      <c r="Y52" s="19">
        <f>IF(AND(Platform!$C$33=1,Y$3&gt;i_conc_end),i_renew_fee,i_W_fee)*Y49</f>
        <v/>
      </c>
      <c r="Z52" s="19">
        <f>IF(AND(Platform!$C$33=1,Z$3&gt;i_conc_end),i_renew_fee,i_W_fee)*Z49</f>
        <v/>
      </c>
      <c r="AA52" s="19">
        <f>IF(AND(Platform!$C$33=1,AA$3&gt;i_conc_end),i_renew_fee,i_W_fee)*AA49</f>
        <v/>
      </c>
      <c r="AB52" s="19">
        <f>IF(AND(Platform!$C$33=1,AB$3&gt;i_conc_end),i_renew_fee,i_W_fee)*AB49</f>
        <v/>
      </c>
      <c r="AC52" s="19">
        <f>IF(AND(Platform!$C$33=1,AC$3&gt;i_conc_end),i_renew_fee,i_W_fee)*AC49</f>
        <v/>
      </c>
      <c r="AD52" s="19">
        <f>IF(AND(Platform!$C$33=1,AD$3&gt;i_conc_end),i_renew_fee,i_W_fee)*AD49</f>
        <v/>
      </c>
      <c r="AE52" s="19">
        <f>IF(AND(Platform!$C$33=1,AE$3&gt;i_conc_end),i_renew_fee,i_W_fee)*AE49</f>
        <v/>
      </c>
      <c r="AF52" s="19">
        <f>IF(AND(Platform!$C$33=1,AF$3&gt;i_conc_end),i_renew_fee,i_W_fee)*AF49</f>
        <v/>
      </c>
      <c r="AG52" s="19">
        <f>IF(AND(Platform!$C$33=1,AG$3&gt;i_conc_end),i_renew_fee,i_W_fee)*AG49</f>
        <v/>
      </c>
      <c r="AH52" s="19">
        <f>IF(AND(Platform!$C$33=1,AH$3&gt;i_conc_end),i_renew_fee,i_W_fee)*AH49</f>
        <v/>
      </c>
      <c r="AI52" s="19">
        <f>IF(AND(Platform!$C$33=1,AI$3&gt;i_conc_end),i_renew_fee,i_W_fee)*AI49</f>
        <v/>
      </c>
    </row>
    <row r="53">
      <c r="B53" s="2" t="inlineStr">
        <is>
          <t xml:space="preserve">  Operating cost</t>
        </is>
      </c>
      <c r="D53" s="19">
        <f>D50+D51+D52</f>
        <v/>
      </c>
      <c r="E53" s="19">
        <f>E50+E51+E52</f>
        <v/>
      </c>
      <c r="F53" s="19">
        <f>F50+F51+F52</f>
        <v/>
      </c>
      <c r="G53" s="19">
        <f>G50+G51+G52</f>
        <v/>
      </c>
      <c r="H53" s="19">
        <f>H50+H51+H52</f>
        <v/>
      </c>
      <c r="I53" s="19">
        <f>I50+I51+I52</f>
        <v/>
      </c>
      <c r="J53" s="19">
        <f>J50+J51+J52</f>
        <v/>
      </c>
      <c r="K53" s="19">
        <f>K50+K51+K52</f>
        <v/>
      </c>
      <c r="L53" s="19">
        <f>L50+L51+L52</f>
        <v/>
      </c>
      <c r="M53" s="19">
        <f>M50+M51+M52</f>
        <v/>
      </c>
      <c r="N53" s="19">
        <f>N50+N51+N52</f>
        <v/>
      </c>
      <c r="O53" s="19">
        <f>O50+O51+O52</f>
        <v/>
      </c>
      <c r="P53" s="19">
        <f>P50+P51+P52</f>
        <v/>
      </c>
      <c r="Q53" s="19">
        <f>Q50+Q51+Q52</f>
        <v/>
      </c>
      <c r="R53" s="19">
        <f>R50+R51+R52</f>
        <v/>
      </c>
      <c r="S53" s="19">
        <f>S50+S51+S52</f>
        <v/>
      </c>
      <c r="T53" s="19">
        <f>T50+T51+T52</f>
        <v/>
      </c>
      <c r="U53" s="19">
        <f>U50+U51+U52</f>
        <v/>
      </c>
      <c r="V53" s="19">
        <f>V50+V51+V52</f>
        <v/>
      </c>
      <c r="W53" s="19">
        <f>W50+W51+W52</f>
        <v/>
      </c>
      <c r="X53" s="19">
        <f>X50+X51+X52</f>
        <v/>
      </c>
      <c r="Y53" s="19">
        <f>Y50+Y51+Y52</f>
        <v/>
      </c>
      <c r="Z53" s="19">
        <f>Z50+Z51+Z52</f>
        <v/>
      </c>
      <c r="AA53" s="19">
        <f>AA50+AA51+AA52</f>
        <v/>
      </c>
      <c r="AB53" s="19">
        <f>AB50+AB51+AB52</f>
        <v/>
      </c>
      <c r="AC53" s="19">
        <f>AC50+AC51+AC52</f>
        <v/>
      </c>
      <c r="AD53" s="19">
        <f>AD50+AD51+AD52</f>
        <v/>
      </c>
      <c r="AE53" s="19">
        <f>AE50+AE51+AE52</f>
        <v/>
      </c>
      <c r="AF53" s="19">
        <f>AF50+AF51+AF52</f>
        <v/>
      </c>
      <c r="AG53" s="19">
        <f>AG50+AG51+AG52</f>
        <v/>
      </c>
      <c r="AH53" s="19">
        <f>AH50+AH51+AH52</f>
        <v/>
      </c>
      <c r="AI53" s="19">
        <f>AI50+AI51+AI52</f>
        <v/>
      </c>
    </row>
    <row r="54">
      <c r="B54" s="3" t="inlineStr">
        <is>
          <t xml:space="preserve">  EBITDA</t>
        </is>
      </c>
      <c r="D54" s="31">
        <f>D49-D53</f>
        <v/>
      </c>
      <c r="E54" s="31">
        <f>E49-E53</f>
        <v/>
      </c>
      <c r="F54" s="31">
        <f>F49-F53</f>
        <v/>
      </c>
      <c r="G54" s="31">
        <f>G49-G53</f>
        <v/>
      </c>
      <c r="H54" s="31">
        <f>H49-H53</f>
        <v/>
      </c>
      <c r="I54" s="31">
        <f>I49-I53</f>
        <v/>
      </c>
      <c r="J54" s="31">
        <f>J49-J53</f>
        <v/>
      </c>
      <c r="K54" s="31">
        <f>K49-K53</f>
        <v/>
      </c>
      <c r="L54" s="31">
        <f>L49-L53</f>
        <v/>
      </c>
      <c r="M54" s="31">
        <f>M49-M53</f>
        <v/>
      </c>
      <c r="N54" s="31">
        <f>N49-N53</f>
        <v/>
      </c>
      <c r="O54" s="31">
        <f>O49-O53</f>
        <v/>
      </c>
      <c r="P54" s="31">
        <f>P49-P53</f>
        <v/>
      </c>
      <c r="Q54" s="31">
        <f>Q49-Q53</f>
        <v/>
      </c>
      <c r="R54" s="31">
        <f>R49-R53</f>
        <v/>
      </c>
      <c r="S54" s="31">
        <f>S49-S53</f>
        <v/>
      </c>
      <c r="T54" s="31">
        <f>T49-T53</f>
        <v/>
      </c>
      <c r="U54" s="31">
        <f>U49-U53</f>
        <v/>
      </c>
      <c r="V54" s="31">
        <f>V49-V53</f>
        <v/>
      </c>
      <c r="W54" s="31">
        <f>W49-W53</f>
        <v/>
      </c>
      <c r="X54" s="31">
        <f>X49-X53</f>
        <v/>
      </c>
      <c r="Y54" s="31">
        <f>Y49-Y53</f>
        <v/>
      </c>
      <c r="Z54" s="31">
        <f>Z49-Z53</f>
        <v/>
      </c>
      <c r="AA54" s="31">
        <f>AA49-AA53</f>
        <v/>
      </c>
      <c r="AB54" s="31">
        <f>AB49-AB53</f>
        <v/>
      </c>
      <c r="AC54" s="31">
        <f>AC49-AC53</f>
        <v/>
      </c>
      <c r="AD54" s="31">
        <f>AD49-AD53</f>
        <v/>
      </c>
      <c r="AE54" s="31">
        <f>AE49-AE53</f>
        <v/>
      </c>
      <c r="AF54" s="31">
        <f>AF49-AF53</f>
        <v/>
      </c>
      <c r="AG54" s="31">
        <f>AG49-AG53</f>
        <v/>
      </c>
      <c r="AH54" s="31">
        <f>AH49-AH53</f>
        <v/>
      </c>
      <c r="AI54" s="31">
        <f>AI49-AI53</f>
        <v/>
      </c>
    </row>
    <row r="55">
      <c r="B55" s="2" t="inlineStr">
        <is>
          <t xml:space="preserve">  Maintenance capex (with jetty 3)</t>
        </is>
      </c>
      <c r="D55" s="19">
        <f>D40*i_W_mc*D36+D39*Platform!$C$28*SUMIF(i_jetty_years,D$3,i_jetty_vals)*D36</f>
        <v/>
      </c>
      <c r="E55" s="19">
        <f>E40*i_W_mc*E36+E39*Platform!$C$28*SUMIF(i_jetty_years,E$3,i_jetty_vals)*E36</f>
        <v/>
      </c>
      <c r="F55" s="19">
        <f>F40*i_W_mc*F36+F39*Platform!$C$28*SUMIF(i_jetty_years,F$3,i_jetty_vals)*F36</f>
        <v/>
      </c>
      <c r="G55" s="19">
        <f>G40*i_W_mc*G36+G39*Platform!$C$28*SUMIF(i_jetty_years,G$3,i_jetty_vals)*G36</f>
        <v/>
      </c>
      <c r="H55" s="19">
        <f>H40*i_W_mc*H36+H39*Platform!$C$28*SUMIF(i_jetty_years,H$3,i_jetty_vals)*H36</f>
        <v/>
      </c>
      <c r="I55" s="19">
        <f>I40*i_W_mc*I36+I39*Platform!$C$28*SUMIF(i_jetty_years,I$3,i_jetty_vals)*I36</f>
        <v/>
      </c>
      <c r="J55" s="19">
        <f>J40*i_W_mc*J36+J39*Platform!$C$28*SUMIF(i_jetty_years,J$3,i_jetty_vals)*J36</f>
        <v/>
      </c>
      <c r="K55" s="19">
        <f>K40*i_W_mc*K36+K39*Platform!$C$28*SUMIF(i_jetty_years,K$3,i_jetty_vals)*K36</f>
        <v/>
      </c>
      <c r="L55" s="19">
        <f>L40*i_W_mc*L36+L39*Platform!$C$28*SUMIF(i_jetty_years,L$3,i_jetty_vals)*L36</f>
        <v/>
      </c>
      <c r="M55" s="19">
        <f>M40*i_W_mc*M36+M39*Platform!$C$28*SUMIF(i_jetty_years,M$3,i_jetty_vals)*M36</f>
        <v/>
      </c>
      <c r="N55" s="19">
        <f>N40*i_W_mc*N36+N39*Platform!$C$28*SUMIF(i_jetty_years,N$3,i_jetty_vals)*N36</f>
        <v/>
      </c>
      <c r="O55" s="19">
        <f>O40*i_W_mc*O36+O39*Platform!$C$28*SUMIF(i_jetty_years,O$3,i_jetty_vals)*O36</f>
        <v/>
      </c>
      <c r="P55" s="19">
        <f>P40*i_W_mc*P36+P39*Platform!$C$28*SUMIF(i_jetty_years,P$3,i_jetty_vals)*P36</f>
        <v/>
      </c>
      <c r="Q55" s="19">
        <f>Q40*i_W_mc*Q36+Q39*Platform!$C$28*SUMIF(i_jetty_years,Q$3,i_jetty_vals)*Q36</f>
        <v/>
      </c>
      <c r="R55" s="19">
        <f>R40*i_W_mc*R36+R39*Platform!$C$28*SUMIF(i_jetty_years,R$3,i_jetty_vals)*R36</f>
        <v/>
      </c>
      <c r="S55" s="19">
        <f>S40*i_W_mc*S36+S39*Platform!$C$28*SUMIF(i_jetty_years,S$3,i_jetty_vals)*S36</f>
        <v/>
      </c>
      <c r="T55" s="19">
        <f>T40*i_W_mc*T36+T39*Platform!$C$28*SUMIF(i_jetty_years,T$3,i_jetty_vals)*T36</f>
        <v/>
      </c>
      <c r="U55" s="19">
        <f>U40*i_W_mc*U36+U39*Platform!$C$28*SUMIF(i_jetty_years,U$3,i_jetty_vals)*U36</f>
        <v/>
      </c>
      <c r="V55" s="19">
        <f>V40*i_W_mc*V36+V39*Platform!$C$28*SUMIF(i_jetty_years,V$3,i_jetty_vals)*V36</f>
        <v/>
      </c>
      <c r="W55" s="19">
        <f>W40*i_W_mc*W36+W39*Platform!$C$28*SUMIF(i_jetty_years,W$3,i_jetty_vals)*W36</f>
        <v/>
      </c>
      <c r="X55" s="19">
        <f>X40*i_W_mc*X36+X39*Platform!$C$28*SUMIF(i_jetty_years,X$3,i_jetty_vals)*X36</f>
        <v/>
      </c>
      <c r="Y55" s="19">
        <f>Y40*i_W_mc*Y36+Y39*Platform!$C$28*SUMIF(i_jetty_years,Y$3,i_jetty_vals)*Y36</f>
        <v/>
      </c>
      <c r="Z55" s="19">
        <f>Z40*i_W_mc*Z36+Z39*Platform!$C$28*SUMIF(i_jetty_years,Z$3,i_jetty_vals)*Z36</f>
        <v/>
      </c>
      <c r="AA55" s="19">
        <f>AA40*i_W_mc*AA36+AA39*Platform!$C$28*SUMIF(i_jetty_years,AA$3,i_jetty_vals)*AA36</f>
        <v/>
      </c>
      <c r="AB55" s="19">
        <f>AB40*i_W_mc*AB36+AB39*Platform!$C$28*SUMIF(i_jetty_years,AB$3,i_jetty_vals)*AB36</f>
        <v/>
      </c>
      <c r="AC55" s="19">
        <f>AC40*i_W_mc*AC36+AC39*Platform!$C$28*SUMIF(i_jetty_years,AC$3,i_jetty_vals)*AC36</f>
        <v/>
      </c>
      <c r="AD55" s="19">
        <f>AD40*i_W_mc*AD36+AD39*Platform!$C$28*SUMIF(i_jetty_years,AD$3,i_jetty_vals)*AD36</f>
        <v/>
      </c>
      <c r="AE55" s="19">
        <f>AE40*i_W_mc*AE36+AE39*Platform!$C$28*SUMIF(i_jetty_years,AE$3,i_jetty_vals)*AE36</f>
        <v/>
      </c>
      <c r="AF55" s="19">
        <f>AF40*i_W_mc*AF36+AF39*Platform!$C$28*SUMIF(i_jetty_years,AF$3,i_jetty_vals)*AF36</f>
        <v/>
      </c>
      <c r="AG55" s="19">
        <f>AG40*i_W_mc*AG36+AG39*Platform!$C$28*SUMIF(i_jetty_years,AG$3,i_jetty_vals)*AG36</f>
        <v/>
      </c>
      <c r="AH55" s="19">
        <f>AH40*i_W_mc*AH36+AH39*Platform!$C$28*SUMIF(i_jetty_years,AH$3,i_jetty_vals)*AH36</f>
        <v/>
      </c>
      <c r="AI55" s="19">
        <f>AI40*i_W_mc*AI36+AI39*Platform!$C$28*SUMIF(i_jetty_years,AI$3,i_jetty_vals)*AI36</f>
        <v/>
      </c>
    </row>
    <row r="56">
      <c r="B56" s="3" t="inlineStr">
        <is>
          <t>Rhine Inland</t>
        </is>
      </c>
    </row>
    <row r="57">
      <c r="B57" s="2" t="inlineStr">
        <is>
          <t xml:space="preserve">  Capacity in service (million m3)</t>
        </is>
      </c>
      <c r="D57" s="24">
        <f>i_R_cap</f>
        <v/>
      </c>
      <c r="E57" s="24">
        <f>i_R_cap</f>
        <v/>
      </c>
      <c r="F57" s="24">
        <f>i_R_cap</f>
        <v/>
      </c>
      <c r="G57" s="24">
        <f>i_R_cap</f>
        <v/>
      </c>
      <c r="H57" s="24">
        <f>i_R_cap</f>
        <v/>
      </c>
      <c r="I57" s="24">
        <f>i_R_cap</f>
        <v/>
      </c>
      <c r="J57" s="24">
        <f>i_R_cap</f>
        <v/>
      </c>
      <c r="K57" s="24">
        <f>i_R_cap</f>
        <v/>
      </c>
      <c r="L57" s="24">
        <f>i_R_cap</f>
        <v/>
      </c>
      <c r="M57" s="24">
        <f>i_R_cap</f>
        <v/>
      </c>
      <c r="N57" s="24">
        <f>i_R_cap</f>
        <v/>
      </c>
      <c r="O57" s="24">
        <f>i_R_cap</f>
        <v/>
      </c>
      <c r="P57" s="24">
        <f>i_R_cap</f>
        <v/>
      </c>
      <c r="Q57" s="24">
        <f>i_R_cap</f>
        <v/>
      </c>
      <c r="R57" s="24">
        <f>i_R_cap</f>
        <v/>
      </c>
      <c r="S57" s="24">
        <f>i_R_cap</f>
        <v/>
      </c>
      <c r="T57" s="24">
        <f>i_R_cap</f>
        <v/>
      </c>
      <c r="U57" s="24">
        <f>i_R_cap</f>
        <v/>
      </c>
      <c r="V57" s="24">
        <f>i_R_cap</f>
        <v/>
      </c>
      <c r="W57" s="24">
        <f>i_R_cap</f>
        <v/>
      </c>
      <c r="X57" s="24">
        <f>i_R_cap</f>
        <v/>
      </c>
      <c r="Y57" s="24">
        <f>i_R_cap</f>
        <v/>
      </c>
      <c r="Z57" s="24">
        <f>i_R_cap</f>
        <v/>
      </c>
      <c r="AA57" s="24">
        <f>i_R_cap</f>
        <v/>
      </c>
      <c r="AB57" s="24">
        <f>i_R_cap</f>
        <v/>
      </c>
      <c r="AC57" s="24">
        <f>i_R_cap</f>
        <v/>
      </c>
      <c r="AD57" s="24">
        <f>i_R_cap</f>
        <v/>
      </c>
      <c r="AE57" s="24">
        <f>i_R_cap</f>
        <v/>
      </c>
      <c r="AF57" s="24">
        <f>i_R_cap</f>
        <v/>
      </c>
      <c r="AG57" s="24">
        <f>i_R_cap</f>
        <v/>
      </c>
      <c r="AH57" s="24">
        <f>i_R_cap</f>
        <v/>
      </c>
      <c r="AI57" s="24">
        <f>i_R_cap</f>
        <v/>
      </c>
    </row>
    <row r="58">
      <c r="B58" s="2" t="inlineStr">
        <is>
          <t xml:space="preserve">  Share on contracts signed before 2027</t>
        </is>
      </c>
      <c r="D58" s="21">
        <f>SUMIF(i_book_years,D$3,i_R_book)</f>
        <v/>
      </c>
      <c r="E58" s="21">
        <f>SUMIF(i_book_years,E$3,i_R_book)</f>
        <v/>
      </c>
      <c r="F58" s="21">
        <f>SUMIF(i_book_years,F$3,i_R_book)</f>
        <v/>
      </c>
      <c r="G58" s="21">
        <f>SUMIF(i_book_years,G$3,i_R_book)</f>
        <v/>
      </c>
      <c r="H58" s="21">
        <f>SUMIF(i_book_years,H$3,i_R_book)</f>
        <v/>
      </c>
      <c r="I58" s="21">
        <f>SUMIF(i_book_years,I$3,i_R_book)</f>
        <v/>
      </c>
      <c r="J58" s="21">
        <f>SUMIF(i_book_years,J$3,i_R_book)</f>
        <v/>
      </c>
      <c r="K58" s="21">
        <f>SUMIF(i_book_years,K$3,i_R_book)</f>
        <v/>
      </c>
      <c r="L58" s="21">
        <f>SUMIF(i_book_years,L$3,i_R_book)</f>
        <v/>
      </c>
      <c r="M58" s="21">
        <f>SUMIF(i_book_years,M$3,i_R_book)</f>
        <v/>
      </c>
      <c r="N58" s="21">
        <f>SUMIF(i_book_years,N$3,i_R_book)</f>
        <v/>
      </c>
      <c r="O58" s="21">
        <f>SUMIF(i_book_years,O$3,i_R_book)</f>
        <v/>
      </c>
      <c r="P58" s="21">
        <f>SUMIF(i_book_years,P$3,i_R_book)</f>
        <v/>
      </c>
      <c r="Q58" s="21">
        <f>SUMIF(i_book_years,Q$3,i_R_book)</f>
        <v/>
      </c>
      <c r="R58" s="21">
        <f>SUMIF(i_book_years,R$3,i_R_book)</f>
        <v/>
      </c>
      <c r="S58" s="21">
        <f>SUMIF(i_book_years,S$3,i_R_book)</f>
        <v/>
      </c>
      <c r="T58" s="21">
        <f>SUMIF(i_book_years,T$3,i_R_book)</f>
        <v/>
      </c>
      <c r="U58" s="21">
        <f>SUMIF(i_book_years,U$3,i_R_book)</f>
        <v/>
      </c>
      <c r="V58" s="21">
        <f>SUMIF(i_book_years,V$3,i_R_book)</f>
        <v/>
      </c>
      <c r="W58" s="21">
        <f>SUMIF(i_book_years,W$3,i_R_book)</f>
        <v/>
      </c>
      <c r="X58" s="21">
        <f>SUMIF(i_book_years,X$3,i_R_book)</f>
        <v/>
      </c>
      <c r="Y58" s="21">
        <f>SUMIF(i_book_years,Y$3,i_R_book)</f>
        <v/>
      </c>
      <c r="Z58" s="21">
        <f>SUMIF(i_book_years,Z$3,i_R_book)</f>
        <v/>
      </c>
      <c r="AA58" s="21">
        <f>SUMIF(i_book_years,AA$3,i_R_book)</f>
        <v/>
      </c>
      <c r="AB58" s="21">
        <f>SUMIF(i_book_years,AB$3,i_R_book)</f>
        <v/>
      </c>
      <c r="AC58" s="21">
        <f>SUMIF(i_book_years,AC$3,i_R_book)</f>
        <v/>
      </c>
      <c r="AD58" s="21">
        <f>SUMIF(i_book_years,AD$3,i_R_book)</f>
        <v/>
      </c>
      <c r="AE58" s="21">
        <f>SUMIF(i_book_years,AE$3,i_R_book)</f>
        <v/>
      </c>
      <c r="AF58" s="21">
        <f>SUMIF(i_book_years,AF$3,i_R_book)</f>
        <v/>
      </c>
      <c r="AG58" s="21">
        <f>SUMIF(i_book_years,AG$3,i_R_book)</f>
        <v/>
      </c>
      <c r="AH58" s="21">
        <f>SUMIF(i_book_years,AH$3,i_R_book)</f>
        <v/>
      </c>
      <c r="AI58" s="21">
        <f>SUMIF(i_book_years,AI$3,i_R_book)</f>
        <v/>
      </c>
    </row>
    <row r="59">
      <c r="B59" s="2" t="inlineStr">
        <is>
          <t xml:space="preserve">  Recontracting factor against current rates</t>
        </is>
      </c>
      <c r="D59" s="21">
        <f>IF(D$4=0,0,IF(Platform!$C$26=1,i_R_mtm,i_R_mtm_plan)+Platform!$C$32)</f>
        <v/>
      </c>
      <c r="E59" s="21">
        <f>IF(E$4=0,0,IF(Platform!$C$26=1,i_R_mtm,i_R_mtm_plan)+Platform!$C$32)</f>
        <v/>
      </c>
      <c r="F59" s="21">
        <f>IF(F$4=0,0,IF(Platform!$C$26=1,i_R_mtm,i_R_mtm_plan)+Platform!$C$32)</f>
        <v/>
      </c>
      <c r="G59" s="21">
        <f>IF(G$4=0,0,IF(Platform!$C$26=1,i_R_mtm,i_R_mtm_plan)+Platform!$C$32)</f>
        <v/>
      </c>
      <c r="H59" s="21">
        <f>IF(H$4=0,0,IF(Platform!$C$26=1,i_R_mtm,i_R_mtm_plan)+Platform!$C$32)</f>
        <v/>
      </c>
      <c r="I59" s="21">
        <f>IF(I$4=0,0,IF(Platform!$C$26=1,i_R_mtm,i_R_mtm_plan)+Platform!$C$32)</f>
        <v/>
      </c>
      <c r="J59" s="21">
        <f>IF(J$4=0,0,IF(Platform!$C$26=1,i_R_mtm,i_R_mtm_plan)+Platform!$C$32)</f>
        <v/>
      </c>
      <c r="K59" s="21">
        <f>IF(K$4=0,0,IF(Platform!$C$26=1,i_R_mtm,i_R_mtm_plan)+Platform!$C$32)</f>
        <v/>
      </c>
      <c r="L59" s="21">
        <f>IF(L$4=0,0,IF(Platform!$C$26=1,i_R_mtm,i_R_mtm_plan)+Platform!$C$32)</f>
        <v/>
      </c>
      <c r="M59" s="21">
        <f>IF(M$4=0,0,IF(Platform!$C$26=1,i_R_mtm,i_R_mtm_plan)+Platform!$C$32)</f>
        <v/>
      </c>
      <c r="N59" s="21">
        <f>IF(N$4=0,0,IF(Platform!$C$26=1,i_R_mtm,i_R_mtm_plan)+Platform!$C$32)</f>
        <v/>
      </c>
      <c r="O59" s="21">
        <f>IF(O$4=0,0,IF(Platform!$C$26=1,i_R_mtm,i_R_mtm_plan)+Platform!$C$32)</f>
        <v/>
      </c>
      <c r="P59" s="21">
        <f>IF(P$4=0,0,IF(Platform!$C$26=1,i_R_mtm,i_R_mtm_plan)+Platform!$C$32)</f>
        <v/>
      </c>
      <c r="Q59" s="21">
        <f>IF(Q$4=0,0,IF(Platform!$C$26=1,i_R_mtm,i_R_mtm_plan)+Platform!$C$32)</f>
        <v/>
      </c>
      <c r="R59" s="21">
        <f>IF(R$4=0,0,IF(Platform!$C$26=1,i_R_mtm,i_R_mtm_plan)+Platform!$C$32)</f>
        <v/>
      </c>
      <c r="S59" s="21">
        <f>IF(S$4=0,0,IF(Platform!$C$26=1,i_R_mtm,i_R_mtm_plan)+Platform!$C$32)</f>
        <v/>
      </c>
      <c r="T59" s="21">
        <f>IF(T$4=0,0,IF(Platform!$C$26=1,i_R_mtm,i_R_mtm_plan)+Platform!$C$32)</f>
        <v/>
      </c>
      <c r="U59" s="21">
        <f>IF(U$4=0,0,IF(Platform!$C$26=1,i_R_mtm,i_R_mtm_plan)+Platform!$C$32)</f>
        <v/>
      </c>
      <c r="V59" s="21">
        <f>IF(V$4=0,0,IF(Platform!$C$26=1,i_R_mtm,i_R_mtm_plan)+Platform!$C$32)</f>
        <v/>
      </c>
      <c r="W59" s="21">
        <f>IF(W$4=0,0,IF(Platform!$C$26=1,i_R_mtm,i_R_mtm_plan)+Platform!$C$32)</f>
        <v/>
      </c>
      <c r="X59" s="21">
        <f>IF(X$4=0,0,IF(Platform!$C$26=1,i_R_mtm,i_R_mtm_plan)+Platform!$C$32)</f>
        <v/>
      </c>
      <c r="Y59" s="21">
        <f>IF(Y$4=0,0,IF(Platform!$C$26=1,i_R_mtm,i_R_mtm_plan)+Platform!$C$32)</f>
        <v/>
      </c>
      <c r="Z59" s="21">
        <f>IF(Z$4=0,0,IF(Platform!$C$26=1,i_R_mtm,i_R_mtm_plan)+Platform!$C$32)</f>
        <v/>
      </c>
      <c r="AA59" s="21">
        <f>IF(AA$4=0,0,IF(Platform!$C$26=1,i_R_mtm,i_R_mtm_plan)+Platform!$C$32)</f>
        <v/>
      </c>
      <c r="AB59" s="21">
        <f>IF(AB$4=0,0,IF(Platform!$C$26=1,i_R_mtm,i_R_mtm_plan)+Platform!$C$32)</f>
        <v/>
      </c>
      <c r="AC59" s="21">
        <f>IF(AC$4=0,0,IF(Platform!$C$26=1,i_R_mtm,i_R_mtm_plan)+Platform!$C$32)</f>
        <v/>
      </c>
      <c r="AD59" s="21">
        <f>IF(AD$4=0,0,IF(Platform!$C$26=1,i_R_mtm,i_R_mtm_plan)+Platform!$C$32)</f>
        <v/>
      </c>
      <c r="AE59" s="21">
        <f>IF(AE$4=0,0,IF(Platform!$C$26=1,i_R_mtm,i_R_mtm_plan)+Platform!$C$32)</f>
        <v/>
      </c>
      <c r="AF59" s="21">
        <f>IF(AF$4=0,0,IF(Platform!$C$26=1,i_R_mtm,i_R_mtm_plan)+Platform!$C$32)</f>
        <v/>
      </c>
      <c r="AG59" s="21">
        <f>IF(AG$4=0,0,IF(Platform!$C$26=1,i_R_mtm,i_R_mtm_plan)+Platform!$C$32)</f>
        <v/>
      </c>
      <c r="AH59" s="21">
        <f>IF(AH$4=0,0,IF(Platform!$C$26=1,i_R_mtm,i_R_mtm_plan)+Platform!$C$32)</f>
        <v/>
      </c>
      <c r="AI59" s="21">
        <f>IF(AI$4=0,0,IF(Platform!$C$26=1,i_R_mtm,i_R_mtm_plan)+Platform!$C$32)</f>
        <v/>
      </c>
    </row>
    <row r="60">
      <c r="B60" s="2" t="inlineStr">
        <is>
          <t xml:space="preserve">  Average rate ($ per m3 per month)</t>
        </is>
      </c>
      <c r="D60" s="24">
        <f>i_R_rate*D37*(D58+(1-D58)*(1+D59))</f>
        <v/>
      </c>
      <c r="E60" s="24">
        <f>i_R_rate*E37*(E58+(1-E58)*(1+E59))</f>
        <v/>
      </c>
      <c r="F60" s="24">
        <f>i_R_rate*F37*(F58+(1-F58)*(1+F59))</f>
        <v/>
      </c>
      <c r="G60" s="24">
        <f>i_R_rate*G37*(G58+(1-G58)*(1+G59))</f>
        <v/>
      </c>
      <c r="H60" s="24">
        <f>i_R_rate*H37*(H58+(1-H58)*(1+H59))</f>
        <v/>
      </c>
      <c r="I60" s="24">
        <f>i_R_rate*I37*(I58+(1-I58)*(1+I59))</f>
        <v/>
      </c>
      <c r="J60" s="24">
        <f>i_R_rate*J37*(J58+(1-J58)*(1+J59))</f>
        <v/>
      </c>
      <c r="K60" s="24">
        <f>i_R_rate*K37*(K58+(1-K58)*(1+K59))</f>
        <v/>
      </c>
      <c r="L60" s="24">
        <f>i_R_rate*L37*(L58+(1-L58)*(1+L59))</f>
        <v/>
      </c>
      <c r="M60" s="24">
        <f>i_R_rate*M37*(M58+(1-M58)*(1+M59))</f>
        <v/>
      </c>
      <c r="N60" s="24">
        <f>i_R_rate*N37*(N58+(1-N58)*(1+N59))</f>
        <v/>
      </c>
      <c r="O60" s="24">
        <f>i_R_rate*O37*(O58+(1-O58)*(1+O59))</f>
        <v/>
      </c>
      <c r="P60" s="24">
        <f>i_R_rate*P37*(P58+(1-P58)*(1+P59))</f>
        <v/>
      </c>
      <c r="Q60" s="24">
        <f>i_R_rate*Q37*(Q58+(1-Q58)*(1+Q59))</f>
        <v/>
      </c>
      <c r="R60" s="24">
        <f>i_R_rate*R37*(R58+(1-R58)*(1+R59))</f>
        <v/>
      </c>
      <c r="S60" s="24">
        <f>i_R_rate*S37*(S58+(1-S58)*(1+S59))</f>
        <v/>
      </c>
      <c r="T60" s="24">
        <f>i_R_rate*T37*(T58+(1-T58)*(1+T59))</f>
        <v/>
      </c>
      <c r="U60" s="24">
        <f>i_R_rate*U37*(U58+(1-U58)*(1+U59))</f>
        <v/>
      </c>
      <c r="V60" s="24">
        <f>i_R_rate*V37*(V58+(1-V58)*(1+V59))</f>
        <v/>
      </c>
      <c r="W60" s="24">
        <f>i_R_rate*W37*(W58+(1-W58)*(1+W59))</f>
        <v/>
      </c>
      <c r="X60" s="24">
        <f>i_R_rate*X37*(X58+(1-X58)*(1+X59))</f>
        <v/>
      </c>
      <c r="Y60" s="24">
        <f>i_R_rate*Y37*(Y58+(1-Y58)*(1+Y59))</f>
        <v/>
      </c>
      <c r="Z60" s="24">
        <f>i_R_rate*Z37*(Z58+(1-Z58)*(1+Z59))</f>
        <v/>
      </c>
      <c r="AA60" s="24">
        <f>i_R_rate*AA37*(AA58+(1-AA58)*(1+AA59))</f>
        <v/>
      </c>
      <c r="AB60" s="24">
        <f>i_R_rate*AB37*(AB58+(1-AB58)*(1+AB59))</f>
        <v/>
      </c>
      <c r="AC60" s="24">
        <f>i_R_rate*AC37*(AC58+(1-AC58)*(1+AC59))</f>
        <v/>
      </c>
      <c r="AD60" s="24">
        <f>i_R_rate*AD37*(AD58+(1-AD58)*(1+AD59))</f>
        <v/>
      </c>
      <c r="AE60" s="24">
        <f>i_R_rate*AE37*(AE58+(1-AE58)*(1+AE59))</f>
        <v/>
      </c>
      <c r="AF60" s="24">
        <f>i_R_rate*AF37*(AF58+(1-AF58)*(1+AF59))</f>
        <v/>
      </c>
      <c r="AG60" s="24">
        <f>i_R_rate*AG37*(AG58+(1-AG58)*(1+AG59))</f>
        <v/>
      </c>
      <c r="AH60" s="24">
        <f>i_R_rate*AH37*(AH58+(1-AH58)*(1+AH59))</f>
        <v/>
      </c>
      <c r="AI60" s="24">
        <f>i_R_rate*AI37*(AI58+(1-AI58)*(1+AI59))</f>
        <v/>
      </c>
    </row>
    <row r="61">
      <c r="B61" s="2" t="inlineStr">
        <is>
          <t xml:space="preserve">  Occupancy after the transition decline and floor</t>
        </is>
      </c>
      <c r="D61" s="21">
        <f>IF(D$3&gt;i_trans_start,MAX(i_R_floor,i_R_occ-i_R_dec*(D$3-i_trans_start)),i_R_occ)</f>
        <v/>
      </c>
      <c r="E61" s="21">
        <f>IF(E$3&gt;i_trans_start,MAX(i_R_floor,i_R_occ-i_R_dec*(E$3-i_trans_start)),i_R_occ)</f>
        <v/>
      </c>
      <c r="F61" s="21">
        <f>IF(F$3&gt;i_trans_start,MAX(i_R_floor,i_R_occ-i_R_dec*(F$3-i_trans_start)),i_R_occ)</f>
        <v/>
      </c>
      <c r="G61" s="21">
        <f>IF(G$3&gt;i_trans_start,MAX(i_R_floor,i_R_occ-i_R_dec*(G$3-i_trans_start)),i_R_occ)</f>
        <v/>
      </c>
      <c r="H61" s="21">
        <f>IF(H$3&gt;i_trans_start,MAX(i_R_floor,i_R_occ-i_R_dec*(H$3-i_trans_start)),i_R_occ)</f>
        <v/>
      </c>
      <c r="I61" s="21">
        <f>IF(I$3&gt;i_trans_start,MAX(i_R_floor,i_R_occ-i_R_dec*(I$3-i_trans_start)),i_R_occ)</f>
        <v/>
      </c>
      <c r="J61" s="21">
        <f>IF(J$3&gt;i_trans_start,MAX(i_R_floor,i_R_occ-i_R_dec*(J$3-i_trans_start)),i_R_occ)</f>
        <v/>
      </c>
      <c r="K61" s="21">
        <f>IF(K$3&gt;i_trans_start,MAX(i_R_floor,i_R_occ-i_R_dec*(K$3-i_trans_start)),i_R_occ)</f>
        <v/>
      </c>
      <c r="L61" s="21">
        <f>IF(L$3&gt;i_trans_start,MAX(i_R_floor,i_R_occ-i_R_dec*(L$3-i_trans_start)),i_R_occ)</f>
        <v/>
      </c>
      <c r="M61" s="21">
        <f>IF(M$3&gt;i_trans_start,MAX(i_R_floor,i_R_occ-i_R_dec*(M$3-i_trans_start)),i_R_occ)</f>
        <v/>
      </c>
      <c r="N61" s="21">
        <f>IF(N$3&gt;i_trans_start,MAX(i_R_floor,i_R_occ-i_R_dec*(N$3-i_trans_start)),i_R_occ)</f>
        <v/>
      </c>
      <c r="O61" s="21">
        <f>IF(O$3&gt;i_trans_start,MAX(i_R_floor,i_R_occ-i_R_dec*(O$3-i_trans_start)),i_R_occ)</f>
        <v/>
      </c>
      <c r="P61" s="21">
        <f>IF(P$3&gt;i_trans_start,MAX(i_R_floor,i_R_occ-i_R_dec*(P$3-i_trans_start)),i_R_occ)</f>
        <v/>
      </c>
      <c r="Q61" s="21">
        <f>IF(Q$3&gt;i_trans_start,MAX(i_R_floor,i_R_occ-i_R_dec*(Q$3-i_trans_start)),i_R_occ)</f>
        <v/>
      </c>
      <c r="R61" s="21">
        <f>IF(R$3&gt;i_trans_start,MAX(i_R_floor,i_R_occ-i_R_dec*(R$3-i_trans_start)),i_R_occ)</f>
        <v/>
      </c>
      <c r="S61" s="21">
        <f>IF(S$3&gt;i_trans_start,MAX(i_R_floor,i_R_occ-i_R_dec*(S$3-i_trans_start)),i_R_occ)</f>
        <v/>
      </c>
      <c r="T61" s="21">
        <f>IF(T$3&gt;i_trans_start,MAX(i_R_floor,i_R_occ-i_R_dec*(T$3-i_trans_start)),i_R_occ)</f>
        <v/>
      </c>
      <c r="U61" s="21">
        <f>IF(U$3&gt;i_trans_start,MAX(i_R_floor,i_R_occ-i_R_dec*(U$3-i_trans_start)),i_R_occ)</f>
        <v/>
      </c>
      <c r="V61" s="21">
        <f>IF(V$3&gt;i_trans_start,MAX(i_R_floor,i_R_occ-i_R_dec*(V$3-i_trans_start)),i_R_occ)</f>
        <v/>
      </c>
      <c r="W61" s="21">
        <f>IF(W$3&gt;i_trans_start,MAX(i_R_floor,i_R_occ-i_R_dec*(W$3-i_trans_start)),i_R_occ)</f>
        <v/>
      </c>
      <c r="X61" s="21">
        <f>IF(X$3&gt;i_trans_start,MAX(i_R_floor,i_R_occ-i_R_dec*(X$3-i_trans_start)),i_R_occ)</f>
        <v/>
      </c>
      <c r="Y61" s="21">
        <f>IF(Y$3&gt;i_trans_start,MAX(i_R_floor,i_R_occ-i_R_dec*(Y$3-i_trans_start)),i_R_occ)</f>
        <v/>
      </c>
      <c r="Z61" s="21">
        <f>IF(Z$3&gt;i_trans_start,MAX(i_R_floor,i_R_occ-i_R_dec*(Z$3-i_trans_start)),i_R_occ)</f>
        <v/>
      </c>
      <c r="AA61" s="21">
        <f>IF(AA$3&gt;i_trans_start,MAX(i_R_floor,i_R_occ-i_R_dec*(AA$3-i_trans_start)),i_R_occ)</f>
        <v/>
      </c>
      <c r="AB61" s="21">
        <f>IF(AB$3&gt;i_trans_start,MAX(i_R_floor,i_R_occ-i_R_dec*(AB$3-i_trans_start)),i_R_occ)</f>
        <v/>
      </c>
      <c r="AC61" s="21">
        <f>IF(AC$3&gt;i_trans_start,MAX(i_R_floor,i_R_occ-i_R_dec*(AC$3-i_trans_start)),i_R_occ)</f>
        <v/>
      </c>
      <c r="AD61" s="21">
        <f>IF(AD$3&gt;i_trans_start,MAX(i_R_floor,i_R_occ-i_R_dec*(AD$3-i_trans_start)),i_R_occ)</f>
        <v/>
      </c>
      <c r="AE61" s="21">
        <f>IF(AE$3&gt;i_trans_start,MAX(i_R_floor,i_R_occ-i_R_dec*(AE$3-i_trans_start)),i_R_occ)</f>
        <v/>
      </c>
      <c r="AF61" s="21">
        <f>IF(AF$3&gt;i_trans_start,MAX(i_R_floor,i_R_occ-i_R_dec*(AF$3-i_trans_start)),i_R_occ)</f>
        <v/>
      </c>
      <c r="AG61" s="21">
        <f>IF(AG$3&gt;i_trans_start,MAX(i_R_floor,i_R_occ-i_R_dec*(AG$3-i_trans_start)),i_R_occ)</f>
        <v/>
      </c>
      <c r="AH61" s="21">
        <f>IF(AH$3&gt;i_trans_start,MAX(i_R_floor,i_R_occ-i_R_dec*(AH$3-i_trans_start)),i_R_occ)</f>
        <v/>
      </c>
      <c r="AI61" s="21">
        <f>IF(AI$3&gt;i_trans_start,MAX(i_R_floor,i_R_occ-i_R_dec*(AI$3-i_trans_start)),i_R_occ)</f>
        <v/>
      </c>
    </row>
    <row r="62">
      <c r="B62" s="2" t="inlineStr">
        <is>
          <t xml:space="preserve">  Occupancy (with the shift switch from 2027)</t>
        </is>
      </c>
      <c r="D62" s="21">
        <f>IF(D$4&gt;0,MIN(1,D61+Platform!$C$31),D61)</f>
        <v/>
      </c>
      <c r="E62" s="21">
        <f>IF(E$4&gt;0,MIN(1,E61+Platform!$C$31),E61)</f>
        <v/>
      </c>
      <c r="F62" s="21">
        <f>IF(F$4&gt;0,MIN(1,F61+Platform!$C$31),F61)</f>
        <v/>
      </c>
      <c r="G62" s="21">
        <f>IF(G$4&gt;0,MIN(1,G61+Platform!$C$31),G61)</f>
        <v/>
      </c>
      <c r="H62" s="21">
        <f>IF(H$4&gt;0,MIN(1,H61+Platform!$C$31),H61)</f>
        <v/>
      </c>
      <c r="I62" s="21">
        <f>IF(I$4&gt;0,MIN(1,I61+Platform!$C$31),I61)</f>
        <v/>
      </c>
      <c r="J62" s="21">
        <f>IF(J$4&gt;0,MIN(1,J61+Platform!$C$31),J61)</f>
        <v/>
      </c>
      <c r="K62" s="21">
        <f>IF(K$4&gt;0,MIN(1,K61+Platform!$C$31),K61)</f>
        <v/>
      </c>
      <c r="L62" s="21">
        <f>IF(L$4&gt;0,MIN(1,L61+Platform!$C$31),L61)</f>
        <v/>
      </c>
      <c r="M62" s="21">
        <f>IF(M$4&gt;0,MIN(1,M61+Platform!$C$31),M61)</f>
        <v/>
      </c>
      <c r="N62" s="21">
        <f>IF(N$4&gt;0,MIN(1,N61+Platform!$C$31),N61)</f>
        <v/>
      </c>
      <c r="O62" s="21">
        <f>IF(O$4&gt;0,MIN(1,O61+Platform!$C$31),O61)</f>
        <v/>
      </c>
      <c r="P62" s="21">
        <f>IF(P$4&gt;0,MIN(1,P61+Platform!$C$31),P61)</f>
        <v/>
      </c>
      <c r="Q62" s="21">
        <f>IF(Q$4&gt;0,MIN(1,Q61+Platform!$C$31),Q61)</f>
        <v/>
      </c>
      <c r="R62" s="21">
        <f>IF(R$4&gt;0,MIN(1,R61+Platform!$C$31),R61)</f>
        <v/>
      </c>
      <c r="S62" s="21">
        <f>IF(S$4&gt;0,MIN(1,S61+Platform!$C$31),S61)</f>
        <v/>
      </c>
      <c r="T62" s="21">
        <f>IF(T$4&gt;0,MIN(1,T61+Platform!$C$31),T61)</f>
        <v/>
      </c>
      <c r="U62" s="21">
        <f>IF(U$4&gt;0,MIN(1,U61+Platform!$C$31),U61)</f>
        <v/>
      </c>
      <c r="V62" s="21">
        <f>IF(V$4&gt;0,MIN(1,V61+Platform!$C$31),V61)</f>
        <v/>
      </c>
      <c r="W62" s="21">
        <f>IF(W$4&gt;0,MIN(1,W61+Platform!$C$31),W61)</f>
        <v/>
      </c>
      <c r="X62" s="21">
        <f>IF(X$4&gt;0,MIN(1,X61+Platform!$C$31),X61)</f>
        <v/>
      </c>
      <c r="Y62" s="21">
        <f>IF(Y$4&gt;0,MIN(1,Y61+Platform!$C$31),Y61)</f>
        <v/>
      </c>
      <c r="Z62" s="21">
        <f>IF(Z$4&gt;0,MIN(1,Z61+Platform!$C$31),Z61)</f>
        <v/>
      </c>
      <c r="AA62" s="21">
        <f>IF(AA$4&gt;0,MIN(1,AA61+Platform!$C$31),AA61)</f>
        <v/>
      </c>
      <c r="AB62" s="21">
        <f>IF(AB$4&gt;0,MIN(1,AB61+Platform!$C$31),AB61)</f>
        <v/>
      </c>
      <c r="AC62" s="21">
        <f>IF(AC$4&gt;0,MIN(1,AC61+Platform!$C$31),AC61)</f>
        <v/>
      </c>
      <c r="AD62" s="21">
        <f>IF(AD$4&gt;0,MIN(1,AD61+Platform!$C$31),AD61)</f>
        <v/>
      </c>
      <c r="AE62" s="21">
        <f>IF(AE$4&gt;0,MIN(1,AE61+Platform!$C$31),AE61)</f>
        <v/>
      </c>
      <c r="AF62" s="21">
        <f>IF(AF$4&gt;0,MIN(1,AF61+Platform!$C$31),AF61)</f>
        <v/>
      </c>
      <c r="AG62" s="21">
        <f>IF(AG$4&gt;0,MIN(1,AG61+Platform!$C$31),AG61)</f>
        <v/>
      </c>
      <c r="AH62" s="21">
        <f>IF(AH$4&gt;0,MIN(1,AH61+Platform!$C$31),AH61)</f>
        <v/>
      </c>
      <c r="AI62" s="21">
        <f>IF(AI$4&gt;0,MIN(1,AI61+Platform!$C$31),AI61)</f>
        <v/>
      </c>
    </row>
    <row r="63">
      <c r="B63" s="2" t="inlineStr">
        <is>
          <t xml:space="preserve">  Storage revenue</t>
        </is>
      </c>
      <c r="D63" s="19">
        <f>D57*D60*12*D62</f>
        <v/>
      </c>
      <c r="E63" s="19">
        <f>E57*E60*12*E62</f>
        <v/>
      </c>
      <c r="F63" s="19">
        <f>F57*F60*12*F62</f>
        <v/>
      </c>
      <c r="G63" s="19">
        <f>G57*G60*12*G62</f>
        <v/>
      </c>
      <c r="H63" s="19">
        <f>H57*H60*12*H62</f>
        <v/>
      </c>
      <c r="I63" s="19">
        <f>I57*I60*12*I62</f>
        <v/>
      </c>
      <c r="J63" s="19">
        <f>J57*J60*12*J62</f>
        <v/>
      </c>
      <c r="K63" s="19">
        <f>K57*K60*12*K62</f>
        <v/>
      </c>
      <c r="L63" s="19">
        <f>L57*L60*12*L62</f>
        <v/>
      </c>
      <c r="M63" s="19">
        <f>M57*M60*12*M62</f>
        <v/>
      </c>
      <c r="N63" s="19">
        <f>N57*N60*12*N62</f>
        <v/>
      </c>
      <c r="O63" s="19">
        <f>O57*O60*12*O62</f>
        <v/>
      </c>
      <c r="P63" s="19">
        <f>P57*P60*12*P62</f>
        <v/>
      </c>
      <c r="Q63" s="19">
        <f>Q57*Q60*12*Q62</f>
        <v/>
      </c>
      <c r="R63" s="19">
        <f>R57*R60*12*R62</f>
        <v/>
      </c>
      <c r="S63" s="19">
        <f>S57*S60*12*S62</f>
        <v/>
      </c>
      <c r="T63" s="19">
        <f>T57*T60*12*T62</f>
        <v/>
      </c>
      <c r="U63" s="19">
        <f>U57*U60*12*U62</f>
        <v/>
      </c>
      <c r="V63" s="19">
        <f>V57*V60*12*V62</f>
        <v/>
      </c>
      <c r="W63" s="19">
        <f>W57*W60*12*W62</f>
        <v/>
      </c>
      <c r="X63" s="19">
        <f>X57*X60*12*X62</f>
        <v/>
      </c>
      <c r="Y63" s="19">
        <f>Y57*Y60*12*Y62</f>
        <v/>
      </c>
      <c r="Z63" s="19">
        <f>Z57*Z60*12*Z62</f>
        <v/>
      </c>
      <c r="AA63" s="19">
        <f>AA57*AA60*12*AA62</f>
        <v/>
      </c>
      <c r="AB63" s="19">
        <f>AB57*AB60*12*AB62</f>
        <v/>
      </c>
      <c r="AC63" s="19">
        <f>AC57*AC60*12*AC62</f>
        <v/>
      </c>
      <c r="AD63" s="19">
        <f>AD57*AD60*12*AD62</f>
        <v/>
      </c>
      <c r="AE63" s="19">
        <f>AE57*AE60*12*AE62</f>
        <v/>
      </c>
      <c r="AF63" s="19">
        <f>AF57*AF60*12*AF62</f>
        <v/>
      </c>
      <c r="AG63" s="19">
        <f>AG57*AG60*12*AG62</f>
        <v/>
      </c>
      <c r="AH63" s="19">
        <f>AH57*AH60*12*AH62</f>
        <v/>
      </c>
      <c r="AI63" s="19">
        <f>AI57*AI60*12*AI62</f>
        <v/>
      </c>
    </row>
    <row r="64">
      <c r="B64" s="2" t="inlineStr">
        <is>
          <t xml:space="preserve">  Ancillary and throughput revenue</t>
        </is>
      </c>
      <c r="D64" s="19">
        <f>D63*i_R_anc</f>
        <v/>
      </c>
      <c r="E64" s="19">
        <f>E63*i_R_anc</f>
        <v/>
      </c>
      <c r="F64" s="19">
        <f>F63*i_R_anc</f>
        <v/>
      </c>
      <c r="G64" s="19">
        <f>G63*i_R_anc</f>
        <v/>
      </c>
      <c r="H64" s="19">
        <f>H63*i_R_anc</f>
        <v/>
      </c>
      <c r="I64" s="19">
        <f>I63*i_R_anc</f>
        <v/>
      </c>
      <c r="J64" s="19">
        <f>J63*i_R_anc</f>
        <v/>
      </c>
      <c r="K64" s="19">
        <f>K63*i_R_anc</f>
        <v/>
      </c>
      <c r="L64" s="19">
        <f>L63*i_R_anc</f>
        <v/>
      </c>
      <c r="M64" s="19">
        <f>M63*i_R_anc</f>
        <v/>
      </c>
      <c r="N64" s="19">
        <f>N63*i_R_anc</f>
        <v/>
      </c>
      <c r="O64" s="19">
        <f>O63*i_R_anc</f>
        <v/>
      </c>
      <c r="P64" s="19">
        <f>P63*i_R_anc</f>
        <v/>
      </c>
      <c r="Q64" s="19">
        <f>Q63*i_R_anc</f>
        <v/>
      </c>
      <c r="R64" s="19">
        <f>R63*i_R_anc</f>
        <v/>
      </c>
      <c r="S64" s="19">
        <f>S63*i_R_anc</f>
        <v/>
      </c>
      <c r="T64" s="19">
        <f>T63*i_R_anc</f>
        <v/>
      </c>
      <c r="U64" s="19">
        <f>U63*i_R_anc</f>
        <v/>
      </c>
      <c r="V64" s="19">
        <f>V63*i_R_anc</f>
        <v/>
      </c>
      <c r="W64" s="19">
        <f>W63*i_R_anc</f>
        <v/>
      </c>
      <c r="X64" s="19">
        <f>X63*i_R_anc</f>
        <v/>
      </c>
      <c r="Y64" s="19">
        <f>Y63*i_R_anc</f>
        <v/>
      </c>
      <c r="Z64" s="19">
        <f>Z63*i_R_anc</f>
        <v/>
      </c>
      <c r="AA64" s="19">
        <f>AA63*i_R_anc</f>
        <v/>
      </c>
      <c r="AB64" s="19">
        <f>AB63*i_R_anc</f>
        <v/>
      </c>
      <c r="AC64" s="19">
        <f>AC63*i_R_anc</f>
        <v/>
      </c>
      <c r="AD64" s="19">
        <f>AD63*i_R_anc</f>
        <v/>
      </c>
      <c r="AE64" s="19">
        <f>AE63*i_R_anc</f>
        <v/>
      </c>
      <c r="AF64" s="19">
        <f>AF63*i_R_anc</f>
        <v/>
      </c>
      <c r="AG64" s="19">
        <f>AG63*i_R_anc</f>
        <v/>
      </c>
      <c r="AH64" s="19">
        <f>AH63*i_R_anc</f>
        <v/>
      </c>
      <c r="AI64" s="19">
        <f>AI63*i_R_anc</f>
        <v/>
      </c>
    </row>
    <row r="65">
      <c r="B65" s="3" t="inlineStr">
        <is>
          <t xml:space="preserve">  Revenue</t>
        </is>
      </c>
      <c r="D65" s="31">
        <f>D63+D64</f>
        <v/>
      </c>
      <c r="E65" s="31">
        <f>E63+E64</f>
        <v/>
      </c>
      <c r="F65" s="31">
        <f>F63+F64</f>
        <v/>
      </c>
      <c r="G65" s="31">
        <f>G63+G64</f>
        <v/>
      </c>
      <c r="H65" s="31">
        <f>H63+H64</f>
        <v/>
      </c>
      <c r="I65" s="31">
        <f>I63+I64</f>
        <v/>
      </c>
      <c r="J65" s="31">
        <f>J63+J64</f>
        <v/>
      </c>
      <c r="K65" s="31">
        <f>K63+K64</f>
        <v/>
      </c>
      <c r="L65" s="31">
        <f>L63+L64</f>
        <v/>
      </c>
      <c r="M65" s="31">
        <f>M63+M64</f>
        <v/>
      </c>
      <c r="N65" s="31">
        <f>N63+N64</f>
        <v/>
      </c>
      <c r="O65" s="31">
        <f>O63+O64</f>
        <v/>
      </c>
      <c r="P65" s="31">
        <f>P63+P64</f>
        <v/>
      </c>
      <c r="Q65" s="31">
        <f>Q63+Q64</f>
        <v/>
      </c>
      <c r="R65" s="31">
        <f>R63+R64</f>
        <v/>
      </c>
      <c r="S65" s="31">
        <f>S63+S64</f>
        <v/>
      </c>
      <c r="T65" s="31">
        <f>T63+T64</f>
        <v/>
      </c>
      <c r="U65" s="31">
        <f>U63+U64</f>
        <v/>
      </c>
      <c r="V65" s="31">
        <f>V63+V64</f>
        <v/>
      </c>
      <c r="W65" s="31">
        <f>W63+W64</f>
        <v/>
      </c>
      <c r="X65" s="31">
        <f>X63+X64</f>
        <v/>
      </c>
      <c r="Y65" s="31">
        <f>Y63+Y64</f>
        <v/>
      </c>
      <c r="Z65" s="31">
        <f>Z63+Z64</f>
        <v/>
      </c>
      <c r="AA65" s="31">
        <f>AA63+AA64</f>
        <v/>
      </c>
      <c r="AB65" s="31">
        <f>AB63+AB64</f>
        <v/>
      </c>
      <c r="AC65" s="31">
        <f>AC63+AC64</f>
        <v/>
      </c>
      <c r="AD65" s="31">
        <f>AD63+AD64</f>
        <v/>
      </c>
      <c r="AE65" s="31">
        <f>AE63+AE64</f>
        <v/>
      </c>
      <c r="AF65" s="31">
        <f>AF63+AF64</f>
        <v/>
      </c>
      <c r="AG65" s="31">
        <f>AG63+AG64</f>
        <v/>
      </c>
      <c r="AH65" s="31">
        <f>AH63+AH64</f>
        <v/>
      </c>
      <c r="AI65" s="31">
        <f>AI63+AI64</f>
        <v/>
      </c>
    </row>
    <row r="66">
      <c r="B66" s="2" t="inlineStr">
        <is>
          <t xml:space="preserve">  Fixed cost</t>
        </is>
      </c>
      <c r="D66" s="19">
        <f>D57*i_R_fix*D36</f>
        <v/>
      </c>
      <c r="E66" s="19">
        <f>E57*i_R_fix*E36</f>
        <v/>
      </c>
      <c r="F66" s="19">
        <f>F57*i_R_fix*F36</f>
        <v/>
      </c>
      <c r="G66" s="19">
        <f>G57*i_R_fix*G36</f>
        <v/>
      </c>
      <c r="H66" s="19">
        <f>H57*i_R_fix*H36</f>
        <v/>
      </c>
      <c r="I66" s="19">
        <f>I57*i_R_fix*I36</f>
        <v/>
      </c>
      <c r="J66" s="19">
        <f>J57*i_R_fix*J36</f>
        <v/>
      </c>
      <c r="K66" s="19">
        <f>K57*i_R_fix*K36</f>
        <v/>
      </c>
      <c r="L66" s="19">
        <f>L57*i_R_fix*L36</f>
        <v/>
      </c>
      <c r="M66" s="19">
        <f>M57*i_R_fix*M36</f>
        <v/>
      </c>
      <c r="N66" s="19">
        <f>N57*i_R_fix*N36</f>
        <v/>
      </c>
      <c r="O66" s="19">
        <f>O57*i_R_fix*O36</f>
        <v/>
      </c>
      <c r="P66" s="19">
        <f>P57*i_R_fix*P36</f>
        <v/>
      </c>
      <c r="Q66" s="19">
        <f>Q57*i_R_fix*Q36</f>
        <v/>
      </c>
      <c r="R66" s="19">
        <f>R57*i_R_fix*R36</f>
        <v/>
      </c>
      <c r="S66" s="19">
        <f>S57*i_R_fix*S36</f>
        <v/>
      </c>
      <c r="T66" s="19">
        <f>T57*i_R_fix*T36</f>
        <v/>
      </c>
      <c r="U66" s="19">
        <f>U57*i_R_fix*U36</f>
        <v/>
      </c>
      <c r="V66" s="19">
        <f>V57*i_R_fix*V36</f>
        <v/>
      </c>
      <c r="W66" s="19">
        <f>W57*i_R_fix*W36</f>
        <v/>
      </c>
      <c r="X66" s="19">
        <f>X57*i_R_fix*X36</f>
        <v/>
      </c>
      <c r="Y66" s="19">
        <f>Y57*i_R_fix*Y36</f>
        <v/>
      </c>
      <c r="Z66" s="19">
        <f>Z57*i_R_fix*Z36</f>
        <v/>
      </c>
      <c r="AA66" s="19">
        <f>AA57*i_R_fix*AA36</f>
        <v/>
      </c>
      <c r="AB66" s="19">
        <f>AB57*i_R_fix*AB36</f>
        <v/>
      </c>
      <c r="AC66" s="19">
        <f>AC57*i_R_fix*AC36</f>
        <v/>
      </c>
      <c r="AD66" s="19">
        <f>AD57*i_R_fix*AD36</f>
        <v/>
      </c>
      <c r="AE66" s="19">
        <f>AE57*i_R_fix*AE36</f>
        <v/>
      </c>
      <c r="AF66" s="19">
        <f>AF57*i_R_fix*AF36</f>
        <v/>
      </c>
      <c r="AG66" s="19">
        <f>AG57*i_R_fix*AG36</f>
        <v/>
      </c>
      <c r="AH66" s="19">
        <f>AH57*i_R_fix*AH36</f>
        <v/>
      </c>
      <c r="AI66" s="19">
        <f>AI57*i_R_fix*AI36</f>
        <v/>
      </c>
    </row>
    <row r="67">
      <c r="B67" s="2" t="inlineStr">
        <is>
          <t xml:space="preserve">  Variable cost</t>
        </is>
      </c>
      <c r="D67" s="19">
        <f>i_R_var*D65</f>
        <v/>
      </c>
      <c r="E67" s="19">
        <f>i_R_var*E65</f>
        <v/>
      </c>
      <c r="F67" s="19">
        <f>i_R_var*F65</f>
        <v/>
      </c>
      <c r="G67" s="19">
        <f>i_R_var*G65</f>
        <v/>
      </c>
      <c r="H67" s="19">
        <f>i_R_var*H65</f>
        <v/>
      </c>
      <c r="I67" s="19">
        <f>i_R_var*I65</f>
        <v/>
      </c>
      <c r="J67" s="19">
        <f>i_R_var*J65</f>
        <v/>
      </c>
      <c r="K67" s="19">
        <f>i_R_var*K65</f>
        <v/>
      </c>
      <c r="L67" s="19">
        <f>i_R_var*L65</f>
        <v/>
      </c>
      <c r="M67" s="19">
        <f>i_R_var*M65</f>
        <v/>
      </c>
      <c r="N67" s="19">
        <f>i_R_var*N65</f>
        <v/>
      </c>
      <c r="O67" s="19">
        <f>i_R_var*O65</f>
        <v/>
      </c>
      <c r="P67" s="19">
        <f>i_R_var*P65</f>
        <v/>
      </c>
      <c r="Q67" s="19">
        <f>i_R_var*Q65</f>
        <v/>
      </c>
      <c r="R67" s="19">
        <f>i_R_var*R65</f>
        <v/>
      </c>
      <c r="S67" s="19">
        <f>i_R_var*S65</f>
        <v/>
      </c>
      <c r="T67" s="19">
        <f>i_R_var*T65</f>
        <v/>
      </c>
      <c r="U67" s="19">
        <f>i_R_var*U65</f>
        <v/>
      </c>
      <c r="V67" s="19">
        <f>i_R_var*V65</f>
        <v/>
      </c>
      <c r="W67" s="19">
        <f>i_R_var*W65</f>
        <v/>
      </c>
      <c r="X67" s="19">
        <f>i_R_var*X65</f>
        <v/>
      </c>
      <c r="Y67" s="19">
        <f>i_R_var*Y65</f>
        <v/>
      </c>
      <c r="Z67" s="19">
        <f>i_R_var*Z65</f>
        <v/>
      </c>
      <c r="AA67" s="19">
        <f>i_R_var*AA65</f>
        <v/>
      </c>
      <c r="AB67" s="19">
        <f>i_R_var*AB65</f>
        <v/>
      </c>
      <c r="AC67" s="19">
        <f>i_R_var*AC65</f>
        <v/>
      </c>
      <c r="AD67" s="19">
        <f>i_R_var*AD65</f>
        <v/>
      </c>
      <c r="AE67" s="19">
        <f>i_R_var*AE65</f>
        <v/>
      </c>
      <c r="AF67" s="19">
        <f>i_R_var*AF65</f>
        <v/>
      </c>
      <c r="AG67" s="19">
        <f>i_R_var*AG65</f>
        <v/>
      </c>
      <c r="AH67" s="19">
        <f>i_R_var*AH65</f>
        <v/>
      </c>
      <c r="AI67" s="19">
        <f>i_R_var*AI65</f>
        <v/>
      </c>
    </row>
    <row r="68">
      <c r="B68" s="2" t="inlineStr">
        <is>
          <t xml:space="preserve">  Operating cost</t>
        </is>
      </c>
      <c r="D68" s="19">
        <f>D66+D67</f>
        <v/>
      </c>
      <c r="E68" s="19">
        <f>E66+E67</f>
        <v/>
      </c>
      <c r="F68" s="19">
        <f>F66+F67</f>
        <v/>
      </c>
      <c r="G68" s="19">
        <f>G66+G67</f>
        <v/>
      </c>
      <c r="H68" s="19">
        <f>H66+H67</f>
        <v/>
      </c>
      <c r="I68" s="19">
        <f>I66+I67</f>
        <v/>
      </c>
      <c r="J68" s="19">
        <f>J66+J67</f>
        <v/>
      </c>
      <c r="K68" s="19">
        <f>K66+K67</f>
        <v/>
      </c>
      <c r="L68" s="19">
        <f>L66+L67</f>
        <v/>
      </c>
      <c r="M68" s="19">
        <f>M66+M67</f>
        <v/>
      </c>
      <c r="N68" s="19">
        <f>N66+N67</f>
        <v/>
      </c>
      <c r="O68" s="19">
        <f>O66+O67</f>
        <v/>
      </c>
      <c r="P68" s="19">
        <f>P66+P67</f>
        <v/>
      </c>
      <c r="Q68" s="19">
        <f>Q66+Q67</f>
        <v/>
      </c>
      <c r="R68" s="19">
        <f>R66+R67</f>
        <v/>
      </c>
      <c r="S68" s="19">
        <f>S66+S67</f>
        <v/>
      </c>
      <c r="T68" s="19">
        <f>T66+T67</f>
        <v/>
      </c>
      <c r="U68" s="19">
        <f>U66+U67</f>
        <v/>
      </c>
      <c r="V68" s="19">
        <f>V66+V67</f>
        <v/>
      </c>
      <c r="W68" s="19">
        <f>W66+W67</f>
        <v/>
      </c>
      <c r="X68" s="19">
        <f>X66+X67</f>
        <v/>
      </c>
      <c r="Y68" s="19">
        <f>Y66+Y67</f>
        <v/>
      </c>
      <c r="Z68" s="19">
        <f>Z66+Z67</f>
        <v/>
      </c>
      <c r="AA68" s="19">
        <f>AA66+AA67</f>
        <v/>
      </c>
      <c r="AB68" s="19">
        <f>AB66+AB67</f>
        <v/>
      </c>
      <c r="AC68" s="19">
        <f>AC66+AC67</f>
        <v/>
      </c>
      <c r="AD68" s="19">
        <f>AD66+AD67</f>
        <v/>
      </c>
      <c r="AE68" s="19">
        <f>AE66+AE67</f>
        <v/>
      </c>
      <c r="AF68" s="19">
        <f>AF66+AF67</f>
        <v/>
      </c>
      <c r="AG68" s="19">
        <f>AG66+AG67</f>
        <v/>
      </c>
      <c r="AH68" s="19">
        <f>AH66+AH67</f>
        <v/>
      </c>
      <c r="AI68" s="19">
        <f>AI66+AI67</f>
        <v/>
      </c>
    </row>
    <row r="69">
      <c r="B69" s="3" t="inlineStr">
        <is>
          <t xml:space="preserve">  EBITDA</t>
        </is>
      </c>
      <c r="D69" s="31">
        <f>D65-D68</f>
        <v/>
      </c>
      <c r="E69" s="31">
        <f>E65-E68</f>
        <v/>
      </c>
      <c r="F69" s="31">
        <f>F65-F68</f>
        <v/>
      </c>
      <c r="G69" s="31">
        <f>G65-G68</f>
        <v/>
      </c>
      <c r="H69" s="31">
        <f>H65-H68</f>
        <v/>
      </c>
      <c r="I69" s="31">
        <f>I65-I68</f>
        <v/>
      </c>
      <c r="J69" s="31">
        <f>J65-J68</f>
        <v/>
      </c>
      <c r="K69" s="31">
        <f>K65-K68</f>
        <v/>
      </c>
      <c r="L69" s="31">
        <f>L65-L68</f>
        <v/>
      </c>
      <c r="M69" s="31">
        <f>M65-M68</f>
        <v/>
      </c>
      <c r="N69" s="31">
        <f>N65-N68</f>
        <v/>
      </c>
      <c r="O69" s="31">
        <f>O65-O68</f>
        <v/>
      </c>
      <c r="P69" s="31">
        <f>P65-P68</f>
        <v/>
      </c>
      <c r="Q69" s="31">
        <f>Q65-Q68</f>
        <v/>
      </c>
      <c r="R69" s="31">
        <f>R65-R68</f>
        <v/>
      </c>
      <c r="S69" s="31">
        <f>S65-S68</f>
        <v/>
      </c>
      <c r="T69" s="31">
        <f>T65-T68</f>
        <v/>
      </c>
      <c r="U69" s="31">
        <f>U65-U68</f>
        <v/>
      </c>
      <c r="V69" s="31">
        <f>V65-V68</f>
        <v/>
      </c>
      <c r="W69" s="31">
        <f>W65-W68</f>
        <v/>
      </c>
      <c r="X69" s="31">
        <f>X65-X68</f>
        <v/>
      </c>
      <c r="Y69" s="31">
        <f>Y65-Y68</f>
        <v/>
      </c>
      <c r="Z69" s="31">
        <f>Z65-Z68</f>
        <v/>
      </c>
      <c r="AA69" s="31">
        <f>AA65-AA68</f>
        <v/>
      </c>
      <c r="AB69" s="31">
        <f>AB65-AB68</f>
        <v/>
      </c>
      <c r="AC69" s="31">
        <f>AC65-AC68</f>
        <v/>
      </c>
      <c r="AD69" s="31">
        <f>AD65-AD68</f>
        <v/>
      </c>
      <c r="AE69" s="31">
        <f>AE65-AE68</f>
        <v/>
      </c>
      <c r="AF69" s="31">
        <f>AF65-AF68</f>
        <v/>
      </c>
      <c r="AG69" s="31">
        <f>AG65-AG68</f>
        <v/>
      </c>
      <c r="AH69" s="31">
        <f>AH65-AH68</f>
        <v/>
      </c>
      <c r="AI69" s="31">
        <f>AI65-AI68</f>
        <v/>
      </c>
    </row>
    <row r="70">
      <c r="B70" s="2" t="inlineStr">
        <is>
          <t xml:space="preserve">  Maintenance capex</t>
        </is>
      </c>
      <c r="D70" s="19">
        <f>D57*i_R_mc*D36</f>
        <v/>
      </c>
      <c r="E70" s="19">
        <f>E57*i_R_mc*E36</f>
        <v/>
      </c>
      <c r="F70" s="19">
        <f>F57*i_R_mc*F36</f>
        <v/>
      </c>
      <c r="G70" s="19">
        <f>G57*i_R_mc*G36</f>
        <v/>
      </c>
      <c r="H70" s="19">
        <f>H57*i_R_mc*H36</f>
        <v/>
      </c>
      <c r="I70" s="19">
        <f>I57*i_R_mc*I36</f>
        <v/>
      </c>
      <c r="J70" s="19">
        <f>J57*i_R_mc*J36</f>
        <v/>
      </c>
      <c r="K70" s="19">
        <f>K57*i_R_mc*K36</f>
        <v/>
      </c>
      <c r="L70" s="19">
        <f>L57*i_R_mc*L36</f>
        <v/>
      </c>
      <c r="M70" s="19">
        <f>M57*i_R_mc*M36</f>
        <v/>
      </c>
      <c r="N70" s="19">
        <f>N57*i_R_mc*N36</f>
        <v/>
      </c>
      <c r="O70" s="19">
        <f>O57*i_R_mc*O36</f>
        <v/>
      </c>
      <c r="P70" s="19">
        <f>P57*i_R_mc*P36</f>
        <v/>
      </c>
      <c r="Q70" s="19">
        <f>Q57*i_R_mc*Q36</f>
        <v/>
      </c>
      <c r="R70" s="19">
        <f>R57*i_R_mc*R36</f>
        <v/>
      </c>
      <c r="S70" s="19">
        <f>S57*i_R_mc*S36</f>
        <v/>
      </c>
      <c r="T70" s="19">
        <f>T57*i_R_mc*T36</f>
        <v/>
      </c>
      <c r="U70" s="19">
        <f>U57*i_R_mc*U36</f>
        <v/>
      </c>
      <c r="V70" s="19">
        <f>V57*i_R_mc*V36</f>
        <v/>
      </c>
      <c r="W70" s="19">
        <f>W57*i_R_mc*W36</f>
        <v/>
      </c>
      <c r="X70" s="19">
        <f>X57*i_R_mc*X36</f>
        <v/>
      </c>
      <c r="Y70" s="19">
        <f>Y57*i_R_mc*Y36</f>
        <v/>
      </c>
      <c r="Z70" s="19">
        <f>Z57*i_R_mc*Z36</f>
        <v/>
      </c>
      <c r="AA70" s="19">
        <f>AA57*i_R_mc*AA36</f>
        <v/>
      </c>
      <c r="AB70" s="19">
        <f>AB57*i_R_mc*AB36</f>
        <v/>
      </c>
      <c r="AC70" s="19">
        <f>AC57*i_R_mc*AC36</f>
        <v/>
      </c>
      <c r="AD70" s="19">
        <f>AD57*i_R_mc*AD36</f>
        <v/>
      </c>
      <c r="AE70" s="19">
        <f>AE57*i_R_mc*AE36</f>
        <v/>
      </c>
      <c r="AF70" s="19">
        <f>AF57*i_R_mc*AF36</f>
        <v/>
      </c>
      <c r="AG70" s="19">
        <f>AG57*i_R_mc*AG36</f>
        <v/>
      </c>
      <c r="AH70" s="19">
        <f>AH57*i_R_mc*AH36</f>
        <v/>
      </c>
      <c r="AI70" s="19">
        <f>AI57*i_R_mc*AI36</f>
        <v/>
      </c>
    </row>
    <row r="71">
      <c r="B71" s="3" t="inlineStr">
        <is>
          <t>Thamesbridge</t>
        </is>
      </c>
    </row>
    <row r="72">
      <c r="B72" s="2" t="inlineStr">
        <is>
          <t xml:space="preserve">  Capacity in service (million m3)</t>
        </is>
      </c>
      <c r="D72" s="24">
        <f>i_T_cap</f>
        <v/>
      </c>
      <c r="E72" s="24">
        <f>i_T_cap</f>
        <v/>
      </c>
      <c r="F72" s="24">
        <f>i_T_cap</f>
        <v/>
      </c>
      <c r="G72" s="24">
        <f>i_T_cap</f>
        <v/>
      </c>
      <c r="H72" s="24">
        <f>i_T_cap</f>
        <v/>
      </c>
      <c r="I72" s="24">
        <f>i_T_cap</f>
        <v/>
      </c>
      <c r="J72" s="24">
        <f>i_T_cap</f>
        <v/>
      </c>
      <c r="K72" s="24">
        <f>i_T_cap</f>
        <v/>
      </c>
      <c r="L72" s="24">
        <f>i_T_cap</f>
        <v/>
      </c>
      <c r="M72" s="24">
        <f>i_T_cap</f>
        <v/>
      </c>
      <c r="N72" s="24">
        <f>i_T_cap</f>
        <v/>
      </c>
      <c r="O72" s="24">
        <f>i_T_cap</f>
        <v/>
      </c>
      <c r="P72" s="24">
        <f>i_T_cap</f>
        <v/>
      </c>
      <c r="Q72" s="24">
        <f>i_T_cap</f>
        <v/>
      </c>
      <c r="R72" s="24">
        <f>i_T_cap</f>
        <v/>
      </c>
      <c r="S72" s="24">
        <f>i_T_cap</f>
        <v/>
      </c>
      <c r="T72" s="24">
        <f>i_T_cap</f>
        <v/>
      </c>
      <c r="U72" s="24">
        <f>i_T_cap</f>
        <v/>
      </c>
      <c r="V72" s="24">
        <f>i_T_cap</f>
        <v/>
      </c>
      <c r="W72" s="24">
        <f>i_T_cap</f>
        <v/>
      </c>
      <c r="X72" s="24">
        <f>i_T_cap</f>
        <v/>
      </c>
      <c r="Y72" s="24">
        <f>i_T_cap</f>
        <v/>
      </c>
      <c r="Z72" s="24">
        <f>i_T_cap</f>
        <v/>
      </c>
      <c r="AA72" s="24">
        <f>i_T_cap</f>
        <v/>
      </c>
      <c r="AB72" s="24">
        <f>i_T_cap</f>
        <v/>
      </c>
      <c r="AC72" s="24">
        <f>i_T_cap</f>
        <v/>
      </c>
      <c r="AD72" s="24">
        <f>i_T_cap</f>
        <v/>
      </c>
      <c r="AE72" s="24">
        <f>i_T_cap</f>
        <v/>
      </c>
      <c r="AF72" s="24">
        <f>i_T_cap</f>
        <v/>
      </c>
      <c r="AG72" s="24">
        <f>i_T_cap</f>
        <v/>
      </c>
      <c r="AH72" s="24">
        <f>i_T_cap</f>
        <v/>
      </c>
      <c r="AI72" s="24">
        <f>i_T_cap</f>
        <v/>
      </c>
    </row>
    <row r="73">
      <c r="B73" s="2" t="inlineStr">
        <is>
          <t xml:space="preserve">  Share on contracts signed before 2027</t>
        </is>
      </c>
      <c r="D73" s="21">
        <f>SUMIF(i_book_years,D$3,i_T_book)</f>
        <v/>
      </c>
      <c r="E73" s="21">
        <f>SUMIF(i_book_years,E$3,i_T_book)</f>
        <v/>
      </c>
      <c r="F73" s="21">
        <f>SUMIF(i_book_years,F$3,i_T_book)</f>
        <v/>
      </c>
      <c r="G73" s="21">
        <f>SUMIF(i_book_years,G$3,i_T_book)</f>
        <v/>
      </c>
      <c r="H73" s="21">
        <f>SUMIF(i_book_years,H$3,i_T_book)</f>
        <v/>
      </c>
      <c r="I73" s="21">
        <f>SUMIF(i_book_years,I$3,i_T_book)</f>
        <v/>
      </c>
      <c r="J73" s="21">
        <f>SUMIF(i_book_years,J$3,i_T_book)</f>
        <v/>
      </c>
      <c r="K73" s="21">
        <f>SUMIF(i_book_years,K$3,i_T_book)</f>
        <v/>
      </c>
      <c r="L73" s="21">
        <f>SUMIF(i_book_years,L$3,i_T_book)</f>
        <v/>
      </c>
      <c r="M73" s="21">
        <f>SUMIF(i_book_years,M$3,i_T_book)</f>
        <v/>
      </c>
      <c r="N73" s="21">
        <f>SUMIF(i_book_years,N$3,i_T_book)</f>
        <v/>
      </c>
      <c r="O73" s="21">
        <f>SUMIF(i_book_years,O$3,i_T_book)</f>
        <v/>
      </c>
      <c r="P73" s="21">
        <f>SUMIF(i_book_years,P$3,i_T_book)</f>
        <v/>
      </c>
      <c r="Q73" s="21">
        <f>SUMIF(i_book_years,Q$3,i_T_book)</f>
        <v/>
      </c>
      <c r="R73" s="21">
        <f>SUMIF(i_book_years,R$3,i_T_book)</f>
        <v/>
      </c>
      <c r="S73" s="21">
        <f>SUMIF(i_book_years,S$3,i_T_book)</f>
        <v/>
      </c>
      <c r="T73" s="21">
        <f>SUMIF(i_book_years,T$3,i_T_book)</f>
        <v/>
      </c>
      <c r="U73" s="21">
        <f>SUMIF(i_book_years,U$3,i_T_book)</f>
        <v/>
      </c>
      <c r="V73" s="21">
        <f>SUMIF(i_book_years,V$3,i_T_book)</f>
        <v/>
      </c>
      <c r="W73" s="21">
        <f>SUMIF(i_book_years,W$3,i_T_book)</f>
        <v/>
      </c>
      <c r="X73" s="21">
        <f>SUMIF(i_book_years,X$3,i_T_book)</f>
        <v/>
      </c>
      <c r="Y73" s="21">
        <f>SUMIF(i_book_years,Y$3,i_T_book)</f>
        <v/>
      </c>
      <c r="Z73" s="21">
        <f>SUMIF(i_book_years,Z$3,i_T_book)</f>
        <v/>
      </c>
      <c r="AA73" s="21">
        <f>SUMIF(i_book_years,AA$3,i_T_book)</f>
        <v/>
      </c>
      <c r="AB73" s="21">
        <f>SUMIF(i_book_years,AB$3,i_T_book)</f>
        <v/>
      </c>
      <c r="AC73" s="21">
        <f>SUMIF(i_book_years,AC$3,i_T_book)</f>
        <v/>
      </c>
      <c r="AD73" s="21">
        <f>SUMIF(i_book_years,AD$3,i_T_book)</f>
        <v/>
      </c>
      <c r="AE73" s="21">
        <f>SUMIF(i_book_years,AE$3,i_T_book)</f>
        <v/>
      </c>
      <c r="AF73" s="21">
        <f>SUMIF(i_book_years,AF$3,i_T_book)</f>
        <v/>
      </c>
      <c r="AG73" s="21">
        <f>SUMIF(i_book_years,AG$3,i_T_book)</f>
        <v/>
      </c>
      <c r="AH73" s="21">
        <f>SUMIF(i_book_years,AH$3,i_T_book)</f>
        <v/>
      </c>
      <c r="AI73" s="21">
        <f>SUMIF(i_book_years,AI$3,i_T_book)</f>
        <v/>
      </c>
    </row>
    <row r="74">
      <c r="B74" s="2" t="inlineStr">
        <is>
          <t xml:space="preserve">  Recontracting factor against current rates</t>
        </is>
      </c>
      <c r="D74" s="21">
        <f>IF(D$4=0,0,IF(Platform!$C$26=1,i_T_mtm,i_T_mtm_plan)+Platform!$C$32)</f>
        <v/>
      </c>
      <c r="E74" s="21">
        <f>IF(E$4=0,0,IF(Platform!$C$26=1,i_T_mtm,i_T_mtm_plan)+Platform!$C$32)</f>
        <v/>
      </c>
      <c r="F74" s="21">
        <f>IF(F$4=0,0,IF(Platform!$C$26=1,i_T_mtm,i_T_mtm_plan)+Platform!$C$32)</f>
        <v/>
      </c>
      <c r="G74" s="21">
        <f>IF(G$4=0,0,IF(Platform!$C$26=1,i_T_mtm,i_T_mtm_plan)+Platform!$C$32)</f>
        <v/>
      </c>
      <c r="H74" s="21">
        <f>IF(H$4=0,0,IF(Platform!$C$26=1,i_T_mtm,i_T_mtm_plan)+Platform!$C$32)</f>
        <v/>
      </c>
      <c r="I74" s="21">
        <f>IF(I$4=0,0,IF(Platform!$C$26=1,i_T_mtm,i_T_mtm_plan)+Platform!$C$32)</f>
        <v/>
      </c>
      <c r="J74" s="21">
        <f>IF(J$4=0,0,IF(Platform!$C$26=1,i_T_mtm,i_T_mtm_plan)+Platform!$C$32)</f>
        <v/>
      </c>
      <c r="K74" s="21">
        <f>IF(K$4=0,0,IF(Platform!$C$26=1,i_T_mtm,i_T_mtm_plan)+Platform!$C$32)</f>
        <v/>
      </c>
      <c r="L74" s="21">
        <f>IF(L$4=0,0,IF(Platform!$C$26=1,i_T_mtm,i_T_mtm_plan)+Platform!$C$32)</f>
        <v/>
      </c>
      <c r="M74" s="21">
        <f>IF(M$4=0,0,IF(Platform!$C$26=1,i_T_mtm,i_T_mtm_plan)+Platform!$C$32)</f>
        <v/>
      </c>
      <c r="N74" s="21">
        <f>IF(N$4=0,0,IF(Platform!$C$26=1,i_T_mtm,i_T_mtm_plan)+Platform!$C$32)</f>
        <v/>
      </c>
      <c r="O74" s="21">
        <f>IF(O$4=0,0,IF(Platform!$C$26=1,i_T_mtm,i_T_mtm_plan)+Platform!$C$32)</f>
        <v/>
      </c>
      <c r="P74" s="21">
        <f>IF(P$4=0,0,IF(Platform!$C$26=1,i_T_mtm,i_T_mtm_plan)+Platform!$C$32)</f>
        <v/>
      </c>
      <c r="Q74" s="21">
        <f>IF(Q$4=0,0,IF(Platform!$C$26=1,i_T_mtm,i_T_mtm_plan)+Platform!$C$32)</f>
        <v/>
      </c>
      <c r="R74" s="21">
        <f>IF(R$4=0,0,IF(Platform!$C$26=1,i_T_mtm,i_T_mtm_plan)+Platform!$C$32)</f>
        <v/>
      </c>
      <c r="S74" s="21">
        <f>IF(S$4=0,0,IF(Platform!$C$26=1,i_T_mtm,i_T_mtm_plan)+Platform!$C$32)</f>
        <v/>
      </c>
      <c r="T74" s="21">
        <f>IF(T$4=0,0,IF(Platform!$C$26=1,i_T_mtm,i_T_mtm_plan)+Platform!$C$32)</f>
        <v/>
      </c>
      <c r="U74" s="21">
        <f>IF(U$4=0,0,IF(Platform!$C$26=1,i_T_mtm,i_T_mtm_plan)+Platform!$C$32)</f>
        <v/>
      </c>
      <c r="V74" s="21">
        <f>IF(V$4=0,0,IF(Platform!$C$26=1,i_T_mtm,i_T_mtm_plan)+Platform!$C$32)</f>
        <v/>
      </c>
      <c r="W74" s="21">
        <f>IF(W$4=0,0,IF(Platform!$C$26=1,i_T_mtm,i_T_mtm_plan)+Platform!$C$32)</f>
        <v/>
      </c>
      <c r="X74" s="21">
        <f>IF(X$4=0,0,IF(Platform!$C$26=1,i_T_mtm,i_T_mtm_plan)+Platform!$C$32)</f>
        <v/>
      </c>
      <c r="Y74" s="21">
        <f>IF(Y$4=0,0,IF(Platform!$C$26=1,i_T_mtm,i_T_mtm_plan)+Platform!$C$32)</f>
        <v/>
      </c>
      <c r="Z74" s="21">
        <f>IF(Z$4=0,0,IF(Platform!$C$26=1,i_T_mtm,i_T_mtm_plan)+Platform!$C$32)</f>
        <v/>
      </c>
      <c r="AA74" s="21">
        <f>IF(AA$4=0,0,IF(Platform!$C$26=1,i_T_mtm,i_T_mtm_plan)+Platform!$C$32)</f>
        <v/>
      </c>
      <c r="AB74" s="21">
        <f>IF(AB$4=0,0,IF(Platform!$C$26=1,i_T_mtm,i_T_mtm_plan)+Platform!$C$32)</f>
        <v/>
      </c>
      <c r="AC74" s="21">
        <f>IF(AC$4=0,0,IF(Platform!$C$26=1,i_T_mtm,i_T_mtm_plan)+Platform!$C$32)</f>
        <v/>
      </c>
      <c r="AD74" s="21">
        <f>IF(AD$4=0,0,IF(Platform!$C$26=1,i_T_mtm,i_T_mtm_plan)+Platform!$C$32)</f>
        <v/>
      </c>
      <c r="AE74" s="21">
        <f>IF(AE$4=0,0,IF(Platform!$C$26=1,i_T_mtm,i_T_mtm_plan)+Platform!$C$32)</f>
        <v/>
      </c>
      <c r="AF74" s="21">
        <f>IF(AF$4=0,0,IF(Platform!$C$26=1,i_T_mtm,i_T_mtm_plan)+Platform!$C$32)</f>
        <v/>
      </c>
      <c r="AG74" s="21">
        <f>IF(AG$4=0,0,IF(Platform!$C$26=1,i_T_mtm,i_T_mtm_plan)+Platform!$C$32)</f>
        <v/>
      </c>
      <c r="AH74" s="21">
        <f>IF(AH$4=0,0,IF(Platform!$C$26=1,i_T_mtm,i_T_mtm_plan)+Platform!$C$32)</f>
        <v/>
      </c>
      <c r="AI74" s="21">
        <f>IF(AI$4=0,0,IF(Platform!$C$26=1,i_T_mtm,i_T_mtm_plan)+Platform!$C$32)</f>
        <v/>
      </c>
    </row>
    <row r="75">
      <c r="B75" s="2" t="inlineStr">
        <is>
          <t xml:space="preserve">  Average rate ($ per m3 per month)</t>
        </is>
      </c>
      <c r="D75" s="24">
        <f>i_T_rate*D37*(D73+(1-D73)*(1+D74))</f>
        <v/>
      </c>
      <c r="E75" s="24">
        <f>i_T_rate*E37*(E73+(1-E73)*(1+E74))</f>
        <v/>
      </c>
      <c r="F75" s="24">
        <f>i_T_rate*F37*(F73+(1-F73)*(1+F74))</f>
        <v/>
      </c>
      <c r="G75" s="24">
        <f>i_T_rate*G37*(G73+(1-G73)*(1+G74))</f>
        <v/>
      </c>
      <c r="H75" s="24">
        <f>i_T_rate*H37*(H73+(1-H73)*(1+H74))</f>
        <v/>
      </c>
      <c r="I75" s="24">
        <f>i_T_rate*I37*(I73+(1-I73)*(1+I74))</f>
        <v/>
      </c>
      <c r="J75" s="24">
        <f>i_T_rate*J37*(J73+(1-J73)*(1+J74))</f>
        <v/>
      </c>
      <c r="K75" s="24">
        <f>i_T_rate*K37*(K73+(1-K73)*(1+K74))</f>
        <v/>
      </c>
      <c r="L75" s="24">
        <f>i_T_rate*L37*(L73+(1-L73)*(1+L74))</f>
        <v/>
      </c>
      <c r="M75" s="24">
        <f>i_T_rate*M37*(M73+(1-M73)*(1+M74))</f>
        <v/>
      </c>
      <c r="N75" s="24">
        <f>i_T_rate*N37*(N73+(1-N73)*(1+N74))</f>
        <v/>
      </c>
      <c r="O75" s="24">
        <f>i_T_rate*O37*(O73+(1-O73)*(1+O74))</f>
        <v/>
      </c>
      <c r="P75" s="24">
        <f>i_T_rate*P37*(P73+(1-P73)*(1+P74))</f>
        <v/>
      </c>
      <c r="Q75" s="24">
        <f>i_T_rate*Q37*(Q73+(1-Q73)*(1+Q74))</f>
        <v/>
      </c>
      <c r="R75" s="24">
        <f>i_T_rate*R37*(R73+(1-R73)*(1+R74))</f>
        <v/>
      </c>
      <c r="S75" s="24">
        <f>i_T_rate*S37*(S73+(1-S73)*(1+S74))</f>
        <v/>
      </c>
      <c r="T75" s="24">
        <f>i_T_rate*T37*(T73+(1-T73)*(1+T74))</f>
        <v/>
      </c>
      <c r="U75" s="24">
        <f>i_T_rate*U37*(U73+(1-U73)*(1+U74))</f>
        <v/>
      </c>
      <c r="V75" s="24">
        <f>i_T_rate*V37*(V73+(1-V73)*(1+V74))</f>
        <v/>
      </c>
      <c r="W75" s="24">
        <f>i_T_rate*W37*(W73+(1-W73)*(1+W74))</f>
        <v/>
      </c>
      <c r="X75" s="24">
        <f>i_T_rate*X37*(X73+(1-X73)*(1+X74))</f>
        <v/>
      </c>
      <c r="Y75" s="24">
        <f>i_T_rate*Y37*(Y73+(1-Y73)*(1+Y74))</f>
        <v/>
      </c>
      <c r="Z75" s="24">
        <f>i_T_rate*Z37*(Z73+(1-Z73)*(1+Z74))</f>
        <v/>
      </c>
      <c r="AA75" s="24">
        <f>i_T_rate*AA37*(AA73+(1-AA73)*(1+AA74))</f>
        <v/>
      </c>
      <c r="AB75" s="24">
        <f>i_T_rate*AB37*(AB73+(1-AB73)*(1+AB74))</f>
        <v/>
      </c>
      <c r="AC75" s="24">
        <f>i_T_rate*AC37*(AC73+(1-AC73)*(1+AC74))</f>
        <v/>
      </c>
      <c r="AD75" s="24">
        <f>i_T_rate*AD37*(AD73+(1-AD73)*(1+AD74))</f>
        <v/>
      </c>
      <c r="AE75" s="24">
        <f>i_T_rate*AE37*(AE73+(1-AE73)*(1+AE74))</f>
        <v/>
      </c>
      <c r="AF75" s="24">
        <f>i_T_rate*AF37*(AF73+(1-AF73)*(1+AF74))</f>
        <v/>
      </c>
      <c r="AG75" s="24">
        <f>i_T_rate*AG37*(AG73+(1-AG73)*(1+AG74))</f>
        <v/>
      </c>
      <c r="AH75" s="24">
        <f>i_T_rate*AH37*(AH73+(1-AH73)*(1+AH74))</f>
        <v/>
      </c>
      <c r="AI75" s="24">
        <f>i_T_rate*AI37*(AI73+(1-AI73)*(1+AI74))</f>
        <v/>
      </c>
    </row>
    <row r="76">
      <c r="B76" s="2" t="inlineStr">
        <is>
          <t xml:space="preserve">  Occupancy after the transition decline and floor</t>
        </is>
      </c>
      <c r="D76" s="21">
        <f>IF(D$3&gt;i_trans_start,MAX(i_T_floor,i_T_occ-i_T_dec*(D$3-i_trans_start)),i_T_occ)</f>
        <v/>
      </c>
      <c r="E76" s="21">
        <f>IF(E$3&gt;i_trans_start,MAX(i_T_floor,i_T_occ-i_T_dec*(E$3-i_trans_start)),i_T_occ)</f>
        <v/>
      </c>
      <c r="F76" s="21">
        <f>IF(F$3&gt;i_trans_start,MAX(i_T_floor,i_T_occ-i_T_dec*(F$3-i_trans_start)),i_T_occ)</f>
        <v/>
      </c>
      <c r="G76" s="21">
        <f>IF(G$3&gt;i_trans_start,MAX(i_T_floor,i_T_occ-i_T_dec*(G$3-i_trans_start)),i_T_occ)</f>
        <v/>
      </c>
      <c r="H76" s="21">
        <f>IF(H$3&gt;i_trans_start,MAX(i_T_floor,i_T_occ-i_T_dec*(H$3-i_trans_start)),i_T_occ)</f>
        <v/>
      </c>
      <c r="I76" s="21">
        <f>IF(I$3&gt;i_trans_start,MAX(i_T_floor,i_T_occ-i_T_dec*(I$3-i_trans_start)),i_T_occ)</f>
        <v/>
      </c>
      <c r="J76" s="21">
        <f>IF(J$3&gt;i_trans_start,MAX(i_T_floor,i_T_occ-i_T_dec*(J$3-i_trans_start)),i_T_occ)</f>
        <v/>
      </c>
      <c r="K76" s="21">
        <f>IF(K$3&gt;i_trans_start,MAX(i_T_floor,i_T_occ-i_T_dec*(K$3-i_trans_start)),i_T_occ)</f>
        <v/>
      </c>
      <c r="L76" s="21">
        <f>IF(L$3&gt;i_trans_start,MAX(i_T_floor,i_T_occ-i_T_dec*(L$3-i_trans_start)),i_T_occ)</f>
        <v/>
      </c>
      <c r="M76" s="21">
        <f>IF(M$3&gt;i_trans_start,MAX(i_T_floor,i_T_occ-i_T_dec*(M$3-i_trans_start)),i_T_occ)</f>
        <v/>
      </c>
      <c r="N76" s="21">
        <f>IF(N$3&gt;i_trans_start,MAX(i_T_floor,i_T_occ-i_T_dec*(N$3-i_trans_start)),i_T_occ)</f>
        <v/>
      </c>
      <c r="O76" s="21">
        <f>IF(O$3&gt;i_trans_start,MAX(i_T_floor,i_T_occ-i_T_dec*(O$3-i_trans_start)),i_T_occ)</f>
        <v/>
      </c>
      <c r="P76" s="21">
        <f>IF(P$3&gt;i_trans_start,MAX(i_T_floor,i_T_occ-i_T_dec*(P$3-i_trans_start)),i_T_occ)</f>
        <v/>
      </c>
      <c r="Q76" s="21">
        <f>IF(Q$3&gt;i_trans_start,MAX(i_T_floor,i_T_occ-i_T_dec*(Q$3-i_trans_start)),i_T_occ)</f>
        <v/>
      </c>
      <c r="R76" s="21">
        <f>IF(R$3&gt;i_trans_start,MAX(i_T_floor,i_T_occ-i_T_dec*(R$3-i_trans_start)),i_T_occ)</f>
        <v/>
      </c>
      <c r="S76" s="21">
        <f>IF(S$3&gt;i_trans_start,MAX(i_T_floor,i_T_occ-i_T_dec*(S$3-i_trans_start)),i_T_occ)</f>
        <v/>
      </c>
      <c r="T76" s="21">
        <f>IF(T$3&gt;i_trans_start,MAX(i_T_floor,i_T_occ-i_T_dec*(T$3-i_trans_start)),i_T_occ)</f>
        <v/>
      </c>
      <c r="U76" s="21">
        <f>IF(U$3&gt;i_trans_start,MAX(i_T_floor,i_T_occ-i_T_dec*(U$3-i_trans_start)),i_T_occ)</f>
        <v/>
      </c>
      <c r="V76" s="21">
        <f>IF(V$3&gt;i_trans_start,MAX(i_T_floor,i_T_occ-i_T_dec*(V$3-i_trans_start)),i_T_occ)</f>
        <v/>
      </c>
      <c r="W76" s="21">
        <f>IF(W$3&gt;i_trans_start,MAX(i_T_floor,i_T_occ-i_T_dec*(W$3-i_trans_start)),i_T_occ)</f>
        <v/>
      </c>
      <c r="X76" s="21">
        <f>IF(X$3&gt;i_trans_start,MAX(i_T_floor,i_T_occ-i_T_dec*(X$3-i_trans_start)),i_T_occ)</f>
        <v/>
      </c>
      <c r="Y76" s="21">
        <f>IF(Y$3&gt;i_trans_start,MAX(i_T_floor,i_T_occ-i_T_dec*(Y$3-i_trans_start)),i_T_occ)</f>
        <v/>
      </c>
      <c r="Z76" s="21">
        <f>IF(Z$3&gt;i_trans_start,MAX(i_T_floor,i_T_occ-i_T_dec*(Z$3-i_trans_start)),i_T_occ)</f>
        <v/>
      </c>
      <c r="AA76" s="21">
        <f>IF(AA$3&gt;i_trans_start,MAX(i_T_floor,i_T_occ-i_T_dec*(AA$3-i_trans_start)),i_T_occ)</f>
        <v/>
      </c>
      <c r="AB76" s="21">
        <f>IF(AB$3&gt;i_trans_start,MAX(i_T_floor,i_T_occ-i_T_dec*(AB$3-i_trans_start)),i_T_occ)</f>
        <v/>
      </c>
      <c r="AC76" s="21">
        <f>IF(AC$3&gt;i_trans_start,MAX(i_T_floor,i_T_occ-i_T_dec*(AC$3-i_trans_start)),i_T_occ)</f>
        <v/>
      </c>
      <c r="AD76" s="21">
        <f>IF(AD$3&gt;i_trans_start,MAX(i_T_floor,i_T_occ-i_T_dec*(AD$3-i_trans_start)),i_T_occ)</f>
        <v/>
      </c>
      <c r="AE76" s="21">
        <f>IF(AE$3&gt;i_trans_start,MAX(i_T_floor,i_T_occ-i_T_dec*(AE$3-i_trans_start)),i_T_occ)</f>
        <v/>
      </c>
      <c r="AF76" s="21">
        <f>IF(AF$3&gt;i_trans_start,MAX(i_T_floor,i_T_occ-i_T_dec*(AF$3-i_trans_start)),i_T_occ)</f>
        <v/>
      </c>
      <c r="AG76" s="21">
        <f>IF(AG$3&gt;i_trans_start,MAX(i_T_floor,i_T_occ-i_T_dec*(AG$3-i_trans_start)),i_T_occ)</f>
        <v/>
      </c>
      <c r="AH76" s="21">
        <f>IF(AH$3&gt;i_trans_start,MAX(i_T_floor,i_T_occ-i_T_dec*(AH$3-i_trans_start)),i_T_occ)</f>
        <v/>
      </c>
      <c r="AI76" s="21">
        <f>IF(AI$3&gt;i_trans_start,MAX(i_T_floor,i_T_occ-i_T_dec*(AI$3-i_trans_start)),i_T_occ)</f>
        <v/>
      </c>
    </row>
    <row r="77">
      <c r="B77" s="2" t="inlineStr">
        <is>
          <t xml:space="preserve">  Occupancy (with the shift switch from 2027)</t>
        </is>
      </c>
      <c r="D77" s="21">
        <f>IF(D$4&gt;0,MIN(1,D76+Platform!$C$31),D76)</f>
        <v/>
      </c>
      <c r="E77" s="21">
        <f>IF(E$4&gt;0,MIN(1,E76+Platform!$C$31),E76)</f>
        <v/>
      </c>
      <c r="F77" s="21">
        <f>IF(F$4&gt;0,MIN(1,F76+Platform!$C$31),F76)</f>
        <v/>
      </c>
      <c r="G77" s="21">
        <f>IF(G$4&gt;0,MIN(1,G76+Platform!$C$31),G76)</f>
        <v/>
      </c>
      <c r="H77" s="21">
        <f>IF(H$4&gt;0,MIN(1,H76+Platform!$C$31),H76)</f>
        <v/>
      </c>
      <c r="I77" s="21">
        <f>IF(I$4&gt;0,MIN(1,I76+Platform!$C$31),I76)</f>
        <v/>
      </c>
      <c r="J77" s="21">
        <f>IF(J$4&gt;0,MIN(1,J76+Platform!$C$31),J76)</f>
        <v/>
      </c>
      <c r="K77" s="21">
        <f>IF(K$4&gt;0,MIN(1,K76+Platform!$C$31),K76)</f>
        <v/>
      </c>
      <c r="L77" s="21">
        <f>IF(L$4&gt;0,MIN(1,L76+Platform!$C$31),L76)</f>
        <v/>
      </c>
      <c r="M77" s="21">
        <f>IF(M$4&gt;0,MIN(1,M76+Platform!$C$31),M76)</f>
        <v/>
      </c>
      <c r="N77" s="21">
        <f>IF(N$4&gt;0,MIN(1,N76+Platform!$C$31),N76)</f>
        <v/>
      </c>
      <c r="O77" s="21">
        <f>IF(O$4&gt;0,MIN(1,O76+Platform!$C$31),O76)</f>
        <v/>
      </c>
      <c r="P77" s="21">
        <f>IF(P$4&gt;0,MIN(1,P76+Platform!$C$31),P76)</f>
        <v/>
      </c>
      <c r="Q77" s="21">
        <f>IF(Q$4&gt;0,MIN(1,Q76+Platform!$C$31),Q76)</f>
        <v/>
      </c>
      <c r="R77" s="21">
        <f>IF(R$4&gt;0,MIN(1,R76+Platform!$C$31),R76)</f>
        <v/>
      </c>
      <c r="S77" s="21">
        <f>IF(S$4&gt;0,MIN(1,S76+Platform!$C$31),S76)</f>
        <v/>
      </c>
      <c r="T77" s="21">
        <f>IF(T$4&gt;0,MIN(1,T76+Platform!$C$31),T76)</f>
        <v/>
      </c>
      <c r="U77" s="21">
        <f>IF(U$4&gt;0,MIN(1,U76+Platform!$C$31),U76)</f>
        <v/>
      </c>
      <c r="V77" s="21">
        <f>IF(V$4&gt;0,MIN(1,V76+Platform!$C$31),V76)</f>
        <v/>
      </c>
      <c r="W77" s="21">
        <f>IF(W$4&gt;0,MIN(1,W76+Platform!$C$31),W76)</f>
        <v/>
      </c>
      <c r="X77" s="21">
        <f>IF(X$4&gt;0,MIN(1,X76+Platform!$C$31),X76)</f>
        <v/>
      </c>
      <c r="Y77" s="21">
        <f>IF(Y$4&gt;0,MIN(1,Y76+Platform!$C$31),Y76)</f>
        <v/>
      </c>
      <c r="Z77" s="21">
        <f>IF(Z$4&gt;0,MIN(1,Z76+Platform!$C$31),Z76)</f>
        <v/>
      </c>
      <c r="AA77" s="21">
        <f>IF(AA$4&gt;0,MIN(1,AA76+Platform!$C$31),AA76)</f>
        <v/>
      </c>
      <c r="AB77" s="21">
        <f>IF(AB$4&gt;0,MIN(1,AB76+Platform!$C$31),AB76)</f>
        <v/>
      </c>
      <c r="AC77" s="21">
        <f>IF(AC$4&gt;0,MIN(1,AC76+Platform!$C$31),AC76)</f>
        <v/>
      </c>
      <c r="AD77" s="21">
        <f>IF(AD$4&gt;0,MIN(1,AD76+Platform!$C$31),AD76)</f>
        <v/>
      </c>
      <c r="AE77" s="21">
        <f>IF(AE$4&gt;0,MIN(1,AE76+Platform!$C$31),AE76)</f>
        <v/>
      </c>
      <c r="AF77" s="21">
        <f>IF(AF$4&gt;0,MIN(1,AF76+Platform!$C$31),AF76)</f>
        <v/>
      </c>
      <c r="AG77" s="21">
        <f>IF(AG$4&gt;0,MIN(1,AG76+Platform!$C$31),AG76)</f>
        <v/>
      </c>
      <c r="AH77" s="21">
        <f>IF(AH$4&gt;0,MIN(1,AH76+Platform!$C$31),AH76)</f>
        <v/>
      </c>
      <c r="AI77" s="21">
        <f>IF(AI$4&gt;0,MIN(1,AI76+Platform!$C$31),AI76)</f>
        <v/>
      </c>
    </row>
    <row r="78">
      <c r="B78" s="2" t="inlineStr">
        <is>
          <t xml:space="preserve">  Storage revenue</t>
        </is>
      </c>
      <c r="D78" s="19">
        <f>D72*D75*12*D77</f>
        <v/>
      </c>
      <c r="E78" s="19">
        <f>E72*E75*12*E77</f>
        <v/>
      </c>
      <c r="F78" s="19">
        <f>F72*F75*12*F77</f>
        <v/>
      </c>
      <c r="G78" s="19">
        <f>G72*G75*12*G77</f>
        <v/>
      </c>
      <c r="H78" s="19">
        <f>H72*H75*12*H77</f>
        <v/>
      </c>
      <c r="I78" s="19">
        <f>I72*I75*12*I77</f>
        <v/>
      </c>
      <c r="J78" s="19">
        <f>J72*J75*12*J77</f>
        <v/>
      </c>
      <c r="K78" s="19">
        <f>K72*K75*12*K77</f>
        <v/>
      </c>
      <c r="L78" s="19">
        <f>L72*L75*12*L77</f>
        <v/>
      </c>
      <c r="M78" s="19">
        <f>M72*M75*12*M77</f>
        <v/>
      </c>
      <c r="N78" s="19">
        <f>N72*N75*12*N77</f>
        <v/>
      </c>
      <c r="O78" s="19">
        <f>O72*O75*12*O77</f>
        <v/>
      </c>
      <c r="P78" s="19">
        <f>P72*P75*12*P77</f>
        <v/>
      </c>
      <c r="Q78" s="19">
        <f>Q72*Q75*12*Q77</f>
        <v/>
      </c>
      <c r="R78" s="19">
        <f>R72*R75*12*R77</f>
        <v/>
      </c>
      <c r="S78" s="19">
        <f>S72*S75*12*S77</f>
        <v/>
      </c>
      <c r="T78" s="19">
        <f>T72*T75*12*T77</f>
        <v/>
      </c>
      <c r="U78" s="19">
        <f>U72*U75*12*U77</f>
        <v/>
      </c>
      <c r="V78" s="19">
        <f>V72*V75*12*V77</f>
        <v/>
      </c>
      <c r="W78" s="19">
        <f>W72*W75*12*W77</f>
        <v/>
      </c>
      <c r="X78" s="19">
        <f>X72*X75*12*X77</f>
        <v/>
      </c>
      <c r="Y78" s="19">
        <f>Y72*Y75*12*Y77</f>
        <v/>
      </c>
      <c r="Z78" s="19">
        <f>Z72*Z75*12*Z77</f>
        <v/>
      </c>
      <c r="AA78" s="19">
        <f>AA72*AA75*12*AA77</f>
        <v/>
      </c>
      <c r="AB78" s="19">
        <f>AB72*AB75*12*AB77</f>
        <v/>
      </c>
      <c r="AC78" s="19">
        <f>AC72*AC75*12*AC77</f>
        <v/>
      </c>
      <c r="AD78" s="19">
        <f>AD72*AD75*12*AD77</f>
        <v/>
      </c>
      <c r="AE78" s="19">
        <f>AE72*AE75*12*AE77</f>
        <v/>
      </c>
      <c r="AF78" s="19">
        <f>AF72*AF75*12*AF77</f>
        <v/>
      </c>
      <c r="AG78" s="19">
        <f>AG72*AG75*12*AG77</f>
        <v/>
      </c>
      <c r="AH78" s="19">
        <f>AH72*AH75*12*AH77</f>
        <v/>
      </c>
      <c r="AI78" s="19">
        <f>AI72*AI75*12*AI77</f>
        <v/>
      </c>
    </row>
    <row r="79">
      <c r="B79" s="2" t="inlineStr">
        <is>
          <t xml:space="preserve">  Ancillary and throughput revenue</t>
        </is>
      </c>
      <c r="D79" s="19">
        <f>D78*i_T_anc</f>
        <v/>
      </c>
      <c r="E79" s="19">
        <f>E78*i_T_anc</f>
        <v/>
      </c>
      <c r="F79" s="19">
        <f>F78*i_T_anc</f>
        <v/>
      </c>
      <c r="G79" s="19">
        <f>G78*i_T_anc</f>
        <v/>
      </c>
      <c r="H79" s="19">
        <f>H78*i_T_anc</f>
        <v/>
      </c>
      <c r="I79" s="19">
        <f>I78*i_T_anc</f>
        <v/>
      </c>
      <c r="J79" s="19">
        <f>J78*i_T_anc</f>
        <v/>
      </c>
      <c r="K79" s="19">
        <f>K78*i_T_anc</f>
        <v/>
      </c>
      <c r="L79" s="19">
        <f>L78*i_T_anc</f>
        <v/>
      </c>
      <c r="M79" s="19">
        <f>M78*i_T_anc</f>
        <v/>
      </c>
      <c r="N79" s="19">
        <f>N78*i_T_anc</f>
        <v/>
      </c>
      <c r="O79" s="19">
        <f>O78*i_T_anc</f>
        <v/>
      </c>
      <c r="P79" s="19">
        <f>P78*i_T_anc</f>
        <v/>
      </c>
      <c r="Q79" s="19">
        <f>Q78*i_T_anc</f>
        <v/>
      </c>
      <c r="R79" s="19">
        <f>R78*i_T_anc</f>
        <v/>
      </c>
      <c r="S79" s="19">
        <f>S78*i_T_anc</f>
        <v/>
      </c>
      <c r="T79" s="19">
        <f>T78*i_T_anc</f>
        <v/>
      </c>
      <c r="U79" s="19">
        <f>U78*i_T_anc</f>
        <v/>
      </c>
      <c r="V79" s="19">
        <f>V78*i_T_anc</f>
        <v/>
      </c>
      <c r="W79" s="19">
        <f>W78*i_T_anc</f>
        <v/>
      </c>
      <c r="X79" s="19">
        <f>X78*i_T_anc</f>
        <v/>
      </c>
      <c r="Y79" s="19">
        <f>Y78*i_T_anc</f>
        <v/>
      </c>
      <c r="Z79" s="19">
        <f>Z78*i_T_anc</f>
        <v/>
      </c>
      <c r="AA79" s="19">
        <f>AA78*i_T_anc</f>
        <v/>
      </c>
      <c r="AB79" s="19">
        <f>AB78*i_T_anc</f>
        <v/>
      </c>
      <c r="AC79" s="19">
        <f>AC78*i_T_anc</f>
        <v/>
      </c>
      <c r="AD79" s="19">
        <f>AD78*i_T_anc</f>
        <v/>
      </c>
      <c r="AE79" s="19">
        <f>AE78*i_T_anc</f>
        <v/>
      </c>
      <c r="AF79" s="19">
        <f>AF78*i_T_anc</f>
        <v/>
      </c>
      <c r="AG79" s="19">
        <f>AG78*i_T_anc</f>
        <v/>
      </c>
      <c r="AH79" s="19">
        <f>AH78*i_T_anc</f>
        <v/>
      </c>
      <c r="AI79" s="19">
        <f>AI78*i_T_anc</f>
        <v/>
      </c>
    </row>
    <row r="80">
      <c r="B80" s="3" t="inlineStr">
        <is>
          <t xml:space="preserve">  Revenue</t>
        </is>
      </c>
      <c r="D80" s="31">
        <f>D78+D79</f>
        <v/>
      </c>
      <c r="E80" s="31">
        <f>E78+E79</f>
        <v/>
      </c>
      <c r="F80" s="31">
        <f>F78+F79</f>
        <v/>
      </c>
      <c r="G80" s="31">
        <f>G78+G79</f>
        <v/>
      </c>
      <c r="H80" s="31">
        <f>H78+H79</f>
        <v/>
      </c>
      <c r="I80" s="31">
        <f>I78+I79</f>
        <v/>
      </c>
      <c r="J80" s="31">
        <f>J78+J79</f>
        <v/>
      </c>
      <c r="K80" s="31">
        <f>K78+K79</f>
        <v/>
      </c>
      <c r="L80" s="31">
        <f>L78+L79</f>
        <v/>
      </c>
      <c r="M80" s="31">
        <f>M78+M79</f>
        <v/>
      </c>
      <c r="N80" s="31">
        <f>N78+N79</f>
        <v/>
      </c>
      <c r="O80" s="31">
        <f>O78+O79</f>
        <v/>
      </c>
      <c r="P80" s="31">
        <f>P78+P79</f>
        <v/>
      </c>
      <c r="Q80" s="31">
        <f>Q78+Q79</f>
        <v/>
      </c>
      <c r="R80" s="31">
        <f>R78+R79</f>
        <v/>
      </c>
      <c r="S80" s="31">
        <f>S78+S79</f>
        <v/>
      </c>
      <c r="T80" s="31">
        <f>T78+T79</f>
        <v/>
      </c>
      <c r="U80" s="31">
        <f>U78+U79</f>
        <v/>
      </c>
      <c r="V80" s="31">
        <f>V78+V79</f>
        <v/>
      </c>
      <c r="W80" s="31">
        <f>W78+W79</f>
        <v/>
      </c>
      <c r="X80" s="31">
        <f>X78+X79</f>
        <v/>
      </c>
      <c r="Y80" s="31">
        <f>Y78+Y79</f>
        <v/>
      </c>
      <c r="Z80" s="31">
        <f>Z78+Z79</f>
        <v/>
      </c>
      <c r="AA80" s="31">
        <f>AA78+AA79</f>
        <v/>
      </c>
      <c r="AB80" s="31">
        <f>AB78+AB79</f>
        <v/>
      </c>
      <c r="AC80" s="31">
        <f>AC78+AC79</f>
        <v/>
      </c>
      <c r="AD80" s="31">
        <f>AD78+AD79</f>
        <v/>
      </c>
      <c r="AE80" s="31">
        <f>AE78+AE79</f>
        <v/>
      </c>
      <c r="AF80" s="31">
        <f>AF78+AF79</f>
        <v/>
      </c>
      <c r="AG80" s="31">
        <f>AG78+AG79</f>
        <v/>
      </c>
      <c r="AH80" s="31">
        <f>AH78+AH79</f>
        <v/>
      </c>
      <c r="AI80" s="31">
        <f>AI78+AI79</f>
        <v/>
      </c>
    </row>
    <row r="81">
      <c r="B81" s="2" t="inlineStr">
        <is>
          <t xml:space="preserve">  Fixed cost</t>
        </is>
      </c>
      <c r="D81" s="19">
        <f>D72*i_T_fix*D36</f>
        <v/>
      </c>
      <c r="E81" s="19">
        <f>E72*i_T_fix*E36</f>
        <v/>
      </c>
      <c r="F81" s="19">
        <f>F72*i_T_fix*F36</f>
        <v/>
      </c>
      <c r="G81" s="19">
        <f>G72*i_T_fix*G36</f>
        <v/>
      </c>
      <c r="H81" s="19">
        <f>H72*i_T_fix*H36</f>
        <v/>
      </c>
      <c r="I81" s="19">
        <f>I72*i_T_fix*I36</f>
        <v/>
      </c>
      <c r="J81" s="19">
        <f>J72*i_T_fix*J36</f>
        <v/>
      </c>
      <c r="K81" s="19">
        <f>K72*i_T_fix*K36</f>
        <v/>
      </c>
      <c r="L81" s="19">
        <f>L72*i_T_fix*L36</f>
        <v/>
      </c>
      <c r="M81" s="19">
        <f>M72*i_T_fix*M36</f>
        <v/>
      </c>
      <c r="N81" s="19">
        <f>N72*i_T_fix*N36</f>
        <v/>
      </c>
      <c r="O81" s="19">
        <f>O72*i_T_fix*O36</f>
        <v/>
      </c>
      <c r="P81" s="19">
        <f>P72*i_T_fix*P36</f>
        <v/>
      </c>
      <c r="Q81" s="19">
        <f>Q72*i_T_fix*Q36</f>
        <v/>
      </c>
      <c r="R81" s="19">
        <f>R72*i_T_fix*R36</f>
        <v/>
      </c>
      <c r="S81" s="19">
        <f>S72*i_T_fix*S36</f>
        <v/>
      </c>
      <c r="T81" s="19">
        <f>T72*i_T_fix*T36</f>
        <v/>
      </c>
      <c r="U81" s="19">
        <f>U72*i_T_fix*U36</f>
        <v/>
      </c>
      <c r="V81" s="19">
        <f>V72*i_T_fix*V36</f>
        <v/>
      </c>
      <c r="W81" s="19">
        <f>W72*i_T_fix*W36</f>
        <v/>
      </c>
      <c r="X81" s="19">
        <f>X72*i_T_fix*X36</f>
        <v/>
      </c>
      <c r="Y81" s="19">
        <f>Y72*i_T_fix*Y36</f>
        <v/>
      </c>
      <c r="Z81" s="19">
        <f>Z72*i_T_fix*Z36</f>
        <v/>
      </c>
      <c r="AA81" s="19">
        <f>AA72*i_T_fix*AA36</f>
        <v/>
      </c>
      <c r="AB81" s="19">
        <f>AB72*i_T_fix*AB36</f>
        <v/>
      </c>
      <c r="AC81" s="19">
        <f>AC72*i_T_fix*AC36</f>
        <v/>
      </c>
      <c r="AD81" s="19">
        <f>AD72*i_T_fix*AD36</f>
        <v/>
      </c>
      <c r="AE81" s="19">
        <f>AE72*i_T_fix*AE36</f>
        <v/>
      </c>
      <c r="AF81" s="19">
        <f>AF72*i_T_fix*AF36</f>
        <v/>
      </c>
      <c r="AG81" s="19">
        <f>AG72*i_T_fix*AG36</f>
        <v/>
      </c>
      <c r="AH81" s="19">
        <f>AH72*i_T_fix*AH36</f>
        <v/>
      </c>
      <c r="AI81" s="19">
        <f>AI72*i_T_fix*AI36</f>
        <v/>
      </c>
    </row>
    <row r="82">
      <c r="B82" s="2" t="inlineStr">
        <is>
          <t xml:space="preserve">  Variable cost</t>
        </is>
      </c>
      <c r="D82" s="19">
        <f>i_T_var*D80</f>
        <v/>
      </c>
      <c r="E82" s="19">
        <f>i_T_var*E80</f>
        <v/>
      </c>
      <c r="F82" s="19">
        <f>i_T_var*F80</f>
        <v/>
      </c>
      <c r="G82" s="19">
        <f>i_T_var*G80</f>
        <v/>
      </c>
      <c r="H82" s="19">
        <f>i_T_var*H80</f>
        <v/>
      </c>
      <c r="I82" s="19">
        <f>i_T_var*I80</f>
        <v/>
      </c>
      <c r="J82" s="19">
        <f>i_T_var*J80</f>
        <v/>
      </c>
      <c r="K82" s="19">
        <f>i_T_var*K80</f>
        <v/>
      </c>
      <c r="L82" s="19">
        <f>i_T_var*L80</f>
        <v/>
      </c>
      <c r="M82" s="19">
        <f>i_T_var*M80</f>
        <v/>
      </c>
      <c r="N82" s="19">
        <f>i_T_var*N80</f>
        <v/>
      </c>
      <c r="O82" s="19">
        <f>i_T_var*O80</f>
        <v/>
      </c>
      <c r="P82" s="19">
        <f>i_T_var*P80</f>
        <v/>
      </c>
      <c r="Q82" s="19">
        <f>i_T_var*Q80</f>
        <v/>
      </c>
      <c r="R82" s="19">
        <f>i_T_var*R80</f>
        <v/>
      </c>
      <c r="S82" s="19">
        <f>i_T_var*S80</f>
        <v/>
      </c>
      <c r="T82" s="19">
        <f>i_T_var*T80</f>
        <v/>
      </c>
      <c r="U82" s="19">
        <f>i_T_var*U80</f>
        <v/>
      </c>
      <c r="V82" s="19">
        <f>i_T_var*V80</f>
        <v/>
      </c>
      <c r="W82" s="19">
        <f>i_T_var*W80</f>
        <v/>
      </c>
      <c r="X82" s="19">
        <f>i_T_var*X80</f>
        <v/>
      </c>
      <c r="Y82" s="19">
        <f>i_T_var*Y80</f>
        <v/>
      </c>
      <c r="Z82" s="19">
        <f>i_T_var*Z80</f>
        <v/>
      </c>
      <c r="AA82" s="19">
        <f>i_T_var*AA80</f>
        <v/>
      </c>
      <c r="AB82" s="19">
        <f>i_T_var*AB80</f>
        <v/>
      </c>
      <c r="AC82" s="19">
        <f>i_T_var*AC80</f>
        <v/>
      </c>
      <c r="AD82" s="19">
        <f>i_T_var*AD80</f>
        <v/>
      </c>
      <c r="AE82" s="19">
        <f>i_T_var*AE80</f>
        <v/>
      </c>
      <c r="AF82" s="19">
        <f>i_T_var*AF80</f>
        <v/>
      </c>
      <c r="AG82" s="19">
        <f>i_T_var*AG80</f>
        <v/>
      </c>
      <c r="AH82" s="19">
        <f>i_T_var*AH80</f>
        <v/>
      </c>
      <c r="AI82" s="19">
        <f>i_T_var*AI80</f>
        <v/>
      </c>
    </row>
    <row r="83">
      <c r="B83" s="2" t="inlineStr">
        <is>
          <t xml:space="preserve">  Operating cost</t>
        </is>
      </c>
      <c r="D83" s="19">
        <f>D81+D82</f>
        <v/>
      </c>
      <c r="E83" s="19">
        <f>E81+E82</f>
        <v/>
      </c>
      <c r="F83" s="19">
        <f>F81+F82</f>
        <v/>
      </c>
      <c r="G83" s="19">
        <f>G81+G82</f>
        <v/>
      </c>
      <c r="H83" s="19">
        <f>H81+H82</f>
        <v/>
      </c>
      <c r="I83" s="19">
        <f>I81+I82</f>
        <v/>
      </c>
      <c r="J83" s="19">
        <f>J81+J82</f>
        <v/>
      </c>
      <c r="K83" s="19">
        <f>K81+K82</f>
        <v/>
      </c>
      <c r="L83" s="19">
        <f>L81+L82</f>
        <v/>
      </c>
      <c r="M83" s="19">
        <f>M81+M82</f>
        <v/>
      </c>
      <c r="N83" s="19">
        <f>N81+N82</f>
        <v/>
      </c>
      <c r="O83" s="19">
        <f>O81+O82</f>
        <v/>
      </c>
      <c r="P83" s="19">
        <f>P81+P82</f>
        <v/>
      </c>
      <c r="Q83" s="19">
        <f>Q81+Q82</f>
        <v/>
      </c>
      <c r="R83" s="19">
        <f>R81+R82</f>
        <v/>
      </c>
      <c r="S83" s="19">
        <f>S81+S82</f>
        <v/>
      </c>
      <c r="T83" s="19">
        <f>T81+T82</f>
        <v/>
      </c>
      <c r="U83" s="19">
        <f>U81+U82</f>
        <v/>
      </c>
      <c r="V83" s="19">
        <f>V81+V82</f>
        <v/>
      </c>
      <c r="W83" s="19">
        <f>W81+W82</f>
        <v/>
      </c>
      <c r="X83" s="19">
        <f>X81+X82</f>
        <v/>
      </c>
      <c r="Y83" s="19">
        <f>Y81+Y82</f>
        <v/>
      </c>
      <c r="Z83" s="19">
        <f>Z81+Z82</f>
        <v/>
      </c>
      <c r="AA83" s="19">
        <f>AA81+AA82</f>
        <v/>
      </c>
      <c r="AB83" s="19">
        <f>AB81+AB82</f>
        <v/>
      </c>
      <c r="AC83" s="19">
        <f>AC81+AC82</f>
        <v/>
      </c>
      <c r="AD83" s="19">
        <f>AD81+AD82</f>
        <v/>
      </c>
      <c r="AE83" s="19">
        <f>AE81+AE82</f>
        <v/>
      </c>
      <c r="AF83" s="19">
        <f>AF81+AF82</f>
        <v/>
      </c>
      <c r="AG83" s="19">
        <f>AG81+AG82</f>
        <v/>
      </c>
      <c r="AH83" s="19">
        <f>AH81+AH82</f>
        <v/>
      </c>
      <c r="AI83" s="19">
        <f>AI81+AI82</f>
        <v/>
      </c>
    </row>
    <row r="84">
      <c r="B84" s="3" t="inlineStr">
        <is>
          <t xml:space="preserve">  EBITDA</t>
        </is>
      </c>
      <c r="D84" s="31">
        <f>D80-D83</f>
        <v/>
      </c>
      <c r="E84" s="31">
        <f>E80-E83</f>
        <v/>
      </c>
      <c r="F84" s="31">
        <f>F80-F83</f>
        <v/>
      </c>
      <c r="G84" s="31">
        <f>G80-G83</f>
        <v/>
      </c>
      <c r="H84" s="31">
        <f>H80-H83</f>
        <v/>
      </c>
      <c r="I84" s="31">
        <f>I80-I83</f>
        <v/>
      </c>
      <c r="J84" s="31">
        <f>J80-J83</f>
        <v/>
      </c>
      <c r="K84" s="31">
        <f>K80-K83</f>
        <v/>
      </c>
      <c r="L84" s="31">
        <f>L80-L83</f>
        <v/>
      </c>
      <c r="M84" s="31">
        <f>M80-M83</f>
        <v/>
      </c>
      <c r="N84" s="31">
        <f>N80-N83</f>
        <v/>
      </c>
      <c r="O84" s="31">
        <f>O80-O83</f>
        <v/>
      </c>
      <c r="P84" s="31">
        <f>P80-P83</f>
        <v/>
      </c>
      <c r="Q84" s="31">
        <f>Q80-Q83</f>
        <v/>
      </c>
      <c r="R84" s="31">
        <f>R80-R83</f>
        <v/>
      </c>
      <c r="S84" s="31">
        <f>S80-S83</f>
        <v/>
      </c>
      <c r="T84" s="31">
        <f>T80-T83</f>
        <v/>
      </c>
      <c r="U84" s="31">
        <f>U80-U83</f>
        <v/>
      </c>
      <c r="V84" s="31">
        <f>V80-V83</f>
        <v/>
      </c>
      <c r="W84" s="31">
        <f>W80-W83</f>
        <v/>
      </c>
      <c r="X84" s="31">
        <f>X80-X83</f>
        <v/>
      </c>
      <c r="Y84" s="31">
        <f>Y80-Y83</f>
        <v/>
      </c>
      <c r="Z84" s="31">
        <f>Z80-Z83</f>
        <v/>
      </c>
      <c r="AA84" s="31">
        <f>AA80-AA83</f>
        <v/>
      </c>
      <c r="AB84" s="31">
        <f>AB80-AB83</f>
        <v/>
      </c>
      <c r="AC84" s="31">
        <f>AC80-AC83</f>
        <v/>
      </c>
      <c r="AD84" s="31">
        <f>AD80-AD83</f>
        <v/>
      </c>
      <c r="AE84" s="31">
        <f>AE80-AE83</f>
        <v/>
      </c>
      <c r="AF84" s="31">
        <f>AF80-AF83</f>
        <v/>
      </c>
      <c r="AG84" s="31">
        <f>AG80-AG83</f>
        <v/>
      </c>
      <c r="AH84" s="31">
        <f>AH80-AH83</f>
        <v/>
      </c>
      <c r="AI84" s="31">
        <f>AI80-AI83</f>
        <v/>
      </c>
    </row>
    <row r="85">
      <c r="B85" s="2" t="inlineStr">
        <is>
          <t xml:space="preserve">  Maintenance capex</t>
        </is>
      </c>
      <c r="D85" s="19">
        <f>D72*i_T_mc*D36</f>
        <v/>
      </c>
      <c r="E85" s="19">
        <f>E72*i_T_mc*E36</f>
        <v/>
      </c>
      <c r="F85" s="19">
        <f>F72*i_T_mc*F36</f>
        <v/>
      </c>
      <c r="G85" s="19">
        <f>G72*i_T_mc*G36</f>
        <v/>
      </c>
      <c r="H85" s="19">
        <f>H72*i_T_mc*H36</f>
        <v/>
      </c>
      <c r="I85" s="19">
        <f>I72*i_T_mc*I36</f>
        <v/>
      </c>
      <c r="J85" s="19">
        <f>J72*i_T_mc*J36</f>
        <v/>
      </c>
      <c r="K85" s="19">
        <f>K72*i_T_mc*K36</f>
        <v/>
      </c>
      <c r="L85" s="19">
        <f>L72*i_T_mc*L36</f>
        <v/>
      </c>
      <c r="M85" s="19">
        <f>M72*i_T_mc*M36</f>
        <v/>
      </c>
      <c r="N85" s="19">
        <f>N72*i_T_mc*N36</f>
        <v/>
      </c>
      <c r="O85" s="19">
        <f>O72*i_T_mc*O36</f>
        <v/>
      </c>
      <c r="P85" s="19">
        <f>P72*i_T_mc*P36</f>
        <v/>
      </c>
      <c r="Q85" s="19">
        <f>Q72*i_T_mc*Q36</f>
        <v/>
      </c>
      <c r="R85" s="19">
        <f>R72*i_T_mc*R36</f>
        <v/>
      </c>
      <c r="S85" s="19">
        <f>S72*i_T_mc*S36</f>
        <v/>
      </c>
      <c r="T85" s="19">
        <f>T72*i_T_mc*T36</f>
        <v/>
      </c>
      <c r="U85" s="19">
        <f>U72*i_T_mc*U36</f>
        <v/>
      </c>
      <c r="V85" s="19">
        <f>V72*i_T_mc*V36</f>
        <v/>
      </c>
      <c r="W85" s="19">
        <f>W72*i_T_mc*W36</f>
        <v/>
      </c>
      <c r="X85" s="19">
        <f>X72*i_T_mc*X36</f>
        <v/>
      </c>
      <c r="Y85" s="19">
        <f>Y72*i_T_mc*Y36</f>
        <v/>
      </c>
      <c r="Z85" s="19">
        <f>Z72*i_T_mc*Z36</f>
        <v/>
      </c>
      <c r="AA85" s="19">
        <f>AA72*i_T_mc*AA36</f>
        <v/>
      </c>
      <c r="AB85" s="19">
        <f>AB72*i_T_mc*AB36</f>
        <v/>
      </c>
      <c r="AC85" s="19">
        <f>AC72*i_T_mc*AC36</f>
        <v/>
      </c>
      <c r="AD85" s="19">
        <f>AD72*i_T_mc*AD36</f>
        <v/>
      </c>
      <c r="AE85" s="19">
        <f>AE72*i_T_mc*AE36</f>
        <v/>
      </c>
      <c r="AF85" s="19">
        <f>AF72*i_T_mc*AF36</f>
        <v/>
      </c>
      <c r="AG85" s="19">
        <f>AG72*i_T_mc*AG36</f>
        <v/>
      </c>
      <c r="AH85" s="19">
        <f>AH72*i_T_mc*AH36</f>
        <v/>
      </c>
      <c r="AI85" s="19">
        <f>AI72*i_T_mc*AI36</f>
        <v/>
      </c>
    </row>
    <row r="86">
      <c r="B86" s="3" t="inlineStr">
        <is>
          <t>Sabine Bend</t>
        </is>
      </c>
    </row>
    <row r="87">
      <c r="B87" s="2" t="inlineStr">
        <is>
          <t xml:space="preserve">  Capacity in service (million m3)</t>
        </is>
      </c>
      <c r="D87" s="24">
        <f>i_G_cap</f>
        <v/>
      </c>
      <c r="E87" s="24">
        <f>i_G_cap</f>
        <v/>
      </c>
      <c r="F87" s="24">
        <f>i_G_cap</f>
        <v/>
      </c>
      <c r="G87" s="24">
        <f>i_G_cap</f>
        <v/>
      </c>
      <c r="H87" s="24">
        <f>i_G_cap</f>
        <v/>
      </c>
      <c r="I87" s="24">
        <f>i_G_cap</f>
        <v/>
      </c>
      <c r="J87" s="24">
        <f>i_G_cap</f>
        <v/>
      </c>
      <c r="K87" s="24">
        <f>i_G_cap</f>
        <v/>
      </c>
      <c r="L87" s="24">
        <f>i_G_cap</f>
        <v/>
      </c>
      <c r="M87" s="24">
        <f>i_G_cap</f>
        <v/>
      </c>
      <c r="N87" s="24">
        <f>i_G_cap</f>
        <v/>
      </c>
      <c r="O87" s="24">
        <f>i_G_cap</f>
        <v/>
      </c>
      <c r="P87" s="24">
        <f>i_G_cap</f>
        <v/>
      </c>
      <c r="Q87" s="24">
        <f>i_G_cap</f>
        <v/>
      </c>
      <c r="R87" s="24">
        <f>i_G_cap</f>
        <v/>
      </c>
      <c r="S87" s="24">
        <f>i_G_cap</f>
        <v/>
      </c>
      <c r="T87" s="24">
        <f>i_G_cap</f>
        <v/>
      </c>
      <c r="U87" s="24">
        <f>i_G_cap</f>
        <v/>
      </c>
      <c r="V87" s="24">
        <f>i_G_cap</f>
        <v/>
      </c>
      <c r="W87" s="24">
        <f>i_G_cap</f>
        <v/>
      </c>
      <c r="X87" s="24">
        <f>i_G_cap</f>
        <v/>
      </c>
      <c r="Y87" s="24">
        <f>i_G_cap</f>
        <v/>
      </c>
      <c r="Z87" s="24">
        <f>i_G_cap</f>
        <v/>
      </c>
      <c r="AA87" s="24">
        <f>i_G_cap</f>
        <v/>
      </c>
      <c r="AB87" s="24">
        <f>i_G_cap</f>
        <v/>
      </c>
      <c r="AC87" s="24">
        <f>i_G_cap</f>
        <v/>
      </c>
      <c r="AD87" s="24">
        <f>i_G_cap</f>
        <v/>
      </c>
      <c r="AE87" s="24">
        <f>i_G_cap</f>
        <v/>
      </c>
      <c r="AF87" s="24">
        <f>i_G_cap</f>
        <v/>
      </c>
      <c r="AG87" s="24">
        <f>i_G_cap</f>
        <v/>
      </c>
      <c r="AH87" s="24">
        <f>i_G_cap</f>
        <v/>
      </c>
      <c r="AI87" s="24">
        <f>i_G_cap</f>
        <v/>
      </c>
    </row>
    <row r="88">
      <c r="B88" s="2" t="inlineStr">
        <is>
          <t xml:space="preserve">  Share on contracts signed before 2027</t>
        </is>
      </c>
      <c r="D88" s="21">
        <f>SUMIF(i_book_years,D$3,i_G_book)</f>
        <v/>
      </c>
      <c r="E88" s="21">
        <f>SUMIF(i_book_years,E$3,i_G_book)</f>
        <v/>
      </c>
      <c r="F88" s="21">
        <f>SUMIF(i_book_years,F$3,i_G_book)</f>
        <v/>
      </c>
      <c r="G88" s="21">
        <f>SUMIF(i_book_years,G$3,i_G_book)</f>
        <v/>
      </c>
      <c r="H88" s="21">
        <f>SUMIF(i_book_years,H$3,i_G_book)</f>
        <v/>
      </c>
      <c r="I88" s="21">
        <f>SUMIF(i_book_years,I$3,i_G_book)</f>
        <v/>
      </c>
      <c r="J88" s="21">
        <f>SUMIF(i_book_years,J$3,i_G_book)</f>
        <v/>
      </c>
      <c r="K88" s="21">
        <f>SUMIF(i_book_years,K$3,i_G_book)</f>
        <v/>
      </c>
      <c r="L88" s="21">
        <f>SUMIF(i_book_years,L$3,i_G_book)</f>
        <v/>
      </c>
      <c r="M88" s="21">
        <f>SUMIF(i_book_years,M$3,i_G_book)</f>
        <v/>
      </c>
      <c r="N88" s="21">
        <f>SUMIF(i_book_years,N$3,i_G_book)</f>
        <v/>
      </c>
      <c r="O88" s="21">
        <f>SUMIF(i_book_years,O$3,i_G_book)</f>
        <v/>
      </c>
      <c r="P88" s="21">
        <f>SUMIF(i_book_years,P$3,i_G_book)</f>
        <v/>
      </c>
      <c r="Q88" s="21">
        <f>SUMIF(i_book_years,Q$3,i_G_book)</f>
        <v/>
      </c>
      <c r="R88" s="21">
        <f>SUMIF(i_book_years,R$3,i_G_book)</f>
        <v/>
      </c>
      <c r="S88" s="21">
        <f>SUMIF(i_book_years,S$3,i_G_book)</f>
        <v/>
      </c>
      <c r="T88" s="21">
        <f>SUMIF(i_book_years,T$3,i_G_book)</f>
        <v/>
      </c>
      <c r="U88" s="21">
        <f>SUMIF(i_book_years,U$3,i_G_book)</f>
        <v/>
      </c>
      <c r="V88" s="21">
        <f>SUMIF(i_book_years,V$3,i_G_book)</f>
        <v/>
      </c>
      <c r="W88" s="21">
        <f>SUMIF(i_book_years,W$3,i_G_book)</f>
        <v/>
      </c>
      <c r="X88" s="21">
        <f>SUMIF(i_book_years,X$3,i_G_book)</f>
        <v/>
      </c>
      <c r="Y88" s="21">
        <f>SUMIF(i_book_years,Y$3,i_G_book)</f>
        <v/>
      </c>
      <c r="Z88" s="21">
        <f>SUMIF(i_book_years,Z$3,i_G_book)</f>
        <v/>
      </c>
      <c r="AA88" s="21">
        <f>SUMIF(i_book_years,AA$3,i_G_book)</f>
        <v/>
      </c>
      <c r="AB88" s="21">
        <f>SUMIF(i_book_years,AB$3,i_G_book)</f>
        <v/>
      </c>
      <c r="AC88" s="21">
        <f>SUMIF(i_book_years,AC$3,i_G_book)</f>
        <v/>
      </c>
      <c r="AD88" s="21">
        <f>SUMIF(i_book_years,AD$3,i_G_book)</f>
        <v/>
      </c>
      <c r="AE88" s="21">
        <f>SUMIF(i_book_years,AE$3,i_G_book)</f>
        <v/>
      </c>
      <c r="AF88" s="21">
        <f>SUMIF(i_book_years,AF$3,i_G_book)</f>
        <v/>
      </c>
      <c r="AG88" s="21">
        <f>SUMIF(i_book_years,AG$3,i_G_book)</f>
        <v/>
      </c>
      <c r="AH88" s="21">
        <f>SUMIF(i_book_years,AH$3,i_G_book)</f>
        <v/>
      </c>
      <c r="AI88" s="21">
        <f>SUMIF(i_book_years,AI$3,i_G_book)</f>
        <v/>
      </c>
    </row>
    <row r="89">
      <c r="B89" s="2" t="inlineStr">
        <is>
          <t xml:space="preserve">  Recontracting factor against current rates</t>
        </is>
      </c>
      <c r="D89" s="21">
        <f>IF(D$4=0,0,IF(Platform!$C$26=1,i_G_mtm,i_G_mtm_plan)+Platform!$C$32)</f>
        <v/>
      </c>
      <c r="E89" s="21">
        <f>IF(E$4=0,0,IF(Platform!$C$26=1,i_G_mtm,i_G_mtm_plan)+Platform!$C$32)</f>
        <v/>
      </c>
      <c r="F89" s="21">
        <f>IF(F$4=0,0,IF(Platform!$C$26=1,i_G_mtm,i_G_mtm_plan)+Platform!$C$32)</f>
        <v/>
      </c>
      <c r="G89" s="21">
        <f>IF(G$4=0,0,IF(Platform!$C$26=1,i_G_mtm,i_G_mtm_plan)+Platform!$C$32)</f>
        <v/>
      </c>
      <c r="H89" s="21">
        <f>IF(H$4=0,0,IF(Platform!$C$26=1,i_G_mtm,i_G_mtm_plan)+Platform!$C$32)</f>
        <v/>
      </c>
      <c r="I89" s="21">
        <f>IF(I$4=0,0,IF(Platform!$C$26=1,i_G_mtm,i_G_mtm_plan)+Platform!$C$32)</f>
        <v/>
      </c>
      <c r="J89" s="21">
        <f>IF(J$4=0,0,IF(Platform!$C$26=1,i_G_mtm,i_G_mtm_plan)+Platform!$C$32)</f>
        <v/>
      </c>
      <c r="K89" s="21">
        <f>IF(K$4=0,0,IF(Platform!$C$26=1,i_G_mtm,i_G_mtm_plan)+Platform!$C$32)</f>
        <v/>
      </c>
      <c r="L89" s="21">
        <f>IF(L$4=0,0,IF(Platform!$C$26=1,i_G_mtm,i_G_mtm_plan)+Platform!$C$32)</f>
        <v/>
      </c>
      <c r="M89" s="21">
        <f>IF(M$4=0,0,IF(Platform!$C$26=1,i_G_mtm,i_G_mtm_plan)+Platform!$C$32)</f>
        <v/>
      </c>
      <c r="N89" s="21">
        <f>IF(N$4=0,0,IF(Platform!$C$26=1,i_G_mtm,i_G_mtm_plan)+Platform!$C$32)</f>
        <v/>
      </c>
      <c r="O89" s="21">
        <f>IF(O$4=0,0,IF(Platform!$C$26=1,i_G_mtm,i_G_mtm_plan)+Platform!$C$32)</f>
        <v/>
      </c>
      <c r="P89" s="21">
        <f>IF(P$4=0,0,IF(Platform!$C$26=1,i_G_mtm,i_G_mtm_plan)+Platform!$C$32)</f>
        <v/>
      </c>
      <c r="Q89" s="21">
        <f>IF(Q$4=0,0,IF(Platform!$C$26=1,i_G_mtm,i_G_mtm_plan)+Platform!$C$32)</f>
        <v/>
      </c>
      <c r="R89" s="21">
        <f>IF(R$4=0,0,IF(Platform!$C$26=1,i_G_mtm,i_G_mtm_plan)+Platform!$C$32)</f>
        <v/>
      </c>
      <c r="S89" s="21">
        <f>IF(S$4=0,0,IF(Platform!$C$26=1,i_G_mtm,i_G_mtm_plan)+Platform!$C$32)</f>
        <v/>
      </c>
      <c r="T89" s="21">
        <f>IF(T$4=0,0,IF(Platform!$C$26=1,i_G_mtm,i_G_mtm_plan)+Platform!$C$32)</f>
        <v/>
      </c>
      <c r="U89" s="21">
        <f>IF(U$4=0,0,IF(Platform!$C$26=1,i_G_mtm,i_G_mtm_plan)+Platform!$C$32)</f>
        <v/>
      </c>
      <c r="V89" s="21">
        <f>IF(V$4=0,0,IF(Platform!$C$26=1,i_G_mtm,i_G_mtm_plan)+Platform!$C$32)</f>
        <v/>
      </c>
      <c r="W89" s="21">
        <f>IF(W$4=0,0,IF(Platform!$C$26=1,i_G_mtm,i_G_mtm_plan)+Platform!$C$32)</f>
        <v/>
      </c>
      <c r="X89" s="21">
        <f>IF(X$4=0,0,IF(Platform!$C$26=1,i_G_mtm,i_G_mtm_plan)+Platform!$C$32)</f>
        <v/>
      </c>
      <c r="Y89" s="21">
        <f>IF(Y$4=0,0,IF(Platform!$C$26=1,i_G_mtm,i_G_mtm_plan)+Platform!$C$32)</f>
        <v/>
      </c>
      <c r="Z89" s="21">
        <f>IF(Z$4=0,0,IF(Platform!$C$26=1,i_G_mtm,i_G_mtm_plan)+Platform!$C$32)</f>
        <v/>
      </c>
      <c r="AA89" s="21">
        <f>IF(AA$4=0,0,IF(Platform!$C$26=1,i_G_mtm,i_G_mtm_plan)+Platform!$C$32)</f>
        <v/>
      </c>
      <c r="AB89" s="21">
        <f>IF(AB$4=0,0,IF(Platform!$C$26=1,i_G_mtm,i_G_mtm_plan)+Platform!$C$32)</f>
        <v/>
      </c>
      <c r="AC89" s="21">
        <f>IF(AC$4=0,0,IF(Platform!$C$26=1,i_G_mtm,i_G_mtm_plan)+Platform!$C$32)</f>
        <v/>
      </c>
      <c r="AD89" s="21">
        <f>IF(AD$4=0,0,IF(Platform!$C$26=1,i_G_mtm,i_G_mtm_plan)+Platform!$C$32)</f>
        <v/>
      </c>
      <c r="AE89" s="21">
        <f>IF(AE$4=0,0,IF(Platform!$C$26=1,i_G_mtm,i_G_mtm_plan)+Platform!$C$32)</f>
        <v/>
      </c>
      <c r="AF89" s="21">
        <f>IF(AF$4=0,0,IF(Platform!$C$26=1,i_G_mtm,i_G_mtm_plan)+Platform!$C$32)</f>
        <v/>
      </c>
      <c r="AG89" s="21">
        <f>IF(AG$4=0,0,IF(Platform!$C$26=1,i_G_mtm,i_G_mtm_plan)+Platform!$C$32)</f>
        <v/>
      </c>
      <c r="AH89" s="21">
        <f>IF(AH$4=0,0,IF(Platform!$C$26=1,i_G_mtm,i_G_mtm_plan)+Platform!$C$32)</f>
        <v/>
      </c>
      <c r="AI89" s="21">
        <f>IF(AI$4=0,0,IF(Platform!$C$26=1,i_G_mtm,i_G_mtm_plan)+Platform!$C$32)</f>
        <v/>
      </c>
    </row>
    <row r="90">
      <c r="B90" s="2" t="inlineStr">
        <is>
          <t xml:space="preserve">  Average rate ($ per m3 per month)</t>
        </is>
      </c>
      <c r="D90" s="24">
        <f>i_G_rate*D37*(D88+(1-D88)*(1+D89))</f>
        <v/>
      </c>
      <c r="E90" s="24">
        <f>i_G_rate*E37*(E88+(1-E88)*(1+E89))</f>
        <v/>
      </c>
      <c r="F90" s="24">
        <f>i_G_rate*F37*(F88+(1-F88)*(1+F89))</f>
        <v/>
      </c>
      <c r="G90" s="24">
        <f>i_G_rate*G37*(G88+(1-G88)*(1+G89))</f>
        <v/>
      </c>
      <c r="H90" s="24">
        <f>i_G_rate*H37*(H88+(1-H88)*(1+H89))</f>
        <v/>
      </c>
      <c r="I90" s="24">
        <f>i_G_rate*I37*(I88+(1-I88)*(1+I89))</f>
        <v/>
      </c>
      <c r="J90" s="24">
        <f>i_G_rate*J37*(J88+(1-J88)*(1+J89))</f>
        <v/>
      </c>
      <c r="K90" s="24">
        <f>i_G_rate*K37*(K88+(1-K88)*(1+K89))</f>
        <v/>
      </c>
      <c r="L90" s="24">
        <f>i_G_rate*L37*(L88+(1-L88)*(1+L89))</f>
        <v/>
      </c>
      <c r="M90" s="24">
        <f>i_G_rate*M37*(M88+(1-M88)*(1+M89))</f>
        <v/>
      </c>
      <c r="N90" s="24">
        <f>i_G_rate*N37*(N88+(1-N88)*(1+N89))</f>
        <v/>
      </c>
      <c r="O90" s="24">
        <f>i_G_rate*O37*(O88+(1-O88)*(1+O89))</f>
        <v/>
      </c>
      <c r="P90" s="24">
        <f>i_G_rate*P37*(P88+(1-P88)*(1+P89))</f>
        <v/>
      </c>
      <c r="Q90" s="24">
        <f>i_G_rate*Q37*(Q88+(1-Q88)*(1+Q89))</f>
        <v/>
      </c>
      <c r="R90" s="24">
        <f>i_G_rate*R37*(R88+(1-R88)*(1+R89))</f>
        <v/>
      </c>
      <c r="S90" s="24">
        <f>i_G_rate*S37*(S88+(1-S88)*(1+S89))</f>
        <v/>
      </c>
      <c r="T90" s="24">
        <f>i_G_rate*T37*(T88+(1-T88)*(1+T89))</f>
        <v/>
      </c>
      <c r="U90" s="24">
        <f>i_G_rate*U37*(U88+(1-U88)*(1+U89))</f>
        <v/>
      </c>
      <c r="V90" s="24">
        <f>i_G_rate*V37*(V88+(1-V88)*(1+V89))</f>
        <v/>
      </c>
      <c r="W90" s="24">
        <f>i_G_rate*W37*(W88+(1-W88)*(1+W89))</f>
        <v/>
      </c>
      <c r="X90" s="24">
        <f>i_G_rate*X37*(X88+(1-X88)*(1+X89))</f>
        <v/>
      </c>
      <c r="Y90" s="24">
        <f>i_G_rate*Y37*(Y88+(1-Y88)*(1+Y89))</f>
        <v/>
      </c>
      <c r="Z90" s="24">
        <f>i_G_rate*Z37*(Z88+(1-Z88)*(1+Z89))</f>
        <v/>
      </c>
      <c r="AA90" s="24">
        <f>i_G_rate*AA37*(AA88+(1-AA88)*(1+AA89))</f>
        <v/>
      </c>
      <c r="AB90" s="24">
        <f>i_G_rate*AB37*(AB88+(1-AB88)*(1+AB89))</f>
        <v/>
      </c>
      <c r="AC90" s="24">
        <f>i_G_rate*AC37*(AC88+(1-AC88)*(1+AC89))</f>
        <v/>
      </c>
      <c r="AD90" s="24">
        <f>i_G_rate*AD37*(AD88+(1-AD88)*(1+AD89))</f>
        <v/>
      </c>
      <c r="AE90" s="24">
        <f>i_G_rate*AE37*(AE88+(1-AE88)*(1+AE89))</f>
        <v/>
      </c>
      <c r="AF90" s="24">
        <f>i_G_rate*AF37*(AF88+(1-AF88)*(1+AF89))</f>
        <v/>
      </c>
      <c r="AG90" s="24">
        <f>i_G_rate*AG37*(AG88+(1-AG88)*(1+AG89))</f>
        <v/>
      </c>
      <c r="AH90" s="24">
        <f>i_G_rate*AH37*(AH88+(1-AH88)*(1+AH89))</f>
        <v/>
      </c>
      <c r="AI90" s="24">
        <f>i_G_rate*AI37*(AI88+(1-AI88)*(1+AI89))</f>
        <v/>
      </c>
    </row>
    <row r="91">
      <c r="B91" s="2" t="inlineStr">
        <is>
          <t xml:space="preserve">  Occupancy after the transition decline and floor</t>
        </is>
      </c>
      <c r="D91" s="21">
        <f>IF(D$3&gt;i_trans_start,MAX(i_G_floor,i_G_occ-i_G_dec*(D$3-i_trans_start)),i_G_occ)</f>
        <v/>
      </c>
      <c r="E91" s="21">
        <f>IF(E$3&gt;i_trans_start,MAX(i_G_floor,i_G_occ-i_G_dec*(E$3-i_trans_start)),i_G_occ)</f>
        <v/>
      </c>
      <c r="F91" s="21">
        <f>IF(F$3&gt;i_trans_start,MAX(i_G_floor,i_G_occ-i_G_dec*(F$3-i_trans_start)),i_G_occ)</f>
        <v/>
      </c>
      <c r="G91" s="21">
        <f>IF(G$3&gt;i_trans_start,MAX(i_G_floor,i_G_occ-i_G_dec*(G$3-i_trans_start)),i_G_occ)</f>
        <v/>
      </c>
      <c r="H91" s="21">
        <f>IF(H$3&gt;i_trans_start,MAX(i_G_floor,i_G_occ-i_G_dec*(H$3-i_trans_start)),i_G_occ)</f>
        <v/>
      </c>
      <c r="I91" s="21">
        <f>IF(I$3&gt;i_trans_start,MAX(i_G_floor,i_G_occ-i_G_dec*(I$3-i_trans_start)),i_G_occ)</f>
        <v/>
      </c>
      <c r="J91" s="21">
        <f>IF(J$3&gt;i_trans_start,MAX(i_G_floor,i_G_occ-i_G_dec*(J$3-i_trans_start)),i_G_occ)</f>
        <v/>
      </c>
      <c r="K91" s="21">
        <f>IF(K$3&gt;i_trans_start,MAX(i_G_floor,i_G_occ-i_G_dec*(K$3-i_trans_start)),i_G_occ)</f>
        <v/>
      </c>
      <c r="L91" s="21">
        <f>IF(L$3&gt;i_trans_start,MAX(i_G_floor,i_G_occ-i_G_dec*(L$3-i_trans_start)),i_G_occ)</f>
        <v/>
      </c>
      <c r="M91" s="21">
        <f>IF(M$3&gt;i_trans_start,MAX(i_G_floor,i_G_occ-i_G_dec*(M$3-i_trans_start)),i_G_occ)</f>
        <v/>
      </c>
      <c r="N91" s="21">
        <f>IF(N$3&gt;i_trans_start,MAX(i_G_floor,i_G_occ-i_G_dec*(N$3-i_trans_start)),i_G_occ)</f>
        <v/>
      </c>
      <c r="O91" s="21">
        <f>IF(O$3&gt;i_trans_start,MAX(i_G_floor,i_G_occ-i_G_dec*(O$3-i_trans_start)),i_G_occ)</f>
        <v/>
      </c>
      <c r="P91" s="21">
        <f>IF(P$3&gt;i_trans_start,MAX(i_G_floor,i_G_occ-i_G_dec*(P$3-i_trans_start)),i_G_occ)</f>
        <v/>
      </c>
      <c r="Q91" s="21">
        <f>IF(Q$3&gt;i_trans_start,MAX(i_G_floor,i_G_occ-i_G_dec*(Q$3-i_trans_start)),i_G_occ)</f>
        <v/>
      </c>
      <c r="R91" s="21">
        <f>IF(R$3&gt;i_trans_start,MAX(i_G_floor,i_G_occ-i_G_dec*(R$3-i_trans_start)),i_G_occ)</f>
        <v/>
      </c>
      <c r="S91" s="21">
        <f>IF(S$3&gt;i_trans_start,MAX(i_G_floor,i_G_occ-i_G_dec*(S$3-i_trans_start)),i_G_occ)</f>
        <v/>
      </c>
      <c r="T91" s="21">
        <f>IF(T$3&gt;i_trans_start,MAX(i_G_floor,i_G_occ-i_G_dec*(T$3-i_trans_start)),i_G_occ)</f>
        <v/>
      </c>
      <c r="U91" s="21">
        <f>IF(U$3&gt;i_trans_start,MAX(i_G_floor,i_G_occ-i_G_dec*(U$3-i_trans_start)),i_G_occ)</f>
        <v/>
      </c>
      <c r="V91" s="21">
        <f>IF(V$3&gt;i_trans_start,MAX(i_G_floor,i_G_occ-i_G_dec*(V$3-i_trans_start)),i_G_occ)</f>
        <v/>
      </c>
      <c r="W91" s="21">
        <f>IF(W$3&gt;i_trans_start,MAX(i_G_floor,i_G_occ-i_G_dec*(W$3-i_trans_start)),i_G_occ)</f>
        <v/>
      </c>
      <c r="X91" s="21">
        <f>IF(X$3&gt;i_trans_start,MAX(i_G_floor,i_G_occ-i_G_dec*(X$3-i_trans_start)),i_G_occ)</f>
        <v/>
      </c>
      <c r="Y91" s="21">
        <f>IF(Y$3&gt;i_trans_start,MAX(i_G_floor,i_G_occ-i_G_dec*(Y$3-i_trans_start)),i_G_occ)</f>
        <v/>
      </c>
      <c r="Z91" s="21">
        <f>IF(Z$3&gt;i_trans_start,MAX(i_G_floor,i_G_occ-i_G_dec*(Z$3-i_trans_start)),i_G_occ)</f>
        <v/>
      </c>
      <c r="AA91" s="21">
        <f>IF(AA$3&gt;i_trans_start,MAX(i_G_floor,i_G_occ-i_G_dec*(AA$3-i_trans_start)),i_G_occ)</f>
        <v/>
      </c>
      <c r="AB91" s="21">
        <f>IF(AB$3&gt;i_trans_start,MAX(i_G_floor,i_G_occ-i_G_dec*(AB$3-i_trans_start)),i_G_occ)</f>
        <v/>
      </c>
      <c r="AC91" s="21">
        <f>IF(AC$3&gt;i_trans_start,MAX(i_G_floor,i_G_occ-i_G_dec*(AC$3-i_trans_start)),i_G_occ)</f>
        <v/>
      </c>
      <c r="AD91" s="21">
        <f>IF(AD$3&gt;i_trans_start,MAX(i_G_floor,i_G_occ-i_G_dec*(AD$3-i_trans_start)),i_G_occ)</f>
        <v/>
      </c>
      <c r="AE91" s="21">
        <f>IF(AE$3&gt;i_trans_start,MAX(i_G_floor,i_G_occ-i_G_dec*(AE$3-i_trans_start)),i_G_occ)</f>
        <v/>
      </c>
      <c r="AF91" s="21">
        <f>IF(AF$3&gt;i_trans_start,MAX(i_G_floor,i_G_occ-i_G_dec*(AF$3-i_trans_start)),i_G_occ)</f>
        <v/>
      </c>
      <c r="AG91" s="21">
        <f>IF(AG$3&gt;i_trans_start,MAX(i_G_floor,i_G_occ-i_G_dec*(AG$3-i_trans_start)),i_G_occ)</f>
        <v/>
      </c>
      <c r="AH91" s="21">
        <f>IF(AH$3&gt;i_trans_start,MAX(i_G_floor,i_G_occ-i_G_dec*(AH$3-i_trans_start)),i_G_occ)</f>
        <v/>
      </c>
      <c r="AI91" s="21">
        <f>IF(AI$3&gt;i_trans_start,MAX(i_G_floor,i_G_occ-i_G_dec*(AI$3-i_trans_start)),i_G_occ)</f>
        <v/>
      </c>
    </row>
    <row r="92">
      <c r="B92" s="2" t="inlineStr">
        <is>
          <t xml:space="preserve">  Occupancy (with the shift switch from 2027)</t>
        </is>
      </c>
      <c r="D92" s="21">
        <f>IF(D$4&gt;0,MIN(1,D91+Platform!$C$31),D91)</f>
        <v/>
      </c>
      <c r="E92" s="21">
        <f>IF(E$4&gt;0,MIN(1,E91+Platform!$C$31),E91)</f>
        <v/>
      </c>
      <c r="F92" s="21">
        <f>IF(F$4&gt;0,MIN(1,F91+Platform!$C$31),F91)</f>
        <v/>
      </c>
      <c r="G92" s="21">
        <f>IF(G$4&gt;0,MIN(1,G91+Platform!$C$31),G91)</f>
        <v/>
      </c>
      <c r="H92" s="21">
        <f>IF(H$4&gt;0,MIN(1,H91+Platform!$C$31),H91)</f>
        <v/>
      </c>
      <c r="I92" s="21">
        <f>IF(I$4&gt;0,MIN(1,I91+Platform!$C$31),I91)</f>
        <v/>
      </c>
      <c r="J92" s="21">
        <f>IF(J$4&gt;0,MIN(1,J91+Platform!$C$31),J91)</f>
        <v/>
      </c>
      <c r="K92" s="21">
        <f>IF(K$4&gt;0,MIN(1,K91+Platform!$C$31),K91)</f>
        <v/>
      </c>
      <c r="L92" s="21">
        <f>IF(L$4&gt;0,MIN(1,L91+Platform!$C$31),L91)</f>
        <v/>
      </c>
      <c r="M92" s="21">
        <f>IF(M$4&gt;0,MIN(1,M91+Platform!$C$31),M91)</f>
        <v/>
      </c>
      <c r="N92" s="21">
        <f>IF(N$4&gt;0,MIN(1,N91+Platform!$C$31),N91)</f>
        <v/>
      </c>
      <c r="O92" s="21">
        <f>IF(O$4&gt;0,MIN(1,O91+Platform!$C$31),O91)</f>
        <v/>
      </c>
      <c r="P92" s="21">
        <f>IF(P$4&gt;0,MIN(1,P91+Platform!$C$31),P91)</f>
        <v/>
      </c>
      <c r="Q92" s="21">
        <f>IF(Q$4&gt;0,MIN(1,Q91+Platform!$C$31),Q91)</f>
        <v/>
      </c>
      <c r="R92" s="21">
        <f>IF(R$4&gt;0,MIN(1,R91+Platform!$C$31),R91)</f>
        <v/>
      </c>
      <c r="S92" s="21">
        <f>IF(S$4&gt;0,MIN(1,S91+Platform!$C$31),S91)</f>
        <v/>
      </c>
      <c r="T92" s="21">
        <f>IF(T$4&gt;0,MIN(1,T91+Platform!$C$31),T91)</f>
        <v/>
      </c>
      <c r="U92" s="21">
        <f>IF(U$4&gt;0,MIN(1,U91+Platform!$C$31),U91)</f>
        <v/>
      </c>
      <c r="V92" s="21">
        <f>IF(V$4&gt;0,MIN(1,V91+Platform!$C$31),V91)</f>
        <v/>
      </c>
      <c r="W92" s="21">
        <f>IF(W$4&gt;0,MIN(1,W91+Platform!$C$31),W91)</f>
        <v/>
      </c>
      <c r="X92" s="21">
        <f>IF(X$4&gt;0,MIN(1,X91+Platform!$C$31),X91)</f>
        <v/>
      </c>
      <c r="Y92" s="21">
        <f>IF(Y$4&gt;0,MIN(1,Y91+Platform!$C$31),Y91)</f>
        <v/>
      </c>
      <c r="Z92" s="21">
        <f>IF(Z$4&gt;0,MIN(1,Z91+Platform!$C$31),Z91)</f>
        <v/>
      </c>
      <c r="AA92" s="21">
        <f>IF(AA$4&gt;0,MIN(1,AA91+Platform!$C$31),AA91)</f>
        <v/>
      </c>
      <c r="AB92" s="21">
        <f>IF(AB$4&gt;0,MIN(1,AB91+Platform!$C$31),AB91)</f>
        <v/>
      </c>
      <c r="AC92" s="21">
        <f>IF(AC$4&gt;0,MIN(1,AC91+Platform!$C$31),AC91)</f>
        <v/>
      </c>
      <c r="AD92" s="21">
        <f>IF(AD$4&gt;0,MIN(1,AD91+Platform!$C$31),AD91)</f>
        <v/>
      </c>
      <c r="AE92" s="21">
        <f>IF(AE$4&gt;0,MIN(1,AE91+Platform!$C$31),AE91)</f>
        <v/>
      </c>
      <c r="AF92" s="21">
        <f>IF(AF$4&gt;0,MIN(1,AF91+Platform!$C$31),AF91)</f>
        <v/>
      </c>
      <c r="AG92" s="21">
        <f>IF(AG$4&gt;0,MIN(1,AG91+Platform!$C$31),AG91)</f>
        <v/>
      </c>
      <c r="AH92" s="21">
        <f>IF(AH$4&gt;0,MIN(1,AH91+Platform!$C$31),AH91)</f>
        <v/>
      </c>
      <c r="AI92" s="21">
        <f>IF(AI$4&gt;0,MIN(1,AI91+Platform!$C$31),AI91)</f>
        <v/>
      </c>
    </row>
    <row r="93">
      <c r="B93" s="2" t="inlineStr">
        <is>
          <t xml:space="preserve">  Storage revenue</t>
        </is>
      </c>
      <c r="D93" s="19">
        <f>D87*D90*12*D92</f>
        <v/>
      </c>
      <c r="E93" s="19">
        <f>E87*E90*12*E92</f>
        <v/>
      </c>
      <c r="F93" s="19">
        <f>F87*F90*12*F92</f>
        <v/>
      </c>
      <c r="G93" s="19">
        <f>G87*G90*12*G92</f>
        <v/>
      </c>
      <c r="H93" s="19">
        <f>H87*H90*12*H92</f>
        <v/>
      </c>
      <c r="I93" s="19">
        <f>I87*I90*12*I92</f>
        <v/>
      </c>
      <c r="J93" s="19">
        <f>J87*J90*12*J92</f>
        <v/>
      </c>
      <c r="K93" s="19">
        <f>K87*K90*12*K92</f>
        <v/>
      </c>
      <c r="L93" s="19">
        <f>L87*L90*12*L92</f>
        <v/>
      </c>
      <c r="M93" s="19">
        <f>M87*M90*12*M92</f>
        <v/>
      </c>
      <c r="N93" s="19">
        <f>N87*N90*12*N92</f>
        <v/>
      </c>
      <c r="O93" s="19">
        <f>O87*O90*12*O92</f>
        <v/>
      </c>
      <c r="P93" s="19">
        <f>P87*P90*12*P92</f>
        <v/>
      </c>
      <c r="Q93" s="19">
        <f>Q87*Q90*12*Q92</f>
        <v/>
      </c>
      <c r="R93" s="19">
        <f>R87*R90*12*R92</f>
        <v/>
      </c>
      <c r="S93" s="19">
        <f>S87*S90*12*S92</f>
        <v/>
      </c>
      <c r="T93" s="19">
        <f>T87*T90*12*T92</f>
        <v/>
      </c>
      <c r="U93" s="19">
        <f>U87*U90*12*U92</f>
        <v/>
      </c>
      <c r="V93" s="19">
        <f>V87*V90*12*V92</f>
        <v/>
      </c>
      <c r="W93" s="19">
        <f>W87*W90*12*W92</f>
        <v/>
      </c>
      <c r="X93" s="19">
        <f>X87*X90*12*X92</f>
        <v/>
      </c>
      <c r="Y93" s="19">
        <f>Y87*Y90*12*Y92</f>
        <v/>
      </c>
      <c r="Z93" s="19">
        <f>Z87*Z90*12*Z92</f>
        <v/>
      </c>
      <c r="AA93" s="19">
        <f>AA87*AA90*12*AA92</f>
        <v/>
      </c>
      <c r="AB93" s="19">
        <f>AB87*AB90*12*AB92</f>
        <v/>
      </c>
      <c r="AC93" s="19">
        <f>AC87*AC90*12*AC92</f>
        <v/>
      </c>
      <c r="AD93" s="19">
        <f>AD87*AD90*12*AD92</f>
        <v/>
      </c>
      <c r="AE93" s="19">
        <f>AE87*AE90*12*AE92</f>
        <v/>
      </c>
      <c r="AF93" s="19">
        <f>AF87*AF90*12*AF92</f>
        <v/>
      </c>
      <c r="AG93" s="19">
        <f>AG87*AG90*12*AG92</f>
        <v/>
      </c>
      <c r="AH93" s="19">
        <f>AH87*AH90*12*AH92</f>
        <v/>
      </c>
      <c r="AI93" s="19">
        <f>AI87*AI90*12*AI92</f>
        <v/>
      </c>
    </row>
    <row r="94">
      <c r="B94" s="2" t="inlineStr">
        <is>
          <t xml:space="preserve">  Ancillary and throughput revenue</t>
        </is>
      </c>
      <c r="D94" s="19">
        <f>D93*i_G_anc</f>
        <v/>
      </c>
      <c r="E94" s="19">
        <f>E93*i_G_anc</f>
        <v/>
      </c>
      <c r="F94" s="19">
        <f>F93*i_G_anc</f>
        <v/>
      </c>
      <c r="G94" s="19">
        <f>G93*i_G_anc</f>
        <v/>
      </c>
      <c r="H94" s="19">
        <f>H93*i_G_anc</f>
        <v/>
      </c>
      <c r="I94" s="19">
        <f>I93*i_G_anc</f>
        <v/>
      </c>
      <c r="J94" s="19">
        <f>J93*i_G_anc</f>
        <v/>
      </c>
      <c r="K94" s="19">
        <f>K93*i_G_anc</f>
        <v/>
      </c>
      <c r="L94" s="19">
        <f>L93*i_G_anc</f>
        <v/>
      </c>
      <c r="M94" s="19">
        <f>M93*i_G_anc</f>
        <v/>
      </c>
      <c r="N94" s="19">
        <f>N93*i_G_anc</f>
        <v/>
      </c>
      <c r="O94" s="19">
        <f>O93*i_G_anc</f>
        <v/>
      </c>
      <c r="P94" s="19">
        <f>P93*i_G_anc</f>
        <v/>
      </c>
      <c r="Q94" s="19">
        <f>Q93*i_G_anc</f>
        <v/>
      </c>
      <c r="R94" s="19">
        <f>R93*i_G_anc</f>
        <v/>
      </c>
      <c r="S94" s="19">
        <f>S93*i_G_anc</f>
        <v/>
      </c>
      <c r="T94" s="19">
        <f>T93*i_G_anc</f>
        <v/>
      </c>
      <c r="U94" s="19">
        <f>U93*i_G_anc</f>
        <v/>
      </c>
      <c r="V94" s="19">
        <f>V93*i_G_anc</f>
        <v/>
      </c>
      <c r="W94" s="19">
        <f>W93*i_G_anc</f>
        <v/>
      </c>
      <c r="X94" s="19">
        <f>X93*i_G_anc</f>
        <v/>
      </c>
      <c r="Y94" s="19">
        <f>Y93*i_G_anc</f>
        <v/>
      </c>
      <c r="Z94" s="19">
        <f>Z93*i_G_anc</f>
        <v/>
      </c>
      <c r="AA94" s="19">
        <f>AA93*i_G_anc</f>
        <v/>
      </c>
      <c r="AB94" s="19">
        <f>AB93*i_G_anc</f>
        <v/>
      </c>
      <c r="AC94" s="19">
        <f>AC93*i_G_anc</f>
        <v/>
      </c>
      <c r="AD94" s="19">
        <f>AD93*i_G_anc</f>
        <v/>
      </c>
      <c r="AE94" s="19">
        <f>AE93*i_G_anc</f>
        <v/>
      </c>
      <c r="AF94" s="19">
        <f>AF93*i_G_anc</f>
        <v/>
      </c>
      <c r="AG94" s="19">
        <f>AG93*i_G_anc</f>
        <v/>
      </c>
      <c r="AH94" s="19">
        <f>AH93*i_G_anc</f>
        <v/>
      </c>
      <c r="AI94" s="19">
        <f>AI93*i_G_anc</f>
        <v/>
      </c>
    </row>
    <row r="95">
      <c r="B95" s="3" t="inlineStr">
        <is>
          <t xml:space="preserve">  Revenue</t>
        </is>
      </c>
      <c r="D95" s="31">
        <f>D93+D94</f>
        <v/>
      </c>
      <c r="E95" s="31">
        <f>E93+E94</f>
        <v/>
      </c>
      <c r="F95" s="31">
        <f>F93+F94</f>
        <v/>
      </c>
      <c r="G95" s="31">
        <f>G93+G94</f>
        <v/>
      </c>
      <c r="H95" s="31">
        <f>H93+H94</f>
        <v/>
      </c>
      <c r="I95" s="31">
        <f>I93+I94</f>
        <v/>
      </c>
      <c r="J95" s="31">
        <f>J93+J94</f>
        <v/>
      </c>
      <c r="K95" s="31">
        <f>K93+K94</f>
        <v/>
      </c>
      <c r="L95" s="31">
        <f>L93+L94</f>
        <v/>
      </c>
      <c r="M95" s="31">
        <f>M93+M94</f>
        <v/>
      </c>
      <c r="N95" s="31">
        <f>N93+N94</f>
        <v/>
      </c>
      <c r="O95" s="31">
        <f>O93+O94</f>
        <v/>
      </c>
      <c r="P95" s="31">
        <f>P93+P94</f>
        <v/>
      </c>
      <c r="Q95" s="31">
        <f>Q93+Q94</f>
        <v/>
      </c>
      <c r="R95" s="31">
        <f>R93+R94</f>
        <v/>
      </c>
      <c r="S95" s="31">
        <f>S93+S94</f>
        <v/>
      </c>
      <c r="T95" s="31">
        <f>T93+T94</f>
        <v/>
      </c>
      <c r="U95" s="31">
        <f>U93+U94</f>
        <v/>
      </c>
      <c r="V95" s="31">
        <f>V93+V94</f>
        <v/>
      </c>
      <c r="W95" s="31">
        <f>W93+W94</f>
        <v/>
      </c>
      <c r="X95" s="31">
        <f>X93+X94</f>
        <v/>
      </c>
      <c r="Y95" s="31">
        <f>Y93+Y94</f>
        <v/>
      </c>
      <c r="Z95" s="31">
        <f>Z93+Z94</f>
        <v/>
      </c>
      <c r="AA95" s="31">
        <f>AA93+AA94</f>
        <v/>
      </c>
      <c r="AB95" s="31">
        <f>AB93+AB94</f>
        <v/>
      </c>
      <c r="AC95" s="31">
        <f>AC93+AC94</f>
        <v/>
      </c>
      <c r="AD95" s="31">
        <f>AD93+AD94</f>
        <v/>
      </c>
      <c r="AE95" s="31">
        <f>AE93+AE94</f>
        <v/>
      </c>
      <c r="AF95" s="31">
        <f>AF93+AF94</f>
        <v/>
      </c>
      <c r="AG95" s="31">
        <f>AG93+AG94</f>
        <v/>
      </c>
      <c r="AH95" s="31">
        <f>AH93+AH94</f>
        <v/>
      </c>
      <c r="AI95" s="31">
        <f>AI93+AI94</f>
        <v/>
      </c>
    </row>
    <row r="96">
      <c r="B96" s="2" t="inlineStr">
        <is>
          <t xml:space="preserve">  Fixed cost</t>
        </is>
      </c>
      <c r="D96" s="19">
        <f>D87*i_G_fix*D36</f>
        <v/>
      </c>
      <c r="E96" s="19">
        <f>E87*i_G_fix*E36</f>
        <v/>
      </c>
      <c r="F96" s="19">
        <f>F87*i_G_fix*F36</f>
        <v/>
      </c>
      <c r="G96" s="19">
        <f>G87*i_G_fix*G36</f>
        <v/>
      </c>
      <c r="H96" s="19">
        <f>H87*i_G_fix*H36</f>
        <v/>
      </c>
      <c r="I96" s="19">
        <f>I87*i_G_fix*I36</f>
        <v/>
      </c>
      <c r="J96" s="19">
        <f>J87*i_G_fix*J36</f>
        <v/>
      </c>
      <c r="K96" s="19">
        <f>K87*i_G_fix*K36</f>
        <v/>
      </c>
      <c r="L96" s="19">
        <f>L87*i_G_fix*L36</f>
        <v/>
      </c>
      <c r="M96" s="19">
        <f>M87*i_G_fix*M36</f>
        <v/>
      </c>
      <c r="N96" s="19">
        <f>N87*i_G_fix*N36</f>
        <v/>
      </c>
      <c r="O96" s="19">
        <f>O87*i_G_fix*O36</f>
        <v/>
      </c>
      <c r="P96" s="19">
        <f>P87*i_G_fix*P36</f>
        <v/>
      </c>
      <c r="Q96" s="19">
        <f>Q87*i_G_fix*Q36</f>
        <v/>
      </c>
      <c r="R96" s="19">
        <f>R87*i_G_fix*R36</f>
        <v/>
      </c>
      <c r="S96" s="19">
        <f>S87*i_G_fix*S36</f>
        <v/>
      </c>
      <c r="T96" s="19">
        <f>T87*i_G_fix*T36</f>
        <v/>
      </c>
      <c r="U96" s="19">
        <f>U87*i_G_fix*U36</f>
        <v/>
      </c>
      <c r="V96" s="19">
        <f>V87*i_G_fix*V36</f>
        <v/>
      </c>
      <c r="W96" s="19">
        <f>W87*i_G_fix*W36</f>
        <v/>
      </c>
      <c r="X96" s="19">
        <f>X87*i_G_fix*X36</f>
        <v/>
      </c>
      <c r="Y96" s="19">
        <f>Y87*i_G_fix*Y36</f>
        <v/>
      </c>
      <c r="Z96" s="19">
        <f>Z87*i_G_fix*Z36</f>
        <v/>
      </c>
      <c r="AA96" s="19">
        <f>AA87*i_G_fix*AA36</f>
        <v/>
      </c>
      <c r="AB96" s="19">
        <f>AB87*i_G_fix*AB36</f>
        <v/>
      </c>
      <c r="AC96" s="19">
        <f>AC87*i_G_fix*AC36</f>
        <v/>
      </c>
      <c r="AD96" s="19">
        <f>AD87*i_G_fix*AD36</f>
        <v/>
      </c>
      <c r="AE96" s="19">
        <f>AE87*i_G_fix*AE36</f>
        <v/>
      </c>
      <c r="AF96" s="19">
        <f>AF87*i_G_fix*AF36</f>
        <v/>
      </c>
      <c r="AG96" s="19">
        <f>AG87*i_G_fix*AG36</f>
        <v/>
      </c>
      <c r="AH96" s="19">
        <f>AH87*i_G_fix*AH36</f>
        <v/>
      </c>
      <c r="AI96" s="19">
        <f>AI87*i_G_fix*AI36</f>
        <v/>
      </c>
    </row>
    <row r="97">
      <c r="B97" s="2" t="inlineStr">
        <is>
          <t xml:space="preserve">  Variable cost</t>
        </is>
      </c>
      <c r="D97" s="19">
        <f>i_G_var*D95</f>
        <v/>
      </c>
      <c r="E97" s="19">
        <f>i_G_var*E95</f>
        <v/>
      </c>
      <c r="F97" s="19">
        <f>i_G_var*F95</f>
        <v/>
      </c>
      <c r="G97" s="19">
        <f>i_G_var*G95</f>
        <v/>
      </c>
      <c r="H97" s="19">
        <f>i_G_var*H95</f>
        <v/>
      </c>
      <c r="I97" s="19">
        <f>i_G_var*I95</f>
        <v/>
      </c>
      <c r="J97" s="19">
        <f>i_G_var*J95</f>
        <v/>
      </c>
      <c r="K97" s="19">
        <f>i_G_var*K95</f>
        <v/>
      </c>
      <c r="L97" s="19">
        <f>i_G_var*L95</f>
        <v/>
      </c>
      <c r="M97" s="19">
        <f>i_G_var*M95</f>
        <v/>
      </c>
      <c r="N97" s="19">
        <f>i_G_var*N95</f>
        <v/>
      </c>
      <c r="O97" s="19">
        <f>i_G_var*O95</f>
        <v/>
      </c>
      <c r="P97" s="19">
        <f>i_G_var*P95</f>
        <v/>
      </c>
      <c r="Q97" s="19">
        <f>i_G_var*Q95</f>
        <v/>
      </c>
      <c r="R97" s="19">
        <f>i_G_var*R95</f>
        <v/>
      </c>
      <c r="S97" s="19">
        <f>i_G_var*S95</f>
        <v/>
      </c>
      <c r="T97" s="19">
        <f>i_G_var*T95</f>
        <v/>
      </c>
      <c r="U97" s="19">
        <f>i_G_var*U95</f>
        <v/>
      </c>
      <c r="V97" s="19">
        <f>i_G_var*V95</f>
        <v/>
      </c>
      <c r="W97" s="19">
        <f>i_G_var*W95</f>
        <v/>
      </c>
      <c r="X97" s="19">
        <f>i_G_var*X95</f>
        <v/>
      </c>
      <c r="Y97" s="19">
        <f>i_G_var*Y95</f>
        <v/>
      </c>
      <c r="Z97" s="19">
        <f>i_G_var*Z95</f>
        <v/>
      </c>
      <c r="AA97" s="19">
        <f>i_G_var*AA95</f>
        <v/>
      </c>
      <c r="AB97" s="19">
        <f>i_G_var*AB95</f>
        <v/>
      </c>
      <c r="AC97" s="19">
        <f>i_G_var*AC95</f>
        <v/>
      </c>
      <c r="AD97" s="19">
        <f>i_G_var*AD95</f>
        <v/>
      </c>
      <c r="AE97" s="19">
        <f>i_G_var*AE95</f>
        <v/>
      </c>
      <c r="AF97" s="19">
        <f>i_G_var*AF95</f>
        <v/>
      </c>
      <c r="AG97" s="19">
        <f>i_G_var*AG95</f>
        <v/>
      </c>
      <c r="AH97" s="19">
        <f>i_G_var*AH95</f>
        <v/>
      </c>
      <c r="AI97" s="19">
        <f>i_G_var*AI95</f>
        <v/>
      </c>
    </row>
    <row r="98">
      <c r="B98" s="2" t="inlineStr">
        <is>
          <t xml:space="preserve">  Extra windstorm insurance</t>
        </is>
      </c>
      <c r="D98" s="19">
        <f>IF(D$4&gt;0,Platform!$C$29*i_g_ins*D36,0)</f>
        <v/>
      </c>
      <c r="E98" s="19">
        <f>IF(E$4&gt;0,Platform!$C$29*i_g_ins*E36,0)</f>
        <v/>
      </c>
      <c r="F98" s="19">
        <f>IF(F$4&gt;0,Platform!$C$29*i_g_ins*F36,0)</f>
        <v/>
      </c>
      <c r="G98" s="19">
        <f>IF(G$4&gt;0,Platform!$C$29*i_g_ins*G36,0)</f>
        <v/>
      </c>
      <c r="H98" s="19">
        <f>IF(H$4&gt;0,Platform!$C$29*i_g_ins*H36,0)</f>
        <v/>
      </c>
      <c r="I98" s="19">
        <f>IF(I$4&gt;0,Platform!$C$29*i_g_ins*I36,0)</f>
        <v/>
      </c>
      <c r="J98" s="19">
        <f>IF(J$4&gt;0,Platform!$C$29*i_g_ins*J36,0)</f>
        <v/>
      </c>
      <c r="K98" s="19">
        <f>IF(K$4&gt;0,Platform!$C$29*i_g_ins*K36,0)</f>
        <v/>
      </c>
      <c r="L98" s="19">
        <f>IF(L$4&gt;0,Platform!$C$29*i_g_ins*L36,0)</f>
        <v/>
      </c>
      <c r="M98" s="19">
        <f>IF(M$4&gt;0,Platform!$C$29*i_g_ins*M36,0)</f>
        <v/>
      </c>
      <c r="N98" s="19">
        <f>IF(N$4&gt;0,Platform!$C$29*i_g_ins*N36,0)</f>
        <v/>
      </c>
      <c r="O98" s="19">
        <f>IF(O$4&gt;0,Platform!$C$29*i_g_ins*O36,0)</f>
        <v/>
      </c>
      <c r="P98" s="19">
        <f>IF(P$4&gt;0,Platform!$C$29*i_g_ins*P36,0)</f>
        <v/>
      </c>
      <c r="Q98" s="19">
        <f>IF(Q$4&gt;0,Platform!$C$29*i_g_ins*Q36,0)</f>
        <v/>
      </c>
      <c r="R98" s="19">
        <f>IF(R$4&gt;0,Platform!$C$29*i_g_ins*R36,0)</f>
        <v/>
      </c>
      <c r="S98" s="19">
        <f>IF(S$4&gt;0,Platform!$C$29*i_g_ins*S36,0)</f>
        <v/>
      </c>
      <c r="T98" s="19">
        <f>IF(T$4&gt;0,Platform!$C$29*i_g_ins*T36,0)</f>
        <v/>
      </c>
      <c r="U98" s="19">
        <f>IF(U$4&gt;0,Platform!$C$29*i_g_ins*U36,0)</f>
        <v/>
      </c>
      <c r="V98" s="19">
        <f>IF(V$4&gt;0,Platform!$C$29*i_g_ins*V36,0)</f>
        <v/>
      </c>
      <c r="W98" s="19">
        <f>IF(W$4&gt;0,Platform!$C$29*i_g_ins*W36,0)</f>
        <v/>
      </c>
      <c r="X98" s="19">
        <f>IF(X$4&gt;0,Platform!$C$29*i_g_ins*X36,0)</f>
        <v/>
      </c>
      <c r="Y98" s="19">
        <f>IF(Y$4&gt;0,Platform!$C$29*i_g_ins*Y36,0)</f>
        <v/>
      </c>
      <c r="Z98" s="19">
        <f>IF(Z$4&gt;0,Platform!$C$29*i_g_ins*Z36,0)</f>
        <v/>
      </c>
      <c r="AA98" s="19">
        <f>IF(AA$4&gt;0,Platform!$C$29*i_g_ins*AA36,0)</f>
        <v/>
      </c>
      <c r="AB98" s="19">
        <f>IF(AB$4&gt;0,Platform!$C$29*i_g_ins*AB36,0)</f>
        <v/>
      </c>
      <c r="AC98" s="19">
        <f>IF(AC$4&gt;0,Platform!$C$29*i_g_ins*AC36,0)</f>
        <v/>
      </c>
      <c r="AD98" s="19">
        <f>IF(AD$4&gt;0,Platform!$C$29*i_g_ins*AD36,0)</f>
        <v/>
      </c>
      <c r="AE98" s="19">
        <f>IF(AE$4&gt;0,Platform!$C$29*i_g_ins*AE36,0)</f>
        <v/>
      </c>
      <c r="AF98" s="19">
        <f>IF(AF$4&gt;0,Platform!$C$29*i_g_ins*AF36,0)</f>
        <v/>
      </c>
      <c r="AG98" s="19">
        <f>IF(AG$4&gt;0,Platform!$C$29*i_g_ins*AG36,0)</f>
        <v/>
      </c>
      <c r="AH98" s="19">
        <f>IF(AH$4&gt;0,Platform!$C$29*i_g_ins*AH36,0)</f>
        <v/>
      </c>
      <c r="AI98" s="19">
        <f>IF(AI$4&gt;0,Platform!$C$29*i_g_ins*AI36,0)</f>
        <v/>
      </c>
    </row>
    <row r="99">
      <c r="B99" s="2" t="inlineStr">
        <is>
          <t xml:space="preserve">  Operating cost</t>
        </is>
      </c>
      <c r="D99" s="19">
        <f>D96+D97+D98</f>
        <v/>
      </c>
      <c r="E99" s="19">
        <f>E96+E97+E98</f>
        <v/>
      </c>
      <c r="F99" s="19">
        <f>F96+F97+F98</f>
        <v/>
      </c>
      <c r="G99" s="19">
        <f>G96+G97+G98</f>
        <v/>
      </c>
      <c r="H99" s="19">
        <f>H96+H97+H98</f>
        <v/>
      </c>
      <c r="I99" s="19">
        <f>I96+I97+I98</f>
        <v/>
      </c>
      <c r="J99" s="19">
        <f>J96+J97+J98</f>
        <v/>
      </c>
      <c r="K99" s="19">
        <f>K96+K97+K98</f>
        <v/>
      </c>
      <c r="L99" s="19">
        <f>L96+L97+L98</f>
        <v/>
      </c>
      <c r="M99" s="19">
        <f>M96+M97+M98</f>
        <v/>
      </c>
      <c r="N99" s="19">
        <f>N96+N97+N98</f>
        <v/>
      </c>
      <c r="O99" s="19">
        <f>O96+O97+O98</f>
        <v/>
      </c>
      <c r="P99" s="19">
        <f>P96+P97+P98</f>
        <v/>
      </c>
      <c r="Q99" s="19">
        <f>Q96+Q97+Q98</f>
        <v/>
      </c>
      <c r="R99" s="19">
        <f>R96+R97+R98</f>
        <v/>
      </c>
      <c r="S99" s="19">
        <f>S96+S97+S98</f>
        <v/>
      </c>
      <c r="T99" s="19">
        <f>T96+T97+T98</f>
        <v/>
      </c>
      <c r="U99" s="19">
        <f>U96+U97+U98</f>
        <v/>
      </c>
      <c r="V99" s="19">
        <f>V96+V97+V98</f>
        <v/>
      </c>
      <c r="W99" s="19">
        <f>W96+W97+W98</f>
        <v/>
      </c>
      <c r="X99" s="19">
        <f>X96+X97+X98</f>
        <v/>
      </c>
      <c r="Y99" s="19">
        <f>Y96+Y97+Y98</f>
        <v/>
      </c>
      <c r="Z99" s="19">
        <f>Z96+Z97+Z98</f>
        <v/>
      </c>
      <c r="AA99" s="19">
        <f>AA96+AA97+AA98</f>
        <v/>
      </c>
      <c r="AB99" s="19">
        <f>AB96+AB97+AB98</f>
        <v/>
      </c>
      <c r="AC99" s="19">
        <f>AC96+AC97+AC98</f>
        <v/>
      </c>
      <c r="AD99" s="19">
        <f>AD96+AD97+AD98</f>
        <v/>
      </c>
      <c r="AE99" s="19">
        <f>AE96+AE97+AE98</f>
        <v/>
      </c>
      <c r="AF99" s="19">
        <f>AF96+AF97+AF98</f>
        <v/>
      </c>
      <c r="AG99" s="19">
        <f>AG96+AG97+AG98</f>
        <v/>
      </c>
      <c r="AH99" s="19">
        <f>AH96+AH97+AH98</f>
        <v/>
      </c>
      <c r="AI99" s="19">
        <f>AI96+AI97+AI98</f>
        <v/>
      </c>
    </row>
    <row r="100">
      <c r="B100" s="3" t="inlineStr">
        <is>
          <t xml:space="preserve">  EBITDA</t>
        </is>
      </c>
      <c r="D100" s="31">
        <f>D95-D99</f>
        <v/>
      </c>
      <c r="E100" s="31">
        <f>E95-E99</f>
        <v/>
      </c>
      <c r="F100" s="31">
        <f>F95-F99</f>
        <v/>
      </c>
      <c r="G100" s="31">
        <f>G95-G99</f>
        <v/>
      </c>
      <c r="H100" s="31">
        <f>H95-H99</f>
        <v/>
      </c>
      <c r="I100" s="31">
        <f>I95-I99</f>
        <v/>
      </c>
      <c r="J100" s="31">
        <f>J95-J99</f>
        <v/>
      </c>
      <c r="K100" s="31">
        <f>K95-K99</f>
        <v/>
      </c>
      <c r="L100" s="31">
        <f>L95-L99</f>
        <v/>
      </c>
      <c r="M100" s="31">
        <f>M95-M99</f>
        <v/>
      </c>
      <c r="N100" s="31">
        <f>N95-N99</f>
        <v/>
      </c>
      <c r="O100" s="31">
        <f>O95-O99</f>
        <v/>
      </c>
      <c r="P100" s="31">
        <f>P95-P99</f>
        <v/>
      </c>
      <c r="Q100" s="31">
        <f>Q95-Q99</f>
        <v/>
      </c>
      <c r="R100" s="31">
        <f>R95-R99</f>
        <v/>
      </c>
      <c r="S100" s="31">
        <f>S95-S99</f>
        <v/>
      </c>
      <c r="T100" s="31">
        <f>T95-T99</f>
        <v/>
      </c>
      <c r="U100" s="31">
        <f>U95-U99</f>
        <v/>
      </c>
      <c r="V100" s="31">
        <f>V95-V99</f>
        <v/>
      </c>
      <c r="W100" s="31">
        <f>W95-W99</f>
        <v/>
      </c>
      <c r="X100" s="31">
        <f>X95-X99</f>
        <v/>
      </c>
      <c r="Y100" s="31">
        <f>Y95-Y99</f>
        <v/>
      </c>
      <c r="Z100" s="31">
        <f>Z95-Z99</f>
        <v/>
      </c>
      <c r="AA100" s="31">
        <f>AA95-AA99</f>
        <v/>
      </c>
      <c r="AB100" s="31">
        <f>AB95-AB99</f>
        <v/>
      </c>
      <c r="AC100" s="31">
        <f>AC95-AC99</f>
        <v/>
      </c>
      <c r="AD100" s="31">
        <f>AD95-AD99</f>
        <v/>
      </c>
      <c r="AE100" s="31">
        <f>AE95-AE99</f>
        <v/>
      </c>
      <c r="AF100" s="31">
        <f>AF95-AF99</f>
        <v/>
      </c>
      <c r="AG100" s="31">
        <f>AG95-AG99</f>
        <v/>
      </c>
      <c r="AH100" s="31">
        <f>AH95-AH99</f>
        <v/>
      </c>
      <c r="AI100" s="31">
        <f>AI95-AI99</f>
        <v/>
      </c>
    </row>
    <row r="101">
      <c r="B101" s="2" t="inlineStr">
        <is>
          <t xml:space="preserve">  Maintenance capex</t>
        </is>
      </c>
      <c r="D101" s="19">
        <f>D87*i_G_mc*D36</f>
        <v/>
      </c>
      <c r="E101" s="19">
        <f>E87*i_G_mc*E36</f>
        <v/>
      </c>
      <c r="F101" s="19">
        <f>F87*i_G_mc*F36</f>
        <v/>
      </c>
      <c r="G101" s="19">
        <f>G87*i_G_mc*G36</f>
        <v/>
      </c>
      <c r="H101" s="19">
        <f>H87*i_G_mc*H36</f>
        <v/>
      </c>
      <c r="I101" s="19">
        <f>I87*i_G_mc*I36</f>
        <v/>
      </c>
      <c r="J101" s="19">
        <f>J87*i_G_mc*J36</f>
        <v/>
      </c>
      <c r="K101" s="19">
        <f>K87*i_G_mc*K36</f>
        <v/>
      </c>
      <c r="L101" s="19">
        <f>L87*i_G_mc*L36</f>
        <v/>
      </c>
      <c r="M101" s="19">
        <f>M87*i_G_mc*M36</f>
        <v/>
      </c>
      <c r="N101" s="19">
        <f>N87*i_G_mc*N36</f>
        <v/>
      </c>
      <c r="O101" s="19">
        <f>O87*i_G_mc*O36</f>
        <v/>
      </c>
      <c r="P101" s="19">
        <f>P87*i_G_mc*P36</f>
        <v/>
      </c>
      <c r="Q101" s="19">
        <f>Q87*i_G_mc*Q36</f>
        <v/>
      </c>
      <c r="R101" s="19">
        <f>R87*i_G_mc*R36</f>
        <v/>
      </c>
      <c r="S101" s="19">
        <f>S87*i_G_mc*S36</f>
        <v/>
      </c>
      <c r="T101" s="19">
        <f>T87*i_G_mc*T36</f>
        <v/>
      </c>
      <c r="U101" s="19">
        <f>U87*i_G_mc*U36</f>
        <v/>
      </c>
      <c r="V101" s="19">
        <f>V87*i_G_mc*V36</f>
        <v/>
      </c>
      <c r="W101" s="19">
        <f>W87*i_G_mc*W36</f>
        <v/>
      </c>
      <c r="X101" s="19">
        <f>X87*i_G_mc*X36</f>
        <v/>
      </c>
      <c r="Y101" s="19">
        <f>Y87*i_G_mc*Y36</f>
        <v/>
      </c>
      <c r="Z101" s="19">
        <f>Z87*i_G_mc*Z36</f>
        <v/>
      </c>
      <c r="AA101" s="19">
        <f>AA87*i_G_mc*AA36</f>
        <v/>
      </c>
      <c r="AB101" s="19">
        <f>AB87*i_G_mc*AB36</f>
        <v/>
      </c>
      <c r="AC101" s="19">
        <f>AC87*i_G_mc*AC36</f>
        <v/>
      </c>
      <c r="AD101" s="19">
        <f>AD87*i_G_mc*AD36</f>
        <v/>
      </c>
      <c r="AE101" s="19">
        <f>AE87*i_G_mc*AE36</f>
        <v/>
      </c>
      <c r="AF101" s="19">
        <f>AF87*i_G_mc*AF36</f>
        <v/>
      </c>
      <c r="AG101" s="19">
        <f>AG87*i_G_mc*AG36</f>
        <v/>
      </c>
      <c r="AH101" s="19">
        <f>AH87*i_G_mc*AH36</f>
        <v/>
      </c>
      <c r="AI101" s="19">
        <f>AI87*i_G_mc*AI36</f>
        <v/>
      </c>
    </row>
    <row r="102">
      <c r="B102" s="3" t="inlineStr">
        <is>
          <t>Sabine Bend expansion (renewable fuels)</t>
        </is>
      </c>
    </row>
    <row r="103">
      <c r="B103" s="2" t="inlineStr">
        <is>
          <t xml:space="preserve">  Growth capex</t>
        </is>
      </c>
      <c r="D103" s="19">
        <f>Platform!$C$30*SUMIF(i_exp_capex_years,D$3,i_exp_capex_vals)*D36</f>
        <v/>
      </c>
      <c r="E103" s="19">
        <f>Platform!$C$30*SUMIF(i_exp_capex_years,E$3,i_exp_capex_vals)*E36</f>
        <v/>
      </c>
      <c r="F103" s="19">
        <f>Platform!$C$30*SUMIF(i_exp_capex_years,F$3,i_exp_capex_vals)*F36</f>
        <v/>
      </c>
      <c r="G103" s="19">
        <f>Platform!$C$30*SUMIF(i_exp_capex_years,G$3,i_exp_capex_vals)*G36</f>
        <v/>
      </c>
      <c r="H103" s="19">
        <f>Platform!$C$30*SUMIF(i_exp_capex_years,H$3,i_exp_capex_vals)*H36</f>
        <v/>
      </c>
      <c r="I103" s="19">
        <f>Platform!$C$30*SUMIF(i_exp_capex_years,I$3,i_exp_capex_vals)*I36</f>
        <v/>
      </c>
      <c r="J103" s="19">
        <f>Platform!$C$30*SUMIF(i_exp_capex_years,J$3,i_exp_capex_vals)*J36</f>
        <v/>
      </c>
      <c r="K103" s="19">
        <f>Platform!$C$30*SUMIF(i_exp_capex_years,K$3,i_exp_capex_vals)*K36</f>
        <v/>
      </c>
      <c r="L103" s="19">
        <f>Platform!$C$30*SUMIF(i_exp_capex_years,L$3,i_exp_capex_vals)*L36</f>
        <v/>
      </c>
      <c r="M103" s="19">
        <f>Platform!$C$30*SUMIF(i_exp_capex_years,M$3,i_exp_capex_vals)*M36</f>
        <v/>
      </c>
      <c r="N103" s="19">
        <f>Platform!$C$30*SUMIF(i_exp_capex_years,N$3,i_exp_capex_vals)*N36</f>
        <v/>
      </c>
      <c r="O103" s="19">
        <f>Platform!$C$30*SUMIF(i_exp_capex_years,O$3,i_exp_capex_vals)*O36</f>
        <v/>
      </c>
      <c r="P103" s="19">
        <f>Platform!$C$30*SUMIF(i_exp_capex_years,P$3,i_exp_capex_vals)*P36</f>
        <v/>
      </c>
      <c r="Q103" s="19">
        <f>Platform!$C$30*SUMIF(i_exp_capex_years,Q$3,i_exp_capex_vals)*Q36</f>
        <v/>
      </c>
      <c r="R103" s="19">
        <f>Platform!$C$30*SUMIF(i_exp_capex_years,R$3,i_exp_capex_vals)*R36</f>
        <v/>
      </c>
      <c r="S103" s="19">
        <f>Platform!$C$30*SUMIF(i_exp_capex_years,S$3,i_exp_capex_vals)*S36</f>
        <v/>
      </c>
      <c r="T103" s="19">
        <f>Platform!$C$30*SUMIF(i_exp_capex_years,T$3,i_exp_capex_vals)*T36</f>
        <v/>
      </c>
      <c r="U103" s="19">
        <f>Platform!$C$30*SUMIF(i_exp_capex_years,U$3,i_exp_capex_vals)*U36</f>
        <v/>
      </c>
      <c r="V103" s="19">
        <f>Platform!$C$30*SUMIF(i_exp_capex_years,V$3,i_exp_capex_vals)*V36</f>
        <v/>
      </c>
      <c r="W103" s="19">
        <f>Platform!$C$30*SUMIF(i_exp_capex_years,W$3,i_exp_capex_vals)*W36</f>
        <v/>
      </c>
      <c r="X103" s="19">
        <f>Platform!$C$30*SUMIF(i_exp_capex_years,X$3,i_exp_capex_vals)*X36</f>
        <v/>
      </c>
      <c r="Y103" s="19">
        <f>Platform!$C$30*SUMIF(i_exp_capex_years,Y$3,i_exp_capex_vals)*Y36</f>
        <v/>
      </c>
      <c r="Z103" s="19">
        <f>Platform!$C$30*SUMIF(i_exp_capex_years,Z$3,i_exp_capex_vals)*Z36</f>
        <v/>
      </c>
      <c r="AA103" s="19">
        <f>Platform!$C$30*SUMIF(i_exp_capex_years,AA$3,i_exp_capex_vals)*AA36</f>
        <v/>
      </c>
      <c r="AB103" s="19">
        <f>Platform!$C$30*SUMIF(i_exp_capex_years,AB$3,i_exp_capex_vals)*AB36</f>
        <v/>
      </c>
      <c r="AC103" s="19">
        <f>Platform!$C$30*SUMIF(i_exp_capex_years,AC$3,i_exp_capex_vals)*AC36</f>
        <v/>
      </c>
      <c r="AD103" s="19">
        <f>Platform!$C$30*SUMIF(i_exp_capex_years,AD$3,i_exp_capex_vals)*AD36</f>
        <v/>
      </c>
      <c r="AE103" s="19">
        <f>Platform!$C$30*SUMIF(i_exp_capex_years,AE$3,i_exp_capex_vals)*AE36</f>
        <v/>
      </c>
      <c r="AF103" s="19">
        <f>Platform!$C$30*SUMIF(i_exp_capex_years,AF$3,i_exp_capex_vals)*AF36</f>
        <v/>
      </c>
      <c r="AG103" s="19">
        <f>Platform!$C$30*SUMIF(i_exp_capex_years,AG$3,i_exp_capex_vals)*AG36</f>
        <v/>
      </c>
      <c r="AH103" s="19">
        <f>Platform!$C$30*SUMIF(i_exp_capex_years,AH$3,i_exp_capex_vals)*AH36</f>
        <v/>
      </c>
      <c r="AI103" s="19">
        <f>Platform!$C$30*SUMIF(i_exp_capex_years,AI$3,i_exp_capex_vals)*AI36</f>
        <v/>
      </c>
    </row>
    <row r="104">
      <c r="B104" s="2" t="inlineStr">
        <is>
          <t xml:space="preserve">  Operating (1/0)</t>
        </is>
      </c>
      <c r="D104" s="22">
        <f>IF(D$3&gt;=i_exp_start,Platform!$C$30,0)</f>
        <v/>
      </c>
      <c r="E104" s="22">
        <f>IF(E$3&gt;=i_exp_start,Platform!$C$30,0)</f>
        <v/>
      </c>
      <c r="F104" s="22">
        <f>IF(F$3&gt;=i_exp_start,Platform!$C$30,0)</f>
        <v/>
      </c>
      <c r="G104" s="22">
        <f>IF(G$3&gt;=i_exp_start,Platform!$C$30,0)</f>
        <v/>
      </c>
      <c r="H104" s="22">
        <f>IF(H$3&gt;=i_exp_start,Platform!$C$30,0)</f>
        <v/>
      </c>
      <c r="I104" s="22">
        <f>IF(I$3&gt;=i_exp_start,Platform!$C$30,0)</f>
        <v/>
      </c>
      <c r="J104" s="22">
        <f>IF(J$3&gt;=i_exp_start,Platform!$C$30,0)</f>
        <v/>
      </c>
      <c r="K104" s="22">
        <f>IF(K$3&gt;=i_exp_start,Platform!$C$30,0)</f>
        <v/>
      </c>
      <c r="L104" s="22">
        <f>IF(L$3&gt;=i_exp_start,Platform!$C$30,0)</f>
        <v/>
      </c>
      <c r="M104" s="22">
        <f>IF(M$3&gt;=i_exp_start,Platform!$C$30,0)</f>
        <v/>
      </c>
      <c r="N104" s="22">
        <f>IF(N$3&gt;=i_exp_start,Platform!$C$30,0)</f>
        <v/>
      </c>
      <c r="O104" s="22">
        <f>IF(O$3&gt;=i_exp_start,Platform!$C$30,0)</f>
        <v/>
      </c>
      <c r="P104" s="22">
        <f>IF(P$3&gt;=i_exp_start,Platform!$C$30,0)</f>
        <v/>
      </c>
      <c r="Q104" s="22">
        <f>IF(Q$3&gt;=i_exp_start,Platform!$C$30,0)</f>
        <v/>
      </c>
      <c r="R104" s="22">
        <f>IF(R$3&gt;=i_exp_start,Platform!$C$30,0)</f>
        <v/>
      </c>
      <c r="S104" s="22">
        <f>IF(S$3&gt;=i_exp_start,Platform!$C$30,0)</f>
        <v/>
      </c>
      <c r="T104" s="22">
        <f>IF(T$3&gt;=i_exp_start,Platform!$C$30,0)</f>
        <v/>
      </c>
      <c r="U104" s="22">
        <f>IF(U$3&gt;=i_exp_start,Platform!$C$30,0)</f>
        <v/>
      </c>
      <c r="V104" s="22">
        <f>IF(V$3&gt;=i_exp_start,Platform!$C$30,0)</f>
        <v/>
      </c>
      <c r="W104" s="22">
        <f>IF(W$3&gt;=i_exp_start,Platform!$C$30,0)</f>
        <v/>
      </c>
      <c r="X104" s="22">
        <f>IF(X$3&gt;=i_exp_start,Platform!$C$30,0)</f>
        <v/>
      </c>
      <c r="Y104" s="22">
        <f>IF(Y$3&gt;=i_exp_start,Platform!$C$30,0)</f>
        <v/>
      </c>
      <c r="Z104" s="22">
        <f>IF(Z$3&gt;=i_exp_start,Platform!$C$30,0)</f>
        <v/>
      </c>
      <c r="AA104" s="22">
        <f>IF(AA$3&gt;=i_exp_start,Platform!$C$30,0)</f>
        <v/>
      </c>
      <c r="AB104" s="22">
        <f>IF(AB$3&gt;=i_exp_start,Platform!$C$30,0)</f>
        <v/>
      </c>
      <c r="AC104" s="22">
        <f>IF(AC$3&gt;=i_exp_start,Platform!$C$30,0)</f>
        <v/>
      </c>
      <c r="AD104" s="22">
        <f>IF(AD$3&gt;=i_exp_start,Platform!$C$30,0)</f>
        <v/>
      </c>
      <c r="AE104" s="22">
        <f>IF(AE$3&gt;=i_exp_start,Platform!$C$30,0)</f>
        <v/>
      </c>
      <c r="AF104" s="22">
        <f>IF(AF$3&gt;=i_exp_start,Platform!$C$30,0)</f>
        <v/>
      </c>
      <c r="AG104" s="22">
        <f>IF(AG$3&gt;=i_exp_start,Platform!$C$30,0)</f>
        <v/>
      </c>
      <c r="AH104" s="22">
        <f>IF(AH$3&gt;=i_exp_start,Platform!$C$30,0)</f>
        <v/>
      </c>
      <c r="AI104" s="22">
        <f>IF(AI$3&gt;=i_exp_start,Platform!$C$30,0)</f>
        <v/>
      </c>
    </row>
    <row r="105">
      <c r="B105" s="2" t="inlineStr">
        <is>
          <t xml:space="preserve">  Under the anchor contract (1/0)</t>
        </is>
      </c>
      <c r="D105" s="22">
        <f>IF(D$3&lt;i_exp_start+i_exp_years,1,0)</f>
        <v/>
      </c>
      <c r="E105" s="22">
        <f>IF(E$3&lt;i_exp_start+i_exp_years,1,0)</f>
        <v/>
      </c>
      <c r="F105" s="22">
        <f>IF(F$3&lt;i_exp_start+i_exp_years,1,0)</f>
        <v/>
      </c>
      <c r="G105" s="22">
        <f>IF(G$3&lt;i_exp_start+i_exp_years,1,0)</f>
        <v/>
      </c>
      <c r="H105" s="22">
        <f>IF(H$3&lt;i_exp_start+i_exp_years,1,0)</f>
        <v/>
      </c>
      <c r="I105" s="22">
        <f>IF(I$3&lt;i_exp_start+i_exp_years,1,0)</f>
        <v/>
      </c>
      <c r="J105" s="22">
        <f>IF(J$3&lt;i_exp_start+i_exp_years,1,0)</f>
        <v/>
      </c>
      <c r="K105" s="22">
        <f>IF(K$3&lt;i_exp_start+i_exp_years,1,0)</f>
        <v/>
      </c>
      <c r="L105" s="22">
        <f>IF(L$3&lt;i_exp_start+i_exp_years,1,0)</f>
        <v/>
      </c>
      <c r="M105" s="22">
        <f>IF(M$3&lt;i_exp_start+i_exp_years,1,0)</f>
        <v/>
      </c>
      <c r="N105" s="22">
        <f>IF(N$3&lt;i_exp_start+i_exp_years,1,0)</f>
        <v/>
      </c>
      <c r="O105" s="22">
        <f>IF(O$3&lt;i_exp_start+i_exp_years,1,0)</f>
        <v/>
      </c>
      <c r="P105" s="22">
        <f>IF(P$3&lt;i_exp_start+i_exp_years,1,0)</f>
        <v/>
      </c>
      <c r="Q105" s="22">
        <f>IF(Q$3&lt;i_exp_start+i_exp_years,1,0)</f>
        <v/>
      </c>
      <c r="R105" s="22">
        <f>IF(R$3&lt;i_exp_start+i_exp_years,1,0)</f>
        <v/>
      </c>
      <c r="S105" s="22">
        <f>IF(S$3&lt;i_exp_start+i_exp_years,1,0)</f>
        <v/>
      </c>
      <c r="T105" s="22">
        <f>IF(T$3&lt;i_exp_start+i_exp_years,1,0)</f>
        <v/>
      </c>
      <c r="U105" s="22">
        <f>IF(U$3&lt;i_exp_start+i_exp_years,1,0)</f>
        <v/>
      </c>
      <c r="V105" s="22">
        <f>IF(V$3&lt;i_exp_start+i_exp_years,1,0)</f>
        <v/>
      </c>
      <c r="W105" s="22">
        <f>IF(W$3&lt;i_exp_start+i_exp_years,1,0)</f>
        <v/>
      </c>
      <c r="X105" s="22">
        <f>IF(X$3&lt;i_exp_start+i_exp_years,1,0)</f>
        <v/>
      </c>
      <c r="Y105" s="22">
        <f>IF(Y$3&lt;i_exp_start+i_exp_years,1,0)</f>
        <v/>
      </c>
      <c r="Z105" s="22">
        <f>IF(Z$3&lt;i_exp_start+i_exp_years,1,0)</f>
        <v/>
      </c>
      <c r="AA105" s="22">
        <f>IF(AA$3&lt;i_exp_start+i_exp_years,1,0)</f>
        <v/>
      </c>
      <c r="AB105" s="22">
        <f>IF(AB$3&lt;i_exp_start+i_exp_years,1,0)</f>
        <v/>
      </c>
      <c r="AC105" s="22">
        <f>IF(AC$3&lt;i_exp_start+i_exp_years,1,0)</f>
        <v/>
      </c>
      <c r="AD105" s="22">
        <f>IF(AD$3&lt;i_exp_start+i_exp_years,1,0)</f>
        <v/>
      </c>
      <c r="AE105" s="22">
        <f>IF(AE$3&lt;i_exp_start+i_exp_years,1,0)</f>
        <v/>
      </c>
      <c r="AF105" s="22">
        <f>IF(AF$3&lt;i_exp_start+i_exp_years,1,0)</f>
        <v/>
      </c>
      <c r="AG105" s="22">
        <f>IF(AG$3&lt;i_exp_start+i_exp_years,1,0)</f>
        <v/>
      </c>
      <c r="AH105" s="22">
        <f>IF(AH$3&lt;i_exp_start+i_exp_years,1,0)</f>
        <v/>
      </c>
      <c r="AI105" s="22">
        <f>IF(AI$3&lt;i_exp_start+i_exp_years,1,0)</f>
        <v/>
      </c>
    </row>
    <row r="106">
      <c r="B106" s="2" t="inlineStr">
        <is>
          <t xml:space="preserve">  Rate ($ per m3 per month)</t>
        </is>
      </c>
      <c r="D106" s="24">
        <f>i_exp_rate*D37*IF(D105=1,1,1+i_exp_mtm)</f>
        <v/>
      </c>
      <c r="E106" s="24">
        <f>i_exp_rate*E37*IF(E105=1,1,1+i_exp_mtm)</f>
        <v/>
      </c>
      <c r="F106" s="24">
        <f>i_exp_rate*F37*IF(F105=1,1,1+i_exp_mtm)</f>
        <v/>
      </c>
      <c r="G106" s="24">
        <f>i_exp_rate*G37*IF(G105=1,1,1+i_exp_mtm)</f>
        <v/>
      </c>
      <c r="H106" s="24">
        <f>i_exp_rate*H37*IF(H105=1,1,1+i_exp_mtm)</f>
        <v/>
      </c>
      <c r="I106" s="24">
        <f>i_exp_rate*I37*IF(I105=1,1,1+i_exp_mtm)</f>
        <v/>
      </c>
      <c r="J106" s="24">
        <f>i_exp_rate*J37*IF(J105=1,1,1+i_exp_mtm)</f>
        <v/>
      </c>
      <c r="K106" s="24">
        <f>i_exp_rate*K37*IF(K105=1,1,1+i_exp_mtm)</f>
        <v/>
      </c>
      <c r="L106" s="24">
        <f>i_exp_rate*L37*IF(L105=1,1,1+i_exp_mtm)</f>
        <v/>
      </c>
      <c r="M106" s="24">
        <f>i_exp_rate*M37*IF(M105=1,1,1+i_exp_mtm)</f>
        <v/>
      </c>
      <c r="N106" s="24">
        <f>i_exp_rate*N37*IF(N105=1,1,1+i_exp_mtm)</f>
        <v/>
      </c>
      <c r="O106" s="24">
        <f>i_exp_rate*O37*IF(O105=1,1,1+i_exp_mtm)</f>
        <v/>
      </c>
      <c r="P106" s="24">
        <f>i_exp_rate*P37*IF(P105=1,1,1+i_exp_mtm)</f>
        <v/>
      </c>
      <c r="Q106" s="24">
        <f>i_exp_rate*Q37*IF(Q105=1,1,1+i_exp_mtm)</f>
        <v/>
      </c>
      <c r="R106" s="24">
        <f>i_exp_rate*R37*IF(R105=1,1,1+i_exp_mtm)</f>
        <v/>
      </c>
      <c r="S106" s="24">
        <f>i_exp_rate*S37*IF(S105=1,1,1+i_exp_mtm)</f>
        <v/>
      </c>
      <c r="T106" s="24">
        <f>i_exp_rate*T37*IF(T105=1,1,1+i_exp_mtm)</f>
        <v/>
      </c>
      <c r="U106" s="24">
        <f>i_exp_rate*U37*IF(U105=1,1,1+i_exp_mtm)</f>
        <v/>
      </c>
      <c r="V106" s="24">
        <f>i_exp_rate*V37*IF(V105=1,1,1+i_exp_mtm)</f>
        <v/>
      </c>
      <c r="W106" s="24">
        <f>i_exp_rate*W37*IF(W105=1,1,1+i_exp_mtm)</f>
        <v/>
      </c>
      <c r="X106" s="24">
        <f>i_exp_rate*X37*IF(X105=1,1,1+i_exp_mtm)</f>
        <v/>
      </c>
      <c r="Y106" s="24">
        <f>i_exp_rate*Y37*IF(Y105=1,1,1+i_exp_mtm)</f>
        <v/>
      </c>
      <c r="Z106" s="24">
        <f>i_exp_rate*Z37*IF(Z105=1,1,1+i_exp_mtm)</f>
        <v/>
      </c>
      <c r="AA106" s="24">
        <f>i_exp_rate*AA37*IF(AA105=1,1,1+i_exp_mtm)</f>
        <v/>
      </c>
      <c r="AB106" s="24">
        <f>i_exp_rate*AB37*IF(AB105=1,1,1+i_exp_mtm)</f>
        <v/>
      </c>
      <c r="AC106" s="24">
        <f>i_exp_rate*AC37*IF(AC105=1,1,1+i_exp_mtm)</f>
        <v/>
      </c>
      <c r="AD106" s="24">
        <f>i_exp_rate*AD37*IF(AD105=1,1,1+i_exp_mtm)</f>
        <v/>
      </c>
      <c r="AE106" s="24">
        <f>i_exp_rate*AE37*IF(AE105=1,1,1+i_exp_mtm)</f>
        <v/>
      </c>
      <c r="AF106" s="24">
        <f>i_exp_rate*AF37*IF(AF105=1,1,1+i_exp_mtm)</f>
        <v/>
      </c>
      <c r="AG106" s="24">
        <f>i_exp_rate*AG37*IF(AG105=1,1,1+i_exp_mtm)</f>
        <v/>
      </c>
      <c r="AH106" s="24">
        <f>i_exp_rate*AH37*IF(AH105=1,1,1+i_exp_mtm)</f>
        <v/>
      </c>
      <c r="AI106" s="24">
        <f>i_exp_rate*AI37*IF(AI105=1,1,1+i_exp_mtm)</f>
        <v/>
      </c>
    </row>
    <row r="107">
      <c r="B107" s="2" t="inlineStr">
        <is>
          <t xml:space="preserve">  Occupancy</t>
        </is>
      </c>
      <c r="D107" s="21">
        <f>IF(D105=1,i_exp_occ_c,i_exp_occ_m)</f>
        <v/>
      </c>
      <c r="E107" s="21">
        <f>IF(E105=1,i_exp_occ_c,i_exp_occ_m)</f>
        <v/>
      </c>
      <c r="F107" s="21">
        <f>IF(F105=1,i_exp_occ_c,i_exp_occ_m)</f>
        <v/>
      </c>
      <c r="G107" s="21">
        <f>IF(G105=1,i_exp_occ_c,i_exp_occ_m)</f>
        <v/>
      </c>
      <c r="H107" s="21">
        <f>IF(H105=1,i_exp_occ_c,i_exp_occ_m)</f>
        <v/>
      </c>
      <c r="I107" s="21">
        <f>IF(I105=1,i_exp_occ_c,i_exp_occ_m)</f>
        <v/>
      </c>
      <c r="J107" s="21">
        <f>IF(J105=1,i_exp_occ_c,i_exp_occ_m)</f>
        <v/>
      </c>
      <c r="K107" s="21">
        <f>IF(K105=1,i_exp_occ_c,i_exp_occ_m)</f>
        <v/>
      </c>
      <c r="L107" s="21">
        <f>IF(L105=1,i_exp_occ_c,i_exp_occ_m)</f>
        <v/>
      </c>
      <c r="M107" s="21">
        <f>IF(M105=1,i_exp_occ_c,i_exp_occ_m)</f>
        <v/>
      </c>
      <c r="N107" s="21">
        <f>IF(N105=1,i_exp_occ_c,i_exp_occ_m)</f>
        <v/>
      </c>
      <c r="O107" s="21">
        <f>IF(O105=1,i_exp_occ_c,i_exp_occ_m)</f>
        <v/>
      </c>
      <c r="P107" s="21">
        <f>IF(P105=1,i_exp_occ_c,i_exp_occ_m)</f>
        <v/>
      </c>
      <c r="Q107" s="21">
        <f>IF(Q105=1,i_exp_occ_c,i_exp_occ_m)</f>
        <v/>
      </c>
      <c r="R107" s="21">
        <f>IF(R105=1,i_exp_occ_c,i_exp_occ_m)</f>
        <v/>
      </c>
      <c r="S107" s="21">
        <f>IF(S105=1,i_exp_occ_c,i_exp_occ_m)</f>
        <v/>
      </c>
      <c r="T107" s="21">
        <f>IF(T105=1,i_exp_occ_c,i_exp_occ_m)</f>
        <v/>
      </c>
      <c r="U107" s="21">
        <f>IF(U105=1,i_exp_occ_c,i_exp_occ_m)</f>
        <v/>
      </c>
      <c r="V107" s="21">
        <f>IF(V105=1,i_exp_occ_c,i_exp_occ_m)</f>
        <v/>
      </c>
      <c r="W107" s="21">
        <f>IF(W105=1,i_exp_occ_c,i_exp_occ_m)</f>
        <v/>
      </c>
      <c r="X107" s="21">
        <f>IF(X105=1,i_exp_occ_c,i_exp_occ_m)</f>
        <v/>
      </c>
      <c r="Y107" s="21">
        <f>IF(Y105=1,i_exp_occ_c,i_exp_occ_m)</f>
        <v/>
      </c>
      <c r="Z107" s="21">
        <f>IF(Z105=1,i_exp_occ_c,i_exp_occ_m)</f>
        <v/>
      </c>
      <c r="AA107" s="21">
        <f>IF(AA105=1,i_exp_occ_c,i_exp_occ_m)</f>
        <v/>
      </c>
      <c r="AB107" s="21">
        <f>IF(AB105=1,i_exp_occ_c,i_exp_occ_m)</f>
        <v/>
      </c>
      <c r="AC107" s="21">
        <f>IF(AC105=1,i_exp_occ_c,i_exp_occ_m)</f>
        <v/>
      </c>
      <c r="AD107" s="21">
        <f>IF(AD105=1,i_exp_occ_c,i_exp_occ_m)</f>
        <v/>
      </c>
      <c r="AE107" s="21">
        <f>IF(AE105=1,i_exp_occ_c,i_exp_occ_m)</f>
        <v/>
      </c>
      <c r="AF107" s="21">
        <f>IF(AF105=1,i_exp_occ_c,i_exp_occ_m)</f>
        <v/>
      </c>
      <c r="AG107" s="21">
        <f>IF(AG105=1,i_exp_occ_c,i_exp_occ_m)</f>
        <v/>
      </c>
      <c r="AH107" s="21">
        <f>IF(AH105=1,i_exp_occ_c,i_exp_occ_m)</f>
        <v/>
      </c>
      <c r="AI107" s="21">
        <f>IF(AI105=1,i_exp_occ_c,i_exp_occ_m)</f>
        <v/>
      </c>
    </row>
    <row r="108">
      <c r="B108" s="2" t="inlineStr">
        <is>
          <t xml:space="preserve">  Storage revenue</t>
        </is>
      </c>
      <c r="D108" s="19">
        <f>D104*i_exp_cap*D106*12*D107</f>
        <v/>
      </c>
      <c r="E108" s="19">
        <f>E104*i_exp_cap*E106*12*E107</f>
        <v/>
      </c>
      <c r="F108" s="19">
        <f>F104*i_exp_cap*F106*12*F107</f>
        <v/>
      </c>
      <c r="G108" s="19">
        <f>G104*i_exp_cap*G106*12*G107</f>
        <v/>
      </c>
      <c r="H108" s="19">
        <f>H104*i_exp_cap*H106*12*H107</f>
        <v/>
      </c>
      <c r="I108" s="19">
        <f>I104*i_exp_cap*I106*12*I107</f>
        <v/>
      </c>
      <c r="J108" s="19">
        <f>J104*i_exp_cap*J106*12*J107</f>
        <v/>
      </c>
      <c r="K108" s="19">
        <f>K104*i_exp_cap*K106*12*K107</f>
        <v/>
      </c>
      <c r="L108" s="19">
        <f>L104*i_exp_cap*L106*12*L107</f>
        <v/>
      </c>
      <c r="M108" s="19">
        <f>M104*i_exp_cap*M106*12*M107</f>
        <v/>
      </c>
      <c r="N108" s="19">
        <f>N104*i_exp_cap*N106*12*N107</f>
        <v/>
      </c>
      <c r="O108" s="19">
        <f>O104*i_exp_cap*O106*12*O107</f>
        <v/>
      </c>
      <c r="P108" s="19">
        <f>P104*i_exp_cap*P106*12*P107</f>
        <v/>
      </c>
      <c r="Q108" s="19">
        <f>Q104*i_exp_cap*Q106*12*Q107</f>
        <v/>
      </c>
      <c r="R108" s="19">
        <f>R104*i_exp_cap*R106*12*R107</f>
        <v/>
      </c>
      <c r="S108" s="19">
        <f>S104*i_exp_cap*S106*12*S107</f>
        <v/>
      </c>
      <c r="T108" s="19">
        <f>T104*i_exp_cap*T106*12*T107</f>
        <v/>
      </c>
      <c r="U108" s="19">
        <f>U104*i_exp_cap*U106*12*U107</f>
        <v/>
      </c>
      <c r="V108" s="19">
        <f>V104*i_exp_cap*V106*12*V107</f>
        <v/>
      </c>
      <c r="W108" s="19">
        <f>W104*i_exp_cap*W106*12*W107</f>
        <v/>
      </c>
      <c r="X108" s="19">
        <f>X104*i_exp_cap*X106*12*X107</f>
        <v/>
      </c>
      <c r="Y108" s="19">
        <f>Y104*i_exp_cap*Y106*12*Y107</f>
        <v/>
      </c>
      <c r="Z108" s="19">
        <f>Z104*i_exp_cap*Z106*12*Z107</f>
        <v/>
      </c>
      <c r="AA108" s="19">
        <f>AA104*i_exp_cap*AA106*12*AA107</f>
        <v/>
      </c>
      <c r="AB108" s="19">
        <f>AB104*i_exp_cap*AB106*12*AB107</f>
        <v/>
      </c>
      <c r="AC108" s="19">
        <f>AC104*i_exp_cap*AC106*12*AC107</f>
        <v/>
      </c>
      <c r="AD108" s="19">
        <f>AD104*i_exp_cap*AD106*12*AD107</f>
        <v/>
      </c>
      <c r="AE108" s="19">
        <f>AE104*i_exp_cap*AE106*12*AE107</f>
        <v/>
      </c>
      <c r="AF108" s="19">
        <f>AF104*i_exp_cap*AF106*12*AF107</f>
        <v/>
      </c>
      <c r="AG108" s="19">
        <f>AG104*i_exp_cap*AG106*12*AG107</f>
        <v/>
      </c>
      <c r="AH108" s="19">
        <f>AH104*i_exp_cap*AH106*12*AH107</f>
        <v/>
      </c>
      <c r="AI108" s="19">
        <f>AI104*i_exp_cap*AI106*12*AI107</f>
        <v/>
      </c>
    </row>
    <row r="109">
      <c r="B109" s="3" t="inlineStr">
        <is>
          <t xml:space="preserve">  Revenue</t>
        </is>
      </c>
      <c r="D109" s="31">
        <f>D108*(1+i_exp_anc)</f>
        <v/>
      </c>
      <c r="E109" s="31">
        <f>E108*(1+i_exp_anc)</f>
        <v/>
      </c>
      <c r="F109" s="31">
        <f>F108*(1+i_exp_anc)</f>
        <v/>
      </c>
      <c r="G109" s="31">
        <f>G108*(1+i_exp_anc)</f>
        <v/>
      </c>
      <c r="H109" s="31">
        <f>H108*(1+i_exp_anc)</f>
        <v/>
      </c>
      <c r="I109" s="31">
        <f>I108*(1+i_exp_anc)</f>
        <v/>
      </c>
      <c r="J109" s="31">
        <f>J108*(1+i_exp_anc)</f>
        <v/>
      </c>
      <c r="K109" s="31">
        <f>K108*(1+i_exp_anc)</f>
        <v/>
      </c>
      <c r="L109" s="31">
        <f>L108*(1+i_exp_anc)</f>
        <v/>
      </c>
      <c r="M109" s="31">
        <f>M108*(1+i_exp_anc)</f>
        <v/>
      </c>
      <c r="N109" s="31">
        <f>N108*(1+i_exp_anc)</f>
        <v/>
      </c>
      <c r="O109" s="31">
        <f>O108*(1+i_exp_anc)</f>
        <v/>
      </c>
      <c r="P109" s="31">
        <f>P108*(1+i_exp_anc)</f>
        <v/>
      </c>
      <c r="Q109" s="31">
        <f>Q108*(1+i_exp_anc)</f>
        <v/>
      </c>
      <c r="R109" s="31">
        <f>R108*(1+i_exp_anc)</f>
        <v/>
      </c>
      <c r="S109" s="31">
        <f>S108*(1+i_exp_anc)</f>
        <v/>
      </c>
      <c r="T109" s="31">
        <f>T108*(1+i_exp_anc)</f>
        <v/>
      </c>
      <c r="U109" s="31">
        <f>U108*(1+i_exp_anc)</f>
        <v/>
      </c>
      <c r="V109" s="31">
        <f>V108*(1+i_exp_anc)</f>
        <v/>
      </c>
      <c r="W109" s="31">
        <f>W108*(1+i_exp_anc)</f>
        <v/>
      </c>
      <c r="X109" s="31">
        <f>X108*(1+i_exp_anc)</f>
        <v/>
      </c>
      <c r="Y109" s="31">
        <f>Y108*(1+i_exp_anc)</f>
        <v/>
      </c>
      <c r="Z109" s="31">
        <f>Z108*(1+i_exp_anc)</f>
        <v/>
      </c>
      <c r="AA109" s="31">
        <f>AA108*(1+i_exp_anc)</f>
        <v/>
      </c>
      <c r="AB109" s="31">
        <f>AB108*(1+i_exp_anc)</f>
        <v/>
      </c>
      <c r="AC109" s="31">
        <f>AC108*(1+i_exp_anc)</f>
        <v/>
      </c>
      <c r="AD109" s="31">
        <f>AD108*(1+i_exp_anc)</f>
        <v/>
      </c>
      <c r="AE109" s="31">
        <f>AE108*(1+i_exp_anc)</f>
        <v/>
      </c>
      <c r="AF109" s="31">
        <f>AF108*(1+i_exp_anc)</f>
        <v/>
      </c>
      <c r="AG109" s="31">
        <f>AG108*(1+i_exp_anc)</f>
        <v/>
      </c>
      <c r="AH109" s="31">
        <f>AH108*(1+i_exp_anc)</f>
        <v/>
      </c>
      <c r="AI109" s="31">
        <f>AI108*(1+i_exp_anc)</f>
        <v/>
      </c>
    </row>
    <row r="110">
      <c r="B110" s="2" t="inlineStr">
        <is>
          <t xml:space="preserve">  Operating cost</t>
        </is>
      </c>
      <c r="D110" s="19">
        <f>D104*i_exp_fix*i_exp_cap*D36+i_exp_var*D109</f>
        <v/>
      </c>
      <c r="E110" s="19">
        <f>E104*i_exp_fix*i_exp_cap*E36+i_exp_var*E109</f>
        <v/>
      </c>
      <c r="F110" s="19">
        <f>F104*i_exp_fix*i_exp_cap*F36+i_exp_var*F109</f>
        <v/>
      </c>
      <c r="G110" s="19">
        <f>G104*i_exp_fix*i_exp_cap*G36+i_exp_var*G109</f>
        <v/>
      </c>
      <c r="H110" s="19">
        <f>H104*i_exp_fix*i_exp_cap*H36+i_exp_var*H109</f>
        <v/>
      </c>
      <c r="I110" s="19">
        <f>I104*i_exp_fix*i_exp_cap*I36+i_exp_var*I109</f>
        <v/>
      </c>
      <c r="J110" s="19">
        <f>J104*i_exp_fix*i_exp_cap*J36+i_exp_var*J109</f>
        <v/>
      </c>
      <c r="K110" s="19">
        <f>K104*i_exp_fix*i_exp_cap*K36+i_exp_var*K109</f>
        <v/>
      </c>
      <c r="L110" s="19">
        <f>L104*i_exp_fix*i_exp_cap*L36+i_exp_var*L109</f>
        <v/>
      </c>
      <c r="M110" s="19">
        <f>M104*i_exp_fix*i_exp_cap*M36+i_exp_var*M109</f>
        <v/>
      </c>
      <c r="N110" s="19">
        <f>N104*i_exp_fix*i_exp_cap*N36+i_exp_var*N109</f>
        <v/>
      </c>
      <c r="O110" s="19">
        <f>O104*i_exp_fix*i_exp_cap*O36+i_exp_var*O109</f>
        <v/>
      </c>
      <c r="P110" s="19">
        <f>P104*i_exp_fix*i_exp_cap*P36+i_exp_var*P109</f>
        <v/>
      </c>
      <c r="Q110" s="19">
        <f>Q104*i_exp_fix*i_exp_cap*Q36+i_exp_var*Q109</f>
        <v/>
      </c>
      <c r="R110" s="19">
        <f>R104*i_exp_fix*i_exp_cap*R36+i_exp_var*R109</f>
        <v/>
      </c>
      <c r="S110" s="19">
        <f>S104*i_exp_fix*i_exp_cap*S36+i_exp_var*S109</f>
        <v/>
      </c>
      <c r="T110" s="19">
        <f>T104*i_exp_fix*i_exp_cap*T36+i_exp_var*T109</f>
        <v/>
      </c>
      <c r="U110" s="19">
        <f>U104*i_exp_fix*i_exp_cap*U36+i_exp_var*U109</f>
        <v/>
      </c>
      <c r="V110" s="19">
        <f>V104*i_exp_fix*i_exp_cap*V36+i_exp_var*V109</f>
        <v/>
      </c>
      <c r="W110" s="19">
        <f>W104*i_exp_fix*i_exp_cap*W36+i_exp_var*W109</f>
        <v/>
      </c>
      <c r="X110" s="19">
        <f>X104*i_exp_fix*i_exp_cap*X36+i_exp_var*X109</f>
        <v/>
      </c>
      <c r="Y110" s="19">
        <f>Y104*i_exp_fix*i_exp_cap*Y36+i_exp_var*Y109</f>
        <v/>
      </c>
      <c r="Z110" s="19">
        <f>Z104*i_exp_fix*i_exp_cap*Z36+i_exp_var*Z109</f>
        <v/>
      </c>
      <c r="AA110" s="19">
        <f>AA104*i_exp_fix*i_exp_cap*AA36+i_exp_var*AA109</f>
        <v/>
      </c>
      <c r="AB110" s="19">
        <f>AB104*i_exp_fix*i_exp_cap*AB36+i_exp_var*AB109</f>
        <v/>
      </c>
      <c r="AC110" s="19">
        <f>AC104*i_exp_fix*i_exp_cap*AC36+i_exp_var*AC109</f>
        <v/>
      </c>
      <c r="AD110" s="19">
        <f>AD104*i_exp_fix*i_exp_cap*AD36+i_exp_var*AD109</f>
        <v/>
      </c>
      <c r="AE110" s="19">
        <f>AE104*i_exp_fix*i_exp_cap*AE36+i_exp_var*AE109</f>
        <v/>
      </c>
      <c r="AF110" s="19">
        <f>AF104*i_exp_fix*i_exp_cap*AF36+i_exp_var*AF109</f>
        <v/>
      </c>
      <c r="AG110" s="19">
        <f>AG104*i_exp_fix*i_exp_cap*AG36+i_exp_var*AG109</f>
        <v/>
      </c>
      <c r="AH110" s="19">
        <f>AH104*i_exp_fix*i_exp_cap*AH36+i_exp_var*AH109</f>
        <v/>
      </c>
      <c r="AI110" s="19">
        <f>AI104*i_exp_fix*i_exp_cap*AI36+i_exp_var*AI109</f>
        <v/>
      </c>
    </row>
    <row r="111">
      <c r="B111" s="3" t="inlineStr">
        <is>
          <t xml:space="preserve">  EBITDA</t>
        </is>
      </c>
      <c r="D111" s="31">
        <f>D109-D110</f>
        <v/>
      </c>
      <c r="E111" s="31">
        <f>E109-E110</f>
        <v/>
      </c>
      <c r="F111" s="31">
        <f>F109-F110</f>
        <v/>
      </c>
      <c r="G111" s="31">
        <f>G109-G110</f>
        <v/>
      </c>
      <c r="H111" s="31">
        <f>H109-H110</f>
        <v/>
      </c>
      <c r="I111" s="31">
        <f>I109-I110</f>
        <v/>
      </c>
      <c r="J111" s="31">
        <f>J109-J110</f>
        <v/>
      </c>
      <c r="K111" s="31">
        <f>K109-K110</f>
        <v/>
      </c>
      <c r="L111" s="31">
        <f>L109-L110</f>
        <v/>
      </c>
      <c r="M111" s="31">
        <f>M109-M110</f>
        <v/>
      </c>
      <c r="N111" s="31">
        <f>N109-N110</f>
        <v/>
      </c>
      <c r="O111" s="31">
        <f>O109-O110</f>
        <v/>
      </c>
      <c r="P111" s="31">
        <f>P109-P110</f>
        <v/>
      </c>
      <c r="Q111" s="31">
        <f>Q109-Q110</f>
        <v/>
      </c>
      <c r="R111" s="31">
        <f>R109-R110</f>
        <v/>
      </c>
      <c r="S111" s="31">
        <f>S109-S110</f>
        <v/>
      </c>
      <c r="T111" s="31">
        <f>T109-T110</f>
        <v/>
      </c>
      <c r="U111" s="31">
        <f>U109-U110</f>
        <v/>
      </c>
      <c r="V111" s="31">
        <f>V109-V110</f>
        <v/>
      </c>
      <c r="W111" s="31">
        <f>W109-W110</f>
        <v/>
      </c>
      <c r="X111" s="31">
        <f>X109-X110</f>
        <v/>
      </c>
      <c r="Y111" s="31">
        <f>Y109-Y110</f>
        <v/>
      </c>
      <c r="Z111" s="31">
        <f>Z109-Z110</f>
        <v/>
      </c>
      <c r="AA111" s="31">
        <f>AA109-AA110</f>
        <v/>
      </c>
      <c r="AB111" s="31">
        <f>AB109-AB110</f>
        <v/>
      </c>
      <c r="AC111" s="31">
        <f>AC109-AC110</f>
        <v/>
      </c>
      <c r="AD111" s="31">
        <f>AD109-AD110</f>
        <v/>
      </c>
      <c r="AE111" s="31">
        <f>AE109-AE110</f>
        <v/>
      </c>
      <c r="AF111" s="31">
        <f>AF109-AF110</f>
        <v/>
      </c>
      <c r="AG111" s="31">
        <f>AG109-AG110</f>
        <v/>
      </c>
      <c r="AH111" s="31">
        <f>AH109-AH110</f>
        <v/>
      </c>
      <c r="AI111" s="31">
        <f>AI109-AI110</f>
        <v/>
      </c>
    </row>
    <row r="112">
      <c r="B112" s="2" t="inlineStr">
        <is>
          <t xml:space="preserve">  Maintenance capex</t>
        </is>
      </c>
      <c r="D112" s="19">
        <f>D104*i_exp_mc*i_exp_cap*D36</f>
        <v/>
      </c>
      <c r="E112" s="19">
        <f>E104*i_exp_mc*i_exp_cap*E36</f>
        <v/>
      </c>
      <c r="F112" s="19">
        <f>F104*i_exp_mc*i_exp_cap*F36</f>
        <v/>
      </c>
      <c r="G112" s="19">
        <f>G104*i_exp_mc*i_exp_cap*G36</f>
        <v/>
      </c>
      <c r="H112" s="19">
        <f>H104*i_exp_mc*i_exp_cap*H36</f>
        <v/>
      </c>
      <c r="I112" s="19">
        <f>I104*i_exp_mc*i_exp_cap*I36</f>
        <v/>
      </c>
      <c r="J112" s="19">
        <f>J104*i_exp_mc*i_exp_cap*J36</f>
        <v/>
      </c>
      <c r="K112" s="19">
        <f>K104*i_exp_mc*i_exp_cap*K36</f>
        <v/>
      </c>
      <c r="L112" s="19">
        <f>L104*i_exp_mc*i_exp_cap*L36</f>
        <v/>
      </c>
      <c r="M112" s="19">
        <f>M104*i_exp_mc*i_exp_cap*M36</f>
        <v/>
      </c>
      <c r="N112" s="19">
        <f>N104*i_exp_mc*i_exp_cap*N36</f>
        <v/>
      </c>
      <c r="O112" s="19">
        <f>O104*i_exp_mc*i_exp_cap*O36</f>
        <v/>
      </c>
      <c r="P112" s="19">
        <f>P104*i_exp_mc*i_exp_cap*P36</f>
        <v/>
      </c>
      <c r="Q112" s="19">
        <f>Q104*i_exp_mc*i_exp_cap*Q36</f>
        <v/>
      </c>
      <c r="R112" s="19">
        <f>R104*i_exp_mc*i_exp_cap*R36</f>
        <v/>
      </c>
      <c r="S112" s="19">
        <f>S104*i_exp_mc*i_exp_cap*S36</f>
        <v/>
      </c>
      <c r="T112" s="19">
        <f>T104*i_exp_mc*i_exp_cap*T36</f>
        <v/>
      </c>
      <c r="U112" s="19">
        <f>U104*i_exp_mc*i_exp_cap*U36</f>
        <v/>
      </c>
      <c r="V112" s="19">
        <f>V104*i_exp_mc*i_exp_cap*V36</f>
        <v/>
      </c>
      <c r="W112" s="19">
        <f>W104*i_exp_mc*i_exp_cap*W36</f>
        <v/>
      </c>
      <c r="X112" s="19">
        <f>X104*i_exp_mc*i_exp_cap*X36</f>
        <v/>
      </c>
      <c r="Y112" s="19">
        <f>Y104*i_exp_mc*i_exp_cap*Y36</f>
        <v/>
      </c>
      <c r="Z112" s="19">
        <f>Z104*i_exp_mc*i_exp_cap*Z36</f>
        <v/>
      </c>
      <c r="AA112" s="19">
        <f>AA104*i_exp_mc*i_exp_cap*AA36</f>
        <v/>
      </c>
      <c r="AB112" s="19">
        <f>AB104*i_exp_mc*i_exp_cap*AB36</f>
        <v/>
      </c>
      <c r="AC112" s="19">
        <f>AC104*i_exp_mc*i_exp_cap*AC36</f>
        <v/>
      </c>
      <c r="AD112" s="19">
        <f>AD104*i_exp_mc*i_exp_cap*AD36</f>
        <v/>
      </c>
      <c r="AE112" s="19">
        <f>AE104*i_exp_mc*i_exp_cap*AE36</f>
        <v/>
      </c>
      <c r="AF112" s="19">
        <f>AF104*i_exp_mc*i_exp_cap*AF36</f>
        <v/>
      </c>
      <c r="AG112" s="19">
        <f>AG104*i_exp_mc*i_exp_cap*AG36</f>
        <v/>
      </c>
      <c r="AH112" s="19">
        <f>AH104*i_exp_mc*i_exp_cap*AH36</f>
        <v/>
      </c>
      <c r="AI112" s="19">
        <f>AI104*i_exp_mc*i_exp_cap*AI36</f>
        <v/>
      </c>
    </row>
    <row r="114">
      <c r="B114" s="5" t="inlineStr">
        <is>
          <t>Consolidated</t>
        </is>
      </c>
    </row>
    <row r="115">
      <c r="B115" s="2" t="inlineStr">
        <is>
          <t>Revenue</t>
        </is>
      </c>
      <c r="D115" s="19">
        <f>D49+D65+D80+D95+D109</f>
        <v/>
      </c>
      <c r="E115" s="19">
        <f>E49+E65+E80+E95+E109</f>
        <v/>
      </c>
      <c r="F115" s="19">
        <f>F49+F65+F80+F95+F109</f>
        <v/>
      </c>
      <c r="G115" s="19">
        <f>G49+G65+G80+G95+G109</f>
        <v/>
      </c>
      <c r="H115" s="19">
        <f>H49+H65+H80+H95+H109</f>
        <v/>
      </c>
      <c r="I115" s="19">
        <f>I49+I65+I80+I95+I109</f>
        <v/>
      </c>
      <c r="J115" s="19">
        <f>J49+J65+J80+J95+J109</f>
        <v/>
      </c>
      <c r="K115" s="19">
        <f>K49+K65+K80+K95+K109</f>
        <v/>
      </c>
      <c r="L115" s="19">
        <f>L49+L65+L80+L95+L109</f>
        <v/>
      </c>
      <c r="M115" s="19">
        <f>M49+M65+M80+M95+M109</f>
        <v/>
      </c>
      <c r="N115" s="19">
        <f>N49+N65+N80+N95+N109</f>
        <v/>
      </c>
      <c r="O115" s="19">
        <f>O49+O65+O80+O95+O109</f>
        <v/>
      </c>
      <c r="P115" s="19">
        <f>P49+P65+P80+P95+P109</f>
        <v/>
      </c>
      <c r="Q115" s="19">
        <f>Q49+Q65+Q80+Q95+Q109</f>
        <v/>
      </c>
      <c r="R115" s="19">
        <f>R49+R65+R80+R95+R109</f>
        <v/>
      </c>
      <c r="S115" s="19">
        <f>S49+S65+S80+S95+S109</f>
        <v/>
      </c>
      <c r="T115" s="19">
        <f>T49+T65+T80+T95+T109</f>
        <v/>
      </c>
      <c r="U115" s="19">
        <f>U49+U65+U80+U95+U109</f>
        <v/>
      </c>
      <c r="V115" s="19">
        <f>V49+V65+V80+V95+V109</f>
        <v/>
      </c>
      <c r="W115" s="19">
        <f>W49+W65+W80+W95+W109</f>
        <v/>
      </c>
      <c r="X115" s="19">
        <f>X49+X65+X80+X95+X109</f>
        <v/>
      </c>
      <c r="Y115" s="19">
        <f>Y49+Y65+Y80+Y95+Y109</f>
        <v/>
      </c>
      <c r="Z115" s="19">
        <f>Z49+Z65+Z80+Z95+Z109</f>
        <v/>
      </c>
      <c r="AA115" s="19">
        <f>AA49+AA65+AA80+AA95+AA109</f>
        <v/>
      </c>
      <c r="AB115" s="19">
        <f>AB49+AB65+AB80+AB95+AB109</f>
        <v/>
      </c>
      <c r="AC115" s="19">
        <f>AC49+AC65+AC80+AC95+AC109</f>
        <v/>
      </c>
      <c r="AD115" s="19">
        <f>AD49+AD65+AD80+AD95+AD109</f>
        <v/>
      </c>
      <c r="AE115" s="19">
        <f>AE49+AE65+AE80+AE95+AE109</f>
        <v/>
      </c>
      <c r="AF115" s="19">
        <f>AF49+AF65+AF80+AF95+AF109</f>
        <v/>
      </c>
      <c r="AG115" s="19">
        <f>AG49+AG65+AG80+AG95+AG109</f>
        <v/>
      </c>
      <c r="AH115" s="19">
        <f>AH49+AH65+AH80+AH95+AH109</f>
        <v/>
      </c>
      <c r="AI115" s="19">
        <f>AI49+AI65+AI80+AI95+AI109</f>
        <v/>
      </c>
    </row>
    <row r="116">
      <c r="B116" s="2" t="inlineStr">
        <is>
          <t>Business unit EBITDA (with the expansion)</t>
        </is>
      </c>
      <c r="D116" s="19">
        <f>D54+D69+D84+D100+D111</f>
        <v/>
      </c>
      <c r="E116" s="19">
        <f>E54+E69+E84+E100+E111</f>
        <v/>
      </c>
      <c r="F116" s="19">
        <f>F54+F69+F84+F100+F111</f>
        <v/>
      </c>
      <c r="G116" s="19">
        <f>G54+G69+G84+G100+G111</f>
        <v/>
      </c>
      <c r="H116" s="19">
        <f>H54+H69+H84+H100+H111</f>
        <v/>
      </c>
      <c r="I116" s="19">
        <f>I54+I69+I84+I100+I111</f>
        <v/>
      </c>
      <c r="J116" s="19">
        <f>J54+J69+J84+J100+J111</f>
        <v/>
      </c>
      <c r="K116" s="19">
        <f>K54+K69+K84+K100+K111</f>
        <v/>
      </c>
      <c r="L116" s="19">
        <f>L54+L69+L84+L100+L111</f>
        <v/>
      </c>
      <c r="M116" s="19">
        <f>M54+M69+M84+M100+M111</f>
        <v/>
      </c>
      <c r="N116" s="19">
        <f>N54+N69+N84+N100+N111</f>
        <v/>
      </c>
      <c r="O116" s="19">
        <f>O54+O69+O84+O100+O111</f>
        <v/>
      </c>
      <c r="P116" s="19">
        <f>P54+P69+P84+P100+P111</f>
        <v/>
      </c>
      <c r="Q116" s="19">
        <f>Q54+Q69+Q84+Q100+Q111</f>
        <v/>
      </c>
      <c r="R116" s="19">
        <f>R54+R69+R84+R100+R111</f>
        <v/>
      </c>
      <c r="S116" s="19">
        <f>S54+S69+S84+S100+S111</f>
        <v/>
      </c>
      <c r="T116" s="19">
        <f>T54+T69+T84+T100+T111</f>
        <v/>
      </c>
      <c r="U116" s="19">
        <f>U54+U69+U84+U100+U111</f>
        <v/>
      </c>
      <c r="V116" s="19">
        <f>V54+V69+V84+V100+V111</f>
        <v/>
      </c>
      <c r="W116" s="19">
        <f>W54+W69+W84+W100+W111</f>
        <v/>
      </c>
      <c r="X116" s="19">
        <f>X54+X69+X84+X100+X111</f>
        <v/>
      </c>
      <c r="Y116" s="19">
        <f>Y54+Y69+Y84+Y100+Y111</f>
        <v/>
      </c>
      <c r="Z116" s="19">
        <f>Z54+Z69+Z84+Z100+Z111</f>
        <v/>
      </c>
      <c r="AA116" s="19">
        <f>AA54+AA69+AA84+AA100+AA111</f>
        <v/>
      </c>
      <c r="AB116" s="19">
        <f>AB54+AB69+AB84+AB100+AB111</f>
        <v/>
      </c>
      <c r="AC116" s="19">
        <f>AC54+AC69+AC84+AC100+AC111</f>
        <v/>
      </c>
      <c r="AD116" s="19">
        <f>AD54+AD69+AD84+AD100+AD111</f>
        <v/>
      </c>
      <c r="AE116" s="19">
        <f>AE54+AE69+AE84+AE100+AE111</f>
        <v/>
      </c>
      <c r="AF116" s="19">
        <f>AF54+AF69+AF84+AF100+AF111</f>
        <v/>
      </c>
      <c r="AG116" s="19">
        <f>AG54+AG69+AG84+AG100+AG111</f>
        <v/>
      </c>
      <c r="AH116" s="19">
        <f>AH54+AH69+AH84+AH100+AH111</f>
        <v/>
      </c>
      <c r="AI116" s="19">
        <f>AI54+AI69+AI84+AI100+AI111</f>
        <v/>
      </c>
    </row>
    <row r="117">
      <c r="B117" s="2" t="inlineStr">
        <is>
          <t>Corporate costs</t>
        </is>
      </c>
      <c r="D117" s="19">
        <f>i_corp*D36*IF(OR(Platform!$C$33=1,D$3&lt;=i_conc_end),1,i_corp_after_w)+IF(D$3&gt;=i_mitig_start,Platform!$C$35*D36,0)</f>
        <v/>
      </c>
      <c r="E117" s="19">
        <f>i_corp*E36*IF(OR(Platform!$C$33=1,E$3&lt;=i_conc_end),1,i_corp_after_w)+IF(E$3&gt;=i_mitig_start,Platform!$C$35*E36,0)</f>
        <v/>
      </c>
      <c r="F117" s="19">
        <f>i_corp*F36*IF(OR(Platform!$C$33=1,F$3&lt;=i_conc_end),1,i_corp_after_w)+IF(F$3&gt;=i_mitig_start,Platform!$C$35*F36,0)</f>
        <v/>
      </c>
      <c r="G117" s="19">
        <f>i_corp*G36*IF(OR(Platform!$C$33=1,G$3&lt;=i_conc_end),1,i_corp_after_w)+IF(G$3&gt;=i_mitig_start,Platform!$C$35*G36,0)</f>
        <v/>
      </c>
      <c r="H117" s="19">
        <f>i_corp*H36*IF(OR(Platform!$C$33=1,H$3&lt;=i_conc_end),1,i_corp_after_w)+IF(H$3&gt;=i_mitig_start,Platform!$C$35*H36,0)</f>
        <v/>
      </c>
      <c r="I117" s="19">
        <f>i_corp*I36*IF(OR(Platform!$C$33=1,I$3&lt;=i_conc_end),1,i_corp_after_w)+IF(I$3&gt;=i_mitig_start,Platform!$C$35*I36,0)</f>
        <v/>
      </c>
      <c r="J117" s="19">
        <f>i_corp*J36*IF(OR(Platform!$C$33=1,J$3&lt;=i_conc_end),1,i_corp_after_w)+IF(J$3&gt;=i_mitig_start,Platform!$C$35*J36,0)</f>
        <v/>
      </c>
      <c r="K117" s="19">
        <f>i_corp*K36*IF(OR(Platform!$C$33=1,K$3&lt;=i_conc_end),1,i_corp_after_w)+IF(K$3&gt;=i_mitig_start,Platform!$C$35*K36,0)</f>
        <v/>
      </c>
      <c r="L117" s="19">
        <f>i_corp*L36*IF(OR(Platform!$C$33=1,L$3&lt;=i_conc_end),1,i_corp_after_w)+IF(L$3&gt;=i_mitig_start,Platform!$C$35*L36,0)</f>
        <v/>
      </c>
      <c r="M117" s="19">
        <f>i_corp*M36*IF(OR(Platform!$C$33=1,M$3&lt;=i_conc_end),1,i_corp_after_w)+IF(M$3&gt;=i_mitig_start,Platform!$C$35*M36,0)</f>
        <v/>
      </c>
      <c r="N117" s="19">
        <f>i_corp*N36*IF(OR(Platform!$C$33=1,N$3&lt;=i_conc_end),1,i_corp_after_w)+IF(N$3&gt;=i_mitig_start,Platform!$C$35*N36,0)</f>
        <v/>
      </c>
      <c r="O117" s="19">
        <f>i_corp*O36*IF(OR(Platform!$C$33=1,O$3&lt;=i_conc_end),1,i_corp_after_w)+IF(O$3&gt;=i_mitig_start,Platform!$C$35*O36,0)</f>
        <v/>
      </c>
      <c r="P117" s="19">
        <f>i_corp*P36*IF(OR(Platform!$C$33=1,P$3&lt;=i_conc_end),1,i_corp_after_w)+IF(P$3&gt;=i_mitig_start,Platform!$C$35*P36,0)</f>
        <v/>
      </c>
      <c r="Q117" s="19">
        <f>i_corp*Q36*IF(OR(Platform!$C$33=1,Q$3&lt;=i_conc_end),1,i_corp_after_w)+IF(Q$3&gt;=i_mitig_start,Platform!$C$35*Q36,0)</f>
        <v/>
      </c>
      <c r="R117" s="19">
        <f>i_corp*R36*IF(OR(Platform!$C$33=1,R$3&lt;=i_conc_end),1,i_corp_after_w)+IF(R$3&gt;=i_mitig_start,Platform!$C$35*R36,0)</f>
        <v/>
      </c>
      <c r="S117" s="19">
        <f>i_corp*S36*IF(OR(Platform!$C$33=1,S$3&lt;=i_conc_end),1,i_corp_after_w)+IF(S$3&gt;=i_mitig_start,Platform!$C$35*S36,0)</f>
        <v/>
      </c>
      <c r="T117" s="19">
        <f>i_corp*T36*IF(OR(Platform!$C$33=1,T$3&lt;=i_conc_end),1,i_corp_after_w)+IF(T$3&gt;=i_mitig_start,Platform!$C$35*T36,0)</f>
        <v/>
      </c>
      <c r="U117" s="19">
        <f>i_corp*U36*IF(OR(Platform!$C$33=1,U$3&lt;=i_conc_end),1,i_corp_after_w)+IF(U$3&gt;=i_mitig_start,Platform!$C$35*U36,0)</f>
        <v/>
      </c>
      <c r="V117" s="19">
        <f>i_corp*V36*IF(OR(Platform!$C$33=1,V$3&lt;=i_conc_end),1,i_corp_after_w)+IF(V$3&gt;=i_mitig_start,Platform!$C$35*V36,0)</f>
        <v/>
      </c>
      <c r="W117" s="19">
        <f>i_corp*W36*IF(OR(Platform!$C$33=1,W$3&lt;=i_conc_end),1,i_corp_after_w)+IF(W$3&gt;=i_mitig_start,Platform!$C$35*W36,0)</f>
        <v/>
      </c>
      <c r="X117" s="19">
        <f>i_corp*X36*IF(OR(Platform!$C$33=1,X$3&lt;=i_conc_end),1,i_corp_after_w)+IF(X$3&gt;=i_mitig_start,Platform!$C$35*X36,0)</f>
        <v/>
      </c>
      <c r="Y117" s="19">
        <f>i_corp*Y36*IF(OR(Platform!$C$33=1,Y$3&lt;=i_conc_end),1,i_corp_after_w)+IF(Y$3&gt;=i_mitig_start,Platform!$C$35*Y36,0)</f>
        <v/>
      </c>
      <c r="Z117" s="19">
        <f>i_corp*Z36*IF(OR(Platform!$C$33=1,Z$3&lt;=i_conc_end),1,i_corp_after_w)+IF(Z$3&gt;=i_mitig_start,Platform!$C$35*Z36,0)</f>
        <v/>
      </c>
      <c r="AA117" s="19">
        <f>i_corp*AA36*IF(OR(Platform!$C$33=1,AA$3&lt;=i_conc_end),1,i_corp_after_w)+IF(AA$3&gt;=i_mitig_start,Platform!$C$35*AA36,0)</f>
        <v/>
      </c>
      <c r="AB117" s="19">
        <f>i_corp*AB36*IF(OR(Platform!$C$33=1,AB$3&lt;=i_conc_end),1,i_corp_after_w)+IF(AB$3&gt;=i_mitig_start,Platform!$C$35*AB36,0)</f>
        <v/>
      </c>
      <c r="AC117" s="19">
        <f>i_corp*AC36*IF(OR(Platform!$C$33=1,AC$3&lt;=i_conc_end),1,i_corp_after_w)+IF(AC$3&gt;=i_mitig_start,Platform!$C$35*AC36,0)</f>
        <v/>
      </c>
      <c r="AD117" s="19">
        <f>i_corp*AD36*IF(OR(Platform!$C$33=1,AD$3&lt;=i_conc_end),1,i_corp_after_w)+IF(AD$3&gt;=i_mitig_start,Platform!$C$35*AD36,0)</f>
        <v/>
      </c>
      <c r="AE117" s="19">
        <f>i_corp*AE36*IF(OR(Platform!$C$33=1,AE$3&lt;=i_conc_end),1,i_corp_after_w)+IF(AE$3&gt;=i_mitig_start,Platform!$C$35*AE36,0)</f>
        <v/>
      </c>
      <c r="AF117" s="19">
        <f>i_corp*AF36*IF(OR(Platform!$C$33=1,AF$3&lt;=i_conc_end),1,i_corp_after_w)+IF(AF$3&gt;=i_mitig_start,Platform!$C$35*AF36,0)</f>
        <v/>
      </c>
      <c r="AG117" s="19">
        <f>i_corp*AG36*IF(OR(Platform!$C$33=1,AG$3&lt;=i_conc_end),1,i_corp_after_w)+IF(AG$3&gt;=i_mitig_start,Platform!$C$35*AG36,0)</f>
        <v/>
      </c>
      <c r="AH117" s="19">
        <f>i_corp*AH36*IF(OR(Platform!$C$33=1,AH$3&lt;=i_conc_end),1,i_corp_after_w)+IF(AH$3&gt;=i_mitig_start,Platform!$C$35*AH36,0)</f>
        <v/>
      </c>
      <c r="AI117" s="19">
        <f>i_corp*AI36*IF(OR(Platform!$C$33=1,AI$3&lt;=i_conc_end),1,i_corp_after_w)+IF(AI$3&gt;=i_mitig_start,Platform!$C$35*AI36,0)</f>
        <v/>
      </c>
    </row>
    <row r="118">
      <c r="B118" s="3" t="inlineStr">
        <is>
          <t>EBITDA</t>
        </is>
      </c>
      <c r="D118" s="31">
        <f>D116-D117</f>
        <v/>
      </c>
      <c r="E118" s="31">
        <f>E116-E117</f>
        <v/>
      </c>
      <c r="F118" s="31">
        <f>F116-F117</f>
        <v/>
      </c>
      <c r="G118" s="31">
        <f>G116-G117</f>
        <v/>
      </c>
      <c r="H118" s="31">
        <f>H116-H117</f>
        <v/>
      </c>
      <c r="I118" s="31">
        <f>I116-I117</f>
        <v/>
      </c>
      <c r="J118" s="31">
        <f>J116-J117</f>
        <v/>
      </c>
      <c r="K118" s="31">
        <f>K116-K117</f>
        <v/>
      </c>
      <c r="L118" s="31">
        <f>L116-L117</f>
        <v/>
      </c>
      <c r="M118" s="31">
        <f>M116-M117</f>
        <v/>
      </c>
      <c r="N118" s="31">
        <f>N116-N117</f>
        <v/>
      </c>
      <c r="O118" s="31">
        <f>O116-O117</f>
        <v/>
      </c>
      <c r="P118" s="31">
        <f>P116-P117</f>
        <v/>
      </c>
      <c r="Q118" s="31">
        <f>Q116-Q117</f>
        <v/>
      </c>
      <c r="R118" s="31">
        <f>R116-R117</f>
        <v/>
      </c>
      <c r="S118" s="31">
        <f>S116-S117</f>
        <v/>
      </c>
      <c r="T118" s="31">
        <f>T116-T117</f>
        <v/>
      </c>
      <c r="U118" s="31">
        <f>U116-U117</f>
        <v/>
      </c>
      <c r="V118" s="31">
        <f>V116-V117</f>
        <v/>
      </c>
      <c r="W118" s="31">
        <f>W116-W117</f>
        <v/>
      </c>
      <c r="X118" s="31">
        <f>X116-X117</f>
        <v/>
      </c>
      <c r="Y118" s="31">
        <f>Y116-Y117</f>
        <v/>
      </c>
      <c r="Z118" s="31">
        <f>Z116-Z117</f>
        <v/>
      </c>
      <c r="AA118" s="31">
        <f>AA116-AA117</f>
        <v/>
      </c>
      <c r="AB118" s="31">
        <f>AB116-AB117</f>
        <v/>
      </c>
      <c r="AC118" s="31">
        <f>AC116-AC117</f>
        <v/>
      </c>
      <c r="AD118" s="31">
        <f>AD116-AD117</f>
        <v/>
      </c>
      <c r="AE118" s="31">
        <f>AE116-AE117</f>
        <v/>
      </c>
      <c r="AF118" s="31">
        <f>AF116-AF117</f>
        <v/>
      </c>
      <c r="AG118" s="31">
        <f>AG116-AG117</f>
        <v/>
      </c>
      <c r="AH118" s="31">
        <f>AH116-AH117</f>
        <v/>
      </c>
      <c r="AI118" s="31">
        <f>AI116-AI117</f>
        <v/>
      </c>
    </row>
    <row r="119">
      <c r="B119" s="2" t="inlineStr">
        <is>
          <t>Maintenance capex</t>
        </is>
      </c>
      <c r="D119" s="19">
        <f>D55+D70+D85+D101+D112</f>
        <v/>
      </c>
      <c r="E119" s="19">
        <f>E55+E70+E85+E101+E112</f>
        <v/>
      </c>
      <c r="F119" s="19">
        <f>F55+F70+F85+F101+F112</f>
        <v/>
      </c>
      <c r="G119" s="19">
        <f>G55+G70+G85+G101+G112</f>
        <v/>
      </c>
      <c r="H119" s="19">
        <f>H55+H70+H85+H101+H112</f>
        <v/>
      </c>
      <c r="I119" s="19">
        <f>I55+I70+I85+I101+I112</f>
        <v/>
      </c>
      <c r="J119" s="19">
        <f>J55+J70+J85+J101+J112</f>
        <v/>
      </c>
      <c r="K119" s="19">
        <f>K55+K70+K85+K101+K112</f>
        <v/>
      </c>
      <c r="L119" s="19">
        <f>L55+L70+L85+L101+L112</f>
        <v/>
      </c>
      <c r="M119" s="19">
        <f>M55+M70+M85+M101+M112</f>
        <v/>
      </c>
      <c r="N119" s="19">
        <f>N55+N70+N85+N101+N112</f>
        <v/>
      </c>
      <c r="O119" s="19">
        <f>O55+O70+O85+O101+O112</f>
        <v/>
      </c>
      <c r="P119" s="19">
        <f>P55+P70+P85+P101+P112</f>
        <v/>
      </c>
      <c r="Q119" s="19">
        <f>Q55+Q70+Q85+Q101+Q112</f>
        <v/>
      </c>
      <c r="R119" s="19">
        <f>R55+R70+R85+R101+R112</f>
        <v/>
      </c>
      <c r="S119" s="19">
        <f>S55+S70+S85+S101+S112</f>
        <v/>
      </c>
      <c r="T119" s="19">
        <f>T55+T70+T85+T101+T112</f>
        <v/>
      </c>
      <c r="U119" s="19">
        <f>U55+U70+U85+U101+U112</f>
        <v/>
      </c>
      <c r="V119" s="19">
        <f>V55+V70+V85+V101+V112</f>
        <v/>
      </c>
      <c r="W119" s="19">
        <f>W55+W70+W85+W101+W112</f>
        <v/>
      </c>
      <c r="X119" s="19">
        <f>X55+X70+X85+X101+X112</f>
        <v/>
      </c>
      <c r="Y119" s="19">
        <f>Y55+Y70+Y85+Y101+Y112</f>
        <v/>
      </c>
      <c r="Z119" s="19">
        <f>Z55+Z70+Z85+Z101+Z112</f>
        <v/>
      </c>
      <c r="AA119" s="19">
        <f>AA55+AA70+AA85+AA101+AA112</f>
        <v/>
      </c>
      <c r="AB119" s="19">
        <f>AB55+AB70+AB85+AB101+AB112</f>
        <v/>
      </c>
      <c r="AC119" s="19">
        <f>AC55+AC70+AC85+AC101+AC112</f>
        <v/>
      </c>
      <c r="AD119" s="19">
        <f>AD55+AD70+AD85+AD101+AD112</f>
        <v/>
      </c>
      <c r="AE119" s="19">
        <f>AE55+AE70+AE85+AE101+AE112</f>
        <v/>
      </c>
      <c r="AF119" s="19">
        <f>AF55+AF70+AF85+AF101+AF112</f>
        <v/>
      </c>
      <c r="AG119" s="19">
        <f>AG55+AG70+AG85+AG101+AG112</f>
        <v/>
      </c>
      <c r="AH119" s="19">
        <f>AH55+AH70+AH85+AH101+AH112</f>
        <v/>
      </c>
      <c r="AI119" s="19">
        <f>AI55+AI70+AI85+AI101+AI112</f>
        <v/>
      </c>
    </row>
    <row r="120">
      <c r="B120" s="2" t="inlineStr">
        <is>
          <t>Growth capex</t>
        </is>
      </c>
      <c r="D120" s="19">
        <f>D103</f>
        <v/>
      </c>
      <c r="E120" s="19">
        <f>E103</f>
        <v/>
      </c>
      <c r="F120" s="19">
        <f>F103</f>
        <v/>
      </c>
      <c r="G120" s="19">
        <f>G103</f>
        <v/>
      </c>
      <c r="H120" s="19">
        <f>H103</f>
        <v/>
      </c>
      <c r="I120" s="19">
        <f>I103</f>
        <v/>
      </c>
      <c r="J120" s="19">
        <f>J103</f>
        <v/>
      </c>
      <c r="K120" s="19">
        <f>K103</f>
        <v/>
      </c>
      <c r="L120" s="19">
        <f>L103</f>
        <v/>
      </c>
      <c r="M120" s="19">
        <f>M103</f>
        <v/>
      </c>
      <c r="N120" s="19">
        <f>N103</f>
        <v/>
      </c>
      <c r="O120" s="19">
        <f>O103</f>
        <v/>
      </c>
      <c r="P120" s="19">
        <f>P103</f>
        <v/>
      </c>
      <c r="Q120" s="19">
        <f>Q103</f>
        <v/>
      </c>
      <c r="R120" s="19">
        <f>R103</f>
        <v/>
      </c>
      <c r="S120" s="19">
        <f>S103</f>
        <v/>
      </c>
      <c r="T120" s="19">
        <f>T103</f>
        <v/>
      </c>
      <c r="U120" s="19">
        <f>U103</f>
        <v/>
      </c>
      <c r="V120" s="19">
        <f>V103</f>
        <v/>
      </c>
      <c r="W120" s="19">
        <f>W103</f>
        <v/>
      </c>
      <c r="X120" s="19">
        <f>X103</f>
        <v/>
      </c>
      <c r="Y120" s="19">
        <f>Y103</f>
        <v/>
      </c>
      <c r="Z120" s="19">
        <f>Z103</f>
        <v/>
      </c>
      <c r="AA120" s="19">
        <f>AA103</f>
        <v/>
      </c>
      <c r="AB120" s="19">
        <f>AB103</f>
        <v/>
      </c>
      <c r="AC120" s="19">
        <f>AC103</f>
        <v/>
      </c>
      <c r="AD120" s="19">
        <f>AD103</f>
        <v/>
      </c>
      <c r="AE120" s="19">
        <f>AE103</f>
        <v/>
      </c>
      <c r="AF120" s="19">
        <f>AF103</f>
        <v/>
      </c>
      <c r="AG120" s="19">
        <f>AG103</f>
        <v/>
      </c>
      <c r="AH120" s="19">
        <f>AH103</f>
        <v/>
      </c>
      <c r="AI120" s="19">
        <f>AI103</f>
        <v/>
      </c>
    </row>
    <row r="121">
      <c r="B121" s="2" t="inlineStr">
        <is>
          <t>Tax depreciation</t>
        </is>
      </c>
      <c r="D121" s="19">
        <f>D119+IF(D$3&lt;=i_tax_dep_end,i_tax_dep_extra,0)</f>
        <v/>
      </c>
      <c r="E121" s="19">
        <f>E119+IF(E$3&lt;=i_tax_dep_end,i_tax_dep_extra,0)</f>
        <v/>
      </c>
      <c r="F121" s="19">
        <f>F119+IF(F$3&lt;=i_tax_dep_end,i_tax_dep_extra,0)</f>
        <v/>
      </c>
      <c r="G121" s="19">
        <f>G119+IF(G$3&lt;=i_tax_dep_end,i_tax_dep_extra,0)</f>
        <v/>
      </c>
      <c r="H121" s="19">
        <f>H119+IF(H$3&lt;=i_tax_dep_end,i_tax_dep_extra,0)</f>
        <v/>
      </c>
      <c r="I121" s="19">
        <f>I119+IF(I$3&lt;=i_tax_dep_end,i_tax_dep_extra,0)</f>
        <v/>
      </c>
      <c r="J121" s="19">
        <f>J119+IF(J$3&lt;=i_tax_dep_end,i_tax_dep_extra,0)</f>
        <v/>
      </c>
      <c r="K121" s="19">
        <f>K119+IF(K$3&lt;=i_tax_dep_end,i_tax_dep_extra,0)</f>
        <v/>
      </c>
      <c r="L121" s="19">
        <f>L119+IF(L$3&lt;=i_tax_dep_end,i_tax_dep_extra,0)</f>
        <v/>
      </c>
      <c r="M121" s="19">
        <f>M119+IF(M$3&lt;=i_tax_dep_end,i_tax_dep_extra,0)</f>
        <v/>
      </c>
      <c r="N121" s="19">
        <f>N119+IF(N$3&lt;=i_tax_dep_end,i_tax_dep_extra,0)</f>
        <v/>
      </c>
      <c r="O121" s="19">
        <f>O119+IF(O$3&lt;=i_tax_dep_end,i_tax_dep_extra,0)</f>
        <v/>
      </c>
      <c r="P121" s="19">
        <f>P119+IF(P$3&lt;=i_tax_dep_end,i_tax_dep_extra,0)</f>
        <v/>
      </c>
      <c r="Q121" s="19">
        <f>Q119+IF(Q$3&lt;=i_tax_dep_end,i_tax_dep_extra,0)</f>
        <v/>
      </c>
      <c r="R121" s="19">
        <f>R119+IF(R$3&lt;=i_tax_dep_end,i_tax_dep_extra,0)</f>
        <v/>
      </c>
      <c r="S121" s="19">
        <f>S119+IF(S$3&lt;=i_tax_dep_end,i_tax_dep_extra,0)</f>
        <v/>
      </c>
      <c r="T121" s="19">
        <f>T119+IF(T$3&lt;=i_tax_dep_end,i_tax_dep_extra,0)</f>
        <v/>
      </c>
      <c r="U121" s="19">
        <f>U119+IF(U$3&lt;=i_tax_dep_end,i_tax_dep_extra,0)</f>
        <v/>
      </c>
      <c r="V121" s="19">
        <f>V119+IF(V$3&lt;=i_tax_dep_end,i_tax_dep_extra,0)</f>
        <v/>
      </c>
      <c r="W121" s="19">
        <f>W119+IF(W$3&lt;=i_tax_dep_end,i_tax_dep_extra,0)</f>
        <v/>
      </c>
      <c r="X121" s="19">
        <f>X119+IF(X$3&lt;=i_tax_dep_end,i_tax_dep_extra,0)</f>
        <v/>
      </c>
      <c r="Y121" s="19">
        <f>Y119+IF(Y$3&lt;=i_tax_dep_end,i_tax_dep_extra,0)</f>
        <v/>
      </c>
      <c r="Z121" s="19">
        <f>Z119+IF(Z$3&lt;=i_tax_dep_end,i_tax_dep_extra,0)</f>
        <v/>
      </c>
      <c r="AA121" s="19">
        <f>AA119+IF(AA$3&lt;=i_tax_dep_end,i_tax_dep_extra,0)</f>
        <v/>
      </c>
      <c r="AB121" s="19">
        <f>AB119+IF(AB$3&lt;=i_tax_dep_end,i_tax_dep_extra,0)</f>
        <v/>
      </c>
      <c r="AC121" s="19">
        <f>AC119+IF(AC$3&lt;=i_tax_dep_end,i_tax_dep_extra,0)</f>
        <v/>
      </c>
      <c r="AD121" s="19">
        <f>AD119+IF(AD$3&lt;=i_tax_dep_end,i_tax_dep_extra,0)</f>
        <v/>
      </c>
      <c r="AE121" s="19">
        <f>AE119+IF(AE$3&lt;=i_tax_dep_end,i_tax_dep_extra,0)</f>
        <v/>
      </c>
      <c r="AF121" s="19">
        <f>AF119+IF(AF$3&lt;=i_tax_dep_end,i_tax_dep_extra,0)</f>
        <v/>
      </c>
      <c r="AG121" s="19">
        <f>AG119+IF(AG$3&lt;=i_tax_dep_end,i_tax_dep_extra,0)</f>
        <v/>
      </c>
      <c r="AH121" s="19">
        <f>AH119+IF(AH$3&lt;=i_tax_dep_end,i_tax_dep_extra,0)</f>
        <v/>
      </c>
      <c r="AI121" s="19">
        <f>AI119+IF(AI$3&lt;=i_tax_dep_end,i_tax_dep_extra,0)</f>
        <v/>
      </c>
    </row>
    <row r="122">
      <c r="B122" s="2" t="inlineStr">
        <is>
          <t>Unlevered cash tax</t>
        </is>
      </c>
      <c r="D122" s="19">
        <f>i_tax*MAX(0,D118-D121)</f>
        <v/>
      </c>
      <c r="E122" s="19">
        <f>i_tax*MAX(0,E118-E121)</f>
        <v/>
      </c>
      <c r="F122" s="19">
        <f>i_tax*MAX(0,F118-F121)</f>
        <v/>
      </c>
      <c r="G122" s="19">
        <f>i_tax*MAX(0,G118-G121)</f>
        <v/>
      </c>
      <c r="H122" s="19">
        <f>i_tax*MAX(0,H118-H121)</f>
        <v/>
      </c>
      <c r="I122" s="19">
        <f>i_tax*MAX(0,I118-I121)</f>
        <v/>
      </c>
      <c r="J122" s="19">
        <f>i_tax*MAX(0,J118-J121)</f>
        <v/>
      </c>
      <c r="K122" s="19">
        <f>i_tax*MAX(0,K118-K121)</f>
        <v/>
      </c>
      <c r="L122" s="19">
        <f>i_tax*MAX(0,L118-L121)</f>
        <v/>
      </c>
      <c r="M122" s="19">
        <f>i_tax*MAX(0,M118-M121)</f>
        <v/>
      </c>
      <c r="N122" s="19">
        <f>i_tax*MAX(0,N118-N121)</f>
        <v/>
      </c>
      <c r="O122" s="19">
        <f>i_tax*MAX(0,O118-O121)</f>
        <v/>
      </c>
      <c r="P122" s="19">
        <f>i_tax*MAX(0,P118-P121)</f>
        <v/>
      </c>
      <c r="Q122" s="19">
        <f>i_tax*MAX(0,Q118-Q121)</f>
        <v/>
      </c>
      <c r="R122" s="19">
        <f>i_tax*MAX(0,R118-R121)</f>
        <v/>
      </c>
      <c r="S122" s="19">
        <f>i_tax*MAX(0,S118-S121)</f>
        <v/>
      </c>
      <c r="T122" s="19">
        <f>i_tax*MAX(0,T118-T121)</f>
        <v/>
      </c>
      <c r="U122" s="19">
        <f>i_tax*MAX(0,U118-U121)</f>
        <v/>
      </c>
      <c r="V122" s="19">
        <f>i_tax*MAX(0,V118-V121)</f>
        <v/>
      </c>
      <c r="W122" s="19">
        <f>i_tax*MAX(0,W118-W121)</f>
        <v/>
      </c>
      <c r="X122" s="19">
        <f>i_tax*MAX(0,X118-X121)</f>
        <v/>
      </c>
      <c r="Y122" s="19">
        <f>i_tax*MAX(0,Y118-Y121)</f>
        <v/>
      </c>
      <c r="Z122" s="19">
        <f>i_tax*MAX(0,Z118-Z121)</f>
        <v/>
      </c>
      <c r="AA122" s="19">
        <f>i_tax*MAX(0,AA118-AA121)</f>
        <v/>
      </c>
      <c r="AB122" s="19">
        <f>i_tax*MAX(0,AB118-AB121)</f>
        <v/>
      </c>
      <c r="AC122" s="19">
        <f>i_tax*MAX(0,AC118-AC121)</f>
        <v/>
      </c>
      <c r="AD122" s="19">
        <f>i_tax*MAX(0,AD118-AD121)</f>
        <v/>
      </c>
      <c r="AE122" s="19">
        <f>i_tax*MAX(0,AE118-AE121)</f>
        <v/>
      </c>
      <c r="AF122" s="19">
        <f>i_tax*MAX(0,AF118-AF121)</f>
        <v/>
      </c>
      <c r="AG122" s="19">
        <f>i_tax*MAX(0,AG118-AG121)</f>
        <v/>
      </c>
      <c r="AH122" s="19">
        <f>i_tax*MAX(0,AH118-AH121)</f>
        <v/>
      </c>
      <c r="AI122" s="19">
        <f>i_tax*MAX(0,AI118-AI121)</f>
        <v/>
      </c>
    </row>
    <row r="123">
      <c r="B123" s="2" t="inlineStr">
        <is>
          <t>Westerhaven handback works</t>
        </is>
      </c>
      <c r="D123" s="19">
        <f>IF(AND(Platform!$C$33=0,D$3=i_conc_end),i_handback*D36,0)</f>
        <v/>
      </c>
      <c r="E123" s="19">
        <f>IF(AND(Platform!$C$33=0,E$3=i_conc_end),i_handback*E36,0)</f>
        <v/>
      </c>
      <c r="F123" s="19">
        <f>IF(AND(Platform!$C$33=0,F$3=i_conc_end),i_handback*F36,0)</f>
        <v/>
      </c>
      <c r="G123" s="19">
        <f>IF(AND(Platform!$C$33=0,G$3=i_conc_end),i_handback*G36,0)</f>
        <v/>
      </c>
      <c r="H123" s="19">
        <f>IF(AND(Platform!$C$33=0,H$3=i_conc_end),i_handback*H36,0)</f>
        <v/>
      </c>
      <c r="I123" s="19">
        <f>IF(AND(Platform!$C$33=0,I$3=i_conc_end),i_handback*I36,0)</f>
        <v/>
      </c>
      <c r="J123" s="19">
        <f>IF(AND(Platform!$C$33=0,J$3=i_conc_end),i_handback*J36,0)</f>
        <v/>
      </c>
      <c r="K123" s="19">
        <f>IF(AND(Platform!$C$33=0,K$3=i_conc_end),i_handback*K36,0)</f>
        <v/>
      </c>
      <c r="L123" s="19">
        <f>IF(AND(Platform!$C$33=0,L$3=i_conc_end),i_handback*L36,0)</f>
        <v/>
      </c>
      <c r="M123" s="19">
        <f>IF(AND(Platform!$C$33=0,M$3=i_conc_end),i_handback*M36,0)</f>
        <v/>
      </c>
      <c r="N123" s="19">
        <f>IF(AND(Platform!$C$33=0,N$3=i_conc_end),i_handback*N36,0)</f>
        <v/>
      </c>
      <c r="O123" s="19">
        <f>IF(AND(Platform!$C$33=0,O$3=i_conc_end),i_handback*O36,0)</f>
        <v/>
      </c>
      <c r="P123" s="19">
        <f>IF(AND(Platform!$C$33=0,P$3=i_conc_end),i_handback*P36,0)</f>
        <v/>
      </c>
      <c r="Q123" s="19">
        <f>IF(AND(Platform!$C$33=0,Q$3=i_conc_end),i_handback*Q36,0)</f>
        <v/>
      </c>
      <c r="R123" s="19">
        <f>IF(AND(Platform!$C$33=0,R$3=i_conc_end),i_handback*R36,0)</f>
        <v/>
      </c>
      <c r="S123" s="19">
        <f>IF(AND(Platform!$C$33=0,S$3=i_conc_end),i_handback*S36,0)</f>
        <v/>
      </c>
      <c r="T123" s="19">
        <f>IF(AND(Platform!$C$33=0,T$3=i_conc_end),i_handback*T36,0)</f>
        <v/>
      </c>
      <c r="U123" s="19">
        <f>IF(AND(Platform!$C$33=0,U$3=i_conc_end),i_handback*U36,0)</f>
        <v/>
      </c>
      <c r="V123" s="19">
        <f>IF(AND(Platform!$C$33=0,V$3=i_conc_end),i_handback*V36,0)</f>
        <v/>
      </c>
      <c r="W123" s="19">
        <f>IF(AND(Platform!$C$33=0,W$3=i_conc_end),i_handback*W36,0)</f>
        <v/>
      </c>
      <c r="X123" s="19">
        <f>IF(AND(Platform!$C$33=0,X$3=i_conc_end),i_handback*X36,0)</f>
        <v/>
      </c>
      <c r="Y123" s="19">
        <f>IF(AND(Platform!$C$33=0,Y$3=i_conc_end),i_handback*Y36,0)</f>
        <v/>
      </c>
      <c r="Z123" s="19">
        <f>IF(AND(Platform!$C$33=0,Z$3=i_conc_end),i_handback*Z36,0)</f>
        <v/>
      </c>
      <c r="AA123" s="19">
        <f>IF(AND(Platform!$C$33=0,AA$3=i_conc_end),i_handback*AA36,0)</f>
        <v/>
      </c>
      <c r="AB123" s="19">
        <f>IF(AND(Platform!$C$33=0,AB$3=i_conc_end),i_handback*AB36,0)</f>
        <v/>
      </c>
      <c r="AC123" s="19">
        <f>IF(AND(Platform!$C$33=0,AC$3=i_conc_end),i_handback*AC36,0)</f>
        <v/>
      </c>
      <c r="AD123" s="19">
        <f>IF(AND(Platform!$C$33=0,AD$3=i_conc_end),i_handback*AD36,0)</f>
        <v/>
      </c>
      <c r="AE123" s="19">
        <f>IF(AND(Platform!$C$33=0,AE$3=i_conc_end),i_handback*AE36,0)</f>
        <v/>
      </c>
      <c r="AF123" s="19">
        <f>IF(AND(Platform!$C$33=0,AF$3=i_conc_end),i_handback*AF36,0)</f>
        <v/>
      </c>
      <c r="AG123" s="19">
        <f>IF(AND(Platform!$C$33=0,AG$3=i_conc_end),i_handback*AG36,0)</f>
        <v/>
      </c>
      <c r="AH123" s="19">
        <f>IF(AND(Platform!$C$33=0,AH$3=i_conc_end),i_handback*AH36,0)</f>
        <v/>
      </c>
      <c r="AI123" s="19">
        <f>IF(AND(Platform!$C$33=0,AI$3=i_conc_end),i_handback*AI36,0)</f>
        <v/>
      </c>
    </row>
    <row r="124">
      <c r="B124" s="3" t="inlineStr">
        <is>
          <t>Free cash flow (unlevered)</t>
        </is>
      </c>
      <c r="D124" s="31">
        <f>D118-D119-D120-D122-D123</f>
        <v/>
      </c>
      <c r="E124" s="31">
        <f>E118-E119-E120-E122-E123</f>
        <v/>
      </c>
      <c r="F124" s="31">
        <f>F118-F119-F120-F122-F123</f>
        <v/>
      </c>
      <c r="G124" s="31">
        <f>G118-G119-G120-G122-G123</f>
        <v/>
      </c>
      <c r="H124" s="31">
        <f>H118-H119-H120-H122-H123</f>
        <v/>
      </c>
      <c r="I124" s="31">
        <f>I118-I119-I120-I122-I123</f>
        <v/>
      </c>
      <c r="J124" s="31">
        <f>J118-J119-J120-J122-J123</f>
        <v/>
      </c>
      <c r="K124" s="31">
        <f>K118-K119-K120-K122-K123</f>
        <v/>
      </c>
      <c r="L124" s="31">
        <f>L118-L119-L120-L122-L123</f>
        <v/>
      </c>
      <c r="M124" s="31">
        <f>M118-M119-M120-M122-M123</f>
        <v/>
      </c>
      <c r="N124" s="31">
        <f>N118-N119-N120-N122-N123</f>
        <v/>
      </c>
      <c r="O124" s="31">
        <f>O118-O119-O120-O122-O123</f>
        <v/>
      </c>
      <c r="P124" s="31">
        <f>P118-P119-P120-P122-P123</f>
        <v/>
      </c>
      <c r="Q124" s="31">
        <f>Q118-Q119-Q120-Q122-Q123</f>
        <v/>
      </c>
      <c r="R124" s="31">
        <f>R118-R119-R120-R122-R123</f>
        <v/>
      </c>
      <c r="S124" s="31">
        <f>S118-S119-S120-S122-S123</f>
        <v/>
      </c>
      <c r="T124" s="31">
        <f>T118-T119-T120-T122-T123</f>
        <v/>
      </c>
      <c r="U124" s="31">
        <f>U118-U119-U120-U122-U123</f>
        <v/>
      </c>
      <c r="V124" s="31">
        <f>V118-V119-V120-V122-V123</f>
        <v/>
      </c>
      <c r="W124" s="31">
        <f>W118-W119-W120-W122-W123</f>
        <v/>
      </c>
      <c r="X124" s="31">
        <f>X118-X119-X120-X122-X123</f>
        <v/>
      </c>
      <c r="Y124" s="31">
        <f>Y118-Y119-Y120-Y122-Y123</f>
        <v/>
      </c>
      <c r="Z124" s="31">
        <f>Z118-Z119-Z120-Z122-Z123</f>
        <v/>
      </c>
      <c r="AA124" s="31">
        <f>AA118-AA119-AA120-AA122-AA123</f>
        <v/>
      </c>
      <c r="AB124" s="31">
        <f>AB118-AB119-AB120-AB122-AB123</f>
        <v/>
      </c>
      <c r="AC124" s="31">
        <f>AC118-AC119-AC120-AC122-AC123</f>
        <v/>
      </c>
      <c r="AD124" s="31">
        <f>AD118-AD119-AD120-AD122-AD123</f>
        <v/>
      </c>
      <c r="AE124" s="31">
        <f>AE118-AE119-AE120-AE122-AE123</f>
        <v/>
      </c>
      <c r="AF124" s="31">
        <f>AF118-AF119-AF120-AF122-AF123</f>
        <v/>
      </c>
      <c r="AG124" s="31">
        <f>AG118-AG119-AG120-AG122-AG123</f>
        <v/>
      </c>
      <c r="AH124" s="31">
        <f>AH118-AH119-AH120-AH122-AH123</f>
        <v/>
      </c>
      <c r="AI124" s="31">
        <f>AI118-AI119-AI120-AI122-AI123</f>
        <v/>
      </c>
    </row>
    <row r="125">
      <c r="B125" s="2" t="inlineStr">
        <is>
          <t>Present value at the discount rate (2027 to 2056)</t>
        </is>
      </c>
      <c r="D125" s="19">
        <f>IF(AND(D$3&gt;i_base_year,D$3&lt;=i_last),D124/(1+i_r)^D$4,0)</f>
        <v/>
      </c>
      <c r="E125" s="19">
        <f>IF(AND(E$3&gt;i_base_year,E$3&lt;=i_last),E124/(1+i_r)^E$4,0)</f>
        <v/>
      </c>
      <c r="F125" s="19">
        <f>IF(AND(F$3&gt;i_base_year,F$3&lt;=i_last),F124/(1+i_r)^F$4,0)</f>
        <v/>
      </c>
      <c r="G125" s="19">
        <f>IF(AND(G$3&gt;i_base_year,G$3&lt;=i_last),G124/(1+i_r)^G$4,0)</f>
        <v/>
      </c>
      <c r="H125" s="19">
        <f>IF(AND(H$3&gt;i_base_year,H$3&lt;=i_last),H124/(1+i_r)^H$4,0)</f>
        <v/>
      </c>
      <c r="I125" s="19">
        <f>IF(AND(I$3&gt;i_base_year,I$3&lt;=i_last),I124/(1+i_r)^I$4,0)</f>
        <v/>
      </c>
      <c r="J125" s="19">
        <f>IF(AND(J$3&gt;i_base_year,J$3&lt;=i_last),J124/(1+i_r)^J$4,0)</f>
        <v/>
      </c>
      <c r="K125" s="19">
        <f>IF(AND(K$3&gt;i_base_year,K$3&lt;=i_last),K124/(1+i_r)^K$4,0)</f>
        <v/>
      </c>
      <c r="L125" s="19">
        <f>IF(AND(L$3&gt;i_base_year,L$3&lt;=i_last),L124/(1+i_r)^L$4,0)</f>
        <v/>
      </c>
      <c r="M125" s="19">
        <f>IF(AND(M$3&gt;i_base_year,M$3&lt;=i_last),M124/(1+i_r)^M$4,0)</f>
        <v/>
      </c>
      <c r="N125" s="19">
        <f>IF(AND(N$3&gt;i_base_year,N$3&lt;=i_last),N124/(1+i_r)^N$4,0)</f>
        <v/>
      </c>
      <c r="O125" s="19">
        <f>IF(AND(O$3&gt;i_base_year,O$3&lt;=i_last),O124/(1+i_r)^O$4,0)</f>
        <v/>
      </c>
      <c r="P125" s="19">
        <f>IF(AND(P$3&gt;i_base_year,P$3&lt;=i_last),P124/(1+i_r)^P$4,0)</f>
        <v/>
      </c>
      <c r="Q125" s="19">
        <f>IF(AND(Q$3&gt;i_base_year,Q$3&lt;=i_last),Q124/(1+i_r)^Q$4,0)</f>
        <v/>
      </c>
      <c r="R125" s="19">
        <f>IF(AND(R$3&gt;i_base_year,R$3&lt;=i_last),R124/(1+i_r)^R$4,0)</f>
        <v/>
      </c>
      <c r="S125" s="19">
        <f>IF(AND(S$3&gt;i_base_year,S$3&lt;=i_last),S124/(1+i_r)^S$4,0)</f>
        <v/>
      </c>
      <c r="T125" s="19">
        <f>IF(AND(T$3&gt;i_base_year,T$3&lt;=i_last),T124/(1+i_r)^T$4,0)</f>
        <v/>
      </c>
      <c r="U125" s="19">
        <f>IF(AND(U$3&gt;i_base_year,U$3&lt;=i_last),U124/(1+i_r)^U$4,0)</f>
        <v/>
      </c>
      <c r="V125" s="19">
        <f>IF(AND(V$3&gt;i_base_year,V$3&lt;=i_last),V124/(1+i_r)^V$4,0)</f>
        <v/>
      </c>
      <c r="W125" s="19">
        <f>IF(AND(W$3&gt;i_base_year,W$3&lt;=i_last),W124/(1+i_r)^W$4,0)</f>
        <v/>
      </c>
      <c r="X125" s="19">
        <f>IF(AND(X$3&gt;i_base_year,X$3&lt;=i_last),X124/(1+i_r)^X$4,0)</f>
        <v/>
      </c>
      <c r="Y125" s="19">
        <f>IF(AND(Y$3&gt;i_base_year,Y$3&lt;=i_last),Y124/(1+i_r)^Y$4,0)</f>
        <v/>
      </c>
      <c r="Z125" s="19">
        <f>IF(AND(Z$3&gt;i_base_year,Z$3&lt;=i_last),Z124/(1+i_r)^Z$4,0)</f>
        <v/>
      </c>
      <c r="AA125" s="19">
        <f>IF(AND(AA$3&gt;i_base_year,AA$3&lt;=i_last),AA124/(1+i_r)^AA$4,0)</f>
        <v/>
      </c>
      <c r="AB125" s="19">
        <f>IF(AND(AB$3&gt;i_base_year,AB$3&lt;=i_last),AB124/(1+i_r)^AB$4,0)</f>
        <v/>
      </c>
      <c r="AC125" s="19">
        <f>IF(AND(AC$3&gt;i_base_year,AC$3&lt;=i_last),AC124/(1+i_r)^AC$4,0)</f>
        <v/>
      </c>
      <c r="AD125" s="19">
        <f>IF(AND(AD$3&gt;i_base_year,AD$3&lt;=i_last),AD124/(1+i_r)^AD$4,0)</f>
        <v/>
      </c>
      <c r="AE125" s="19">
        <f>IF(AND(AE$3&gt;i_base_year,AE$3&lt;=i_last),AE124/(1+i_r)^AE$4,0)</f>
        <v/>
      </c>
      <c r="AF125" s="19">
        <f>IF(AND(AF$3&gt;i_base_year,AF$3&lt;=i_last),AF124/(1+i_r)^AF$4,0)</f>
        <v/>
      </c>
      <c r="AG125" s="19">
        <f>IF(AND(AG$3&gt;i_base_year,AG$3&lt;=i_last),AG124/(1+i_r)^AG$4,0)</f>
        <v/>
      </c>
      <c r="AH125" s="19">
        <f>IF(AND(AH$3&gt;i_base_year,AH$3&lt;=i_last),AH124/(1+i_r)^AH$4,0)</f>
        <v/>
      </c>
      <c r="AI125" s="19">
        <f>IF(AND(AI$3&gt;i_base_year,AI$3&lt;=i_last),AI124/(1+i_r)^AI$4,0)</f>
        <v/>
      </c>
    </row>
    <row r="126">
      <c r="B126" s="2" t="inlineStr">
        <is>
          <t>Present value of 2027 to 2056 free cash flow</t>
        </is>
      </c>
      <c r="C126" s="19">
        <f>SUM(D125:AI125)</f>
        <v/>
      </c>
    </row>
    <row r="127">
      <c r="B127" s="2" t="inlineStr">
        <is>
          <t>Terminal value at the end of 2056 (on 2057 free cash flow)</t>
        </is>
      </c>
      <c r="C127" s="19">
        <f>AI124/(i_r-i_g)</f>
        <v/>
      </c>
    </row>
    <row r="128">
      <c r="B128" s="2" t="inlineStr">
        <is>
          <t>Present value of the terminal value</t>
        </is>
      </c>
      <c r="C128" s="19">
        <f>C127/(1+i_r)^(i_last-i_base_year)</f>
        <v/>
      </c>
    </row>
    <row r="129">
      <c r="B129" s="3" t="inlineStr">
        <is>
          <t>Enterprise value at 31 December 2026</t>
        </is>
      </c>
      <c r="C129" s="31">
        <f>C126+C128</f>
        <v/>
      </c>
    </row>
    <row r="131">
      <c r="B131" s="5" t="inlineStr">
        <is>
          <t>Seller's plan against the live case</t>
        </is>
      </c>
    </row>
    <row r="132">
      <c r="B132" s="2" t="inlineStr">
        <is>
          <t>EBITDA, seller's plan</t>
        </is>
      </c>
      <c r="D132" s="19">
        <f>D118</f>
        <v/>
      </c>
      <c r="E132" s="19">
        <f>E118</f>
        <v/>
      </c>
      <c r="F132" s="19">
        <f>F118</f>
        <v/>
      </c>
      <c r="G132" s="19">
        <f>G118</f>
        <v/>
      </c>
      <c r="H132" s="19">
        <f>H118</f>
        <v/>
      </c>
      <c r="I132" s="19">
        <f>I118</f>
        <v/>
      </c>
      <c r="J132" s="19">
        <f>J118</f>
        <v/>
      </c>
      <c r="K132" s="19">
        <f>K118</f>
        <v/>
      </c>
      <c r="L132" s="19">
        <f>L118</f>
        <v/>
      </c>
      <c r="M132" s="19">
        <f>M118</f>
        <v/>
      </c>
      <c r="N132" s="19">
        <f>N118</f>
        <v/>
      </c>
      <c r="O132" s="19">
        <f>O118</f>
        <v/>
      </c>
      <c r="P132" s="19">
        <f>P118</f>
        <v/>
      </c>
      <c r="Q132" s="19">
        <f>Q118</f>
        <v/>
      </c>
      <c r="R132" s="19">
        <f>R118</f>
        <v/>
      </c>
      <c r="S132" s="19">
        <f>S118</f>
        <v/>
      </c>
      <c r="T132" s="19">
        <f>T118</f>
        <v/>
      </c>
      <c r="U132" s="19">
        <f>U118</f>
        <v/>
      </c>
      <c r="V132" s="19">
        <f>V118</f>
        <v/>
      </c>
      <c r="W132" s="19">
        <f>W118</f>
        <v/>
      </c>
      <c r="X132" s="19">
        <f>X118</f>
        <v/>
      </c>
      <c r="Y132" s="19">
        <f>Y118</f>
        <v/>
      </c>
      <c r="Z132" s="19">
        <f>Z118</f>
        <v/>
      </c>
      <c r="AA132" s="19">
        <f>AA118</f>
        <v/>
      </c>
      <c r="AB132" s="19">
        <f>AB118</f>
        <v/>
      </c>
      <c r="AC132" s="19">
        <f>AC118</f>
        <v/>
      </c>
      <c r="AD132" s="19">
        <f>AD118</f>
        <v/>
      </c>
      <c r="AE132" s="19">
        <f>AE118</f>
        <v/>
      </c>
      <c r="AF132" s="19">
        <f>AF118</f>
        <v/>
      </c>
      <c r="AG132" s="19">
        <f>AG118</f>
        <v/>
      </c>
      <c r="AH132" s="19">
        <f>AH118</f>
        <v/>
      </c>
      <c r="AI132" s="19">
        <f>AI118</f>
        <v/>
      </c>
    </row>
    <row r="133">
      <c r="B133" s="2" t="inlineStr">
        <is>
          <t>EBITDA, live case</t>
        </is>
      </c>
      <c r="D133" s="19">
        <f>D10</f>
        <v/>
      </c>
      <c r="E133" s="19">
        <f>E10</f>
        <v/>
      </c>
      <c r="F133" s="19">
        <f>F10</f>
        <v/>
      </c>
      <c r="G133" s="19">
        <f>G10</f>
        <v/>
      </c>
      <c r="H133" s="19">
        <f>H10</f>
        <v/>
      </c>
      <c r="I133" s="19">
        <f>I10</f>
        <v/>
      </c>
      <c r="J133" s="19">
        <f>J10</f>
        <v/>
      </c>
      <c r="K133" s="19">
        <f>K10</f>
        <v/>
      </c>
      <c r="L133" s="19">
        <f>L10</f>
        <v/>
      </c>
      <c r="M133" s="19">
        <f>M10</f>
        <v/>
      </c>
      <c r="N133" s="19">
        <f>N10</f>
        <v/>
      </c>
      <c r="O133" s="19">
        <f>O10</f>
        <v/>
      </c>
      <c r="P133" s="19">
        <f>P10</f>
        <v/>
      </c>
      <c r="Q133" s="19">
        <f>Q10</f>
        <v/>
      </c>
      <c r="R133" s="19">
        <f>R10</f>
        <v/>
      </c>
      <c r="S133" s="19">
        <f>S10</f>
        <v/>
      </c>
      <c r="T133" s="19">
        <f>T10</f>
        <v/>
      </c>
      <c r="U133" s="19">
        <f>U10</f>
        <v/>
      </c>
      <c r="V133" s="19">
        <f>V10</f>
        <v/>
      </c>
      <c r="W133" s="19">
        <f>W10</f>
        <v/>
      </c>
      <c r="X133" s="19">
        <f>X10</f>
        <v/>
      </c>
      <c r="Y133" s="19">
        <f>Y10</f>
        <v/>
      </c>
      <c r="Z133" s="19">
        <f>Z10</f>
        <v/>
      </c>
      <c r="AA133" s="19">
        <f>AA10</f>
        <v/>
      </c>
      <c r="AB133" s="19">
        <f>AB10</f>
        <v/>
      </c>
      <c r="AC133" s="19">
        <f>AC10</f>
        <v/>
      </c>
      <c r="AD133" s="19">
        <f>AD10</f>
        <v/>
      </c>
      <c r="AE133" s="19">
        <f>AE10</f>
        <v/>
      </c>
      <c r="AF133" s="19">
        <f>AF10</f>
        <v/>
      </c>
      <c r="AG133" s="19">
        <f>AG10</f>
        <v/>
      </c>
      <c r="AH133" s="19">
        <f>AH10</f>
        <v/>
      </c>
      <c r="AI133" s="19">
        <f>AI10</f>
        <v/>
      </c>
    </row>
    <row r="134">
      <c r="B134" s="2" t="inlineStr">
        <is>
          <t>Difference</t>
        </is>
      </c>
      <c r="D134" s="19">
        <f>D133-D132</f>
        <v/>
      </c>
      <c r="E134" s="19">
        <f>E133-E132</f>
        <v/>
      </c>
      <c r="F134" s="19">
        <f>F133-F132</f>
        <v/>
      </c>
      <c r="G134" s="19">
        <f>G133-G132</f>
        <v/>
      </c>
      <c r="H134" s="19">
        <f>H133-H132</f>
        <v/>
      </c>
      <c r="I134" s="19">
        <f>I133-I132</f>
        <v/>
      </c>
      <c r="J134" s="19">
        <f>J133-J132</f>
        <v/>
      </c>
      <c r="K134" s="19">
        <f>K133-K132</f>
        <v/>
      </c>
      <c r="L134" s="19">
        <f>L133-L132</f>
        <v/>
      </c>
      <c r="M134" s="19">
        <f>M133-M132</f>
        <v/>
      </c>
      <c r="N134" s="19">
        <f>N133-N132</f>
        <v/>
      </c>
      <c r="O134" s="19">
        <f>O133-O132</f>
        <v/>
      </c>
      <c r="P134" s="19">
        <f>P133-P132</f>
        <v/>
      </c>
      <c r="Q134" s="19">
        <f>Q133-Q132</f>
        <v/>
      </c>
      <c r="R134" s="19">
        <f>R133-R132</f>
        <v/>
      </c>
      <c r="S134" s="19">
        <f>S133-S132</f>
        <v/>
      </c>
      <c r="T134" s="19">
        <f>T133-T132</f>
        <v/>
      </c>
      <c r="U134" s="19">
        <f>U133-U132</f>
        <v/>
      </c>
      <c r="V134" s="19">
        <f>V133-V132</f>
        <v/>
      </c>
      <c r="W134" s="19">
        <f>W133-W132</f>
        <v/>
      </c>
      <c r="X134" s="19">
        <f>X133-X132</f>
        <v/>
      </c>
      <c r="Y134" s="19">
        <f>Y133-Y132</f>
        <v/>
      </c>
      <c r="Z134" s="19">
        <f>Z133-Z132</f>
        <v/>
      </c>
      <c r="AA134" s="19">
        <f>AA133-AA132</f>
        <v/>
      </c>
      <c r="AB134" s="19">
        <f>AB133-AB132</f>
        <v/>
      </c>
      <c r="AC134" s="19">
        <f>AC133-AC132</f>
        <v/>
      </c>
      <c r="AD134" s="19">
        <f>AD133-AD132</f>
        <v/>
      </c>
      <c r="AE134" s="19">
        <f>AE133-AE132</f>
        <v/>
      </c>
      <c r="AF134" s="19">
        <f>AF133-AF132</f>
        <v/>
      </c>
      <c r="AG134" s="19">
        <f>AG133-AG132</f>
        <v/>
      </c>
      <c r="AH134" s="19">
        <f>AH133-AH132</f>
        <v/>
      </c>
      <c r="AI134" s="19">
        <f>AI133-AI132</f>
        <v/>
      </c>
    </row>
    <row r="136">
      <c r="B136" s="5" t="inlineStr">
        <is>
          <t>2026 at the locked box date (live case)</t>
        </is>
      </c>
    </row>
    <row r="137">
      <c r="B137" s="2" t="inlineStr">
        <is>
          <t>Business unit EBITDA</t>
        </is>
      </c>
      <c r="C137" s="19">
        <f>Platform!$D$8</f>
        <v/>
      </c>
    </row>
    <row r="138">
      <c r="B138" s="2" t="inlineStr">
        <is>
          <t>EBITDA margin</t>
        </is>
      </c>
      <c r="C138" s="21">
        <f>Platform!$D$10/Platform!$D$7</f>
        <v/>
      </c>
    </row>
    <row r="139">
      <c r="B139" s="2" t="inlineStr">
        <is>
          <t>Maintenance capex, share of EBITDA</t>
        </is>
      </c>
      <c r="C139" s="21">
        <f>Platform!$D$11/Platform!$D$10</f>
        <v/>
      </c>
    </row>
    <row r="140">
      <c r="B140" s="2" t="inlineStr">
        <is>
          <t>Free cash flow, share of EBITDA</t>
        </is>
      </c>
      <c r="C140" s="21">
        <f>Platform!$D$16/Platform!$D$10</f>
        <v/>
      </c>
    </row>
    <row r="141">
      <c r="B141" s="2" t="inlineStr">
        <is>
          <t>Westerhaven: share of business unit EBITDA</t>
        </is>
      </c>
      <c r="C141" s="21">
        <f>Segments!$D$36/Platform!$C$137</f>
        <v/>
      </c>
    </row>
    <row r="142">
      <c r="B142" s="2" t="inlineStr">
        <is>
          <t>Rhine Inland: share of business unit EBITDA</t>
        </is>
      </c>
      <c r="C142" s="21">
        <f>Segments!$D$51/Platform!$C$137</f>
        <v/>
      </c>
    </row>
    <row r="143">
      <c r="B143" s="2" t="inlineStr">
        <is>
          <t>Thamesbridge: share of business unit EBITDA</t>
        </is>
      </c>
      <c r="C143" s="21">
        <f>Segments!$D$66/Platform!$C$137</f>
        <v/>
      </c>
    </row>
    <row r="144">
      <c r="B144" s="2" t="inlineStr">
        <is>
          <t>Sabine Bend: share of business unit EBITDA</t>
        </is>
      </c>
      <c r="C144" s="21">
        <f>Segments!$D$82/Platform!$C$137</f>
        <v/>
      </c>
    </row>
    <row r="145">
      <c r="B145" s="2" t="inlineStr">
        <is>
          <t>Revenue, Netherlands ($m)</t>
        </is>
      </c>
      <c r="C145" s="19">
        <f>Segments!$D$31+Segments!$D$47</f>
        <v/>
      </c>
    </row>
    <row r="146">
      <c r="B146" s="2" t="inlineStr">
        <is>
          <t>Revenue, Netherlands (EUR m)</t>
        </is>
      </c>
      <c r="C146" s="19">
        <f>Platform!$C$145/i_eurusd</f>
        <v/>
      </c>
    </row>
    <row r="147">
      <c r="B147" s="2" t="inlineStr">
        <is>
          <t>Revenue, United Kingdom ($m)</t>
        </is>
      </c>
      <c r="C147" s="19">
        <f>Segments!$D$62</f>
        <v/>
      </c>
    </row>
    <row r="148">
      <c r="B148" s="2" t="inlineStr">
        <is>
          <t>Revenue, United Kingdom (GBP m)</t>
        </is>
      </c>
      <c r="C148" s="19">
        <f>Platform!$C$147/i_gbpusd</f>
        <v/>
      </c>
    </row>
    <row r="149">
      <c r="B149" s="2" t="inlineStr">
        <is>
          <t>Revenue, United States ($m)</t>
        </is>
      </c>
      <c r="C149" s="19">
        <f>Segments!$D$77</f>
        <v/>
      </c>
    </row>
    <row r="150">
      <c r="B150" s="2" t="inlineStr">
        <is>
          <t>Westerhaven: EBITDA margin</t>
        </is>
      </c>
      <c r="C150" s="21">
        <f>Segments!$D$36/Segments!$D$31</f>
        <v/>
      </c>
    </row>
    <row r="151">
      <c r="B151" s="2" t="inlineStr">
        <is>
          <t>Rhine Inland: EBITDA margin</t>
        </is>
      </c>
      <c r="C151" s="21">
        <f>Segments!$D$51/Segments!$D$47</f>
        <v/>
      </c>
    </row>
    <row r="152">
      <c r="B152" s="2" t="inlineStr">
        <is>
          <t>Thamesbridge: EBITDA margin</t>
        </is>
      </c>
      <c r="C152" s="21">
        <f>Segments!$D$66/Segments!$D$62</f>
        <v/>
      </c>
    </row>
    <row r="153">
      <c r="B153" s="2" t="inlineStr">
        <is>
          <t>Sabine Bend: EBITDA margin</t>
        </is>
      </c>
      <c r="C153" s="21">
        <f>Segments!$D$82/Segments!$D$77</f>
        <v/>
      </c>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B1:AI250"/>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s>
  <sheetData>
    <row r="1">
      <c r="B1" s="1" t="inlineStr">
        <is>
          <t>DCF: enterprise value at 31 December 2026, live case (chapter 8)</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Discounted free cash flow</t>
        </is>
      </c>
    </row>
    <row r="7">
      <c r="B7" s="2" t="inlineStr">
        <is>
          <t>Free cash flow (Platform)</t>
        </is>
      </c>
      <c r="D7" s="19">
        <f>Platform!D16</f>
        <v/>
      </c>
      <c r="E7" s="19">
        <f>Platform!E16</f>
        <v/>
      </c>
      <c r="F7" s="19">
        <f>Platform!F16</f>
        <v/>
      </c>
      <c r="G7" s="19">
        <f>Platform!G16</f>
        <v/>
      </c>
      <c r="H7" s="19">
        <f>Platform!H16</f>
        <v/>
      </c>
      <c r="I7" s="19">
        <f>Platform!I16</f>
        <v/>
      </c>
      <c r="J7" s="19">
        <f>Platform!J16</f>
        <v/>
      </c>
      <c r="K7" s="19">
        <f>Platform!K16</f>
        <v/>
      </c>
      <c r="L7" s="19">
        <f>Platform!L16</f>
        <v/>
      </c>
      <c r="M7" s="19">
        <f>Platform!M16</f>
        <v/>
      </c>
      <c r="N7" s="19">
        <f>Platform!N16</f>
        <v/>
      </c>
      <c r="O7" s="19">
        <f>Platform!O16</f>
        <v/>
      </c>
      <c r="P7" s="19">
        <f>Platform!P16</f>
        <v/>
      </c>
      <c r="Q7" s="19">
        <f>Platform!Q16</f>
        <v/>
      </c>
      <c r="R7" s="19">
        <f>Platform!R16</f>
        <v/>
      </c>
      <c r="S7" s="19">
        <f>Platform!S16</f>
        <v/>
      </c>
      <c r="T7" s="19">
        <f>Platform!T16</f>
        <v/>
      </c>
      <c r="U7" s="19">
        <f>Platform!U16</f>
        <v/>
      </c>
      <c r="V7" s="19">
        <f>Platform!V16</f>
        <v/>
      </c>
      <c r="W7" s="19">
        <f>Platform!W16</f>
        <v/>
      </c>
      <c r="X7" s="19">
        <f>Platform!X16</f>
        <v/>
      </c>
      <c r="Y7" s="19">
        <f>Platform!Y16</f>
        <v/>
      </c>
      <c r="Z7" s="19">
        <f>Platform!Z16</f>
        <v/>
      </c>
      <c r="AA7" s="19">
        <f>Platform!AA16</f>
        <v/>
      </c>
      <c r="AB7" s="19">
        <f>Platform!AB16</f>
        <v/>
      </c>
      <c r="AC7" s="19">
        <f>Platform!AC16</f>
        <v/>
      </c>
      <c r="AD7" s="19">
        <f>Platform!AD16</f>
        <v/>
      </c>
      <c r="AE7" s="19">
        <f>Platform!AE16</f>
        <v/>
      </c>
      <c r="AF7" s="19">
        <f>Platform!AF16</f>
        <v/>
      </c>
      <c r="AG7" s="19">
        <f>Platform!AG16</f>
        <v/>
      </c>
      <c r="AH7" s="19">
        <f>Platform!AH16</f>
        <v/>
      </c>
      <c r="AI7" s="19">
        <f>Platform!AI16</f>
        <v/>
      </c>
    </row>
    <row r="8">
      <c r="B8" s="2" t="inlineStr">
        <is>
          <t>Discount factor</t>
        </is>
      </c>
      <c r="D8" s="30">
        <f>IF(AND(D$3&gt;i_base_year,D$3&lt;=i_last),1/(1+i_r)^D$4,0)</f>
        <v/>
      </c>
      <c r="E8" s="30">
        <f>IF(AND(E$3&gt;i_base_year,E$3&lt;=i_last),1/(1+i_r)^E$4,0)</f>
        <v/>
      </c>
      <c r="F8" s="30">
        <f>IF(AND(F$3&gt;i_base_year,F$3&lt;=i_last),1/(1+i_r)^F$4,0)</f>
        <v/>
      </c>
      <c r="G8" s="30">
        <f>IF(AND(G$3&gt;i_base_year,G$3&lt;=i_last),1/(1+i_r)^G$4,0)</f>
        <v/>
      </c>
      <c r="H8" s="30">
        <f>IF(AND(H$3&gt;i_base_year,H$3&lt;=i_last),1/(1+i_r)^H$4,0)</f>
        <v/>
      </c>
      <c r="I8" s="30">
        <f>IF(AND(I$3&gt;i_base_year,I$3&lt;=i_last),1/(1+i_r)^I$4,0)</f>
        <v/>
      </c>
      <c r="J8" s="30">
        <f>IF(AND(J$3&gt;i_base_year,J$3&lt;=i_last),1/(1+i_r)^J$4,0)</f>
        <v/>
      </c>
      <c r="K8" s="30">
        <f>IF(AND(K$3&gt;i_base_year,K$3&lt;=i_last),1/(1+i_r)^K$4,0)</f>
        <v/>
      </c>
      <c r="L8" s="30">
        <f>IF(AND(L$3&gt;i_base_year,L$3&lt;=i_last),1/(1+i_r)^L$4,0)</f>
        <v/>
      </c>
      <c r="M8" s="30">
        <f>IF(AND(M$3&gt;i_base_year,M$3&lt;=i_last),1/(1+i_r)^M$4,0)</f>
        <v/>
      </c>
      <c r="N8" s="30">
        <f>IF(AND(N$3&gt;i_base_year,N$3&lt;=i_last),1/(1+i_r)^N$4,0)</f>
        <v/>
      </c>
      <c r="O8" s="30">
        <f>IF(AND(O$3&gt;i_base_year,O$3&lt;=i_last),1/(1+i_r)^O$4,0)</f>
        <v/>
      </c>
      <c r="P8" s="30">
        <f>IF(AND(P$3&gt;i_base_year,P$3&lt;=i_last),1/(1+i_r)^P$4,0)</f>
        <v/>
      </c>
      <c r="Q8" s="30">
        <f>IF(AND(Q$3&gt;i_base_year,Q$3&lt;=i_last),1/(1+i_r)^Q$4,0)</f>
        <v/>
      </c>
      <c r="R8" s="30">
        <f>IF(AND(R$3&gt;i_base_year,R$3&lt;=i_last),1/(1+i_r)^R$4,0)</f>
        <v/>
      </c>
      <c r="S8" s="30">
        <f>IF(AND(S$3&gt;i_base_year,S$3&lt;=i_last),1/(1+i_r)^S$4,0)</f>
        <v/>
      </c>
      <c r="T8" s="30">
        <f>IF(AND(T$3&gt;i_base_year,T$3&lt;=i_last),1/(1+i_r)^T$4,0)</f>
        <v/>
      </c>
      <c r="U8" s="30">
        <f>IF(AND(U$3&gt;i_base_year,U$3&lt;=i_last),1/(1+i_r)^U$4,0)</f>
        <v/>
      </c>
      <c r="V8" s="30">
        <f>IF(AND(V$3&gt;i_base_year,V$3&lt;=i_last),1/(1+i_r)^V$4,0)</f>
        <v/>
      </c>
      <c r="W8" s="30">
        <f>IF(AND(W$3&gt;i_base_year,W$3&lt;=i_last),1/(1+i_r)^W$4,0)</f>
        <v/>
      </c>
      <c r="X8" s="30">
        <f>IF(AND(X$3&gt;i_base_year,X$3&lt;=i_last),1/(1+i_r)^X$4,0)</f>
        <v/>
      </c>
      <c r="Y8" s="30">
        <f>IF(AND(Y$3&gt;i_base_year,Y$3&lt;=i_last),1/(1+i_r)^Y$4,0)</f>
        <v/>
      </c>
      <c r="Z8" s="30">
        <f>IF(AND(Z$3&gt;i_base_year,Z$3&lt;=i_last),1/(1+i_r)^Z$4,0)</f>
        <v/>
      </c>
      <c r="AA8" s="30">
        <f>IF(AND(AA$3&gt;i_base_year,AA$3&lt;=i_last),1/(1+i_r)^AA$4,0)</f>
        <v/>
      </c>
      <c r="AB8" s="30">
        <f>IF(AND(AB$3&gt;i_base_year,AB$3&lt;=i_last),1/(1+i_r)^AB$4,0)</f>
        <v/>
      </c>
      <c r="AC8" s="30">
        <f>IF(AND(AC$3&gt;i_base_year,AC$3&lt;=i_last),1/(1+i_r)^AC$4,0)</f>
        <v/>
      </c>
      <c r="AD8" s="30">
        <f>IF(AND(AD$3&gt;i_base_year,AD$3&lt;=i_last),1/(1+i_r)^AD$4,0)</f>
        <v/>
      </c>
      <c r="AE8" s="30">
        <f>IF(AND(AE$3&gt;i_base_year,AE$3&lt;=i_last),1/(1+i_r)^AE$4,0)</f>
        <v/>
      </c>
      <c r="AF8" s="30">
        <f>IF(AND(AF$3&gt;i_base_year,AF$3&lt;=i_last),1/(1+i_r)^AF$4,0)</f>
        <v/>
      </c>
      <c r="AG8" s="30">
        <f>IF(AND(AG$3&gt;i_base_year,AG$3&lt;=i_last),1/(1+i_r)^AG$4,0)</f>
        <v/>
      </c>
      <c r="AH8" s="30">
        <f>IF(AND(AH$3&gt;i_base_year,AH$3&lt;=i_last),1/(1+i_r)^AH$4,0)</f>
        <v/>
      </c>
      <c r="AI8" s="30">
        <f>IF(AND(AI$3&gt;i_base_year,AI$3&lt;=i_last),1/(1+i_r)^AI$4,0)</f>
        <v/>
      </c>
    </row>
    <row r="9">
      <c r="B9" s="2" t="inlineStr">
        <is>
          <t>Present value</t>
        </is>
      </c>
      <c r="D9" s="19">
        <f>D7*D8</f>
        <v/>
      </c>
      <c r="E9" s="19">
        <f>E7*E8</f>
        <v/>
      </c>
      <c r="F9" s="19">
        <f>F7*F8</f>
        <v/>
      </c>
      <c r="G9" s="19">
        <f>G7*G8</f>
        <v/>
      </c>
      <c r="H9" s="19">
        <f>H7*H8</f>
        <v/>
      </c>
      <c r="I9" s="19">
        <f>I7*I8</f>
        <v/>
      </c>
      <c r="J9" s="19">
        <f>J7*J8</f>
        <v/>
      </c>
      <c r="K9" s="19">
        <f>K7*K8</f>
        <v/>
      </c>
      <c r="L9" s="19">
        <f>L7*L8</f>
        <v/>
      </c>
      <c r="M9" s="19">
        <f>M7*M8</f>
        <v/>
      </c>
      <c r="N9" s="19">
        <f>N7*N8</f>
        <v/>
      </c>
      <c r="O9" s="19">
        <f>O7*O8</f>
        <v/>
      </c>
      <c r="P9" s="19">
        <f>P7*P8</f>
        <v/>
      </c>
      <c r="Q9" s="19">
        <f>Q7*Q8</f>
        <v/>
      </c>
      <c r="R9" s="19">
        <f>R7*R8</f>
        <v/>
      </c>
      <c r="S9" s="19">
        <f>S7*S8</f>
        <v/>
      </c>
      <c r="T9" s="19">
        <f>T7*T8</f>
        <v/>
      </c>
      <c r="U9" s="19">
        <f>U7*U8</f>
        <v/>
      </c>
      <c r="V9" s="19">
        <f>V7*V8</f>
        <v/>
      </c>
      <c r="W9" s="19">
        <f>W7*W8</f>
        <v/>
      </c>
      <c r="X9" s="19">
        <f>X7*X8</f>
        <v/>
      </c>
      <c r="Y9" s="19">
        <f>Y7*Y8</f>
        <v/>
      </c>
      <c r="Z9" s="19">
        <f>Z7*Z8</f>
        <v/>
      </c>
      <c r="AA9" s="19">
        <f>AA7*AA8</f>
        <v/>
      </c>
      <c r="AB9" s="19">
        <f>AB7*AB8</f>
        <v/>
      </c>
      <c r="AC9" s="19">
        <f>AC7*AC8</f>
        <v/>
      </c>
      <c r="AD9" s="19">
        <f>AD7*AD8</f>
        <v/>
      </c>
      <c r="AE9" s="19">
        <f>AE7*AE8</f>
        <v/>
      </c>
      <c r="AF9" s="19">
        <f>AF7*AF8</f>
        <v/>
      </c>
      <c r="AG9" s="19">
        <f>AG7*AG8</f>
        <v/>
      </c>
      <c r="AH9" s="19">
        <f>AH7*AH8</f>
        <v/>
      </c>
      <c r="AI9" s="19">
        <f>AI7*AI8</f>
        <v/>
      </c>
    </row>
    <row r="10">
      <c r="B10" s="2" t="inlineStr">
        <is>
          <t>Present value of 2027 to 2056 free cash flow</t>
        </is>
      </c>
      <c r="C10" s="19">
        <f>SUM(D9:AI9)</f>
        <v/>
      </c>
    </row>
    <row r="11">
      <c r="B11" s="2" t="inlineStr">
        <is>
          <t>Terminal value at 2056: freehold terminals, 2057 free cash flow / (r - g)</t>
        </is>
      </c>
      <c r="C11" s="19">
        <f>AI7/(i_r-i_g)</f>
        <v/>
      </c>
    </row>
    <row r="12">
      <c r="B12" s="2" t="inlineStr">
        <is>
          <t>Present value of the terminal value</t>
        </is>
      </c>
      <c r="C12" s="19">
        <f>C11/(1+i_r)^(i_last-i_base_year)</f>
        <v/>
      </c>
    </row>
    <row r="13">
      <c r="B13" s="3" t="inlineStr">
        <is>
          <t>Enterprise value at 31 December 2026</t>
        </is>
      </c>
      <c r="C13" s="31">
        <f>C10+C12</f>
        <v/>
      </c>
    </row>
    <row r="14">
      <c r="B14" s="2" t="inlineStr">
        <is>
          <t>EV / 2026 EBITDA</t>
        </is>
      </c>
      <c r="C14" s="32">
        <f>C13/Platform!$D$10</f>
        <v/>
      </c>
    </row>
    <row r="15">
      <c r="B15" s="2" t="inlineStr">
        <is>
          <t>EV / 2027 EBITDA</t>
        </is>
      </c>
      <c r="C15" s="32">
        <f>C13/Platform!$E$10</f>
        <v/>
      </c>
    </row>
    <row r="16">
      <c r="B16" s="2" t="inlineStr">
        <is>
          <t>Terminal value share of EV</t>
        </is>
      </c>
      <c r="C16" s="21">
        <f>DCF!$C$12/DCF!$C$13</f>
        <v/>
      </c>
    </row>
    <row r="17">
      <c r="B17" s="2" t="inlineStr">
        <is>
          <t>Handback works in 2056 dollars</t>
        </is>
      </c>
      <c r="C17" s="19">
        <f>Platform!$AH$15</f>
        <v/>
      </c>
    </row>
    <row r="19">
      <c r="B19" s="5" t="inlineStr">
        <is>
          <t>EV by discount rate (columns) and terminal growth (rows)</t>
        </is>
      </c>
    </row>
    <row r="20">
      <c r="C20" s="3" t="inlineStr">
        <is>
          <t>g \ r</t>
        </is>
      </c>
      <c r="D20" s="33">
        <f>i_grid_r0+0*i_grid_rstep</f>
        <v/>
      </c>
      <c r="E20" s="33">
        <f>i_grid_r0+1*i_grid_rstep</f>
        <v/>
      </c>
      <c r="F20" s="33">
        <f>i_grid_r0+2*i_grid_rstep</f>
        <v/>
      </c>
      <c r="G20" s="33">
        <f>i_grid_r0+3*i_grid_rstep</f>
        <v/>
      </c>
      <c r="H20" s="33">
        <f>i_grid_r0+4*i_grid_rstep</f>
        <v/>
      </c>
    </row>
    <row r="21">
      <c r="C21" s="33">
        <f>i_grid_g0+0*i_grid_gstep</f>
        <v/>
      </c>
      <c r="D21" s="34">
        <f>SUMPRODUCT(($D$3:$AI$3&gt;i_base_year)*($D$3:$AI$3&lt;=i_last)*$D$7:$AI$7/(1+D$20)^$D$4:$AI$4)+$AI$7/(D$20-$C21)/(1+D$20)^(i_last-i_base_year)</f>
        <v/>
      </c>
      <c r="E21" s="34">
        <f>SUMPRODUCT(($D$3:$AI$3&gt;i_base_year)*($D$3:$AI$3&lt;=i_last)*$D$7:$AI$7/(1+E$20)^$D$4:$AI$4)+$AI$7/(E$20-$C21)/(1+E$20)^(i_last-i_base_year)</f>
        <v/>
      </c>
      <c r="F21" s="34">
        <f>SUMPRODUCT(($D$3:$AI$3&gt;i_base_year)*($D$3:$AI$3&lt;=i_last)*$D$7:$AI$7/(1+F$20)^$D$4:$AI$4)+$AI$7/(F$20-$C21)/(1+F$20)^(i_last-i_base_year)</f>
        <v/>
      </c>
      <c r="G21" s="34">
        <f>SUMPRODUCT(($D$3:$AI$3&gt;i_base_year)*($D$3:$AI$3&lt;=i_last)*$D$7:$AI$7/(1+G$20)^$D$4:$AI$4)+$AI$7/(G$20-$C21)/(1+G$20)^(i_last-i_base_year)</f>
        <v/>
      </c>
      <c r="H21" s="34">
        <f>SUMPRODUCT(($D$3:$AI$3&gt;i_base_year)*($D$3:$AI$3&lt;=i_last)*$D$7:$AI$7/(1+H$20)^$D$4:$AI$4)+$AI$7/(H$20-$C21)/(1+H$20)^(i_last-i_base_year)</f>
        <v/>
      </c>
    </row>
    <row r="22">
      <c r="C22" s="33">
        <f>i_grid_g0+1*i_grid_gstep</f>
        <v/>
      </c>
      <c r="D22" s="34">
        <f>SUMPRODUCT(($D$3:$AI$3&gt;i_base_year)*($D$3:$AI$3&lt;=i_last)*$D$7:$AI$7/(1+D$20)^$D$4:$AI$4)+$AI$7/(D$20-$C22)/(1+D$20)^(i_last-i_base_year)</f>
        <v/>
      </c>
      <c r="E22" s="34">
        <f>SUMPRODUCT(($D$3:$AI$3&gt;i_base_year)*($D$3:$AI$3&lt;=i_last)*$D$7:$AI$7/(1+E$20)^$D$4:$AI$4)+$AI$7/(E$20-$C22)/(1+E$20)^(i_last-i_base_year)</f>
        <v/>
      </c>
      <c r="F22" s="34">
        <f>SUMPRODUCT(($D$3:$AI$3&gt;i_base_year)*($D$3:$AI$3&lt;=i_last)*$D$7:$AI$7/(1+F$20)^$D$4:$AI$4)+$AI$7/(F$20-$C22)/(1+F$20)^(i_last-i_base_year)</f>
        <v/>
      </c>
      <c r="G22" s="34">
        <f>SUMPRODUCT(($D$3:$AI$3&gt;i_base_year)*($D$3:$AI$3&lt;=i_last)*$D$7:$AI$7/(1+G$20)^$D$4:$AI$4)+$AI$7/(G$20-$C22)/(1+G$20)^(i_last-i_base_year)</f>
        <v/>
      </c>
      <c r="H22" s="34">
        <f>SUMPRODUCT(($D$3:$AI$3&gt;i_base_year)*($D$3:$AI$3&lt;=i_last)*$D$7:$AI$7/(1+H$20)^$D$4:$AI$4)+$AI$7/(H$20-$C22)/(1+H$20)^(i_last-i_base_year)</f>
        <v/>
      </c>
    </row>
    <row r="23">
      <c r="C23" s="33">
        <f>i_grid_g0+2*i_grid_gstep</f>
        <v/>
      </c>
      <c r="D23" s="34">
        <f>SUMPRODUCT(($D$3:$AI$3&gt;i_base_year)*($D$3:$AI$3&lt;=i_last)*$D$7:$AI$7/(1+D$20)^$D$4:$AI$4)+$AI$7/(D$20-$C23)/(1+D$20)^(i_last-i_base_year)</f>
        <v/>
      </c>
      <c r="E23" s="34">
        <f>SUMPRODUCT(($D$3:$AI$3&gt;i_base_year)*($D$3:$AI$3&lt;=i_last)*$D$7:$AI$7/(1+E$20)^$D$4:$AI$4)+$AI$7/(E$20-$C23)/(1+E$20)^(i_last-i_base_year)</f>
        <v/>
      </c>
      <c r="F23" s="34">
        <f>SUMPRODUCT(($D$3:$AI$3&gt;i_base_year)*($D$3:$AI$3&lt;=i_last)*$D$7:$AI$7/(1+F$20)^$D$4:$AI$4)+$AI$7/(F$20-$C23)/(1+F$20)^(i_last-i_base_year)</f>
        <v/>
      </c>
      <c r="G23" s="34">
        <f>SUMPRODUCT(($D$3:$AI$3&gt;i_base_year)*($D$3:$AI$3&lt;=i_last)*$D$7:$AI$7/(1+G$20)^$D$4:$AI$4)+$AI$7/(G$20-$C23)/(1+G$20)^(i_last-i_base_year)</f>
        <v/>
      </c>
      <c r="H23" s="34">
        <f>SUMPRODUCT(($D$3:$AI$3&gt;i_base_year)*($D$3:$AI$3&lt;=i_last)*$D$7:$AI$7/(1+H$20)^$D$4:$AI$4)+$AI$7/(H$20-$C23)/(1+H$20)^(i_last-i_base_year)</f>
        <v/>
      </c>
    </row>
    <row r="24">
      <c r="C24" s="33">
        <f>i_grid_g0+3*i_grid_gstep</f>
        <v/>
      </c>
      <c r="D24" s="34">
        <f>SUMPRODUCT(($D$3:$AI$3&gt;i_base_year)*($D$3:$AI$3&lt;=i_last)*$D$7:$AI$7/(1+D$20)^$D$4:$AI$4)+$AI$7/(D$20-$C24)/(1+D$20)^(i_last-i_base_year)</f>
        <v/>
      </c>
      <c r="E24" s="34">
        <f>SUMPRODUCT(($D$3:$AI$3&gt;i_base_year)*($D$3:$AI$3&lt;=i_last)*$D$7:$AI$7/(1+E$20)^$D$4:$AI$4)+$AI$7/(E$20-$C24)/(1+E$20)^(i_last-i_base_year)</f>
        <v/>
      </c>
      <c r="F24" s="34">
        <f>SUMPRODUCT(($D$3:$AI$3&gt;i_base_year)*($D$3:$AI$3&lt;=i_last)*$D$7:$AI$7/(1+F$20)^$D$4:$AI$4)+$AI$7/(F$20-$C24)/(1+F$20)^(i_last-i_base_year)</f>
        <v/>
      </c>
      <c r="G24" s="34">
        <f>SUMPRODUCT(($D$3:$AI$3&gt;i_base_year)*($D$3:$AI$3&lt;=i_last)*$D$7:$AI$7/(1+G$20)^$D$4:$AI$4)+$AI$7/(G$20-$C24)/(1+G$20)^(i_last-i_base_year)</f>
        <v/>
      </c>
      <c r="H24" s="34">
        <f>SUMPRODUCT(($D$3:$AI$3&gt;i_base_year)*($D$3:$AI$3&lt;=i_last)*$D$7:$AI$7/(1+H$20)^$D$4:$AI$4)+$AI$7/(H$20-$C24)/(1+H$20)^(i_last-i_base_year)</f>
        <v/>
      </c>
    </row>
    <row r="25">
      <c r="C25" s="33">
        <f>i_grid_g0+4*i_grid_gstep</f>
        <v/>
      </c>
      <c r="D25" s="34">
        <f>SUMPRODUCT(($D$3:$AI$3&gt;i_base_year)*($D$3:$AI$3&lt;=i_last)*$D$7:$AI$7/(1+D$20)^$D$4:$AI$4)+$AI$7/(D$20-$C25)/(1+D$20)^(i_last-i_base_year)</f>
        <v/>
      </c>
      <c r="E25" s="34">
        <f>SUMPRODUCT(($D$3:$AI$3&gt;i_base_year)*($D$3:$AI$3&lt;=i_last)*$D$7:$AI$7/(1+E$20)^$D$4:$AI$4)+$AI$7/(E$20-$C25)/(1+E$20)^(i_last-i_base_year)</f>
        <v/>
      </c>
      <c r="F25" s="34">
        <f>SUMPRODUCT(($D$3:$AI$3&gt;i_base_year)*($D$3:$AI$3&lt;=i_last)*$D$7:$AI$7/(1+F$20)^$D$4:$AI$4)+$AI$7/(F$20-$C25)/(1+F$20)^(i_last-i_base_year)</f>
        <v/>
      </c>
      <c r="G25" s="34">
        <f>SUMPRODUCT(($D$3:$AI$3&gt;i_base_year)*($D$3:$AI$3&lt;=i_last)*$D$7:$AI$7/(1+G$20)^$D$4:$AI$4)+$AI$7/(G$20-$C25)/(1+G$20)^(i_last-i_base_year)</f>
        <v/>
      </c>
      <c r="H25" s="34">
        <f>SUMPRODUCT(($D$3:$AI$3&gt;i_base_year)*($D$3:$AI$3&lt;=i_last)*$D$7:$AI$7/(1+H$20)^$D$4:$AI$4)+$AI$7/(H$20-$C25)/(1+H$20)^(i_last-i_base_year)</f>
        <v/>
      </c>
    </row>
    <row r="27">
      <c r="B27" s="5" t="inlineStr">
        <is>
          <t>Concession: Westerhaven's contribution and the renewal case (fixed cases)</t>
        </is>
      </c>
    </row>
    <row r="28">
      <c r="B28" s="2" t="inlineStr">
        <is>
          <t>Buyer's base case EV (fixed case, Diligence sheet)</t>
        </is>
      </c>
      <c r="C28" s="19">
        <f>Diligence!$C$150</f>
        <v/>
      </c>
    </row>
    <row r="29">
      <c r="B29" s="2" t="inlineStr">
        <is>
          <t>EV without Westerhaven</t>
        </is>
      </c>
      <c r="C29" s="19">
        <f>DCF!$C$142</f>
        <v/>
      </c>
    </row>
    <row r="30">
      <c r="B30" s="3" t="inlineStr">
        <is>
          <t>Westerhaven's contribution to EV</t>
        </is>
      </c>
      <c r="C30" s="31">
        <f>C28-C29</f>
        <v/>
      </c>
    </row>
    <row r="31">
      <c r="B31" s="2" t="inlineStr">
        <is>
          <t>Share of EV</t>
        </is>
      </c>
      <c r="C31" s="21">
        <f>C30/C28</f>
        <v/>
      </c>
    </row>
    <row r="32">
      <c r="B32" s="2" t="inlineStr">
        <is>
          <t>EV with the concession renewed to 2081 at an 8 percent fee</t>
        </is>
      </c>
      <c r="C32" s="19">
        <f>DCF!$C$250</f>
        <v/>
      </c>
    </row>
    <row r="33">
      <c r="B33" s="2" t="inlineStr">
        <is>
          <t>Gain from the renewal</t>
        </is>
      </c>
      <c r="C33" s="19">
        <f>C32-C28</f>
        <v/>
      </c>
    </row>
    <row r="37">
      <c r="B37" s="5" t="inlineStr">
        <is>
          <t>Platform case: without Westerhaven (capacity set to zero; jetty works and handback kept)</t>
        </is>
      </c>
    </row>
    <row r="38">
      <c r="B38" s="4" t="inlineStr">
        <is>
          <t>Inflation</t>
        </is>
      </c>
      <c r="C38" s="27">
        <f>Inputs!$J$219</f>
        <v/>
      </c>
    </row>
    <row r="39">
      <c r="B39" s="4" t="inlineStr">
        <is>
          <t>Buyer's recontracting rates (1) or seller's plan rates (0)</t>
        </is>
      </c>
      <c r="C39" s="26">
        <f>Inputs!$J$220</f>
        <v/>
      </c>
    </row>
    <row r="40">
      <c r="B40" s="4" t="inlineStr">
        <is>
          <t>Largest Westerhaven customer leaves (1/0)</t>
        </is>
      </c>
      <c r="C40" s="26">
        <f>Inputs!$J$221</f>
        <v/>
      </c>
    </row>
    <row r="41">
      <c r="B41" s="4" t="inlineStr">
        <is>
          <t>Jetty 3 refurbishment (1/0)</t>
        </is>
      </c>
      <c r="C41" s="26">
        <f>Inputs!$J$222</f>
        <v/>
      </c>
    </row>
    <row r="42">
      <c r="B42" s="4" t="inlineStr">
        <is>
          <t>Sabine Bend extra insurance (1/0)</t>
        </is>
      </c>
      <c r="C42" s="26">
        <f>Inputs!$J$223</f>
        <v/>
      </c>
    </row>
    <row r="43">
      <c r="B43" s="4" t="inlineStr">
        <is>
          <t>Expansion built (1/0)</t>
        </is>
      </c>
      <c r="C43" s="26">
        <f>Inputs!$J$224</f>
        <v/>
      </c>
    </row>
    <row r="44">
      <c r="B44" s="4" t="inlineStr">
        <is>
          <t>Occupancy shift from 2027</t>
        </is>
      </c>
      <c r="C44" s="27">
        <f>Inputs!$J$225</f>
        <v/>
      </c>
    </row>
    <row r="45">
      <c r="B45" s="4" t="inlineStr">
        <is>
          <t>Recontracting shift</t>
        </is>
      </c>
      <c r="C45" s="27">
        <f>Inputs!$J$226</f>
        <v/>
      </c>
    </row>
    <row r="46">
      <c r="B46" s="4" t="inlineStr">
        <is>
          <t>Concession renewed (1/0)</t>
        </is>
      </c>
      <c r="C46" s="26">
        <f>Inputs!$J$227</f>
        <v/>
      </c>
    </row>
    <row r="47">
      <c r="B47" s="4" t="inlineStr">
        <is>
          <t>Westerhaven capacity multiplier</t>
        </is>
      </c>
      <c r="C47" s="28">
        <f>Inputs!$J$228</f>
        <v/>
      </c>
    </row>
    <row r="48">
      <c r="B48" s="4" t="inlineStr">
        <is>
          <t>Extra yearly cost from 2028 ($m, 2026 dollars)</t>
        </is>
      </c>
      <c r="C48" s="29">
        <f>Inputs!$J$229</f>
        <v/>
      </c>
    </row>
    <row r="49">
      <c r="B49" s="2" t="inlineStr">
        <is>
          <t>Cost index (inflation)</t>
        </is>
      </c>
      <c r="D49" s="30">
        <f>(1+DCF!$C$38)^D$4</f>
        <v/>
      </c>
      <c r="E49" s="30">
        <f>(1+DCF!$C$38)^E$4</f>
        <v/>
      </c>
      <c r="F49" s="30">
        <f>(1+DCF!$C$38)^F$4</f>
        <v/>
      </c>
      <c r="G49" s="30">
        <f>(1+DCF!$C$38)^G$4</f>
        <v/>
      </c>
      <c r="H49" s="30">
        <f>(1+DCF!$C$38)^H$4</f>
        <v/>
      </c>
      <c r="I49" s="30">
        <f>(1+DCF!$C$38)^I$4</f>
        <v/>
      </c>
      <c r="J49" s="30">
        <f>(1+DCF!$C$38)^J$4</f>
        <v/>
      </c>
      <c r="K49" s="30">
        <f>(1+DCF!$C$38)^K$4</f>
        <v/>
      </c>
      <c r="L49" s="30">
        <f>(1+DCF!$C$38)^L$4</f>
        <v/>
      </c>
      <c r="M49" s="30">
        <f>(1+DCF!$C$38)^M$4</f>
        <v/>
      </c>
      <c r="N49" s="30">
        <f>(1+DCF!$C$38)^N$4</f>
        <v/>
      </c>
      <c r="O49" s="30">
        <f>(1+DCF!$C$38)^O$4</f>
        <v/>
      </c>
      <c r="P49" s="30">
        <f>(1+DCF!$C$38)^P$4</f>
        <v/>
      </c>
      <c r="Q49" s="30">
        <f>(1+DCF!$C$38)^Q$4</f>
        <v/>
      </c>
      <c r="R49" s="30">
        <f>(1+DCF!$C$38)^R$4</f>
        <v/>
      </c>
      <c r="S49" s="30">
        <f>(1+DCF!$C$38)^S$4</f>
        <v/>
      </c>
      <c r="T49" s="30">
        <f>(1+DCF!$C$38)^T$4</f>
        <v/>
      </c>
      <c r="U49" s="30">
        <f>(1+DCF!$C$38)^U$4</f>
        <v/>
      </c>
      <c r="V49" s="30">
        <f>(1+DCF!$C$38)^V$4</f>
        <v/>
      </c>
      <c r="W49" s="30">
        <f>(1+DCF!$C$38)^W$4</f>
        <v/>
      </c>
      <c r="X49" s="30">
        <f>(1+DCF!$C$38)^X$4</f>
        <v/>
      </c>
      <c r="Y49" s="30">
        <f>(1+DCF!$C$38)^Y$4</f>
        <v/>
      </c>
      <c r="Z49" s="30">
        <f>(1+DCF!$C$38)^Z$4</f>
        <v/>
      </c>
      <c r="AA49" s="30">
        <f>(1+DCF!$C$38)^AA$4</f>
        <v/>
      </c>
      <c r="AB49" s="30">
        <f>(1+DCF!$C$38)^AB$4</f>
        <v/>
      </c>
      <c r="AC49" s="30">
        <f>(1+DCF!$C$38)^AC$4</f>
        <v/>
      </c>
      <c r="AD49" s="30">
        <f>(1+DCF!$C$38)^AD$4</f>
        <v/>
      </c>
      <c r="AE49" s="30">
        <f>(1+DCF!$C$38)^AE$4</f>
        <v/>
      </c>
      <c r="AF49" s="30">
        <f>(1+DCF!$C$38)^AF$4</f>
        <v/>
      </c>
      <c r="AG49" s="30">
        <f>(1+DCF!$C$38)^AG$4</f>
        <v/>
      </c>
      <c r="AH49" s="30">
        <f>(1+DCF!$C$38)^AH$4</f>
        <v/>
      </c>
      <c r="AI49" s="30">
        <f>(1+DCF!$C$38)^AI$4</f>
        <v/>
      </c>
    </row>
    <row r="50">
      <c r="B50" s="2" t="inlineStr">
        <is>
          <t>Rate index (inflation x pass-through)</t>
        </is>
      </c>
      <c r="D50" s="30">
        <f>(1+DCF!$C$38*i_index_share)^D$4</f>
        <v/>
      </c>
      <c r="E50" s="30">
        <f>(1+DCF!$C$38*i_index_share)^E$4</f>
        <v/>
      </c>
      <c r="F50" s="30">
        <f>(1+DCF!$C$38*i_index_share)^F$4</f>
        <v/>
      </c>
      <c r="G50" s="30">
        <f>(1+DCF!$C$38*i_index_share)^G$4</f>
        <v/>
      </c>
      <c r="H50" s="30">
        <f>(1+DCF!$C$38*i_index_share)^H$4</f>
        <v/>
      </c>
      <c r="I50" s="30">
        <f>(1+DCF!$C$38*i_index_share)^I$4</f>
        <v/>
      </c>
      <c r="J50" s="30">
        <f>(1+DCF!$C$38*i_index_share)^J$4</f>
        <v/>
      </c>
      <c r="K50" s="30">
        <f>(1+DCF!$C$38*i_index_share)^K$4</f>
        <v/>
      </c>
      <c r="L50" s="30">
        <f>(1+DCF!$C$38*i_index_share)^L$4</f>
        <v/>
      </c>
      <c r="M50" s="30">
        <f>(1+DCF!$C$38*i_index_share)^M$4</f>
        <v/>
      </c>
      <c r="N50" s="30">
        <f>(1+DCF!$C$38*i_index_share)^N$4</f>
        <v/>
      </c>
      <c r="O50" s="30">
        <f>(1+DCF!$C$38*i_index_share)^O$4</f>
        <v/>
      </c>
      <c r="P50" s="30">
        <f>(1+DCF!$C$38*i_index_share)^P$4</f>
        <v/>
      </c>
      <c r="Q50" s="30">
        <f>(1+DCF!$C$38*i_index_share)^Q$4</f>
        <v/>
      </c>
      <c r="R50" s="30">
        <f>(1+DCF!$C$38*i_index_share)^R$4</f>
        <v/>
      </c>
      <c r="S50" s="30">
        <f>(1+DCF!$C$38*i_index_share)^S$4</f>
        <v/>
      </c>
      <c r="T50" s="30">
        <f>(1+DCF!$C$38*i_index_share)^T$4</f>
        <v/>
      </c>
      <c r="U50" s="30">
        <f>(1+DCF!$C$38*i_index_share)^U$4</f>
        <v/>
      </c>
      <c r="V50" s="30">
        <f>(1+DCF!$C$38*i_index_share)^V$4</f>
        <v/>
      </c>
      <c r="W50" s="30">
        <f>(1+DCF!$C$38*i_index_share)^W$4</f>
        <v/>
      </c>
      <c r="X50" s="30">
        <f>(1+DCF!$C$38*i_index_share)^X$4</f>
        <v/>
      </c>
      <c r="Y50" s="30">
        <f>(1+DCF!$C$38*i_index_share)^Y$4</f>
        <v/>
      </c>
      <c r="Z50" s="30">
        <f>(1+DCF!$C$38*i_index_share)^Z$4</f>
        <v/>
      </c>
      <c r="AA50" s="30">
        <f>(1+DCF!$C$38*i_index_share)^AA$4</f>
        <v/>
      </c>
      <c r="AB50" s="30">
        <f>(1+DCF!$C$38*i_index_share)^AB$4</f>
        <v/>
      </c>
      <c r="AC50" s="30">
        <f>(1+DCF!$C$38*i_index_share)^AC$4</f>
        <v/>
      </c>
      <c r="AD50" s="30">
        <f>(1+DCF!$C$38*i_index_share)^AD$4</f>
        <v/>
      </c>
      <c r="AE50" s="30">
        <f>(1+DCF!$C$38*i_index_share)^AE$4</f>
        <v/>
      </c>
      <c r="AF50" s="30">
        <f>(1+DCF!$C$38*i_index_share)^AF$4</f>
        <v/>
      </c>
      <c r="AG50" s="30">
        <f>(1+DCF!$C$38*i_index_share)^AG$4</f>
        <v/>
      </c>
      <c r="AH50" s="30">
        <f>(1+DCF!$C$38*i_index_share)^AH$4</f>
        <v/>
      </c>
      <c r="AI50" s="30">
        <f>(1+DCF!$C$38*i_index_share)^AI$4</f>
        <v/>
      </c>
    </row>
    <row r="51">
      <c r="B51" s="3" t="inlineStr">
        <is>
          <t>Westerhaven</t>
        </is>
      </c>
    </row>
    <row r="52">
      <c r="B52" s="2" t="inlineStr">
        <is>
          <t xml:space="preserve">  Concession in force (1/0)</t>
        </is>
      </c>
      <c r="D52" s="22">
        <f>IF(DCF!$C$46=1,1,IF(D$3&lt;=i_conc_end,1,0))</f>
        <v/>
      </c>
      <c r="E52" s="22">
        <f>IF(DCF!$C$46=1,1,IF(E$3&lt;=i_conc_end,1,0))</f>
        <v/>
      </c>
      <c r="F52" s="22">
        <f>IF(DCF!$C$46=1,1,IF(F$3&lt;=i_conc_end,1,0))</f>
        <v/>
      </c>
      <c r="G52" s="22">
        <f>IF(DCF!$C$46=1,1,IF(G$3&lt;=i_conc_end,1,0))</f>
        <v/>
      </c>
      <c r="H52" s="22">
        <f>IF(DCF!$C$46=1,1,IF(H$3&lt;=i_conc_end,1,0))</f>
        <v/>
      </c>
      <c r="I52" s="22">
        <f>IF(DCF!$C$46=1,1,IF(I$3&lt;=i_conc_end,1,0))</f>
        <v/>
      </c>
      <c r="J52" s="22">
        <f>IF(DCF!$C$46=1,1,IF(J$3&lt;=i_conc_end,1,0))</f>
        <v/>
      </c>
      <c r="K52" s="22">
        <f>IF(DCF!$C$46=1,1,IF(K$3&lt;=i_conc_end,1,0))</f>
        <v/>
      </c>
      <c r="L52" s="22">
        <f>IF(DCF!$C$46=1,1,IF(L$3&lt;=i_conc_end,1,0))</f>
        <v/>
      </c>
      <c r="M52" s="22">
        <f>IF(DCF!$C$46=1,1,IF(M$3&lt;=i_conc_end,1,0))</f>
        <v/>
      </c>
      <c r="N52" s="22">
        <f>IF(DCF!$C$46=1,1,IF(N$3&lt;=i_conc_end,1,0))</f>
        <v/>
      </c>
      <c r="O52" s="22">
        <f>IF(DCF!$C$46=1,1,IF(O$3&lt;=i_conc_end,1,0))</f>
        <v/>
      </c>
      <c r="P52" s="22">
        <f>IF(DCF!$C$46=1,1,IF(P$3&lt;=i_conc_end,1,0))</f>
        <v/>
      </c>
      <c r="Q52" s="22">
        <f>IF(DCF!$C$46=1,1,IF(Q$3&lt;=i_conc_end,1,0))</f>
        <v/>
      </c>
      <c r="R52" s="22">
        <f>IF(DCF!$C$46=1,1,IF(R$3&lt;=i_conc_end,1,0))</f>
        <v/>
      </c>
      <c r="S52" s="22">
        <f>IF(DCF!$C$46=1,1,IF(S$3&lt;=i_conc_end,1,0))</f>
        <v/>
      </c>
      <c r="T52" s="22">
        <f>IF(DCF!$C$46=1,1,IF(T$3&lt;=i_conc_end,1,0))</f>
        <v/>
      </c>
      <c r="U52" s="22">
        <f>IF(DCF!$C$46=1,1,IF(U$3&lt;=i_conc_end,1,0))</f>
        <v/>
      </c>
      <c r="V52" s="22">
        <f>IF(DCF!$C$46=1,1,IF(V$3&lt;=i_conc_end,1,0))</f>
        <v/>
      </c>
      <c r="W52" s="22">
        <f>IF(DCF!$C$46=1,1,IF(W$3&lt;=i_conc_end,1,0))</f>
        <v/>
      </c>
      <c r="X52" s="22">
        <f>IF(DCF!$C$46=1,1,IF(X$3&lt;=i_conc_end,1,0))</f>
        <v/>
      </c>
      <c r="Y52" s="22">
        <f>IF(DCF!$C$46=1,1,IF(Y$3&lt;=i_conc_end,1,0))</f>
        <v/>
      </c>
      <c r="Z52" s="22">
        <f>IF(DCF!$C$46=1,1,IF(Z$3&lt;=i_conc_end,1,0))</f>
        <v/>
      </c>
      <c r="AA52" s="22">
        <f>IF(DCF!$C$46=1,1,IF(AA$3&lt;=i_conc_end,1,0))</f>
        <v/>
      </c>
      <c r="AB52" s="22">
        <f>IF(DCF!$C$46=1,1,IF(AB$3&lt;=i_conc_end,1,0))</f>
        <v/>
      </c>
      <c r="AC52" s="22">
        <f>IF(DCF!$C$46=1,1,IF(AC$3&lt;=i_conc_end,1,0))</f>
        <v/>
      </c>
      <c r="AD52" s="22">
        <f>IF(DCF!$C$46=1,1,IF(AD$3&lt;=i_conc_end,1,0))</f>
        <v/>
      </c>
      <c r="AE52" s="22">
        <f>IF(DCF!$C$46=1,1,IF(AE$3&lt;=i_conc_end,1,0))</f>
        <v/>
      </c>
      <c r="AF52" s="22">
        <f>IF(DCF!$C$46=1,1,IF(AF$3&lt;=i_conc_end,1,0))</f>
        <v/>
      </c>
      <c r="AG52" s="22">
        <f>IF(DCF!$C$46=1,1,IF(AG$3&lt;=i_conc_end,1,0))</f>
        <v/>
      </c>
      <c r="AH52" s="22">
        <f>IF(DCF!$C$46=1,1,IF(AH$3&lt;=i_conc_end,1,0))</f>
        <v/>
      </c>
      <c r="AI52" s="22">
        <f>IF(DCF!$C$46=1,1,IF(AI$3&lt;=i_conc_end,1,0))</f>
        <v/>
      </c>
    </row>
    <row r="53">
      <c r="B53" s="2" t="inlineStr">
        <is>
          <t xml:space="preserve">  Capacity in service (million m3)</t>
        </is>
      </c>
      <c r="D53" s="24">
        <f>i_W_cap*DCF!$C$47*D52</f>
        <v/>
      </c>
      <c r="E53" s="24">
        <f>i_W_cap*DCF!$C$47*E52</f>
        <v/>
      </c>
      <c r="F53" s="24">
        <f>i_W_cap*DCF!$C$47*F52</f>
        <v/>
      </c>
      <c r="G53" s="24">
        <f>i_W_cap*DCF!$C$47*G52</f>
        <v/>
      </c>
      <c r="H53" s="24">
        <f>i_W_cap*DCF!$C$47*H52</f>
        <v/>
      </c>
      <c r="I53" s="24">
        <f>i_W_cap*DCF!$C$47*I52</f>
        <v/>
      </c>
      <c r="J53" s="24">
        <f>i_W_cap*DCF!$C$47*J52</f>
        <v/>
      </c>
      <c r="K53" s="24">
        <f>i_W_cap*DCF!$C$47*K52</f>
        <v/>
      </c>
      <c r="L53" s="24">
        <f>i_W_cap*DCF!$C$47*L52</f>
        <v/>
      </c>
      <c r="M53" s="24">
        <f>i_W_cap*DCF!$C$47*M52</f>
        <v/>
      </c>
      <c r="N53" s="24">
        <f>i_W_cap*DCF!$C$47*N52</f>
        <v/>
      </c>
      <c r="O53" s="24">
        <f>i_W_cap*DCF!$C$47*O52</f>
        <v/>
      </c>
      <c r="P53" s="24">
        <f>i_W_cap*DCF!$C$47*P52</f>
        <v/>
      </c>
      <c r="Q53" s="24">
        <f>i_W_cap*DCF!$C$47*Q52</f>
        <v/>
      </c>
      <c r="R53" s="24">
        <f>i_W_cap*DCF!$C$47*R52</f>
        <v/>
      </c>
      <c r="S53" s="24">
        <f>i_W_cap*DCF!$C$47*S52</f>
        <v/>
      </c>
      <c r="T53" s="24">
        <f>i_W_cap*DCF!$C$47*T52</f>
        <v/>
      </c>
      <c r="U53" s="24">
        <f>i_W_cap*DCF!$C$47*U52</f>
        <v/>
      </c>
      <c r="V53" s="24">
        <f>i_W_cap*DCF!$C$47*V52</f>
        <v/>
      </c>
      <c r="W53" s="24">
        <f>i_W_cap*DCF!$C$47*W52</f>
        <v/>
      </c>
      <c r="X53" s="24">
        <f>i_W_cap*DCF!$C$47*X52</f>
        <v/>
      </c>
      <c r="Y53" s="24">
        <f>i_W_cap*DCF!$C$47*Y52</f>
        <v/>
      </c>
      <c r="Z53" s="24">
        <f>i_W_cap*DCF!$C$47*Z52</f>
        <v/>
      </c>
      <c r="AA53" s="24">
        <f>i_W_cap*DCF!$C$47*AA52</f>
        <v/>
      </c>
      <c r="AB53" s="24">
        <f>i_W_cap*DCF!$C$47*AB52</f>
        <v/>
      </c>
      <c r="AC53" s="24">
        <f>i_W_cap*DCF!$C$47*AC52</f>
        <v/>
      </c>
      <c r="AD53" s="24">
        <f>i_W_cap*DCF!$C$47*AD52</f>
        <v/>
      </c>
      <c r="AE53" s="24">
        <f>i_W_cap*DCF!$C$47*AE52</f>
        <v/>
      </c>
      <c r="AF53" s="24">
        <f>i_W_cap*DCF!$C$47*AF52</f>
        <v/>
      </c>
      <c r="AG53" s="24">
        <f>i_W_cap*DCF!$C$47*AG52</f>
        <v/>
      </c>
      <c r="AH53" s="24">
        <f>i_W_cap*DCF!$C$47*AH52</f>
        <v/>
      </c>
      <c r="AI53" s="24">
        <f>i_W_cap*DCF!$C$47*AI52</f>
        <v/>
      </c>
    </row>
    <row r="54">
      <c r="B54" s="2" t="inlineStr">
        <is>
          <t xml:space="preserve">  Share on contracts signed before 2027</t>
        </is>
      </c>
      <c r="D54" s="21">
        <f>SUMIF(i_book_years,D$3,i_W_book)</f>
        <v/>
      </c>
      <c r="E54" s="21">
        <f>SUMIF(i_book_years,E$3,i_W_book)</f>
        <v/>
      </c>
      <c r="F54" s="21">
        <f>SUMIF(i_book_years,F$3,i_W_book)</f>
        <v/>
      </c>
      <c r="G54" s="21">
        <f>SUMIF(i_book_years,G$3,i_W_book)</f>
        <v/>
      </c>
      <c r="H54" s="21">
        <f>SUMIF(i_book_years,H$3,i_W_book)</f>
        <v/>
      </c>
      <c r="I54" s="21">
        <f>SUMIF(i_book_years,I$3,i_W_book)</f>
        <v/>
      </c>
      <c r="J54" s="21">
        <f>SUMIF(i_book_years,J$3,i_W_book)</f>
        <v/>
      </c>
      <c r="K54" s="21">
        <f>SUMIF(i_book_years,K$3,i_W_book)</f>
        <v/>
      </c>
      <c r="L54" s="21">
        <f>SUMIF(i_book_years,L$3,i_W_book)</f>
        <v/>
      </c>
      <c r="M54" s="21">
        <f>SUMIF(i_book_years,M$3,i_W_book)</f>
        <v/>
      </c>
      <c r="N54" s="21">
        <f>SUMIF(i_book_years,N$3,i_W_book)</f>
        <v/>
      </c>
      <c r="O54" s="21">
        <f>SUMIF(i_book_years,O$3,i_W_book)</f>
        <v/>
      </c>
      <c r="P54" s="21">
        <f>SUMIF(i_book_years,P$3,i_W_book)</f>
        <v/>
      </c>
      <c r="Q54" s="21">
        <f>SUMIF(i_book_years,Q$3,i_W_book)</f>
        <v/>
      </c>
      <c r="R54" s="21">
        <f>SUMIF(i_book_years,R$3,i_W_book)</f>
        <v/>
      </c>
      <c r="S54" s="21">
        <f>SUMIF(i_book_years,S$3,i_W_book)</f>
        <v/>
      </c>
      <c r="T54" s="21">
        <f>SUMIF(i_book_years,T$3,i_W_book)</f>
        <v/>
      </c>
      <c r="U54" s="21">
        <f>SUMIF(i_book_years,U$3,i_W_book)</f>
        <v/>
      </c>
      <c r="V54" s="21">
        <f>SUMIF(i_book_years,V$3,i_W_book)</f>
        <v/>
      </c>
      <c r="W54" s="21">
        <f>SUMIF(i_book_years,W$3,i_W_book)</f>
        <v/>
      </c>
      <c r="X54" s="21">
        <f>SUMIF(i_book_years,X$3,i_W_book)</f>
        <v/>
      </c>
      <c r="Y54" s="21">
        <f>SUMIF(i_book_years,Y$3,i_W_book)</f>
        <v/>
      </c>
      <c r="Z54" s="21">
        <f>SUMIF(i_book_years,Z$3,i_W_book)</f>
        <v/>
      </c>
      <c r="AA54" s="21">
        <f>SUMIF(i_book_years,AA$3,i_W_book)</f>
        <v/>
      </c>
      <c r="AB54" s="21">
        <f>SUMIF(i_book_years,AB$3,i_W_book)</f>
        <v/>
      </c>
      <c r="AC54" s="21">
        <f>SUMIF(i_book_years,AC$3,i_W_book)</f>
        <v/>
      </c>
      <c r="AD54" s="21">
        <f>SUMIF(i_book_years,AD$3,i_W_book)</f>
        <v/>
      </c>
      <c r="AE54" s="21">
        <f>SUMIF(i_book_years,AE$3,i_W_book)</f>
        <v/>
      </c>
      <c r="AF54" s="21">
        <f>SUMIF(i_book_years,AF$3,i_W_book)</f>
        <v/>
      </c>
      <c r="AG54" s="21">
        <f>SUMIF(i_book_years,AG$3,i_W_book)</f>
        <v/>
      </c>
      <c r="AH54" s="21">
        <f>SUMIF(i_book_years,AH$3,i_W_book)</f>
        <v/>
      </c>
      <c r="AI54" s="21">
        <f>SUMIF(i_book_years,AI$3,i_W_book)</f>
        <v/>
      </c>
    </row>
    <row r="55">
      <c r="B55" s="2" t="inlineStr">
        <is>
          <t xml:space="preserve">  Recontracting factor against current rates</t>
        </is>
      </c>
      <c r="D55" s="21">
        <f>IF(D$4=0,0,IF(DCF!$C$39=1,i_W_mtm,i_W_mtm_plan)+DCF!$C$45)</f>
        <v/>
      </c>
      <c r="E55" s="21">
        <f>IF(E$4=0,0,IF(DCF!$C$39=1,i_W_mtm,i_W_mtm_plan)+DCF!$C$45)</f>
        <v/>
      </c>
      <c r="F55" s="21">
        <f>IF(F$4=0,0,IF(DCF!$C$39=1,i_W_mtm,i_W_mtm_plan)+DCF!$C$45)</f>
        <v/>
      </c>
      <c r="G55" s="21">
        <f>IF(G$4=0,0,IF(DCF!$C$39=1,i_W_mtm,i_W_mtm_plan)+DCF!$C$45)</f>
        <v/>
      </c>
      <c r="H55" s="21">
        <f>IF(H$4=0,0,IF(DCF!$C$39=1,i_W_mtm,i_W_mtm_plan)+DCF!$C$45)</f>
        <v/>
      </c>
      <c r="I55" s="21">
        <f>IF(I$4=0,0,IF(DCF!$C$39=1,i_W_mtm,i_W_mtm_plan)+DCF!$C$45)</f>
        <v/>
      </c>
      <c r="J55" s="21">
        <f>IF(J$4=0,0,IF(DCF!$C$39=1,i_W_mtm,i_W_mtm_plan)+DCF!$C$45)</f>
        <v/>
      </c>
      <c r="K55" s="21">
        <f>IF(K$4=0,0,IF(DCF!$C$39=1,i_W_mtm,i_W_mtm_plan)+DCF!$C$45)</f>
        <v/>
      </c>
      <c r="L55" s="21">
        <f>IF(L$4=0,0,IF(DCF!$C$39=1,i_W_mtm,i_W_mtm_plan)+DCF!$C$45)</f>
        <v/>
      </c>
      <c r="M55" s="21">
        <f>IF(M$4=0,0,IF(DCF!$C$39=1,i_W_mtm,i_W_mtm_plan)+DCF!$C$45)</f>
        <v/>
      </c>
      <c r="N55" s="21">
        <f>IF(N$4=0,0,IF(DCF!$C$39=1,i_W_mtm,i_W_mtm_plan)+DCF!$C$45)</f>
        <v/>
      </c>
      <c r="O55" s="21">
        <f>IF(O$4=0,0,IF(DCF!$C$39=1,i_W_mtm,i_W_mtm_plan)+DCF!$C$45)</f>
        <v/>
      </c>
      <c r="P55" s="21">
        <f>IF(P$4=0,0,IF(DCF!$C$39=1,i_W_mtm,i_W_mtm_plan)+DCF!$C$45)</f>
        <v/>
      </c>
      <c r="Q55" s="21">
        <f>IF(Q$4=0,0,IF(DCF!$C$39=1,i_W_mtm,i_W_mtm_plan)+DCF!$C$45)</f>
        <v/>
      </c>
      <c r="R55" s="21">
        <f>IF(R$4=0,0,IF(DCF!$C$39=1,i_W_mtm,i_W_mtm_plan)+DCF!$C$45)</f>
        <v/>
      </c>
      <c r="S55" s="21">
        <f>IF(S$4=0,0,IF(DCF!$C$39=1,i_W_mtm,i_W_mtm_plan)+DCF!$C$45)</f>
        <v/>
      </c>
      <c r="T55" s="21">
        <f>IF(T$4=0,0,IF(DCF!$C$39=1,i_W_mtm,i_W_mtm_plan)+DCF!$C$45)</f>
        <v/>
      </c>
      <c r="U55" s="21">
        <f>IF(U$4=0,0,IF(DCF!$C$39=1,i_W_mtm,i_W_mtm_plan)+DCF!$C$45)</f>
        <v/>
      </c>
      <c r="V55" s="21">
        <f>IF(V$4=0,0,IF(DCF!$C$39=1,i_W_mtm,i_W_mtm_plan)+DCF!$C$45)</f>
        <v/>
      </c>
      <c r="W55" s="21">
        <f>IF(W$4=0,0,IF(DCF!$C$39=1,i_W_mtm,i_W_mtm_plan)+DCF!$C$45)</f>
        <v/>
      </c>
      <c r="X55" s="21">
        <f>IF(X$4=0,0,IF(DCF!$C$39=1,i_W_mtm,i_W_mtm_plan)+DCF!$C$45)</f>
        <v/>
      </c>
      <c r="Y55" s="21">
        <f>IF(Y$4=0,0,IF(DCF!$C$39=1,i_W_mtm,i_W_mtm_plan)+DCF!$C$45)</f>
        <v/>
      </c>
      <c r="Z55" s="21">
        <f>IF(Z$4=0,0,IF(DCF!$C$39=1,i_W_mtm,i_W_mtm_plan)+DCF!$C$45)</f>
        <v/>
      </c>
      <c r="AA55" s="21">
        <f>IF(AA$4=0,0,IF(DCF!$C$39=1,i_W_mtm,i_W_mtm_plan)+DCF!$C$45)</f>
        <v/>
      </c>
      <c r="AB55" s="21">
        <f>IF(AB$4=0,0,IF(DCF!$C$39=1,i_W_mtm,i_W_mtm_plan)+DCF!$C$45)</f>
        <v/>
      </c>
      <c r="AC55" s="21">
        <f>IF(AC$4=0,0,IF(DCF!$C$39=1,i_W_mtm,i_W_mtm_plan)+DCF!$C$45)</f>
        <v/>
      </c>
      <c r="AD55" s="21">
        <f>IF(AD$4=0,0,IF(DCF!$C$39=1,i_W_mtm,i_W_mtm_plan)+DCF!$C$45)</f>
        <v/>
      </c>
      <c r="AE55" s="21">
        <f>IF(AE$4=0,0,IF(DCF!$C$39=1,i_W_mtm,i_W_mtm_plan)+DCF!$C$45)</f>
        <v/>
      </c>
      <c r="AF55" s="21">
        <f>IF(AF$4=0,0,IF(DCF!$C$39=1,i_W_mtm,i_W_mtm_plan)+DCF!$C$45)</f>
        <v/>
      </c>
      <c r="AG55" s="21">
        <f>IF(AG$4=0,0,IF(DCF!$C$39=1,i_W_mtm,i_W_mtm_plan)+DCF!$C$45)</f>
        <v/>
      </c>
      <c r="AH55" s="21">
        <f>IF(AH$4=0,0,IF(DCF!$C$39=1,i_W_mtm,i_W_mtm_plan)+DCF!$C$45)</f>
        <v/>
      </c>
      <c r="AI55" s="21">
        <f>IF(AI$4=0,0,IF(DCF!$C$39=1,i_W_mtm,i_W_mtm_plan)+DCF!$C$45)</f>
        <v/>
      </c>
    </row>
    <row r="56">
      <c r="B56" s="2" t="inlineStr">
        <is>
          <t xml:space="preserve">  Average rate ($ per m3 per month)</t>
        </is>
      </c>
      <c r="D56" s="24">
        <f>i_W_rate*D50*(D54+(1-D54)*(1+D55))</f>
        <v/>
      </c>
      <c r="E56" s="24">
        <f>i_W_rate*E50*(E54+(1-E54)*(1+E55))</f>
        <v/>
      </c>
      <c r="F56" s="24">
        <f>i_W_rate*F50*(F54+(1-F54)*(1+F55))</f>
        <v/>
      </c>
      <c r="G56" s="24">
        <f>i_W_rate*G50*(G54+(1-G54)*(1+G55))</f>
        <v/>
      </c>
      <c r="H56" s="24">
        <f>i_W_rate*H50*(H54+(1-H54)*(1+H55))</f>
        <v/>
      </c>
      <c r="I56" s="24">
        <f>i_W_rate*I50*(I54+(1-I54)*(1+I55))</f>
        <v/>
      </c>
      <c r="J56" s="24">
        <f>i_W_rate*J50*(J54+(1-J54)*(1+J55))</f>
        <v/>
      </c>
      <c r="K56" s="24">
        <f>i_W_rate*K50*(K54+(1-K54)*(1+K55))</f>
        <v/>
      </c>
      <c r="L56" s="24">
        <f>i_W_rate*L50*(L54+(1-L54)*(1+L55))</f>
        <v/>
      </c>
      <c r="M56" s="24">
        <f>i_W_rate*M50*(M54+(1-M54)*(1+M55))</f>
        <v/>
      </c>
      <c r="N56" s="24">
        <f>i_W_rate*N50*(N54+(1-N54)*(1+N55))</f>
        <v/>
      </c>
      <c r="O56" s="24">
        <f>i_W_rate*O50*(O54+(1-O54)*(1+O55))</f>
        <v/>
      </c>
      <c r="P56" s="24">
        <f>i_W_rate*P50*(P54+(1-P54)*(1+P55))</f>
        <v/>
      </c>
      <c r="Q56" s="24">
        <f>i_W_rate*Q50*(Q54+(1-Q54)*(1+Q55))</f>
        <v/>
      </c>
      <c r="R56" s="24">
        <f>i_W_rate*R50*(R54+(1-R54)*(1+R55))</f>
        <v/>
      </c>
      <c r="S56" s="24">
        <f>i_W_rate*S50*(S54+(1-S54)*(1+S55))</f>
        <v/>
      </c>
      <c r="T56" s="24">
        <f>i_W_rate*T50*(T54+(1-T54)*(1+T55))</f>
        <v/>
      </c>
      <c r="U56" s="24">
        <f>i_W_rate*U50*(U54+(1-U54)*(1+U55))</f>
        <v/>
      </c>
      <c r="V56" s="24">
        <f>i_W_rate*V50*(V54+(1-V54)*(1+V55))</f>
        <v/>
      </c>
      <c r="W56" s="24">
        <f>i_W_rate*W50*(W54+(1-W54)*(1+W55))</f>
        <v/>
      </c>
      <c r="X56" s="24">
        <f>i_W_rate*X50*(X54+(1-X54)*(1+X55))</f>
        <v/>
      </c>
      <c r="Y56" s="24">
        <f>i_W_rate*Y50*(Y54+(1-Y54)*(1+Y55))</f>
        <v/>
      </c>
      <c r="Z56" s="24">
        <f>i_W_rate*Z50*(Z54+(1-Z54)*(1+Z55))</f>
        <v/>
      </c>
      <c r="AA56" s="24">
        <f>i_W_rate*AA50*(AA54+(1-AA54)*(1+AA55))</f>
        <v/>
      </c>
      <c r="AB56" s="24">
        <f>i_W_rate*AB50*(AB54+(1-AB54)*(1+AB55))</f>
        <v/>
      </c>
      <c r="AC56" s="24">
        <f>i_W_rate*AC50*(AC54+(1-AC54)*(1+AC55))</f>
        <v/>
      </c>
      <c r="AD56" s="24">
        <f>i_W_rate*AD50*(AD54+(1-AD54)*(1+AD55))</f>
        <v/>
      </c>
      <c r="AE56" s="24">
        <f>i_W_rate*AE50*(AE54+(1-AE54)*(1+AE55))</f>
        <v/>
      </c>
      <c r="AF56" s="24">
        <f>i_W_rate*AF50*(AF54+(1-AF54)*(1+AF55))</f>
        <v/>
      </c>
      <c r="AG56" s="24">
        <f>i_W_rate*AG50*(AG54+(1-AG54)*(1+AG55))</f>
        <v/>
      </c>
      <c r="AH56" s="24">
        <f>i_W_rate*AH50*(AH54+(1-AH54)*(1+AH55))</f>
        <v/>
      </c>
      <c r="AI56" s="24">
        <f>i_W_rate*AI50*(AI54+(1-AI54)*(1+AI55))</f>
        <v/>
      </c>
    </row>
    <row r="57">
      <c r="B57" s="2" t="inlineStr">
        <is>
          <t xml:space="preserve">  Occupancy after the transition decline and floor</t>
        </is>
      </c>
      <c r="D57" s="21">
        <f>IF(D$3&gt;i_trans_start,MAX(i_W_floor,i_W_occ-i_W_dec*(D$3-i_trans_start)),i_W_occ)</f>
        <v/>
      </c>
      <c r="E57" s="21">
        <f>IF(E$3&gt;i_trans_start,MAX(i_W_floor,i_W_occ-i_W_dec*(E$3-i_trans_start)),i_W_occ)</f>
        <v/>
      </c>
      <c r="F57" s="21">
        <f>IF(F$3&gt;i_trans_start,MAX(i_W_floor,i_W_occ-i_W_dec*(F$3-i_trans_start)),i_W_occ)</f>
        <v/>
      </c>
      <c r="G57" s="21">
        <f>IF(G$3&gt;i_trans_start,MAX(i_W_floor,i_W_occ-i_W_dec*(G$3-i_trans_start)),i_W_occ)</f>
        <v/>
      </c>
      <c r="H57" s="21">
        <f>IF(H$3&gt;i_trans_start,MAX(i_W_floor,i_W_occ-i_W_dec*(H$3-i_trans_start)),i_W_occ)</f>
        <v/>
      </c>
      <c r="I57" s="21">
        <f>IF(I$3&gt;i_trans_start,MAX(i_W_floor,i_W_occ-i_W_dec*(I$3-i_trans_start)),i_W_occ)</f>
        <v/>
      </c>
      <c r="J57" s="21">
        <f>IF(J$3&gt;i_trans_start,MAX(i_W_floor,i_W_occ-i_W_dec*(J$3-i_trans_start)),i_W_occ)</f>
        <v/>
      </c>
      <c r="K57" s="21">
        <f>IF(K$3&gt;i_trans_start,MAX(i_W_floor,i_W_occ-i_W_dec*(K$3-i_trans_start)),i_W_occ)</f>
        <v/>
      </c>
      <c r="L57" s="21">
        <f>IF(L$3&gt;i_trans_start,MAX(i_W_floor,i_W_occ-i_W_dec*(L$3-i_trans_start)),i_W_occ)</f>
        <v/>
      </c>
      <c r="M57" s="21">
        <f>IF(M$3&gt;i_trans_start,MAX(i_W_floor,i_W_occ-i_W_dec*(M$3-i_trans_start)),i_W_occ)</f>
        <v/>
      </c>
      <c r="N57" s="21">
        <f>IF(N$3&gt;i_trans_start,MAX(i_W_floor,i_W_occ-i_W_dec*(N$3-i_trans_start)),i_W_occ)</f>
        <v/>
      </c>
      <c r="O57" s="21">
        <f>IF(O$3&gt;i_trans_start,MAX(i_W_floor,i_W_occ-i_W_dec*(O$3-i_trans_start)),i_W_occ)</f>
        <v/>
      </c>
      <c r="P57" s="21">
        <f>IF(P$3&gt;i_trans_start,MAX(i_W_floor,i_W_occ-i_W_dec*(P$3-i_trans_start)),i_W_occ)</f>
        <v/>
      </c>
      <c r="Q57" s="21">
        <f>IF(Q$3&gt;i_trans_start,MAX(i_W_floor,i_W_occ-i_W_dec*(Q$3-i_trans_start)),i_W_occ)</f>
        <v/>
      </c>
      <c r="R57" s="21">
        <f>IF(R$3&gt;i_trans_start,MAX(i_W_floor,i_W_occ-i_W_dec*(R$3-i_trans_start)),i_W_occ)</f>
        <v/>
      </c>
      <c r="S57" s="21">
        <f>IF(S$3&gt;i_trans_start,MAX(i_W_floor,i_W_occ-i_W_dec*(S$3-i_trans_start)),i_W_occ)</f>
        <v/>
      </c>
      <c r="T57" s="21">
        <f>IF(T$3&gt;i_trans_start,MAX(i_W_floor,i_W_occ-i_W_dec*(T$3-i_trans_start)),i_W_occ)</f>
        <v/>
      </c>
      <c r="U57" s="21">
        <f>IF(U$3&gt;i_trans_start,MAX(i_W_floor,i_W_occ-i_W_dec*(U$3-i_trans_start)),i_W_occ)</f>
        <v/>
      </c>
      <c r="V57" s="21">
        <f>IF(V$3&gt;i_trans_start,MAX(i_W_floor,i_W_occ-i_W_dec*(V$3-i_trans_start)),i_W_occ)</f>
        <v/>
      </c>
      <c r="W57" s="21">
        <f>IF(W$3&gt;i_trans_start,MAX(i_W_floor,i_W_occ-i_W_dec*(W$3-i_trans_start)),i_W_occ)</f>
        <v/>
      </c>
      <c r="X57" s="21">
        <f>IF(X$3&gt;i_trans_start,MAX(i_W_floor,i_W_occ-i_W_dec*(X$3-i_trans_start)),i_W_occ)</f>
        <v/>
      </c>
      <c r="Y57" s="21">
        <f>IF(Y$3&gt;i_trans_start,MAX(i_W_floor,i_W_occ-i_W_dec*(Y$3-i_trans_start)),i_W_occ)</f>
        <v/>
      </c>
      <c r="Z57" s="21">
        <f>IF(Z$3&gt;i_trans_start,MAX(i_W_floor,i_W_occ-i_W_dec*(Z$3-i_trans_start)),i_W_occ)</f>
        <v/>
      </c>
      <c r="AA57" s="21">
        <f>IF(AA$3&gt;i_trans_start,MAX(i_W_floor,i_W_occ-i_W_dec*(AA$3-i_trans_start)),i_W_occ)</f>
        <v/>
      </c>
      <c r="AB57" s="21">
        <f>IF(AB$3&gt;i_trans_start,MAX(i_W_floor,i_W_occ-i_W_dec*(AB$3-i_trans_start)),i_W_occ)</f>
        <v/>
      </c>
      <c r="AC57" s="21">
        <f>IF(AC$3&gt;i_trans_start,MAX(i_W_floor,i_W_occ-i_W_dec*(AC$3-i_trans_start)),i_W_occ)</f>
        <v/>
      </c>
      <c r="AD57" s="21">
        <f>IF(AD$3&gt;i_trans_start,MAX(i_W_floor,i_W_occ-i_W_dec*(AD$3-i_trans_start)),i_W_occ)</f>
        <v/>
      </c>
      <c r="AE57" s="21">
        <f>IF(AE$3&gt;i_trans_start,MAX(i_W_floor,i_W_occ-i_W_dec*(AE$3-i_trans_start)),i_W_occ)</f>
        <v/>
      </c>
      <c r="AF57" s="21">
        <f>IF(AF$3&gt;i_trans_start,MAX(i_W_floor,i_W_occ-i_W_dec*(AF$3-i_trans_start)),i_W_occ)</f>
        <v/>
      </c>
      <c r="AG57" s="21">
        <f>IF(AG$3&gt;i_trans_start,MAX(i_W_floor,i_W_occ-i_W_dec*(AG$3-i_trans_start)),i_W_occ)</f>
        <v/>
      </c>
      <c r="AH57" s="21">
        <f>IF(AH$3&gt;i_trans_start,MAX(i_W_floor,i_W_occ-i_W_dec*(AH$3-i_trans_start)),i_W_occ)</f>
        <v/>
      </c>
      <c r="AI57" s="21">
        <f>IF(AI$3&gt;i_trans_start,MAX(i_W_floor,i_W_occ-i_W_dec*(AI$3-i_trans_start)),i_W_occ)</f>
        <v/>
      </c>
    </row>
    <row r="58">
      <c r="B58" s="2" t="inlineStr">
        <is>
          <t xml:space="preserve">  Customer loss (points)</t>
        </is>
      </c>
      <c r="D58" s="21">
        <f>DCF!$C$40*SUMIF(i_dip_years,D$3,i_dip_vals)</f>
        <v/>
      </c>
      <c r="E58" s="21">
        <f>DCF!$C$40*SUMIF(i_dip_years,E$3,i_dip_vals)</f>
        <v/>
      </c>
      <c r="F58" s="21">
        <f>DCF!$C$40*SUMIF(i_dip_years,F$3,i_dip_vals)</f>
        <v/>
      </c>
      <c r="G58" s="21">
        <f>DCF!$C$40*SUMIF(i_dip_years,G$3,i_dip_vals)</f>
        <v/>
      </c>
      <c r="H58" s="21">
        <f>DCF!$C$40*SUMIF(i_dip_years,H$3,i_dip_vals)</f>
        <v/>
      </c>
      <c r="I58" s="21">
        <f>DCF!$C$40*SUMIF(i_dip_years,I$3,i_dip_vals)</f>
        <v/>
      </c>
      <c r="J58" s="21">
        <f>DCF!$C$40*SUMIF(i_dip_years,J$3,i_dip_vals)</f>
        <v/>
      </c>
      <c r="K58" s="21">
        <f>DCF!$C$40*SUMIF(i_dip_years,K$3,i_dip_vals)</f>
        <v/>
      </c>
      <c r="L58" s="21">
        <f>DCF!$C$40*SUMIF(i_dip_years,L$3,i_dip_vals)</f>
        <v/>
      </c>
      <c r="M58" s="21">
        <f>DCF!$C$40*SUMIF(i_dip_years,M$3,i_dip_vals)</f>
        <v/>
      </c>
      <c r="N58" s="21">
        <f>DCF!$C$40*SUMIF(i_dip_years,N$3,i_dip_vals)</f>
        <v/>
      </c>
      <c r="O58" s="21">
        <f>DCF!$C$40*SUMIF(i_dip_years,O$3,i_dip_vals)</f>
        <v/>
      </c>
      <c r="P58" s="21">
        <f>DCF!$C$40*SUMIF(i_dip_years,P$3,i_dip_vals)</f>
        <v/>
      </c>
      <c r="Q58" s="21">
        <f>DCF!$C$40*SUMIF(i_dip_years,Q$3,i_dip_vals)</f>
        <v/>
      </c>
      <c r="R58" s="21">
        <f>DCF!$C$40*SUMIF(i_dip_years,R$3,i_dip_vals)</f>
        <v/>
      </c>
      <c r="S58" s="21">
        <f>DCF!$C$40*SUMIF(i_dip_years,S$3,i_dip_vals)</f>
        <v/>
      </c>
      <c r="T58" s="21">
        <f>DCF!$C$40*SUMIF(i_dip_years,T$3,i_dip_vals)</f>
        <v/>
      </c>
      <c r="U58" s="21">
        <f>DCF!$C$40*SUMIF(i_dip_years,U$3,i_dip_vals)</f>
        <v/>
      </c>
      <c r="V58" s="21">
        <f>DCF!$C$40*SUMIF(i_dip_years,V$3,i_dip_vals)</f>
        <v/>
      </c>
      <c r="W58" s="21">
        <f>DCF!$C$40*SUMIF(i_dip_years,W$3,i_dip_vals)</f>
        <v/>
      </c>
      <c r="X58" s="21">
        <f>DCF!$C$40*SUMIF(i_dip_years,X$3,i_dip_vals)</f>
        <v/>
      </c>
      <c r="Y58" s="21">
        <f>DCF!$C$40*SUMIF(i_dip_years,Y$3,i_dip_vals)</f>
        <v/>
      </c>
      <c r="Z58" s="21">
        <f>DCF!$C$40*SUMIF(i_dip_years,Z$3,i_dip_vals)</f>
        <v/>
      </c>
      <c r="AA58" s="21">
        <f>DCF!$C$40*SUMIF(i_dip_years,AA$3,i_dip_vals)</f>
        <v/>
      </c>
      <c r="AB58" s="21">
        <f>DCF!$C$40*SUMIF(i_dip_years,AB$3,i_dip_vals)</f>
        <v/>
      </c>
      <c r="AC58" s="21">
        <f>DCF!$C$40*SUMIF(i_dip_years,AC$3,i_dip_vals)</f>
        <v/>
      </c>
      <c r="AD58" s="21">
        <f>DCF!$C$40*SUMIF(i_dip_years,AD$3,i_dip_vals)</f>
        <v/>
      </c>
      <c r="AE58" s="21">
        <f>DCF!$C$40*SUMIF(i_dip_years,AE$3,i_dip_vals)</f>
        <v/>
      </c>
      <c r="AF58" s="21">
        <f>DCF!$C$40*SUMIF(i_dip_years,AF$3,i_dip_vals)</f>
        <v/>
      </c>
      <c r="AG58" s="21">
        <f>DCF!$C$40*SUMIF(i_dip_years,AG$3,i_dip_vals)</f>
        <v/>
      </c>
      <c r="AH58" s="21">
        <f>DCF!$C$40*SUMIF(i_dip_years,AH$3,i_dip_vals)</f>
        <v/>
      </c>
      <c r="AI58" s="21">
        <f>DCF!$C$40*SUMIF(i_dip_years,AI$3,i_dip_vals)</f>
        <v/>
      </c>
    </row>
    <row r="59">
      <c r="B59" s="2" t="inlineStr">
        <is>
          <t xml:space="preserve">  Occupancy (with the shift switch from 2027)</t>
        </is>
      </c>
      <c r="D59" s="21">
        <f>IF(D$4&gt;0,MIN(1,D57-D58+DCF!$C$44),D57-D58)</f>
        <v/>
      </c>
      <c r="E59" s="21">
        <f>IF(E$4&gt;0,MIN(1,E57-E58+DCF!$C$44),E57-E58)</f>
        <v/>
      </c>
      <c r="F59" s="21">
        <f>IF(F$4&gt;0,MIN(1,F57-F58+DCF!$C$44),F57-F58)</f>
        <v/>
      </c>
      <c r="G59" s="21">
        <f>IF(G$4&gt;0,MIN(1,G57-G58+DCF!$C$44),G57-G58)</f>
        <v/>
      </c>
      <c r="H59" s="21">
        <f>IF(H$4&gt;0,MIN(1,H57-H58+DCF!$C$44),H57-H58)</f>
        <v/>
      </c>
      <c r="I59" s="21">
        <f>IF(I$4&gt;0,MIN(1,I57-I58+DCF!$C$44),I57-I58)</f>
        <v/>
      </c>
      <c r="J59" s="21">
        <f>IF(J$4&gt;0,MIN(1,J57-J58+DCF!$C$44),J57-J58)</f>
        <v/>
      </c>
      <c r="K59" s="21">
        <f>IF(K$4&gt;0,MIN(1,K57-K58+DCF!$C$44),K57-K58)</f>
        <v/>
      </c>
      <c r="L59" s="21">
        <f>IF(L$4&gt;0,MIN(1,L57-L58+DCF!$C$44),L57-L58)</f>
        <v/>
      </c>
      <c r="M59" s="21">
        <f>IF(M$4&gt;0,MIN(1,M57-M58+DCF!$C$44),M57-M58)</f>
        <v/>
      </c>
      <c r="N59" s="21">
        <f>IF(N$4&gt;0,MIN(1,N57-N58+DCF!$C$44),N57-N58)</f>
        <v/>
      </c>
      <c r="O59" s="21">
        <f>IF(O$4&gt;0,MIN(1,O57-O58+DCF!$C$44),O57-O58)</f>
        <v/>
      </c>
      <c r="P59" s="21">
        <f>IF(P$4&gt;0,MIN(1,P57-P58+DCF!$C$44),P57-P58)</f>
        <v/>
      </c>
      <c r="Q59" s="21">
        <f>IF(Q$4&gt;0,MIN(1,Q57-Q58+DCF!$C$44),Q57-Q58)</f>
        <v/>
      </c>
      <c r="R59" s="21">
        <f>IF(R$4&gt;0,MIN(1,R57-R58+DCF!$C$44),R57-R58)</f>
        <v/>
      </c>
      <c r="S59" s="21">
        <f>IF(S$4&gt;0,MIN(1,S57-S58+DCF!$C$44),S57-S58)</f>
        <v/>
      </c>
      <c r="T59" s="21">
        <f>IF(T$4&gt;0,MIN(1,T57-T58+DCF!$C$44),T57-T58)</f>
        <v/>
      </c>
      <c r="U59" s="21">
        <f>IF(U$4&gt;0,MIN(1,U57-U58+DCF!$C$44),U57-U58)</f>
        <v/>
      </c>
      <c r="V59" s="21">
        <f>IF(V$4&gt;0,MIN(1,V57-V58+DCF!$C$44),V57-V58)</f>
        <v/>
      </c>
      <c r="W59" s="21">
        <f>IF(W$4&gt;0,MIN(1,W57-W58+DCF!$C$44),W57-W58)</f>
        <v/>
      </c>
      <c r="X59" s="21">
        <f>IF(X$4&gt;0,MIN(1,X57-X58+DCF!$C$44),X57-X58)</f>
        <v/>
      </c>
      <c r="Y59" s="21">
        <f>IF(Y$4&gt;0,MIN(1,Y57-Y58+DCF!$C$44),Y57-Y58)</f>
        <v/>
      </c>
      <c r="Z59" s="21">
        <f>IF(Z$4&gt;0,MIN(1,Z57-Z58+DCF!$C$44),Z57-Z58)</f>
        <v/>
      </c>
      <c r="AA59" s="21">
        <f>IF(AA$4&gt;0,MIN(1,AA57-AA58+DCF!$C$44),AA57-AA58)</f>
        <v/>
      </c>
      <c r="AB59" s="21">
        <f>IF(AB$4&gt;0,MIN(1,AB57-AB58+DCF!$C$44),AB57-AB58)</f>
        <v/>
      </c>
      <c r="AC59" s="21">
        <f>IF(AC$4&gt;0,MIN(1,AC57-AC58+DCF!$C$44),AC57-AC58)</f>
        <v/>
      </c>
      <c r="AD59" s="21">
        <f>IF(AD$4&gt;0,MIN(1,AD57-AD58+DCF!$C$44),AD57-AD58)</f>
        <v/>
      </c>
      <c r="AE59" s="21">
        <f>IF(AE$4&gt;0,MIN(1,AE57-AE58+DCF!$C$44),AE57-AE58)</f>
        <v/>
      </c>
      <c r="AF59" s="21">
        <f>IF(AF$4&gt;0,MIN(1,AF57-AF58+DCF!$C$44),AF57-AF58)</f>
        <v/>
      </c>
      <c r="AG59" s="21">
        <f>IF(AG$4&gt;0,MIN(1,AG57-AG58+DCF!$C$44),AG57-AG58)</f>
        <v/>
      </c>
      <c r="AH59" s="21">
        <f>IF(AH$4&gt;0,MIN(1,AH57-AH58+DCF!$C$44),AH57-AH58)</f>
        <v/>
      </c>
      <c r="AI59" s="21">
        <f>IF(AI$4&gt;0,MIN(1,AI57-AI58+DCF!$C$44),AI57-AI58)</f>
        <v/>
      </c>
    </row>
    <row r="60">
      <c r="B60" s="2" t="inlineStr">
        <is>
          <t xml:space="preserve">  Storage revenue</t>
        </is>
      </c>
      <c r="D60" s="19">
        <f>D53*D56*12*D59</f>
        <v/>
      </c>
      <c r="E60" s="19">
        <f>E53*E56*12*E59</f>
        <v/>
      </c>
      <c r="F60" s="19">
        <f>F53*F56*12*F59</f>
        <v/>
      </c>
      <c r="G60" s="19">
        <f>G53*G56*12*G59</f>
        <v/>
      </c>
      <c r="H60" s="19">
        <f>H53*H56*12*H59</f>
        <v/>
      </c>
      <c r="I60" s="19">
        <f>I53*I56*12*I59</f>
        <v/>
      </c>
      <c r="J60" s="19">
        <f>J53*J56*12*J59</f>
        <v/>
      </c>
      <c r="K60" s="19">
        <f>K53*K56*12*K59</f>
        <v/>
      </c>
      <c r="L60" s="19">
        <f>L53*L56*12*L59</f>
        <v/>
      </c>
      <c r="M60" s="19">
        <f>M53*M56*12*M59</f>
        <v/>
      </c>
      <c r="N60" s="19">
        <f>N53*N56*12*N59</f>
        <v/>
      </c>
      <c r="O60" s="19">
        <f>O53*O56*12*O59</f>
        <v/>
      </c>
      <c r="P60" s="19">
        <f>P53*P56*12*P59</f>
        <v/>
      </c>
      <c r="Q60" s="19">
        <f>Q53*Q56*12*Q59</f>
        <v/>
      </c>
      <c r="R60" s="19">
        <f>R53*R56*12*R59</f>
        <v/>
      </c>
      <c r="S60" s="19">
        <f>S53*S56*12*S59</f>
        <v/>
      </c>
      <c r="T60" s="19">
        <f>T53*T56*12*T59</f>
        <v/>
      </c>
      <c r="U60" s="19">
        <f>U53*U56*12*U59</f>
        <v/>
      </c>
      <c r="V60" s="19">
        <f>V53*V56*12*V59</f>
        <v/>
      </c>
      <c r="W60" s="19">
        <f>W53*W56*12*W59</f>
        <v/>
      </c>
      <c r="X60" s="19">
        <f>X53*X56*12*X59</f>
        <v/>
      </c>
      <c r="Y60" s="19">
        <f>Y53*Y56*12*Y59</f>
        <v/>
      </c>
      <c r="Z60" s="19">
        <f>Z53*Z56*12*Z59</f>
        <v/>
      </c>
      <c r="AA60" s="19">
        <f>AA53*AA56*12*AA59</f>
        <v/>
      </c>
      <c r="AB60" s="19">
        <f>AB53*AB56*12*AB59</f>
        <v/>
      </c>
      <c r="AC60" s="19">
        <f>AC53*AC56*12*AC59</f>
        <v/>
      </c>
      <c r="AD60" s="19">
        <f>AD53*AD56*12*AD59</f>
        <v/>
      </c>
      <c r="AE60" s="19">
        <f>AE53*AE56*12*AE59</f>
        <v/>
      </c>
      <c r="AF60" s="19">
        <f>AF53*AF56*12*AF59</f>
        <v/>
      </c>
      <c r="AG60" s="19">
        <f>AG53*AG56*12*AG59</f>
        <v/>
      </c>
      <c r="AH60" s="19">
        <f>AH53*AH56*12*AH59</f>
        <v/>
      </c>
      <c r="AI60" s="19">
        <f>AI53*AI56*12*AI59</f>
        <v/>
      </c>
    </row>
    <row r="61">
      <c r="B61" s="2" t="inlineStr">
        <is>
          <t xml:space="preserve">  Ancillary and throughput revenue</t>
        </is>
      </c>
      <c r="D61" s="19">
        <f>D60*i_W_anc</f>
        <v/>
      </c>
      <c r="E61" s="19">
        <f>E60*i_W_anc</f>
        <v/>
      </c>
      <c r="F61" s="19">
        <f>F60*i_W_anc</f>
        <v/>
      </c>
      <c r="G61" s="19">
        <f>G60*i_W_anc</f>
        <v/>
      </c>
      <c r="H61" s="19">
        <f>H60*i_W_anc</f>
        <v/>
      </c>
      <c r="I61" s="19">
        <f>I60*i_W_anc</f>
        <v/>
      </c>
      <c r="J61" s="19">
        <f>J60*i_W_anc</f>
        <v/>
      </c>
      <c r="K61" s="19">
        <f>K60*i_W_anc</f>
        <v/>
      </c>
      <c r="L61" s="19">
        <f>L60*i_W_anc</f>
        <v/>
      </c>
      <c r="M61" s="19">
        <f>M60*i_W_anc</f>
        <v/>
      </c>
      <c r="N61" s="19">
        <f>N60*i_W_anc</f>
        <v/>
      </c>
      <c r="O61" s="19">
        <f>O60*i_W_anc</f>
        <v/>
      </c>
      <c r="P61" s="19">
        <f>P60*i_W_anc</f>
        <v/>
      </c>
      <c r="Q61" s="19">
        <f>Q60*i_W_anc</f>
        <v/>
      </c>
      <c r="R61" s="19">
        <f>R60*i_W_anc</f>
        <v/>
      </c>
      <c r="S61" s="19">
        <f>S60*i_W_anc</f>
        <v/>
      </c>
      <c r="T61" s="19">
        <f>T60*i_W_anc</f>
        <v/>
      </c>
      <c r="U61" s="19">
        <f>U60*i_W_anc</f>
        <v/>
      </c>
      <c r="V61" s="19">
        <f>V60*i_W_anc</f>
        <v/>
      </c>
      <c r="W61" s="19">
        <f>W60*i_W_anc</f>
        <v/>
      </c>
      <c r="X61" s="19">
        <f>X60*i_W_anc</f>
        <v/>
      </c>
      <c r="Y61" s="19">
        <f>Y60*i_W_anc</f>
        <v/>
      </c>
      <c r="Z61" s="19">
        <f>Z60*i_W_anc</f>
        <v/>
      </c>
      <c r="AA61" s="19">
        <f>AA60*i_W_anc</f>
        <v/>
      </c>
      <c r="AB61" s="19">
        <f>AB60*i_W_anc</f>
        <v/>
      </c>
      <c r="AC61" s="19">
        <f>AC60*i_W_anc</f>
        <v/>
      </c>
      <c r="AD61" s="19">
        <f>AD60*i_W_anc</f>
        <v/>
      </c>
      <c r="AE61" s="19">
        <f>AE60*i_W_anc</f>
        <v/>
      </c>
      <c r="AF61" s="19">
        <f>AF60*i_W_anc</f>
        <v/>
      </c>
      <c r="AG61" s="19">
        <f>AG60*i_W_anc</f>
        <v/>
      </c>
      <c r="AH61" s="19">
        <f>AH60*i_W_anc</f>
        <v/>
      </c>
      <c r="AI61" s="19">
        <f>AI60*i_W_anc</f>
        <v/>
      </c>
    </row>
    <row r="62">
      <c r="B62" s="3" t="inlineStr">
        <is>
          <t xml:space="preserve">  Revenue</t>
        </is>
      </c>
      <c r="D62" s="31">
        <f>D60+D61</f>
        <v/>
      </c>
      <c r="E62" s="31">
        <f>E60+E61</f>
        <v/>
      </c>
      <c r="F62" s="31">
        <f>F60+F61</f>
        <v/>
      </c>
      <c r="G62" s="31">
        <f>G60+G61</f>
        <v/>
      </c>
      <c r="H62" s="31">
        <f>H60+H61</f>
        <v/>
      </c>
      <c r="I62" s="31">
        <f>I60+I61</f>
        <v/>
      </c>
      <c r="J62" s="31">
        <f>J60+J61</f>
        <v/>
      </c>
      <c r="K62" s="31">
        <f>K60+K61</f>
        <v/>
      </c>
      <c r="L62" s="31">
        <f>L60+L61</f>
        <v/>
      </c>
      <c r="M62" s="31">
        <f>M60+M61</f>
        <v/>
      </c>
      <c r="N62" s="31">
        <f>N60+N61</f>
        <v/>
      </c>
      <c r="O62" s="31">
        <f>O60+O61</f>
        <v/>
      </c>
      <c r="P62" s="31">
        <f>P60+P61</f>
        <v/>
      </c>
      <c r="Q62" s="31">
        <f>Q60+Q61</f>
        <v/>
      </c>
      <c r="R62" s="31">
        <f>R60+R61</f>
        <v/>
      </c>
      <c r="S62" s="31">
        <f>S60+S61</f>
        <v/>
      </c>
      <c r="T62" s="31">
        <f>T60+T61</f>
        <v/>
      </c>
      <c r="U62" s="31">
        <f>U60+U61</f>
        <v/>
      </c>
      <c r="V62" s="31">
        <f>V60+V61</f>
        <v/>
      </c>
      <c r="W62" s="31">
        <f>W60+W61</f>
        <v/>
      </c>
      <c r="X62" s="31">
        <f>X60+X61</f>
        <v/>
      </c>
      <c r="Y62" s="31">
        <f>Y60+Y61</f>
        <v/>
      </c>
      <c r="Z62" s="31">
        <f>Z60+Z61</f>
        <v/>
      </c>
      <c r="AA62" s="31">
        <f>AA60+AA61</f>
        <v/>
      </c>
      <c r="AB62" s="31">
        <f>AB60+AB61</f>
        <v/>
      </c>
      <c r="AC62" s="31">
        <f>AC60+AC61</f>
        <v/>
      </c>
      <c r="AD62" s="31">
        <f>AD60+AD61</f>
        <v/>
      </c>
      <c r="AE62" s="31">
        <f>AE60+AE61</f>
        <v/>
      </c>
      <c r="AF62" s="31">
        <f>AF60+AF61</f>
        <v/>
      </c>
      <c r="AG62" s="31">
        <f>AG60+AG61</f>
        <v/>
      </c>
      <c r="AH62" s="31">
        <f>AH60+AH61</f>
        <v/>
      </c>
      <c r="AI62" s="31">
        <f>AI60+AI61</f>
        <v/>
      </c>
    </row>
    <row r="63">
      <c r="B63" s="2" t="inlineStr">
        <is>
          <t xml:space="preserve">  Fixed cost</t>
        </is>
      </c>
      <c r="D63" s="19">
        <f>D53*i_W_fix*D49</f>
        <v/>
      </c>
      <c r="E63" s="19">
        <f>E53*i_W_fix*E49</f>
        <v/>
      </c>
      <c r="F63" s="19">
        <f>F53*i_W_fix*F49</f>
        <v/>
      </c>
      <c r="G63" s="19">
        <f>G53*i_W_fix*G49</f>
        <v/>
      </c>
      <c r="H63" s="19">
        <f>H53*i_W_fix*H49</f>
        <v/>
      </c>
      <c r="I63" s="19">
        <f>I53*i_W_fix*I49</f>
        <v/>
      </c>
      <c r="J63" s="19">
        <f>J53*i_W_fix*J49</f>
        <v/>
      </c>
      <c r="K63" s="19">
        <f>K53*i_W_fix*K49</f>
        <v/>
      </c>
      <c r="L63" s="19">
        <f>L53*i_W_fix*L49</f>
        <v/>
      </c>
      <c r="M63" s="19">
        <f>M53*i_W_fix*M49</f>
        <v/>
      </c>
      <c r="N63" s="19">
        <f>N53*i_W_fix*N49</f>
        <v/>
      </c>
      <c r="O63" s="19">
        <f>O53*i_W_fix*O49</f>
        <v/>
      </c>
      <c r="P63" s="19">
        <f>P53*i_W_fix*P49</f>
        <v/>
      </c>
      <c r="Q63" s="19">
        <f>Q53*i_W_fix*Q49</f>
        <v/>
      </c>
      <c r="R63" s="19">
        <f>R53*i_W_fix*R49</f>
        <v/>
      </c>
      <c r="S63" s="19">
        <f>S53*i_W_fix*S49</f>
        <v/>
      </c>
      <c r="T63" s="19">
        <f>T53*i_W_fix*T49</f>
        <v/>
      </c>
      <c r="U63" s="19">
        <f>U53*i_W_fix*U49</f>
        <v/>
      </c>
      <c r="V63" s="19">
        <f>V53*i_W_fix*V49</f>
        <v/>
      </c>
      <c r="W63" s="19">
        <f>W53*i_W_fix*W49</f>
        <v/>
      </c>
      <c r="X63" s="19">
        <f>X53*i_W_fix*X49</f>
        <v/>
      </c>
      <c r="Y63" s="19">
        <f>Y53*i_W_fix*Y49</f>
        <v/>
      </c>
      <c r="Z63" s="19">
        <f>Z53*i_W_fix*Z49</f>
        <v/>
      </c>
      <c r="AA63" s="19">
        <f>AA53*i_W_fix*AA49</f>
        <v/>
      </c>
      <c r="AB63" s="19">
        <f>AB53*i_W_fix*AB49</f>
        <v/>
      </c>
      <c r="AC63" s="19">
        <f>AC53*i_W_fix*AC49</f>
        <v/>
      </c>
      <c r="AD63" s="19">
        <f>AD53*i_W_fix*AD49</f>
        <v/>
      </c>
      <c r="AE63" s="19">
        <f>AE53*i_W_fix*AE49</f>
        <v/>
      </c>
      <c r="AF63" s="19">
        <f>AF53*i_W_fix*AF49</f>
        <v/>
      </c>
      <c r="AG63" s="19">
        <f>AG53*i_W_fix*AG49</f>
        <v/>
      </c>
      <c r="AH63" s="19">
        <f>AH53*i_W_fix*AH49</f>
        <v/>
      </c>
      <c r="AI63" s="19">
        <f>AI53*i_W_fix*AI49</f>
        <v/>
      </c>
    </row>
    <row r="64">
      <c r="B64" s="2" t="inlineStr">
        <is>
          <t xml:space="preserve">  Variable cost</t>
        </is>
      </c>
      <c r="D64" s="19">
        <f>i_W_var*D62</f>
        <v/>
      </c>
      <c r="E64" s="19">
        <f>i_W_var*E62</f>
        <v/>
      </c>
      <c r="F64" s="19">
        <f>i_W_var*F62</f>
        <v/>
      </c>
      <c r="G64" s="19">
        <f>i_W_var*G62</f>
        <v/>
      </c>
      <c r="H64" s="19">
        <f>i_W_var*H62</f>
        <v/>
      </c>
      <c r="I64" s="19">
        <f>i_W_var*I62</f>
        <v/>
      </c>
      <c r="J64" s="19">
        <f>i_W_var*J62</f>
        <v/>
      </c>
      <c r="K64" s="19">
        <f>i_W_var*K62</f>
        <v/>
      </c>
      <c r="L64" s="19">
        <f>i_W_var*L62</f>
        <v/>
      </c>
      <c r="M64" s="19">
        <f>i_W_var*M62</f>
        <v/>
      </c>
      <c r="N64" s="19">
        <f>i_W_var*N62</f>
        <v/>
      </c>
      <c r="O64" s="19">
        <f>i_W_var*O62</f>
        <v/>
      </c>
      <c r="P64" s="19">
        <f>i_W_var*P62</f>
        <v/>
      </c>
      <c r="Q64" s="19">
        <f>i_W_var*Q62</f>
        <v/>
      </c>
      <c r="R64" s="19">
        <f>i_W_var*R62</f>
        <v/>
      </c>
      <c r="S64" s="19">
        <f>i_W_var*S62</f>
        <v/>
      </c>
      <c r="T64" s="19">
        <f>i_W_var*T62</f>
        <v/>
      </c>
      <c r="U64" s="19">
        <f>i_W_var*U62</f>
        <v/>
      </c>
      <c r="V64" s="19">
        <f>i_W_var*V62</f>
        <v/>
      </c>
      <c r="W64" s="19">
        <f>i_W_var*W62</f>
        <v/>
      </c>
      <c r="X64" s="19">
        <f>i_W_var*X62</f>
        <v/>
      </c>
      <c r="Y64" s="19">
        <f>i_W_var*Y62</f>
        <v/>
      </c>
      <c r="Z64" s="19">
        <f>i_W_var*Z62</f>
        <v/>
      </c>
      <c r="AA64" s="19">
        <f>i_W_var*AA62</f>
        <v/>
      </c>
      <c r="AB64" s="19">
        <f>i_W_var*AB62</f>
        <v/>
      </c>
      <c r="AC64" s="19">
        <f>i_W_var*AC62</f>
        <v/>
      </c>
      <c r="AD64" s="19">
        <f>i_W_var*AD62</f>
        <v/>
      </c>
      <c r="AE64" s="19">
        <f>i_W_var*AE62</f>
        <v/>
      </c>
      <c r="AF64" s="19">
        <f>i_W_var*AF62</f>
        <v/>
      </c>
      <c r="AG64" s="19">
        <f>i_W_var*AG62</f>
        <v/>
      </c>
      <c r="AH64" s="19">
        <f>i_W_var*AH62</f>
        <v/>
      </c>
      <c r="AI64" s="19">
        <f>i_W_var*AI62</f>
        <v/>
      </c>
    </row>
    <row r="65">
      <c r="B65" s="2" t="inlineStr">
        <is>
          <t xml:space="preserve">  Concession fee</t>
        </is>
      </c>
      <c r="D65" s="19">
        <f>IF(AND(DCF!$C$46=1,D$3&gt;i_conc_end),i_renew_fee,i_W_fee)*D62</f>
        <v/>
      </c>
      <c r="E65" s="19">
        <f>IF(AND(DCF!$C$46=1,E$3&gt;i_conc_end),i_renew_fee,i_W_fee)*E62</f>
        <v/>
      </c>
      <c r="F65" s="19">
        <f>IF(AND(DCF!$C$46=1,F$3&gt;i_conc_end),i_renew_fee,i_W_fee)*F62</f>
        <v/>
      </c>
      <c r="G65" s="19">
        <f>IF(AND(DCF!$C$46=1,G$3&gt;i_conc_end),i_renew_fee,i_W_fee)*G62</f>
        <v/>
      </c>
      <c r="H65" s="19">
        <f>IF(AND(DCF!$C$46=1,H$3&gt;i_conc_end),i_renew_fee,i_W_fee)*H62</f>
        <v/>
      </c>
      <c r="I65" s="19">
        <f>IF(AND(DCF!$C$46=1,I$3&gt;i_conc_end),i_renew_fee,i_W_fee)*I62</f>
        <v/>
      </c>
      <c r="J65" s="19">
        <f>IF(AND(DCF!$C$46=1,J$3&gt;i_conc_end),i_renew_fee,i_W_fee)*J62</f>
        <v/>
      </c>
      <c r="K65" s="19">
        <f>IF(AND(DCF!$C$46=1,K$3&gt;i_conc_end),i_renew_fee,i_W_fee)*K62</f>
        <v/>
      </c>
      <c r="L65" s="19">
        <f>IF(AND(DCF!$C$46=1,L$3&gt;i_conc_end),i_renew_fee,i_W_fee)*L62</f>
        <v/>
      </c>
      <c r="M65" s="19">
        <f>IF(AND(DCF!$C$46=1,M$3&gt;i_conc_end),i_renew_fee,i_W_fee)*M62</f>
        <v/>
      </c>
      <c r="N65" s="19">
        <f>IF(AND(DCF!$C$46=1,N$3&gt;i_conc_end),i_renew_fee,i_W_fee)*N62</f>
        <v/>
      </c>
      <c r="O65" s="19">
        <f>IF(AND(DCF!$C$46=1,O$3&gt;i_conc_end),i_renew_fee,i_W_fee)*O62</f>
        <v/>
      </c>
      <c r="P65" s="19">
        <f>IF(AND(DCF!$C$46=1,P$3&gt;i_conc_end),i_renew_fee,i_W_fee)*P62</f>
        <v/>
      </c>
      <c r="Q65" s="19">
        <f>IF(AND(DCF!$C$46=1,Q$3&gt;i_conc_end),i_renew_fee,i_W_fee)*Q62</f>
        <v/>
      </c>
      <c r="R65" s="19">
        <f>IF(AND(DCF!$C$46=1,R$3&gt;i_conc_end),i_renew_fee,i_W_fee)*R62</f>
        <v/>
      </c>
      <c r="S65" s="19">
        <f>IF(AND(DCF!$C$46=1,S$3&gt;i_conc_end),i_renew_fee,i_W_fee)*S62</f>
        <v/>
      </c>
      <c r="T65" s="19">
        <f>IF(AND(DCF!$C$46=1,T$3&gt;i_conc_end),i_renew_fee,i_W_fee)*T62</f>
        <v/>
      </c>
      <c r="U65" s="19">
        <f>IF(AND(DCF!$C$46=1,U$3&gt;i_conc_end),i_renew_fee,i_W_fee)*U62</f>
        <v/>
      </c>
      <c r="V65" s="19">
        <f>IF(AND(DCF!$C$46=1,V$3&gt;i_conc_end),i_renew_fee,i_W_fee)*V62</f>
        <v/>
      </c>
      <c r="W65" s="19">
        <f>IF(AND(DCF!$C$46=1,W$3&gt;i_conc_end),i_renew_fee,i_W_fee)*W62</f>
        <v/>
      </c>
      <c r="X65" s="19">
        <f>IF(AND(DCF!$C$46=1,X$3&gt;i_conc_end),i_renew_fee,i_W_fee)*X62</f>
        <v/>
      </c>
      <c r="Y65" s="19">
        <f>IF(AND(DCF!$C$46=1,Y$3&gt;i_conc_end),i_renew_fee,i_W_fee)*Y62</f>
        <v/>
      </c>
      <c r="Z65" s="19">
        <f>IF(AND(DCF!$C$46=1,Z$3&gt;i_conc_end),i_renew_fee,i_W_fee)*Z62</f>
        <v/>
      </c>
      <c r="AA65" s="19">
        <f>IF(AND(DCF!$C$46=1,AA$3&gt;i_conc_end),i_renew_fee,i_W_fee)*AA62</f>
        <v/>
      </c>
      <c r="AB65" s="19">
        <f>IF(AND(DCF!$C$46=1,AB$3&gt;i_conc_end),i_renew_fee,i_W_fee)*AB62</f>
        <v/>
      </c>
      <c r="AC65" s="19">
        <f>IF(AND(DCF!$C$46=1,AC$3&gt;i_conc_end),i_renew_fee,i_W_fee)*AC62</f>
        <v/>
      </c>
      <c r="AD65" s="19">
        <f>IF(AND(DCF!$C$46=1,AD$3&gt;i_conc_end),i_renew_fee,i_W_fee)*AD62</f>
        <v/>
      </c>
      <c r="AE65" s="19">
        <f>IF(AND(DCF!$C$46=1,AE$3&gt;i_conc_end),i_renew_fee,i_W_fee)*AE62</f>
        <v/>
      </c>
      <c r="AF65" s="19">
        <f>IF(AND(DCF!$C$46=1,AF$3&gt;i_conc_end),i_renew_fee,i_W_fee)*AF62</f>
        <v/>
      </c>
      <c r="AG65" s="19">
        <f>IF(AND(DCF!$C$46=1,AG$3&gt;i_conc_end),i_renew_fee,i_W_fee)*AG62</f>
        <v/>
      </c>
      <c r="AH65" s="19">
        <f>IF(AND(DCF!$C$46=1,AH$3&gt;i_conc_end),i_renew_fee,i_W_fee)*AH62</f>
        <v/>
      </c>
      <c r="AI65" s="19">
        <f>IF(AND(DCF!$C$46=1,AI$3&gt;i_conc_end),i_renew_fee,i_W_fee)*AI62</f>
        <v/>
      </c>
    </row>
    <row r="66">
      <c r="B66" s="2" t="inlineStr">
        <is>
          <t xml:space="preserve">  Operating cost</t>
        </is>
      </c>
      <c r="D66" s="19">
        <f>D63+D64+D65</f>
        <v/>
      </c>
      <c r="E66" s="19">
        <f>E63+E64+E65</f>
        <v/>
      </c>
      <c r="F66" s="19">
        <f>F63+F64+F65</f>
        <v/>
      </c>
      <c r="G66" s="19">
        <f>G63+G64+G65</f>
        <v/>
      </c>
      <c r="H66" s="19">
        <f>H63+H64+H65</f>
        <v/>
      </c>
      <c r="I66" s="19">
        <f>I63+I64+I65</f>
        <v/>
      </c>
      <c r="J66" s="19">
        <f>J63+J64+J65</f>
        <v/>
      </c>
      <c r="K66" s="19">
        <f>K63+K64+K65</f>
        <v/>
      </c>
      <c r="L66" s="19">
        <f>L63+L64+L65</f>
        <v/>
      </c>
      <c r="M66" s="19">
        <f>M63+M64+M65</f>
        <v/>
      </c>
      <c r="N66" s="19">
        <f>N63+N64+N65</f>
        <v/>
      </c>
      <c r="O66" s="19">
        <f>O63+O64+O65</f>
        <v/>
      </c>
      <c r="P66" s="19">
        <f>P63+P64+P65</f>
        <v/>
      </c>
      <c r="Q66" s="19">
        <f>Q63+Q64+Q65</f>
        <v/>
      </c>
      <c r="R66" s="19">
        <f>R63+R64+R65</f>
        <v/>
      </c>
      <c r="S66" s="19">
        <f>S63+S64+S65</f>
        <v/>
      </c>
      <c r="T66" s="19">
        <f>T63+T64+T65</f>
        <v/>
      </c>
      <c r="U66" s="19">
        <f>U63+U64+U65</f>
        <v/>
      </c>
      <c r="V66" s="19">
        <f>V63+V64+V65</f>
        <v/>
      </c>
      <c r="W66" s="19">
        <f>W63+W64+W65</f>
        <v/>
      </c>
      <c r="X66" s="19">
        <f>X63+X64+X65</f>
        <v/>
      </c>
      <c r="Y66" s="19">
        <f>Y63+Y64+Y65</f>
        <v/>
      </c>
      <c r="Z66" s="19">
        <f>Z63+Z64+Z65</f>
        <v/>
      </c>
      <c r="AA66" s="19">
        <f>AA63+AA64+AA65</f>
        <v/>
      </c>
      <c r="AB66" s="19">
        <f>AB63+AB64+AB65</f>
        <v/>
      </c>
      <c r="AC66" s="19">
        <f>AC63+AC64+AC65</f>
        <v/>
      </c>
      <c r="AD66" s="19">
        <f>AD63+AD64+AD65</f>
        <v/>
      </c>
      <c r="AE66" s="19">
        <f>AE63+AE64+AE65</f>
        <v/>
      </c>
      <c r="AF66" s="19">
        <f>AF63+AF64+AF65</f>
        <v/>
      </c>
      <c r="AG66" s="19">
        <f>AG63+AG64+AG65</f>
        <v/>
      </c>
      <c r="AH66" s="19">
        <f>AH63+AH64+AH65</f>
        <v/>
      </c>
      <c r="AI66" s="19">
        <f>AI63+AI64+AI65</f>
        <v/>
      </c>
    </row>
    <row r="67">
      <c r="B67" s="3" t="inlineStr">
        <is>
          <t xml:space="preserve">  EBITDA</t>
        </is>
      </c>
      <c r="D67" s="31">
        <f>D62-D66</f>
        <v/>
      </c>
      <c r="E67" s="31">
        <f>E62-E66</f>
        <v/>
      </c>
      <c r="F67" s="31">
        <f>F62-F66</f>
        <v/>
      </c>
      <c r="G67" s="31">
        <f>G62-G66</f>
        <v/>
      </c>
      <c r="H67" s="31">
        <f>H62-H66</f>
        <v/>
      </c>
      <c r="I67" s="31">
        <f>I62-I66</f>
        <v/>
      </c>
      <c r="J67" s="31">
        <f>J62-J66</f>
        <v/>
      </c>
      <c r="K67" s="31">
        <f>K62-K66</f>
        <v/>
      </c>
      <c r="L67" s="31">
        <f>L62-L66</f>
        <v/>
      </c>
      <c r="M67" s="31">
        <f>M62-M66</f>
        <v/>
      </c>
      <c r="N67" s="31">
        <f>N62-N66</f>
        <v/>
      </c>
      <c r="O67" s="31">
        <f>O62-O66</f>
        <v/>
      </c>
      <c r="P67" s="31">
        <f>P62-P66</f>
        <v/>
      </c>
      <c r="Q67" s="31">
        <f>Q62-Q66</f>
        <v/>
      </c>
      <c r="R67" s="31">
        <f>R62-R66</f>
        <v/>
      </c>
      <c r="S67" s="31">
        <f>S62-S66</f>
        <v/>
      </c>
      <c r="T67" s="31">
        <f>T62-T66</f>
        <v/>
      </c>
      <c r="U67" s="31">
        <f>U62-U66</f>
        <v/>
      </c>
      <c r="V67" s="31">
        <f>V62-V66</f>
        <v/>
      </c>
      <c r="W67" s="31">
        <f>W62-W66</f>
        <v/>
      </c>
      <c r="X67" s="31">
        <f>X62-X66</f>
        <v/>
      </c>
      <c r="Y67" s="31">
        <f>Y62-Y66</f>
        <v/>
      </c>
      <c r="Z67" s="31">
        <f>Z62-Z66</f>
        <v/>
      </c>
      <c r="AA67" s="31">
        <f>AA62-AA66</f>
        <v/>
      </c>
      <c r="AB67" s="31">
        <f>AB62-AB66</f>
        <v/>
      </c>
      <c r="AC67" s="31">
        <f>AC62-AC66</f>
        <v/>
      </c>
      <c r="AD67" s="31">
        <f>AD62-AD66</f>
        <v/>
      </c>
      <c r="AE67" s="31">
        <f>AE62-AE66</f>
        <v/>
      </c>
      <c r="AF67" s="31">
        <f>AF62-AF66</f>
        <v/>
      </c>
      <c r="AG67" s="31">
        <f>AG62-AG66</f>
        <v/>
      </c>
      <c r="AH67" s="31">
        <f>AH62-AH66</f>
        <v/>
      </c>
      <c r="AI67" s="31">
        <f>AI62-AI66</f>
        <v/>
      </c>
    </row>
    <row r="68">
      <c r="B68" s="2" t="inlineStr">
        <is>
          <t xml:space="preserve">  Maintenance capex (with jetty 3)</t>
        </is>
      </c>
      <c r="D68" s="19">
        <f>D53*i_W_mc*D49+D52*DCF!$C$41*SUMIF(i_jetty_years,D$3,i_jetty_vals)*D49</f>
        <v/>
      </c>
      <c r="E68" s="19">
        <f>E53*i_W_mc*E49+E52*DCF!$C$41*SUMIF(i_jetty_years,E$3,i_jetty_vals)*E49</f>
        <v/>
      </c>
      <c r="F68" s="19">
        <f>F53*i_W_mc*F49+F52*DCF!$C$41*SUMIF(i_jetty_years,F$3,i_jetty_vals)*F49</f>
        <v/>
      </c>
      <c r="G68" s="19">
        <f>G53*i_W_mc*G49+G52*DCF!$C$41*SUMIF(i_jetty_years,G$3,i_jetty_vals)*G49</f>
        <v/>
      </c>
      <c r="H68" s="19">
        <f>H53*i_W_mc*H49+H52*DCF!$C$41*SUMIF(i_jetty_years,H$3,i_jetty_vals)*H49</f>
        <v/>
      </c>
      <c r="I68" s="19">
        <f>I53*i_W_mc*I49+I52*DCF!$C$41*SUMIF(i_jetty_years,I$3,i_jetty_vals)*I49</f>
        <v/>
      </c>
      <c r="J68" s="19">
        <f>J53*i_W_mc*J49+J52*DCF!$C$41*SUMIF(i_jetty_years,J$3,i_jetty_vals)*J49</f>
        <v/>
      </c>
      <c r="K68" s="19">
        <f>K53*i_W_mc*K49+K52*DCF!$C$41*SUMIF(i_jetty_years,K$3,i_jetty_vals)*K49</f>
        <v/>
      </c>
      <c r="L68" s="19">
        <f>L53*i_W_mc*L49+L52*DCF!$C$41*SUMIF(i_jetty_years,L$3,i_jetty_vals)*L49</f>
        <v/>
      </c>
      <c r="M68" s="19">
        <f>M53*i_W_mc*M49+M52*DCF!$C$41*SUMIF(i_jetty_years,M$3,i_jetty_vals)*M49</f>
        <v/>
      </c>
      <c r="N68" s="19">
        <f>N53*i_W_mc*N49+N52*DCF!$C$41*SUMIF(i_jetty_years,N$3,i_jetty_vals)*N49</f>
        <v/>
      </c>
      <c r="O68" s="19">
        <f>O53*i_W_mc*O49+O52*DCF!$C$41*SUMIF(i_jetty_years,O$3,i_jetty_vals)*O49</f>
        <v/>
      </c>
      <c r="P68" s="19">
        <f>P53*i_W_mc*P49+P52*DCF!$C$41*SUMIF(i_jetty_years,P$3,i_jetty_vals)*P49</f>
        <v/>
      </c>
      <c r="Q68" s="19">
        <f>Q53*i_W_mc*Q49+Q52*DCF!$C$41*SUMIF(i_jetty_years,Q$3,i_jetty_vals)*Q49</f>
        <v/>
      </c>
      <c r="R68" s="19">
        <f>R53*i_W_mc*R49+R52*DCF!$C$41*SUMIF(i_jetty_years,R$3,i_jetty_vals)*R49</f>
        <v/>
      </c>
      <c r="S68" s="19">
        <f>S53*i_W_mc*S49+S52*DCF!$C$41*SUMIF(i_jetty_years,S$3,i_jetty_vals)*S49</f>
        <v/>
      </c>
      <c r="T68" s="19">
        <f>T53*i_W_mc*T49+T52*DCF!$C$41*SUMIF(i_jetty_years,T$3,i_jetty_vals)*T49</f>
        <v/>
      </c>
      <c r="U68" s="19">
        <f>U53*i_W_mc*U49+U52*DCF!$C$41*SUMIF(i_jetty_years,U$3,i_jetty_vals)*U49</f>
        <v/>
      </c>
      <c r="V68" s="19">
        <f>V53*i_W_mc*V49+V52*DCF!$C$41*SUMIF(i_jetty_years,V$3,i_jetty_vals)*V49</f>
        <v/>
      </c>
      <c r="W68" s="19">
        <f>W53*i_W_mc*W49+W52*DCF!$C$41*SUMIF(i_jetty_years,W$3,i_jetty_vals)*W49</f>
        <v/>
      </c>
      <c r="X68" s="19">
        <f>X53*i_W_mc*X49+X52*DCF!$C$41*SUMIF(i_jetty_years,X$3,i_jetty_vals)*X49</f>
        <v/>
      </c>
      <c r="Y68" s="19">
        <f>Y53*i_W_mc*Y49+Y52*DCF!$C$41*SUMIF(i_jetty_years,Y$3,i_jetty_vals)*Y49</f>
        <v/>
      </c>
      <c r="Z68" s="19">
        <f>Z53*i_W_mc*Z49+Z52*DCF!$C$41*SUMIF(i_jetty_years,Z$3,i_jetty_vals)*Z49</f>
        <v/>
      </c>
      <c r="AA68" s="19">
        <f>AA53*i_W_mc*AA49+AA52*DCF!$C$41*SUMIF(i_jetty_years,AA$3,i_jetty_vals)*AA49</f>
        <v/>
      </c>
      <c r="AB68" s="19">
        <f>AB53*i_W_mc*AB49+AB52*DCF!$C$41*SUMIF(i_jetty_years,AB$3,i_jetty_vals)*AB49</f>
        <v/>
      </c>
      <c r="AC68" s="19">
        <f>AC53*i_W_mc*AC49+AC52*DCF!$C$41*SUMIF(i_jetty_years,AC$3,i_jetty_vals)*AC49</f>
        <v/>
      </c>
      <c r="AD68" s="19">
        <f>AD53*i_W_mc*AD49+AD52*DCF!$C$41*SUMIF(i_jetty_years,AD$3,i_jetty_vals)*AD49</f>
        <v/>
      </c>
      <c r="AE68" s="19">
        <f>AE53*i_W_mc*AE49+AE52*DCF!$C$41*SUMIF(i_jetty_years,AE$3,i_jetty_vals)*AE49</f>
        <v/>
      </c>
      <c r="AF68" s="19">
        <f>AF53*i_W_mc*AF49+AF52*DCF!$C$41*SUMIF(i_jetty_years,AF$3,i_jetty_vals)*AF49</f>
        <v/>
      </c>
      <c r="AG68" s="19">
        <f>AG53*i_W_mc*AG49+AG52*DCF!$C$41*SUMIF(i_jetty_years,AG$3,i_jetty_vals)*AG49</f>
        <v/>
      </c>
      <c r="AH68" s="19">
        <f>AH53*i_W_mc*AH49+AH52*DCF!$C$41*SUMIF(i_jetty_years,AH$3,i_jetty_vals)*AH49</f>
        <v/>
      </c>
      <c r="AI68" s="19">
        <f>AI53*i_W_mc*AI49+AI52*DCF!$C$41*SUMIF(i_jetty_years,AI$3,i_jetty_vals)*AI49</f>
        <v/>
      </c>
    </row>
    <row r="69">
      <c r="B69" s="3" t="inlineStr">
        <is>
          <t>Rhine Inland</t>
        </is>
      </c>
    </row>
    <row r="70">
      <c r="B70" s="2" t="inlineStr">
        <is>
          <t xml:space="preserve">  Capacity in service (million m3)</t>
        </is>
      </c>
      <c r="D70" s="24">
        <f>i_R_cap</f>
        <v/>
      </c>
      <c r="E70" s="24">
        <f>i_R_cap</f>
        <v/>
      </c>
      <c r="F70" s="24">
        <f>i_R_cap</f>
        <v/>
      </c>
      <c r="G70" s="24">
        <f>i_R_cap</f>
        <v/>
      </c>
      <c r="H70" s="24">
        <f>i_R_cap</f>
        <v/>
      </c>
      <c r="I70" s="24">
        <f>i_R_cap</f>
        <v/>
      </c>
      <c r="J70" s="24">
        <f>i_R_cap</f>
        <v/>
      </c>
      <c r="K70" s="24">
        <f>i_R_cap</f>
        <v/>
      </c>
      <c r="L70" s="24">
        <f>i_R_cap</f>
        <v/>
      </c>
      <c r="M70" s="24">
        <f>i_R_cap</f>
        <v/>
      </c>
      <c r="N70" s="24">
        <f>i_R_cap</f>
        <v/>
      </c>
      <c r="O70" s="24">
        <f>i_R_cap</f>
        <v/>
      </c>
      <c r="P70" s="24">
        <f>i_R_cap</f>
        <v/>
      </c>
      <c r="Q70" s="24">
        <f>i_R_cap</f>
        <v/>
      </c>
      <c r="R70" s="24">
        <f>i_R_cap</f>
        <v/>
      </c>
      <c r="S70" s="24">
        <f>i_R_cap</f>
        <v/>
      </c>
      <c r="T70" s="24">
        <f>i_R_cap</f>
        <v/>
      </c>
      <c r="U70" s="24">
        <f>i_R_cap</f>
        <v/>
      </c>
      <c r="V70" s="24">
        <f>i_R_cap</f>
        <v/>
      </c>
      <c r="W70" s="24">
        <f>i_R_cap</f>
        <v/>
      </c>
      <c r="X70" s="24">
        <f>i_R_cap</f>
        <v/>
      </c>
      <c r="Y70" s="24">
        <f>i_R_cap</f>
        <v/>
      </c>
      <c r="Z70" s="24">
        <f>i_R_cap</f>
        <v/>
      </c>
      <c r="AA70" s="24">
        <f>i_R_cap</f>
        <v/>
      </c>
      <c r="AB70" s="24">
        <f>i_R_cap</f>
        <v/>
      </c>
      <c r="AC70" s="24">
        <f>i_R_cap</f>
        <v/>
      </c>
      <c r="AD70" s="24">
        <f>i_R_cap</f>
        <v/>
      </c>
      <c r="AE70" s="24">
        <f>i_R_cap</f>
        <v/>
      </c>
      <c r="AF70" s="24">
        <f>i_R_cap</f>
        <v/>
      </c>
      <c r="AG70" s="24">
        <f>i_R_cap</f>
        <v/>
      </c>
      <c r="AH70" s="24">
        <f>i_R_cap</f>
        <v/>
      </c>
      <c r="AI70" s="24">
        <f>i_R_cap</f>
        <v/>
      </c>
    </row>
    <row r="71">
      <c r="B71" s="2" t="inlineStr">
        <is>
          <t xml:space="preserve">  Share on contracts signed before 2027</t>
        </is>
      </c>
      <c r="D71" s="21">
        <f>SUMIF(i_book_years,D$3,i_R_book)</f>
        <v/>
      </c>
      <c r="E71" s="21">
        <f>SUMIF(i_book_years,E$3,i_R_book)</f>
        <v/>
      </c>
      <c r="F71" s="21">
        <f>SUMIF(i_book_years,F$3,i_R_book)</f>
        <v/>
      </c>
      <c r="G71" s="21">
        <f>SUMIF(i_book_years,G$3,i_R_book)</f>
        <v/>
      </c>
      <c r="H71" s="21">
        <f>SUMIF(i_book_years,H$3,i_R_book)</f>
        <v/>
      </c>
      <c r="I71" s="21">
        <f>SUMIF(i_book_years,I$3,i_R_book)</f>
        <v/>
      </c>
      <c r="J71" s="21">
        <f>SUMIF(i_book_years,J$3,i_R_book)</f>
        <v/>
      </c>
      <c r="K71" s="21">
        <f>SUMIF(i_book_years,K$3,i_R_book)</f>
        <v/>
      </c>
      <c r="L71" s="21">
        <f>SUMIF(i_book_years,L$3,i_R_book)</f>
        <v/>
      </c>
      <c r="M71" s="21">
        <f>SUMIF(i_book_years,M$3,i_R_book)</f>
        <v/>
      </c>
      <c r="N71" s="21">
        <f>SUMIF(i_book_years,N$3,i_R_book)</f>
        <v/>
      </c>
      <c r="O71" s="21">
        <f>SUMIF(i_book_years,O$3,i_R_book)</f>
        <v/>
      </c>
      <c r="P71" s="21">
        <f>SUMIF(i_book_years,P$3,i_R_book)</f>
        <v/>
      </c>
      <c r="Q71" s="21">
        <f>SUMIF(i_book_years,Q$3,i_R_book)</f>
        <v/>
      </c>
      <c r="R71" s="21">
        <f>SUMIF(i_book_years,R$3,i_R_book)</f>
        <v/>
      </c>
      <c r="S71" s="21">
        <f>SUMIF(i_book_years,S$3,i_R_book)</f>
        <v/>
      </c>
      <c r="T71" s="21">
        <f>SUMIF(i_book_years,T$3,i_R_book)</f>
        <v/>
      </c>
      <c r="U71" s="21">
        <f>SUMIF(i_book_years,U$3,i_R_book)</f>
        <v/>
      </c>
      <c r="V71" s="21">
        <f>SUMIF(i_book_years,V$3,i_R_book)</f>
        <v/>
      </c>
      <c r="W71" s="21">
        <f>SUMIF(i_book_years,W$3,i_R_book)</f>
        <v/>
      </c>
      <c r="X71" s="21">
        <f>SUMIF(i_book_years,X$3,i_R_book)</f>
        <v/>
      </c>
      <c r="Y71" s="21">
        <f>SUMIF(i_book_years,Y$3,i_R_book)</f>
        <v/>
      </c>
      <c r="Z71" s="21">
        <f>SUMIF(i_book_years,Z$3,i_R_book)</f>
        <v/>
      </c>
      <c r="AA71" s="21">
        <f>SUMIF(i_book_years,AA$3,i_R_book)</f>
        <v/>
      </c>
      <c r="AB71" s="21">
        <f>SUMIF(i_book_years,AB$3,i_R_book)</f>
        <v/>
      </c>
      <c r="AC71" s="21">
        <f>SUMIF(i_book_years,AC$3,i_R_book)</f>
        <v/>
      </c>
      <c r="AD71" s="21">
        <f>SUMIF(i_book_years,AD$3,i_R_book)</f>
        <v/>
      </c>
      <c r="AE71" s="21">
        <f>SUMIF(i_book_years,AE$3,i_R_book)</f>
        <v/>
      </c>
      <c r="AF71" s="21">
        <f>SUMIF(i_book_years,AF$3,i_R_book)</f>
        <v/>
      </c>
      <c r="AG71" s="21">
        <f>SUMIF(i_book_years,AG$3,i_R_book)</f>
        <v/>
      </c>
      <c r="AH71" s="21">
        <f>SUMIF(i_book_years,AH$3,i_R_book)</f>
        <v/>
      </c>
      <c r="AI71" s="21">
        <f>SUMIF(i_book_years,AI$3,i_R_book)</f>
        <v/>
      </c>
    </row>
    <row r="72">
      <c r="B72" s="2" t="inlineStr">
        <is>
          <t xml:space="preserve">  Recontracting factor against current rates</t>
        </is>
      </c>
      <c r="D72" s="21">
        <f>IF(D$4=0,0,IF(DCF!$C$39=1,i_R_mtm,i_R_mtm_plan)+DCF!$C$45)</f>
        <v/>
      </c>
      <c r="E72" s="21">
        <f>IF(E$4=0,0,IF(DCF!$C$39=1,i_R_mtm,i_R_mtm_plan)+DCF!$C$45)</f>
        <v/>
      </c>
      <c r="F72" s="21">
        <f>IF(F$4=0,0,IF(DCF!$C$39=1,i_R_mtm,i_R_mtm_plan)+DCF!$C$45)</f>
        <v/>
      </c>
      <c r="G72" s="21">
        <f>IF(G$4=0,0,IF(DCF!$C$39=1,i_R_mtm,i_R_mtm_plan)+DCF!$C$45)</f>
        <v/>
      </c>
      <c r="H72" s="21">
        <f>IF(H$4=0,0,IF(DCF!$C$39=1,i_R_mtm,i_R_mtm_plan)+DCF!$C$45)</f>
        <v/>
      </c>
      <c r="I72" s="21">
        <f>IF(I$4=0,0,IF(DCF!$C$39=1,i_R_mtm,i_R_mtm_plan)+DCF!$C$45)</f>
        <v/>
      </c>
      <c r="J72" s="21">
        <f>IF(J$4=0,0,IF(DCF!$C$39=1,i_R_mtm,i_R_mtm_plan)+DCF!$C$45)</f>
        <v/>
      </c>
      <c r="K72" s="21">
        <f>IF(K$4=0,0,IF(DCF!$C$39=1,i_R_mtm,i_R_mtm_plan)+DCF!$C$45)</f>
        <v/>
      </c>
      <c r="L72" s="21">
        <f>IF(L$4=0,0,IF(DCF!$C$39=1,i_R_mtm,i_R_mtm_plan)+DCF!$C$45)</f>
        <v/>
      </c>
      <c r="M72" s="21">
        <f>IF(M$4=0,0,IF(DCF!$C$39=1,i_R_mtm,i_R_mtm_plan)+DCF!$C$45)</f>
        <v/>
      </c>
      <c r="N72" s="21">
        <f>IF(N$4=0,0,IF(DCF!$C$39=1,i_R_mtm,i_R_mtm_plan)+DCF!$C$45)</f>
        <v/>
      </c>
      <c r="O72" s="21">
        <f>IF(O$4=0,0,IF(DCF!$C$39=1,i_R_mtm,i_R_mtm_plan)+DCF!$C$45)</f>
        <v/>
      </c>
      <c r="P72" s="21">
        <f>IF(P$4=0,0,IF(DCF!$C$39=1,i_R_mtm,i_R_mtm_plan)+DCF!$C$45)</f>
        <v/>
      </c>
      <c r="Q72" s="21">
        <f>IF(Q$4=0,0,IF(DCF!$C$39=1,i_R_mtm,i_R_mtm_plan)+DCF!$C$45)</f>
        <v/>
      </c>
      <c r="R72" s="21">
        <f>IF(R$4=0,0,IF(DCF!$C$39=1,i_R_mtm,i_R_mtm_plan)+DCF!$C$45)</f>
        <v/>
      </c>
      <c r="S72" s="21">
        <f>IF(S$4=0,0,IF(DCF!$C$39=1,i_R_mtm,i_R_mtm_plan)+DCF!$C$45)</f>
        <v/>
      </c>
      <c r="T72" s="21">
        <f>IF(T$4=0,0,IF(DCF!$C$39=1,i_R_mtm,i_R_mtm_plan)+DCF!$C$45)</f>
        <v/>
      </c>
      <c r="U72" s="21">
        <f>IF(U$4=0,0,IF(DCF!$C$39=1,i_R_mtm,i_R_mtm_plan)+DCF!$C$45)</f>
        <v/>
      </c>
      <c r="V72" s="21">
        <f>IF(V$4=0,0,IF(DCF!$C$39=1,i_R_mtm,i_R_mtm_plan)+DCF!$C$45)</f>
        <v/>
      </c>
      <c r="W72" s="21">
        <f>IF(W$4=0,0,IF(DCF!$C$39=1,i_R_mtm,i_R_mtm_plan)+DCF!$C$45)</f>
        <v/>
      </c>
      <c r="X72" s="21">
        <f>IF(X$4=0,0,IF(DCF!$C$39=1,i_R_mtm,i_R_mtm_plan)+DCF!$C$45)</f>
        <v/>
      </c>
      <c r="Y72" s="21">
        <f>IF(Y$4=0,0,IF(DCF!$C$39=1,i_R_mtm,i_R_mtm_plan)+DCF!$C$45)</f>
        <v/>
      </c>
      <c r="Z72" s="21">
        <f>IF(Z$4=0,0,IF(DCF!$C$39=1,i_R_mtm,i_R_mtm_plan)+DCF!$C$45)</f>
        <v/>
      </c>
      <c r="AA72" s="21">
        <f>IF(AA$4=0,0,IF(DCF!$C$39=1,i_R_mtm,i_R_mtm_plan)+DCF!$C$45)</f>
        <v/>
      </c>
      <c r="AB72" s="21">
        <f>IF(AB$4=0,0,IF(DCF!$C$39=1,i_R_mtm,i_R_mtm_plan)+DCF!$C$45)</f>
        <v/>
      </c>
      <c r="AC72" s="21">
        <f>IF(AC$4=0,0,IF(DCF!$C$39=1,i_R_mtm,i_R_mtm_plan)+DCF!$C$45)</f>
        <v/>
      </c>
      <c r="AD72" s="21">
        <f>IF(AD$4=0,0,IF(DCF!$C$39=1,i_R_mtm,i_R_mtm_plan)+DCF!$C$45)</f>
        <v/>
      </c>
      <c r="AE72" s="21">
        <f>IF(AE$4=0,0,IF(DCF!$C$39=1,i_R_mtm,i_R_mtm_plan)+DCF!$C$45)</f>
        <v/>
      </c>
      <c r="AF72" s="21">
        <f>IF(AF$4=0,0,IF(DCF!$C$39=1,i_R_mtm,i_R_mtm_plan)+DCF!$C$45)</f>
        <v/>
      </c>
      <c r="AG72" s="21">
        <f>IF(AG$4=0,0,IF(DCF!$C$39=1,i_R_mtm,i_R_mtm_plan)+DCF!$C$45)</f>
        <v/>
      </c>
      <c r="AH72" s="21">
        <f>IF(AH$4=0,0,IF(DCF!$C$39=1,i_R_mtm,i_R_mtm_plan)+DCF!$C$45)</f>
        <v/>
      </c>
      <c r="AI72" s="21">
        <f>IF(AI$4=0,0,IF(DCF!$C$39=1,i_R_mtm,i_R_mtm_plan)+DCF!$C$45)</f>
        <v/>
      </c>
    </row>
    <row r="73">
      <c r="B73" s="2" t="inlineStr">
        <is>
          <t xml:space="preserve">  Average rate ($ per m3 per month)</t>
        </is>
      </c>
      <c r="D73" s="24">
        <f>i_R_rate*D50*(D71+(1-D71)*(1+D72))</f>
        <v/>
      </c>
      <c r="E73" s="24">
        <f>i_R_rate*E50*(E71+(1-E71)*(1+E72))</f>
        <v/>
      </c>
      <c r="F73" s="24">
        <f>i_R_rate*F50*(F71+(1-F71)*(1+F72))</f>
        <v/>
      </c>
      <c r="G73" s="24">
        <f>i_R_rate*G50*(G71+(1-G71)*(1+G72))</f>
        <v/>
      </c>
      <c r="H73" s="24">
        <f>i_R_rate*H50*(H71+(1-H71)*(1+H72))</f>
        <v/>
      </c>
      <c r="I73" s="24">
        <f>i_R_rate*I50*(I71+(1-I71)*(1+I72))</f>
        <v/>
      </c>
      <c r="J73" s="24">
        <f>i_R_rate*J50*(J71+(1-J71)*(1+J72))</f>
        <v/>
      </c>
      <c r="K73" s="24">
        <f>i_R_rate*K50*(K71+(1-K71)*(1+K72))</f>
        <v/>
      </c>
      <c r="L73" s="24">
        <f>i_R_rate*L50*(L71+(1-L71)*(1+L72))</f>
        <v/>
      </c>
      <c r="M73" s="24">
        <f>i_R_rate*M50*(M71+(1-M71)*(1+M72))</f>
        <v/>
      </c>
      <c r="N73" s="24">
        <f>i_R_rate*N50*(N71+(1-N71)*(1+N72))</f>
        <v/>
      </c>
      <c r="O73" s="24">
        <f>i_R_rate*O50*(O71+(1-O71)*(1+O72))</f>
        <v/>
      </c>
      <c r="P73" s="24">
        <f>i_R_rate*P50*(P71+(1-P71)*(1+P72))</f>
        <v/>
      </c>
      <c r="Q73" s="24">
        <f>i_R_rate*Q50*(Q71+(1-Q71)*(1+Q72))</f>
        <v/>
      </c>
      <c r="R73" s="24">
        <f>i_R_rate*R50*(R71+(1-R71)*(1+R72))</f>
        <v/>
      </c>
      <c r="S73" s="24">
        <f>i_R_rate*S50*(S71+(1-S71)*(1+S72))</f>
        <v/>
      </c>
      <c r="T73" s="24">
        <f>i_R_rate*T50*(T71+(1-T71)*(1+T72))</f>
        <v/>
      </c>
      <c r="U73" s="24">
        <f>i_R_rate*U50*(U71+(1-U71)*(1+U72))</f>
        <v/>
      </c>
      <c r="V73" s="24">
        <f>i_R_rate*V50*(V71+(1-V71)*(1+V72))</f>
        <v/>
      </c>
      <c r="W73" s="24">
        <f>i_R_rate*W50*(W71+(1-W71)*(1+W72))</f>
        <v/>
      </c>
      <c r="X73" s="24">
        <f>i_R_rate*X50*(X71+(1-X71)*(1+X72))</f>
        <v/>
      </c>
      <c r="Y73" s="24">
        <f>i_R_rate*Y50*(Y71+(1-Y71)*(1+Y72))</f>
        <v/>
      </c>
      <c r="Z73" s="24">
        <f>i_R_rate*Z50*(Z71+(1-Z71)*(1+Z72))</f>
        <v/>
      </c>
      <c r="AA73" s="24">
        <f>i_R_rate*AA50*(AA71+(1-AA71)*(1+AA72))</f>
        <v/>
      </c>
      <c r="AB73" s="24">
        <f>i_R_rate*AB50*(AB71+(1-AB71)*(1+AB72))</f>
        <v/>
      </c>
      <c r="AC73" s="24">
        <f>i_R_rate*AC50*(AC71+(1-AC71)*(1+AC72))</f>
        <v/>
      </c>
      <c r="AD73" s="24">
        <f>i_R_rate*AD50*(AD71+(1-AD71)*(1+AD72))</f>
        <v/>
      </c>
      <c r="AE73" s="24">
        <f>i_R_rate*AE50*(AE71+(1-AE71)*(1+AE72))</f>
        <v/>
      </c>
      <c r="AF73" s="24">
        <f>i_R_rate*AF50*(AF71+(1-AF71)*(1+AF72))</f>
        <v/>
      </c>
      <c r="AG73" s="24">
        <f>i_R_rate*AG50*(AG71+(1-AG71)*(1+AG72))</f>
        <v/>
      </c>
      <c r="AH73" s="24">
        <f>i_R_rate*AH50*(AH71+(1-AH71)*(1+AH72))</f>
        <v/>
      </c>
      <c r="AI73" s="24">
        <f>i_R_rate*AI50*(AI71+(1-AI71)*(1+AI72))</f>
        <v/>
      </c>
    </row>
    <row r="74">
      <c r="B74" s="2" t="inlineStr">
        <is>
          <t xml:space="preserve">  Occupancy after the transition decline and floor</t>
        </is>
      </c>
      <c r="D74" s="21">
        <f>IF(D$3&gt;i_trans_start,MAX(i_R_floor,i_R_occ-i_R_dec*(D$3-i_trans_start)),i_R_occ)</f>
        <v/>
      </c>
      <c r="E74" s="21">
        <f>IF(E$3&gt;i_trans_start,MAX(i_R_floor,i_R_occ-i_R_dec*(E$3-i_trans_start)),i_R_occ)</f>
        <v/>
      </c>
      <c r="F74" s="21">
        <f>IF(F$3&gt;i_trans_start,MAX(i_R_floor,i_R_occ-i_R_dec*(F$3-i_trans_start)),i_R_occ)</f>
        <v/>
      </c>
      <c r="G74" s="21">
        <f>IF(G$3&gt;i_trans_start,MAX(i_R_floor,i_R_occ-i_R_dec*(G$3-i_trans_start)),i_R_occ)</f>
        <v/>
      </c>
      <c r="H74" s="21">
        <f>IF(H$3&gt;i_trans_start,MAX(i_R_floor,i_R_occ-i_R_dec*(H$3-i_trans_start)),i_R_occ)</f>
        <v/>
      </c>
      <c r="I74" s="21">
        <f>IF(I$3&gt;i_trans_start,MAX(i_R_floor,i_R_occ-i_R_dec*(I$3-i_trans_start)),i_R_occ)</f>
        <v/>
      </c>
      <c r="J74" s="21">
        <f>IF(J$3&gt;i_trans_start,MAX(i_R_floor,i_R_occ-i_R_dec*(J$3-i_trans_start)),i_R_occ)</f>
        <v/>
      </c>
      <c r="K74" s="21">
        <f>IF(K$3&gt;i_trans_start,MAX(i_R_floor,i_R_occ-i_R_dec*(K$3-i_trans_start)),i_R_occ)</f>
        <v/>
      </c>
      <c r="L74" s="21">
        <f>IF(L$3&gt;i_trans_start,MAX(i_R_floor,i_R_occ-i_R_dec*(L$3-i_trans_start)),i_R_occ)</f>
        <v/>
      </c>
      <c r="M74" s="21">
        <f>IF(M$3&gt;i_trans_start,MAX(i_R_floor,i_R_occ-i_R_dec*(M$3-i_trans_start)),i_R_occ)</f>
        <v/>
      </c>
      <c r="N74" s="21">
        <f>IF(N$3&gt;i_trans_start,MAX(i_R_floor,i_R_occ-i_R_dec*(N$3-i_trans_start)),i_R_occ)</f>
        <v/>
      </c>
      <c r="O74" s="21">
        <f>IF(O$3&gt;i_trans_start,MAX(i_R_floor,i_R_occ-i_R_dec*(O$3-i_trans_start)),i_R_occ)</f>
        <v/>
      </c>
      <c r="P74" s="21">
        <f>IF(P$3&gt;i_trans_start,MAX(i_R_floor,i_R_occ-i_R_dec*(P$3-i_trans_start)),i_R_occ)</f>
        <v/>
      </c>
      <c r="Q74" s="21">
        <f>IF(Q$3&gt;i_trans_start,MAX(i_R_floor,i_R_occ-i_R_dec*(Q$3-i_trans_start)),i_R_occ)</f>
        <v/>
      </c>
      <c r="R74" s="21">
        <f>IF(R$3&gt;i_trans_start,MAX(i_R_floor,i_R_occ-i_R_dec*(R$3-i_trans_start)),i_R_occ)</f>
        <v/>
      </c>
      <c r="S74" s="21">
        <f>IF(S$3&gt;i_trans_start,MAX(i_R_floor,i_R_occ-i_R_dec*(S$3-i_trans_start)),i_R_occ)</f>
        <v/>
      </c>
      <c r="T74" s="21">
        <f>IF(T$3&gt;i_trans_start,MAX(i_R_floor,i_R_occ-i_R_dec*(T$3-i_trans_start)),i_R_occ)</f>
        <v/>
      </c>
      <c r="U74" s="21">
        <f>IF(U$3&gt;i_trans_start,MAX(i_R_floor,i_R_occ-i_R_dec*(U$3-i_trans_start)),i_R_occ)</f>
        <v/>
      </c>
      <c r="V74" s="21">
        <f>IF(V$3&gt;i_trans_start,MAX(i_R_floor,i_R_occ-i_R_dec*(V$3-i_trans_start)),i_R_occ)</f>
        <v/>
      </c>
      <c r="W74" s="21">
        <f>IF(W$3&gt;i_trans_start,MAX(i_R_floor,i_R_occ-i_R_dec*(W$3-i_trans_start)),i_R_occ)</f>
        <v/>
      </c>
      <c r="X74" s="21">
        <f>IF(X$3&gt;i_trans_start,MAX(i_R_floor,i_R_occ-i_R_dec*(X$3-i_trans_start)),i_R_occ)</f>
        <v/>
      </c>
      <c r="Y74" s="21">
        <f>IF(Y$3&gt;i_trans_start,MAX(i_R_floor,i_R_occ-i_R_dec*(Y$3-i_trans_start)),i_R_occ)</f>
        <v/>
      </c>
      <c r="Z74" s="21">
        <f>IF(Z$3&gt;i_trans_start,MAX(i_R_floor,i_R_occ-i_R_dec*(Z$3-i_trans_start)),i_R_occ)</f>
        <v/>
      </c>
      <c r="AA74" s="21">
        <f>IF(AA$3&gt;i_trans_start,MAX(i_R_floor,i_R_occ-i_R_dec*(AA$3-i_trans_start)),i_R_occ)</f>
        <v/>
      </c>
      <c r="AB74" s="21">
        <f>IF(AB$3&gt;i_trans_start,MAX(i_R_floor,i_R_occ-i_R_dec*(AB$3-i_trans_start)),i_R_occ)</f>
        <v/>
      </c>
      <c r="AC74" s="21">
        <f>IF(AC$3&gt;i_trans_start,MAX(i_R_floor,i_R_occ-i_R_dec*(AC$3-i_trans_start)),i_R_occ)</f>
        <v/>
      </c>
      <c r="AD74" s="21">
        <f>IF(AD$3&gt;i_trans_start,MAX(i_R_floor,i_R_occ-i_R_dec*(AD$3-i_trans_start)),i_R_occ)</f>
        <v/>
      </c>
      <c r="AE74" s="21">
        <f>IF(AE$3&gt;i_trans_start,MAX(i_R_floor,i_R_occ-i_R_dec*(AE$3-i_trans_start)),i_R_occ)</f>
        <v/>
      </c>
      <c r="AF74" s="21">
        <f>IF(AF$3&gt;i_trans_start,MAX(i_R_floor,i_R_occ-i_R_dec*(AF$3-i_trans_start)),i_R_occ)</f>
        <v/>
      </c>
      <c r="AG74" s="21">
        <f>IF(AG$3&gt;i_trans_start,MAX(i_R_floor,i_R_occ-i_R_dec*(AG$3-i_trans_start)),i_R_occ)</f>
        <v/>
      </c>
      <c r="AH74" s="21">
        <f>IF(AH$3&gt;i_trans_start,MAX(i_R_floor,i_R_occ-i_R_dec*(AH$3-i_trans_start)),i_R_occ)</f>
        <v/>
      </c>
      <c r="AI74" s="21">
        <f>IF(AI$3&gt;i_trans_start,MAX(i_R_floor,i_R_occ-i_R_dec*(AI$3-i_trans_start)),i_R_occ)</f>
        <v/>
      </c>
    </row>
    <row r="75">
      <c r="B75" s="2" t="inlineStr">
        <is>
          <t xml:space="preserve">  Occupancy (with the shift switch from 2027)</t>
        </is>
      </c>
      <c r="D75" s="21">
        <f>IF(D$4&gt;0,MIN(1,D74+DCF!$C$44),D74)</f>
        <v/>
      </c>
      <c r="E75" s="21">
        <f>IF(E$4&gt;0,MIN(1,E74+DCF!$C$44),E74)</f>
        <v/>
      </c>
      <c r="F75" s="21">
        <f>IF(F$4&gt;0,MIN(1,F74+DCF!$C$44),F74)</f>
        <v/>
      </c>
      <c r="G75" s="21">
        <f>IF(G$4&gt;0,MIN(1,G74+DCF!$C$44),G74)</f>
        <v/>
      </c>
      <c r="H75" s="21">
        <f>IF(H$4&gt;0,MIN(1,H74+DCF!$C$44),H74)</f>
        <v/>
      </c>
      <c r="I75" s="21">
        <f>IF(I$4&gt;0,MIN(1,I74+DCF!$C$44),I74)</f>
        <v/>
      </c>
      <c r="J75" s="21">
        <f>IF(J$4&gt;0,MIN(1,J74+DCF!$C$44),J74)</f>
        <v/>
      </c>
      <c r="K75" s="21">
        <f>IF(K$4&gt;0,MIN(1,K74+DCF!$C$44),K74)</f>
        <v/>
      </c>
      <c r="L75" s="21">
        <f>IF(L$4&gt;0,MIN(1,L74+DCF!$C$44),L74)</f>
        <v/>
      </c>
      <c r="M75" s="21">
        <f>IF(M$4&gt;0,MIN(1,M74+DCF!$C$44),M74)</f>
        <v/>
      </c>
      <c r="N75" s="21">
        <f>IF(N$4&gt;0,MIN(1,N74+DCF!$C$44),N74)</f>
        <v/>
      </c>
      <c r="O75" s="21">
        <f>IF(O$4&gt;0,MIN(1,O74+DCF!$C$44),O74)</f>
        <v/>
      </c>
      <c r="P75" s="21">
        <f>IF(P$4&gt;0,MIN(1,P74+DCF!$C$44),P74)</f>
        <v/>
      </c>
      <c r="Q75" s="21">
        <f>IF(Q$4&gt;0,MIN(1,Q74+DCF!$C$44),Q74)</f>
        <v/>
      </c>
      <c r="R75" s="21">
        <f>IF(R$4&gt;0,MIN(1,R74+DCF!$C$44),R74)</f>
        <v/>
      </c>
      <c r="S75" s="21">
        <f>IF(S$4&gt;0,MIN(1,S74+DCF!$C$44),S74)</f>
        <v/>
      </c>
      <c r="T75" s="21">
        <f>IF(T$4&gt;0,MIN(1,T74+DCF!$C$44),T74)</f>
        <v/>
      </c>
      <c r="U75" s="21">
        <f>IF(U$4&gt;0,MIN(1,U74+DCF!$C$44),U74)</f>
        <v/>
      </c>
      <c r="V75" s="21">
        <f>IF(V$4&gt;0,MIN(1,V74+DCF!$C$44),V74)</f>
        <v/>
      </c>
      <c r="W75" s="21">
        <f>IF(W$4&gt;0,MIN(1,W74+DCF!$C$44),W74)</f>
        <v/>
      </c>
      <c r="X75" s="21">
        <f>IF(X$4&gt;0,MIN(1,X74+DCF!$C$44),X74)</f>
        <v/>
      </c>
      <c r="Y75" s="21">
        <f>IF(Y$4&gt;0,MIN(1,Y74+DCF!$C$44),Y74)</f>
        <v/>
      </c>
      <c r="Z75" s="21">
        <f>IF(Z$4&gt;0,MIN(1,Z74+DCF!$C$44),Z74)</f>
        <v/>
      </c>
      <c r="AA75" s="21">
        <f>IF(AA$4&gt;0,MIN(1,AA74+DCF!$C$44),AA74)</f>
        <v/>
      </c>
      <c r="AB75" s="21">
        <f>IF(AB$4&gt;0,MIN(1,AB74+DCF!$C$44),AB74)</f>
        <v/>
      </c>
      <c r="AC75" s="21">
        <f>IF(AC$4&gt;0,MIN(1,AC74+DCF!$C$44),AC74)</f>
        <v/>
      </c>
      <c r="AD75" s="21">
        <f>IF(AD$4&gt;0,MIN(1,AD74+DCF!$C$44),AD74)</f>
        <v/>
      </c>
      <c r="AE75" s="21">
        <f>IF(AE$4&gt;0,MIN(1,AE74+DCF!$C$44),AE74)</f>
        <v/>
      </c>
      <c r="AF75" s="21">
        <f>IF(AF$4&gt;0,MIN(1,AF74+DCF!$C$44),AF74)</f>
        <v/>
      </c>
      <c r="AG75" s="21">
        <f>IF(AG$4&gt;0,MIN(1,AG74+DCF!$C$44),AG74)</f>
        <v/>
      </c>
      <c r="AH75" s="21">
        <f>IF(AH$4&gt;0,MIN(1,AH74+DCF!$C$44),AH74)</f>
        <v/>
      </c>
      <c r="AI75" s="21">
        <f>IF(AI$4&gt;0,MIN(1,AI74+DCF!$C$44),AI74)</f>
        <v/>
      </c>
    </row>
    <row r="76">
      <c r="B76" s="2" t="inlineStr">
        <is>
          <t xml:space="preserve">  Storage revenue</t>
        </is>
      </c>
      <c r="D76" s="19">
        <f>D70*D73*12*D75</f>
        <v/>
      </c>
      <c r="E76" s="19">
        <f>E70*E73*12*E75</f>
        <v/>
      </c>
      <c r="F76" s="19">
        <f>F70*F73*12*F75</f>
        <v/>
      </c>
      <c r="G76" s="19">
        <f>G70*G73*12*G75</f>
        <v/>
      </c>
      <c r="H76" s="19">
        <f>H70*H73*12*H75</f>
        <v/>
      </c>
      <c r="I76" s="19">
        <f>I70*I73*12*I75</f>
        <v/>
      </c>
      <c r="J76" s="19">
        <f>J70*J73*12*J75</f>
        <v/>
      </c>
      <c r="K76" s="19">
        <f>K70*K73*12*K75</f>
        <v/>
      </c>
      <c r="L76" s="19">
        <f>L70*L73*12*L75</f>
        <v/>
      </c>
      <c r="M76" s="19">
        <f>M70*M73*12*M75</f>
        <v/>
      </c>
      <c r="N76" s="19">
        <f>N70*N73*12*N75</f>
        <v/>
      </c>
      <c r="O76" s="19">
        <f>O70*O73*12*O75</f>
        <v/>
      </c>
      <c r="P76" s="19">
        <f>P70*P73*12*P75</f>
        <v/>
      </c>
      <c r="Q76" s="19">
        <f>Q70*Q73*12*Q75</f>
        <v/>
      </c>
      <c r="R76" s="19">
        <f>R70*R73*12*R75</f>
        <v/>
      </c>
      <c r="S76" s="19">
        <f>S70*S73*12*S75</f>
        <v/>
      </c>
      <c r="T76" s="19">
        <f>T70*T73*12*T75</f>
        <v/>
      </c>
      <c r="U76" s="19">
        <f>U70*U73*12*U75</f>
        <v/>
      </c>
      <c r="V76" s="19">
        <f>V70*V73*12*V75</f>
        <v/>
      </c>
      <c r="W76" s="19">
        <f>W70*W73*12*W75</f>
        <v/>
      </c>
      <c r="X76" s="19">
        <f>X70*X73*12*X75</f>
        <v/>
      </c>
      <c r="Y76" s="19">
        <f>Y70*Y73*12*Y75</f>
        <v/>
      </c>
      <c r="Z76" s="19">
        <f>Z70*Z73*12*Z75</f>
        <v/>
      </c>
      <c r="AA76" s="19">
        <f>AA70*AA73*12*AA75</f>
        <v/>
      </c>
      <c r="AB76" s="19">
        <f>AB70*AB73*12*AB75</f>
        <v/>
      </c>
      <c r="AC76" s="19">
        <f>AC70*AC73*12*AC75</f>
        <v/>
      </c>
      <c r="AD76" s="19">
        <f>AD70*AD73*12*AD75</f>
        <v/>
      </c>
      <c r="AE76" s="19">
        <f>AE70*AE73*12*AE75</f>
        <v/>
      </c>
      <c r="AF76" s="19">
        <f>AF70*AF73*12*AF75</f>
        <v/>
      </c>
      <c r="AG76" s="19">
        <f>AG70*AG73*12*AG75</f>
        <v/>
      </c>
      <c r="AH76" s="19">
        <f>AH70*AH73*12*AH75</f>
        <v/>
      </c>
      <c r="AI76" s="19">
        <f>AI70*AI73*12*AI75</f>
        <v/>
      </c>
    </row>
    <row r="77">
      <c r="B77" s="2" t="inlineStr">
        <is>
          <t xml:space="preserve">  Ancillary and throughput revenue</t>
        </is>
      </c>
      <c r="D77" s="19">
        <f>D76*i_R_anc</f>
        <v/>
      </c>
      <c r="E77" s="19">
        <f>E76*i_R_anc</f>
        <v/>
      </c>
      <c r="F77" s="19">
        <f>F76*i_R_anc</f>
        <v/>
      </c>
      <c r="G77" s="19">
        <f>G76*i_R_anc</f>
        <v/>
      </c>
      <c r="H77" s="19">
        <f>H76*i_R_anc</f>
        <v/>
      </c>
      <c r="I77" s="19">
        <f>I76*i_R_anc</f>
        <v/>
      </c>
      <c r="J77" s="19">
        <f>J76*i_R_anc</f>
        <v/>
      </c>
      <c r="K77" s="19">
        <f>K76*i_R_anc</f>
        <v/>
      </c>
      <c r="L77" s="19">
        <f>L76*i_R_anc</f>
        <v/>
      </c>
      <c r="M77" s="19">
        <f>M76*i_R_anc</f>
        <v/>
      </c>
      <c r="N77" s="19">
        <f>N76*i_R_anc</f>
        <v/>
      </c>
      <c r="O77" s="19">
        <f>O76*i_R_anc</f>
        <v/>
      </c>
      <c r="P77" s="19">
        <f>P76*i_R_anc</f>
        <v/>
      </c>
      <c r="Q77" s="19">
        <f>Q76*i_R_anc</f>
        <v/>
      </c>
      <c r="R77" s="19">
        <f>R76*i_R_anc</f>
        <v/>
      </c>
      <c r="S77" s="19">
        <f>S76*i_R_anc</f>
        <v/>
      </c>
      <c r="T77" s="19">
        <f>T76*i_R_anc</f>
        <v/>
      </c>
      <c r="U77" s="19">
        <f>U76*i_R_anc</f>
        <v/>
      </c>
      <c r="V77" s="19">
        <f>V76*i_R_anc</f>
        <v/>
      </c>
      <c r="W77" s="19">
        <f>W76*i_R_anc</f>
        <v/>
      </c>
      <c r="X77" s="19">
        <f>X76*i_R_anc</f>
        <v/>
      </c>
      <c r="Y77" s="19">
        <f>Y76*i_R_anc</f>
        <v/>
      </c>
      <c r="Z77" s="19">
        <f>Z76*i_R_anc</f>
        <v/>
      </c>
      <c r="AA77" s="19">
        <f>AA76*i_R_anc</f>
        <v/>
      </c>
      <c r="AB77" s="19">
        <f>AB76*i_R_anc</f>
        <v/>
      </c>
      <c r="AC77" s="19">
        <f>AC76*i_R_anc</f>
        <v/>
      </c>
      <c r="AD77" s="19">
        <f>AD76*i_R_anc</f>
        <v/>
      </c>
      <c r="AE77" s="19">
        <f>AE76*i_R_anc</f>
        <v/>
      </c>
      <c r="AF77" s="19">
        <f>AF76*i_R_anc</f>
        <v/>
      </c>
      <c r="AG77" s="19">
        <f>AG76*i_R_anc</f>
        <v/>
      </c>
      <c r="AH77" s="19">
        <f>AH76*i_R_anc</f>
        <v/>
      </c>
      <c r="AI77" s="19">
        <f>AI76*i_R_anc</f>
        <v/>
      </c>
    </row>
    <row r="78">
      <c r="B78" s="3" t="inlineStr">
        <is>
          <t xml:space="preserve">  Revenue</t>
        </is>
      </c>
      <c r="D78" s="31">
        <f>D76+D77</f>
        <v/>
      </c>
      <c r="E78" s="31">
        <f>E76+E77</f>
        <v/>
      </c>
      <c r="F78" s="31">
        <f>F76+F77</f>
        <v/>
      </c>
      <c r="G78" s="31">
        <f>G76+G77</f>
        <v/>
      </c>
      <c r="H78" s="31">
        <f>H76+H77</f>
        <v/>
      </c>
      <c r="I78" s="31">
        <f>I76+I77</f>
        <v/>
      </c>
      <c r="J78" s="31">
        <f>J76+J77</f>
        <v/>
      </c>
      <c r="K78" s="31">
        <f>K76+K77</f>
        <v/>
      </c>
      <c r="L78" s="31">
        <f>L76+L77</f>
        <v/>
      </c>
      <c r="M78" s="31">
        <f>M76+M77</f>
        <v/>
      </c>
      <c r="N78" s="31">
        <f>N76+N77</f>
        <v/>
      </c>
      <c r="O78" s="31">
        <f>O76+O77</f>
        <v/>
      </c>
      <c r="P78" s="31">
        <f>P76+P77</f>
        <v/>
      </c>
      <c r="Q78" s="31">
        <f>Q76+Q77</f>
        <v/>
      </c>
      <c r="R78" s="31">
        <f>R76+R77</f>
        <v/>
      </c>
      <c r="S78" s="31">
        <f>S76+S77</f>
        <v/>
      </c>
      <c r="T78" s="31">
        <f>T76+T77</f>
        <v/>
      </c>
      <c r="U78" s="31">
        <f>U76+U77</f>
        <v/>
      </c>
      <c r="V78" s="31">
        <f>V76+V77</f>
        <v/>
      </c>
      <c r="W78" s="31">
        <f>W76+W77</f>
        <v/>
      </c>
      <c r="X78" s="31">
        <f>X76+X77</f>
        <v/>
      </c>
      <c r="Y78" s="31">
        <f>Y76+Y77</f>
        <v/>
      </c>
      <c r="Z78" s="31">
        <f>Z76+Z77</f>
        <v/>
      </c>
      <c r="AA78" s="31">
        <f>AA76+AA77</f>
        <v/>
      </c>
      <c r="AB78" s="31">
        <f>AB76+AB77</f>
        <v/>
      </c>
      <c r="AC78" s="31">
        <f>AC76+AC77</f>
        <v/>
      </c>
      <c r="AD78" s="31">
        <f>AD76+AD77</f>
        <v/>
      </c>
      <c r="AE78" s="31">
        <f>AE76+AE77</f>
        <v/>
      </c>
      <c r="AF78" s="31">
        <f>AF76+AF77</f>
        <v/>
      </c>
      <c r="AG78" s="31">
        <f>AG76+AG77</f>
        <v/>
      </c>
      <c r="AH78" s="31">
        <f>AH76+AH77</f>
        <v/>
      </c>
      <c r="AI78" s="31">
        <f>AI76+AI77</f>
        <v/>
      </c>
    </row>
    <row r="79">
      <c r="B79" s="2" t="inlineStr">
        <is>
          <t xml:space="preserve">  Fixed cost</t>
        </is>
      </c>
      <c r="D79" s="19">
        <f>D70*i_R_fix*D49</f>
        <v/>
      </c>
      <c r="E79" s="19">
        <f>E70*i_R_fix*E49</f>
        <v/>
      </c>
      <c r="F79" s="19">
        <f>F70*i_R_fix*F49</f>
        <v/>
      </c>
      <c r="G79" s="19">
        <f>G70*i_R_fix*G49</f>
        <v/>
      </c>
      <c r="H79" s="19">
        <f>H70*i_R_fix*H49</f>
        <v/>
      </c>
      <c r="I79" s="19">
        <f>I70*i_R_fix*I49</f>
        <v/>
      </c>
      <c r="J79" s="19">
        <f>J70*i_R_fix*J49</f>
        <v/>
      </c>
      <c r="K79" s="19">
        <f>K70*i_R_fix*K49</f>
        <v/>
      </c>
      <c r="L79" s="19">
        <f>L70*i_R_fix*L49</f>
        <v/>
      </c>
      <c r="M79" s="19">
        <f>M70*i_R_fix*M49</f>
        <v/>
      </c>
      <c r="N79" s="19">
        <f>N70*i_R_fix*N49</f>
        <v/>
      </c>
      <c r="O79" s="19">
        <f>O70*i_R_fix*O49</f>
        <v/>
      </c>
      <c r="P79" s="19">
        <f>P70*i_R_fix*P49</f>
        <v/>
      </c>
      <c r="Q79" s="19">
        <f>Q70*i_R_fix*Q49</f>
        <v/>
      </c>
      <c r="R79" s="19">
        <f>R70*i_R_fix*R49</f>
        <v/>
      </c>
      <c r="S79" s="19">
        <f>S70*i_R_fix*S49</f>
        <v/>
      </c>
      <c r="T79" s="19">
        <f>T70*i_R_fix*T49</f>
        <v/>
      </c>
      <c r="U79" s="19">
        <f>U70*i_R_fix*U49</f>
        <v/>
      </c>
      <c r="V79" s="19">
        <f>V70*i_R_fix*V49</f>
        <v/>
      </c>
      <c r="W79" s="19">
        <f>W70*i_R_fix*W49</f>
        <v/>
      </c>
      <c r="X79" s="19">
        <f>X70*i_R_fix*X49</f>
        <v/>
      </c>
      <c r="Y79" s="19">
        <f>Y70*i_R_fix*Y49</f>
        <v/>
      </c>
      <c r="Z79" s="19">
        <f>Z70*i_R_fix*Z49</f>
        <v/>
      </c>
      <c r="AA79" s="19">
        <f>AA70*i_R_fix*AA49</f>
        <v/>
      </c>
      <c r="AB79" s="19">
        <f>AB70*i_R_fix*AB49</f>
        <v/>
      </c>
      <c r="AC79" s="19">
        <f>AC70*i_R_fix*AC49</f>
        <v/>
      </c>
      <c r="AD79" s="19">
        <f>AD70*i_R_fix*AD49</f>
        <v/>
      </c>
      <c r="AE79" s="19">
        <f>AE70*i_R_fix*AE49</f>
        <v/>
      </c>
      <c r="AF79" s="19">
        <f>AF70*i_R_fix*AF49</f>
        <v/>
      </c>
      <c r="AG79" s="19">
        <f>AG70*i_R_fix*AG49</f>
        <v/>
      </c>
      <c r="AH79" s="19">
        <f>AH70*i_R_fix*AH49</f>
        <v/>
      </c>
      <c r="AI79" s="19">
        <f>AI70*i_R_fix*AI49</f>
        <v/>
      </c>
    </row>
    <row r="80">
      <c r="B80" s="2" t="inlineStr">
        <is>
          <t xml:space="preserve">  Variable cost</t>
        </is>
      </c>
      <c r="D80" s="19">
        <f>i_R_var*D78</f>
        <v/>
      </c>
      <c r="E80" s="19">
        <f>i_R_var*E78</f>
        <v/>
      </c>
      <c r="F80" s="19">
        <f>i_R_var*F78</f>
        <v/>
      </c>
      <c r="G80" s="19">
        <f>i_R_var*G78</f>
        <v/>
      </c>
      <c r="H80" s="19">
        <f>i_R_var*H78</f>
        <v/>
      </c>
      <c r="I80" s="19">
        <f>i_R_var*I78</f>
        <v/>
      </c>
      <c r="J80" s="19">
        <f>i_R_var*J78</f>
        <v/>
      </c>
      <c r="K80" s="19">
        <f>i_R_var*K78</f>
        <v/>
      </c>
      <c r="L80" s="19">
        <f>i_R_var*L78</f>
        <v/>
      </c>
      <c r="M80" s="19">
        <f>i_R_var*M78</f>
        <v/>
      </c>
      <c r="N80" s="19">
        <f>i_R_var*N78</f>
        <v/>
      </c>
      <c r="O80" s="19">
        <f>i_R_var*O78</f>
        <v/>
      </c>
      <c r="P80" s="19">
        <f>i_R_var*P78</f>
        <v/>
      </c>
      <c r="Q80" s="19">
        <f>i_R_var*Q78</f>
        <v/>
      </c>
      <c r="R80" s="19">
        <f>i_R_var*R78</f>
        <v/>
      </c>
      <c r="S80" s="19">
        <f>i_R_var*S78</f>
        <v/>
      </c>
      <c r="T80" s="19">
        <f>i_R_var*T78</f>
        <v/>
      </c>
      <c r="U80" s="19">
        <f>i_R_var*U78</f>
        <v/>
      </c>
      <c r="V80" s="19">
        <f>i_R_var*V78</f>
        <v/>
      </c>
      <c r="W80" s="19">
        <f>i_R_var*W78</f>
        <v/>
      </c>
      <c r="X80" s="19">
        <f>i_R_var*X78</f>
        <v/>
      </c>
      <c r="Y80" s="19">
        <f>i_R_var*Y78</f>
        <v/>
      </c>
      <c r="Z80" s="19">
        <f>i_R_var*Z78</f>
        <v/>
      </c>
      <c r="AA80" s="19">
        <f>i_R_var*AA78</f>
        <v/>
      </c>
      <c r="AB80" s="19">
        <f>i_R_var*AB78</f>
        <v/>
      </c>
      <c r="AC80" s="19">
        <f>i_R_var*AC78</f>
        <v/>
      </c>
      <c r="AD80" s="19">
        <f>i_R_var*AD78</f>
        <v/>
      </c>
      <c r="AE80" s="19">
        <f>i_R_var*AE78</f>
        <v/>
      </c>
      <c r="AF80" s="19">
        <f>i_R_var*AF78</f>
        <v/>
      </c>
      <c r="AG80" s="19">
        <f>i_R_var*AG78</f>
        <v/>
      </c>
      <c r="AH80" s="19">
        <f>i_R_var*AH78</f>
        <v/>
      </c>
      <c r="AI80" s="19">
        <f>i_R_var*AI78</f>
        <v/>
      </c>
    </row>
    <row r="81">
      <c r="B81" s="2" t="inlineStr">
        <is>
          <t xml:space="preserve">  Operating cost</t>
        </is>
      </c>
      <c r="D81" s="19">
        <f>D79+D80</f>
        <v/>
      </c>
      <c r="E81" s="19">
        <f>E79+E80</f>
        <v/>
      </c>
      <c r="F81" s="19">
        <f>F79+F80</f>
        <v/>
      </c>
      <c r="G81" s="19">
        <f>G79+G80</f>
        <v/>
      </c>
      <c r="H81" s="19">
        <f>H79+H80</f>
        <v/>
      </c>
      <c r="I81" s="19">
        <f>I79+I80</f>
        <v/>
      </c>
      <c r="J81" s="19">
        <f>J79+J80</f>
        <v/>
      </c>
      <c r="K81" s="19">
        <f>K79+K80</f>
        <v/>
      </c>
      <c r="L81" s="19">
        <f>L79+L80</f>
        <v/>
      </c>
      <c r="M81" s="19">
        <f>M79+M80</f>
        <v/>
      </c>
      <c r="N81" s="19">
        <f>N79+N80</f>
        <v/>
      </c>
      <c r="O81" s="19">
        <f>O79+O80</f>
        <v/>
      </c>
      <c r="P81" s="19">
        <f>P79+P80</f>
        <v/>
      </c>
      <c r="Q81" s="19">
        <f>Q79+Q80</f>
        <v/>
      </c>
      <c r="R81" s="19">
        <f>R79+R80</f>
        <v/>
      </c>
      <c r="S81" s="19">
        <f>S79+S80</f>
        <v/>
      </c>
      <c r="T81" s="19">
        <f>T79+T80</f>
        <v/>
      </c>
      <c r="U81" s="19">
        <f>U79+U80</f>
        <v/>
      </c>
      <c r="V81" s="19">
        <f>V79+V80</f>
        <v/>
      </c>
      <c r="W81" s="19">
        <f>W79+W80</f>
        <v/>
      </c>
      <c r="X81" s="19">
        <f>X79+X80</f>
        <v/>
      </c>
      <c r="Y81" s="19">
        <f>Y79+Y80</f>
        <v/>
      </c>
      <c r="Z81" s="19">
        <f>Z79+Z80</f>
        <v/>
      </c>
      <c r="AA81" s="19">
        <f>AA79+AA80</f>
        <v/>
      </c>
      <c r="AB81" s="19">
        <f>AB79+AB80</f>
        <v/>
      </c>
      <c r="AC81" s="19">
        <f>AC79+AC80</f>
        <v/>
      </c>
      <c r="AD81" s="19">
        <f>AD79+AD80</f>
        <v/>
      </c>
      <c r="AE81" s="19">
        <f>AE79+AE80</f>
        <v/>
      </c>
      <c r="AF81" s="19">
        <f>AF79+AF80</f>
        <v/>
      </c>
      <c r="AG81" s="19">
        <f>AG79+AG80</f>
        <v/>
      </c>
      <c r="AH81" s="19">
        <f>AH79+AH80</f>
        <v/>
      </c>
      <c r="AI81" s="19">
        <f>AI79+AI80</f>
        <v/>
      </c>
    </row>
    <row r="82">
      <c r="B82" s="3" t="inlineStr">
        <is>
          <t xml:space="preserve">  EBITDA</t>
        </is>
      </c>
      <c r="D82" s="31">
        <f>D78-D81</f>
        <v/>
      </c>
      <c r="E82" s="31">
        <f>E78-E81</f>
        <v/>
      </c>
      <c r="F82" s="31">
        <f>F78-F81</f>
        <v/>
      </c>
      <c r="G82" s="31">
        <f>G78-G81</f>
        <v/>
      </c>
      <c r="H82" s="31">
        <f>H78-H81</f>
        <v/>
      </c>
      <c r="I82" s="31">
        <f>I78-I81</f>
        <v/>
      </c>
      <c r="J82" s="31">
        <f>J78-J81</f>
        <v/>
      </c>
      <c r="K82" s="31">
        <f>K78-K81</f>
        <v/>
      </c>
      <c r="L82" s="31">
        <f>L78-L81</f>
        <v/>
      </c>
      <c r="M82" s="31">
        <f>M78-M81</f>
        <v/>
      </c>
      <c r="N82" s="31">
        <f>N78-N81</f>
        <v/>
      </c>
      <c r="O82" s="31">
        <f>O78-O81</f>
        <v/>
      </c>
      <c r="P82" s="31">
        <f>P78-P81</f>
        <v/>
      </c>
      <c r="Q82" s="31">
        <f>Q78-Q81</f>
        <v/>
      </c>
      <c r="R82" s="31">
        <f>R78-R81</f>
        <v/>
      </c>
      <c r="S82" s="31">
        <f>S78-S81</f>
        <v/>
      </c>
      <c r="T82" s="31">
        <f>T78-T81</f>
        <v/>
      </c>
      <c r="U82" s="31">
        <f>U78-U81</f>
        <v/>
      </c>
      <c r="V82" s="31">
        <f>V78-V81</f>
        <v/>
      </c>
      <c r="W82" s="31">
        <f>W78-W81</f>
        <v/>
      </c>
      <c r="X82" s="31">
        <f>X78-X81</f>
        <v/>
      </c>
      <c r="Y82" s="31">
        <f>Y78-Y81</f>
        <v/>
      </c>
      <c r="Z82" s="31">
        <f>Z78-Z81</f>
        <v/>
      </c>
      <c r="AA82" s="31">
        <f>AA78-AA81</f>
        <v/>
      </c>
      <c r="AB82" s="31">
        <f>AB78-AB81</f>
        <v/>
      </c>
      <c r="AC82" s="31">
        <f>AC78-AC81</f>
        <v/>
      </c>
      <c r="AD82" s="31">
        <f>AD78-AD81</f>
        <v/>
      </c>
      <c r="AE82" s="31">
        <f>AE78-AE81</f>
        <v/>
      </c>
      <c r="AF82" s="31">
        <f>AF78-AF81</f>
        <v/>
      </c>
      <c r="AG82" s="31">
        <f>AG78-AG81</f>
        <v/>
      </c>
      <c r="AH82" s="31">
        <f>AH78-AH81</f>
        <v/>
      </c>
      <c r="AI82" s="31">
        <f>AI78-AI81</f>
        <v/>
      </c>
    </row>
    <row r="83">
      <c r="B83" s="2" t="inlineStr">
        <is>
          <t xml:space="preserve">  Maintenance capex</t>
        </is>
      </c>
      <c r="D83" s="19">
        <f>D70*i_R_mc*D49</f>
        <v/>
      </c>
      <c r="E83" s="19">
        <f>E70*i_R_mc*E49</f>
        <v/>
      </c>
      <c r="F83" s="19">
        <f>F70*i_R_mc*F49</f>
        <v/>
      </c>
      <c r="G83" s="19">
        <f>G70*i_R_mc*G49</f>
        <v/>
      </c>
      <c r="H83" s="19">
        <f>H70*i_R_mc*H49</f>
        <v/>
      </c>
      <c r="I83" s="19">
        <f>I70*i_R_mc*I49</f>
        <v/>
      </c>
      <c r="J83" s="19">
        <f>J70*i_R_mc*J49</f>
        <v/>
      </c>
      <c r="K83" s="19">
        <f>K70*i_R_mc*K49</f>
        <v/>
      </c>
      <c r="L83" s="19">
        <f>L70*i_R_mc*L49</f>
        <v/>
      </c>
      <c r="M83" s="19">
        <f>M70*i_R_mc*M49</f>
        <v/>
      </c>
      <c r="N83" s="19">
        <f>N70*i_R_mc*N49</f>
        <v/>
      </c>
      <c r="O83" s="19">
        <f>O70*i_R_mc*O49</f>
        <v/>
      </c>
      <c r="P83" s="19">
        <f>P70*i_R_mc*P49</f>
        <v/>
      </c>
      <c r="Q83" s="19">
        <f>Q70*i_R_mc*Q49</f>
        <v/>
      </c>
      <c r="R83" s="19">
        <f>R70*i_R_mc*R49</f>
        <v/>
      </c>
      <c r="S83" s="19">
        <f>S70*i_R_mc*S49</f>
        <v/>
      </c>
      <c r="T83" s="19">
        <f>T70*i_R_mc*T49</f>
        <v/>
      </c>
      <c r="U83" s="19">
        <f>U70*i_R_mc*U49</f>
        <v/>
      </c>
      <c r="V83" s="19">
        <f>V70*i_R_mc*V49</f>
        <v/>
      </c>
      <c r="W83" s="19">
        <f>W70*i_R_mc*W49</f>
        <v/>
      </c>
      <c r="X83" s="19">
        <f>X70*i_R_mc*X49</f>
        <v/>
      </c>
      <c r="Y83" s="19">
        <f>Y70*i_R_mc*Y49</f>
        <v/>
      </c>
      <c r="Z83" s="19">
        <f>Z70*i_R_mc*Z49</f>
        <v/>
      </c>
      <c r="AA83" s="19">
        <f>AA70*i_R_mc*AA49</f>
        <v/>
      </c>
      <c r="AB83" s="19">
        <f>AB70*i_R_mc*AB49</f>
        <v/>
      </c>
      <c r="AC83" s="19">
        <f>AC70*i_R_mc*AC49</f>
        <v/>
      </c>
      <c r="AD83" s="19">
        <f>AD70*i_R_mc*AD49</f>
        <v/>
      </c>
      <c r="AE83" s="19">
        <f>AE70*i_R_mc*AE49</f>
        <v/>
      </c>
      <c r="AF83" s="19">
        <f>AF70*i_R_mc*AF49</f>
        <v/>
      </c>
      <c r="AG83" s="19">
        <f>AG70*i_R_mc*AG49</f>
        <v/>
      </c>
      <c r="AH83" s="19">
        <f>AH70*i_R_mc*AH49</f>
        <v/>
      </c>
      <c r="AI83" s="19">
        <f>AI70*i_R_mc*AI49</f>
        <v/>
      </c>
    </row>
    <row r="84">
      <c r="B84" s="3" t="inlineStr">
        <is>
          <t>Thamesbridge</t>
        </is>
      </c>
    </row>
    <row r="85">
      <c r="B85" s="2" t="inlineStr">
        <is>
          <t xml:space="preserve">  Capacity in service (million m3)</t>
        </is>
      </c>
      <c r="D85" s="24">
        <f>i_T_cap</f>
        <v/>
      </c>
      <c r="E85" s="24">
        <f>i_T_cap</f>
        <v/>
      </c>
      <c r="F85" s="24">
        <f>i_T_cap</f>
        <v/>
      </c>
      <c r="G85" s="24">
        <f>i_T_cap</f>
        <v/>
      </c>
      <c r="H85" s="24">
        <f>i_T_cap</f>
        <v/>
      </c>
      <c r="I85" s="24">
        <f>i_T_cap</f>
        <v/>
      </c>
      <c r="J85" s="24">
        <f>i_T_cap</f>
        <v/>
      </c>
      <c r="K85" s="24">
        <f>i_T_cap</f>
        <v/>
      </c>
      <c r="L85" s="24">
        <f>i_T_cap</f>
        <v/>
      </c>
      <c r="M85" s="24">
        <f>i_T_cap</f>
        <v/>
      </c>
      <c r="N85" s="24">
        <f>i_T_cap</f>
        <v/>
      </c>
      <c r="O85" s="24">
        <f>i_T_cap</f>
        <v/>
      </c>
      <c r="P85" s="24">
        <f>i_T_cap</f>
        <v/>
      </c>
      <c r="Q85" s="24">
        <f>i_T_cap</f>
        <v/>
      </c>
      <c r="R85" s="24">
        <f>i_T_cap</f>
        <v/>
      </c>
      <c r="S85" s="24">
        <f>i_T_cap</f>
        <v/>
      </c>
      <c r="T85" s="24">
        <f>i_T_cap</f>
        <v/>
      </c>
      <c r="U85" s="24">
        <f>i_T_cap</f>
        <v/>
      </c>
      <c r="V85" s="24">
        <f>i_T_cap</f>
        <v/>
      </c>
      <c r="W85" s="24">
        <f>i_T_cap</f>
        <v/>
      </c>
      <c r="X85" s="24">
        <f>i_T_cap</f>
        <v/>
      </c>
      <c r="Y85" s="24">
        <f>i_T_cap</f>
        <v/>
      </c>
      <c r="Z85" s="24">
        <f>i_T_cap</f>
        <v/>
      </c>
      <c r="AA85" s="24">
        <f>i_T_cap</f>
        <v/>
      </c>
      <c r="AB85" s="24">
        <f>i_T_cap</f>
        <v/>
      </c>
      <c r="AC85" s="24">
        <f>i_T_cap</f>
        <v/>
      </c>
      <c r="AD85" s="24">
        <f>i_T_cap</f>
        <v/>
      </c>
      <c r="AE85" s="24">
        <f>i_T_cap</f>
        <v/>
      </c>
      <c r="AF85" s="24">
        <f>i_T_cap</f>
        <v/>
      </c>
      <c r="AG85" s="24">
        <f>i_T_cap</f>
        <v/>
      </c>
      <c r="AH85" s="24">
        <f>i_T_cap</f>
        <v/>
      </c>
      <c r="AI85" s="24">
        <f>i_T_cap</f>
        <v/>
      </c>
    </row>
    <row r="86">
      <c r="B86" s="2" t="inlineStr">
        <is>
          <t xml:space="preserve">  Share on contracts signed before 2027</t>
        </is>
      </c>
      <c r="D86" s="21">
        <f>SUMIF(i_book_years,D$3,i_T_book)</f>
        <v/>
      </c>
      <c r="E86" s="21">
        <f>SUMIF(i_book_years,E$3,i_T_book)</f>
        <v/>
      </c>
      <c r="F86" s="21">
        <f>SUMIF(i_book_years,F$3,i_T_book)</f>
        <v/>
      </c>
      <c r="G86" s="21">
        <f>SUMIF(i_book_years,G$3,i_T_book)</f>
        <v/>
      </c>
      <c r="H86" s="21">
        <f>SUMIF(i_book_years,H$3,i_T_book)</f>
        <v/>
      </c>
      <c r="I86" s="21">
        <f>SUMIF(i_book_years,I$3,i_T_book)</f>
        <v/>
      </c>
      <c r="J86" s="21">
        <f>SUMIF(i_book_years,J$3,i_T_book)</f>
        <v/>
      </c>
      <c r="K86" s="21">
        <f>SUMIF(i_book_years,K$3,i_T_book)</f>
        <v/>
      </c>
      <c r="L86" s="21">
        <f>SUMIF(i_book_years,L$3,i_T_book)</f>
        <v/>
      </c>
      <c r="M86" s="21">
        <f>SUMIF(i_book_years,M$3,i_T_book)</f>
        <v/>
      </c>
      <c r="N86" s="21">
        <f>SUMIF(i_book_years,N$3,i_T_book)</f>
        <v/>
      </c>
      <c r="O86" s="21">
        <f>SUMIF(i_book_years,O$3,i_T_book)</f>
        <v/>
      </c>
      <c r="P86" s="21">
        <f>SUMIF(i_book_years,P$3,i_T_book)</f>
        <v/>
      </c>
      <c r="Q86" s="21">
        <f>SUMIF(i_book_years,Q$3,i_T_book)</f>
        <v/>
      </c>
      <c r="R86" s="21">
        <f>SUMIF(i_book_years,R$3,i_T_book)</f>
        <v/>
      </c>
      <c r="S86" s="21">
        <f>SUMIF(i_book_years,S$3,i_T_book)</f>
        <v/>
      </c>
      <c r="T86" s="21">
        <f>SUMIF(i_book_years,T$3,i_T_book)</f>
        <v/>
      </c>
      <c r="U86" s="21">
        <f>SUMIF(i_book_years,U$3,i_T_book)</f>
        <v/>
      </c>
      <c r="V86" s="21">
        <f>SUMIF(i_book_years,V$3,i_T_book)</f>
        <v/>
      </c>
      <c r="W86" s="21">
        <f>SUMIF(i_book_years,W$3,i_T_book)</f>
        <v/>
      </c>
      <c r="X86" s="21">
        <f>SUMIF(i_book_years,X$3,i_T_book)</f>
        <v/>
      </c>
      <c r="Y86" s="21">
        <f>SUMIF(i_book_years,Y$3,i_T_book)</f>
        <v/>
      </c>
      <c r="Z86" s="21">
        <f>SUMIF(i_book_years,Z$3,i_T_book)</f>
        <v/>
      </c>
      <c r="AA86" s="21">
        <f>SUMIF(i_book_years,AA$3,i_T_book)</f>
        <v/>
      </c>
      <c r="AB86" s="21">
        <f>SUMIF(i_book_years,AB$3,i_T_book)</f>
        <v/>
      </c>
      <c r="AC86" s="21">
        <f>SUMIF(i_book_years,AC$3,i_T_book)</f>
        <v/>
      </c>
      <c r="AD86" s="21">
        <f>SUMIF(i_book_years,AD$3,i_T_book)</f>
        <v/>
      </c>
      <c r="AE86" s="21">
        <f>SUMIF(i_book_years,AE$3,i_T_book)</f>
        <v/>
      </c>
      <c r="AF86" s="21">
        <f>SUMIF(i_book_years,AF$3,i_T_book)</f>
        <v/>
      </c>
      <c r="AG86" s="21">
        <f>SUMIF(i_book_years,AG$3,i_T_book)</f>
        <v/>
      </c>
      <c r="AH86" s="21">
        <f>SUMIF(i_book_years,AH$3,i_T_book)</f>
        <v/>
      </c>
      <c r="AI86" s="21">
        <f>SUMIF(i_book_years,AI$3,i_T_book)</f>
        <v/>
      </c>
    </row>
    <row r="87">
      <c r="B87" s="2" t="inlineStr">
        <is>
          <t xml:space="preserve">  Recontracting factor against current rates</t>
        </is>
      </c>
      <c r="D87" s="21">
        <f>IF(D$4=0,0,IF(DCF!$C$39=1,i_T_mtm,i_T_mtm_plan)+DCF!$C$45)</f>
        <v/>
      </c>
      <c r="E87" s="21">
        <f>IF(E$4=0,0,IF(DCF!$C$39=1,i_T_mtm,i_T_mtm_plan)+DCF!$C$45)</f>
        <v/>
      </c>
      <c r="F87" s="21">
        <f>IF(F$4=0,0,IF(DCF!$C$39=1,i_T_mtm,i_T_mtm_plan)+DCF!$C$45)</f>
        <v/>
      </c>
      <c r="G87" s="21">
        <f>IF(G$4=0,0,IF(DCF!$C$39=1,i_T_mtm,i_T_mtm_plan)+DCF!$C$45)</f>
        <v/>
      </c>
      <c r="H87" s="21">
        <f>IF(H$4=0,0,IF(DCF!$C$39=1,i_T_mtm,i_T_mtm_plan)+DCF!$C$45)</f>
        <v/>
      </c>
      <c r="I87" s="21">
        <f>IF(I$4=0,0,IF(DCF!$C$39=1,i_T_mtm,i_T_mtm_plan)+DCF!$C$45)</f>
        <v/>
      </c>
      <c r="J87" s="21">
        <f>IF(J$4=0,0,IF(DCF!$C$39=1,i_T_mtm,i_T_mtm_plan)+DCF!$C$45)</f>
        <v/>
      </c>
      <c r="K87" s="21">
        <f>IF(K$4=0,0,IF(DCF!$C$39=1,i_T_mtm,i_T_mtm_plan)+DCF!$C$45)</f>
        <v/>
      </c>
      <c r="L87" s="21">
        <f>IF(L$4=0,0,IF(DCF!$C$39=1,i_T_mtm,i_T_mtm_plan)+DCF!$C$45)</f>
        <v/>
      </c>
      <c r="M87" s="21">
        <f>IF(M$4=0,0,IF(DCF!$C$39=1,i_T_mtm,i_T_mtm_plan)+DCF!$C$45)</f>
        <v/>
      </c>
      <c r="N87" s="21">
        <f>IF(N$4=0,0,IF(DCF!$C$39=1,i_T_mtm,i_T_mtm_plan)+DCF!$C$45)</f>
        <v/>
      </c>
      <c r="O87" s="21">
        <f>IF(O$4=0,0,IF(DCF!$C$39=1,i_T_mtm,i_T_mtm_plan)+DCF!$C$45)</f>
        <v/>
      </c>
      <c r="P87" s="21">
        <f>IF(P$4=0,0,IF(DCF!$C$39=1,i_T_mtm,i_T_mtm_plan)+DCF!$C$45)</f>
        <v/>
      </c>
      <c r="Q87" s="21">
        <f>IF(Q$4=0,0,IF(DCF!$C$39=1,i_T_mtm,i_T_mtm_plan)+DCF!$C$45)</f>
        <v/>
      </c>
      <c r="R87" s="21">
        <f>IF(R$4=0,0,IF(DCF!$C$39=1,i_T_mtm,i_T_mtm_plan)+DCF!$C$45)</f>
        <v/>
      </c>
      <c r="S87" s="21">
        <f>IF(S$4=0,0,IF(DCF!$C$39=1,i_T_mtm,i_T_mtm_plan)+DCF!$C$45)</f>
        <v/>
      </c>
      <c r="T87" s="21">
        <f>IF(T$4=0,0,IF(DCF!$C$39=1,i_T_mtm,i_T_mtm_plan)+DCF!$C$45)</f>
        <v/>
      </c>
      <c r="U87" s="21">
        <f>IF(U$4=0,0,IF(DCF!$C$39=1,i_T_mtm,i_T_mtm_plan)+DCF!$C$45)</f>
        <v/>
      </c>
      <c r="V87" s="21">
        <f>IF(V$4=0,0,IF(DCF!$C$39=1,i_T_mtm,i_T_mtm_plan)+DCF!$C$45)</f>
        <v/>
      </c>
      <c r="W87" s="21">
        <f>IF(W$4=0,0,IF(DCF!$C$39=1,i_T_mtm,i_T_mtm_plan)+DCF!$C$45)</f>
        <v/>
      </c>
      <c r="X87" s="21">
        <f>IF(X$4=0,0,IF(DCF!$C$39=1,i_T_mtm,i_T_mtm_plan)+DCF!$C$45)</f>
        <v/>
      </c>
      <c r="Y87" s="21">
        <f>IF(Y$4=0,0,IF(DCF!$C$39=1,i_T_mtm,i_T_mtm_plan)+DCF!$C$45)</f>
        <v/>
      </c>
      <c r="Z87" s="21">
        <f>IF(Z$4=0,0,IF(DCF!$C$39=1,i_T_mtm,i_T_mtm_plan)+DCF!$C$45)</f>
        <v/>
      </c>
      <c r="AA87" s="21">
        <f>IF(AA$4=0,0,IF(DCF!$C$39=1,i_T_mtm,i_T_mtm_plan)+DCF!$C$45)</f>
        <v/>
      </c>
      <c r="AB87" s="21">
        <f>IF(AB$4=0,0,IF(DCF!$C$39=1,i_T_mtm,i_T_mtm_plan)+DCF!$C$45)</f>
        <v/>
      </c>
      <c r="AC87" s="21">
        <f>IF(AC$4=0,0,IF(DCF!$C$39=1,i_T_mtm,i_T_mtm_plan)+DCF!$C$45)</f>
        <v/>
      </c>
      <c r="AD87" s="21">
        <f>IF(AD$4=0,0,IF(DCF!$C$39=1,i_T_mtm,i_T_mtm_plan)+DCF!$C$45)</f>
        <v/>
      </c>
      <c r="AE87" s="21">
        <f>IF(AE$4=0,0,IF(DCF!$C$39=1,i_T_mtm,i_T_mtm_plan)+DCF!$C$45)</f>
        <v/>
      </c>
      <c r="AF87" s="21">
        <f>IF(AF$4=0,0,IF(DCF!$C$39=1,i_T_mtm,i_T_mtm_plan)+DCF!$C$45)</f>
        <v/>
      </c>
      <c r="AG87" s="21">
        <f>IF(AG$4=0,0,IF(DCF!$C$39=1,i_T_mtm,i_T_mtm_plan)+DCF!$C$45)</f>
        <v/>
      </c>
      <c r="AH87" s="21">
        <f>IF(AH$4=0,0,IF(DCF!$C$39=1,i_T_mtm,i_T_mtm_plan)+DCF!$C$45)</f>
        <v/>
      </c>
      <c r="AI87" s="21">
        <f>IF(AI$4=0,0,IF(DCF!$C$39=1,i_T_mtm,i_T_mtm_plan)+DCF!$C$45)</f>
        <v/>
      </c>
    </row>
    <row r="88">
      <c r="B88" s="2" t="inlineStr">
        <is>
          <t xml:space="preserve">  Average rate ($ per m3 per month)</t>
        </is>
      </c>
      <c r="D88" s="24">
        <f>i_T_rate*D50*(D86+(1-D86)*(1+D87))</f>
        <v/>
      </c>
      <c r="E88" s="24">
        <f>i_T_rate*E50*(E86+(1-E86)*(1+E87))</f>
        <v/>
      </c>
      <c r="F88" s="24">
        <f>i_T_rate*F50*(F86+(1-F86)*(1+F87))</f>
        <v/>
      </c>
      <c r="G88" s="24">
        <f>i_T_rate*G50*(G86+(1-G86)*(1+G87))</f>
        <v/>
      </c>
      <c r="H88" s="24">
        <f>i_T_rate*H50*(H86+(1-H86)*(1+H87))</f>
        <v/>
      </c>
      <c r="I88" s="24">
        <f>i_T_rate*I50*(I86+(1-I86)*(1+I87))</f>
        <v/>
      </c>
      <c r="J88" s="24">
        <f>i_T_rate*J50*(J86+(1-J86)*(1+J87))</f>
        <v/>
      </c>
      <c r="K88" s="24">
        <f>i_T_rate*K50*(K86+(1-K86)*(1+K87))</f>
        <v/>
      </c>
      <c r="L88" s="24">
        <f>i_T_rate*L50*(L86+(1-L86)*(1+L87))</f>
        <v/>
      </c>
      <c r="M88" s="24">
        <f>i_T_rate*M50*(M86+(1-M86)*(1+M87))</f>
        <v/>
      </c>
      <c r="N88" s="24">
        <f>i_T_rate*N50*(N86+(1-N86)*(1+N87))</f>
        <v/>
      </c>
      <c r="O88" s="24">
        <f>i_T_rate*O50*(O86+(1-O86)*(1+O87))</f>
        <v/>
      </c>
      <c r="P88" s="24">
        <f>i_T_rate*P50*(P86+(1-P86)*(1+P87))</f>
        <v/>
      </c>
      <c r="Q88" s="24">
        <f>i_T_rate*Q50*(Q86+(1-Q86)*(1+Q87))</f>
        <v/>
      </c>
      <c r="R88" s="24">
        <f>i_T_rate*R50*(R86+(1-R86)*(1+R87))</f>
        <v/>
      </c>
      <c r="S88" s="24">
        <f>i_T_rate*S50*(S86+(1-S86)*(1+S87))</f>
        <v/>
      </c>
      <c r="T88" s="24">
        <f>i_T_rate*T50*(T86+(1-T86)*(1+T87))</f>
        <v/>
      </c>
      <c r="U88" s="24">
        <f>i_T_rate*U50*(U86+(1-U86)*(1+U87))</f>
        <v/>
      </c>
      <c r="V88" s="24">
        <f>i_T_rate*V50*(V86+(1-V86)*(1+V87))</f>
        <v/>
      </c>
      <c r="W88" s="24">
        <f>i_T_rate*W50*(W86+(1-W86)*(1+W87))</f>
        <v/>
      </c>
      <c r="X88" s="24">
        <f>i_T_rate*X50*(X86+(1-X86)*(1+X87))</f>
        <v/>
      </c>
      <c r="Y88" s="24">
        <f>i_T_rate*Y50*(Y86+(1-Y86)*(1+Y87))</f>
        <v/>
      </c>
      <c r="Z88" s="24">
        <f>i_T_rate*Z50*(Z86+(1-Z86)*(1+Z87))</f>
        <v/>
      </c>
      <c r="AA88" s="24">
        <f>i_T_rate*AA50*(AA86+(1-AA86)*(1+AA87))</f>
        <v/>
      </c>
      <c r="AB88" s="24">
        <f>i_T_rate*AB50*(AB86+(1-AB86)*(1+AB87))</f>
        <v/>
      </c>
      <c r="AC88" s="24">
        <f>i_T_rate*AC50*(AC86+(1-AC86)*(1+AC87))</f>
        <v/>
      </c>
      <c r="AD88" s="24">
        <f>i_T_rate*AD50*(AD86+(1-AD86)*(1+AD87))</f>
        <v/>
      </c>
      <c r="AE88" s="24">
        <f>i_T_rate*AE50*(AE86+(1-AE86)*(1+AE87))</f>
        <v/>
      </c>
      <c r="AF88" s="24">
        <f>i_T_rate*AF50*(AF86+(1-AF86)*(1+AF87))</f>
        <v/>
      </c>
      <c r="AG88" s="24">
        <f>i_T_rate*AG50*(AG86+(1-AG86)*(1+AG87))</f>
        <v/>
      </c>
      <c r="AH88" s="24">
        <f>i_T_rate*AH50*(AH86+(1-AH86)*(1+AH87))</f>
        <v/>
      </c>
      <c r="AI88" s="24">
        <f>i_T_rate*AI50*(AI86+(1-AI86)*(1+AI87))</f>
        <v/>
      </c>
    </row>
    <row r="89">
      <c r="B89" s="2" t="inlineStr">
        <is>
          <t xml:space="preserve">  Occupancy after the transition decline and floor</t>
        </is>
      </c>
      <c r="D89" s="21">
        <f>IF(D$3&gt;i_trans_start,MAX(i_T_floor,i_T_occ-i_T_dec*(D$3-i_trans_start)),i_T_occ)</f>
        <v/>
      </c>
      <c r="E89" s="21">
        <f>IF(E$3&gt;i_trans_start,MAX(i_T_floor,i_T_occ-i_T_dec*(E$3-i_trans_start)),i_T_occ)</f>
        <v/>
      </c>
      <c r="F89" s="21">
        <f>IF(F$3&gt;i_trans_start,MAX(i_T_floor,i_T_occ-i_T_dec*(F$3-i_trans_start)),i_T_occ)</f>
        <v/>
      </c>
      <c r="G89" s="21">
        <f>IF(G$3&gt;i_trans_start,MAX(i_T_floor,i_T_occ-i_T_dec*(G$3-i_trans_start)),i_T_occ)</f>
        <v/>
      </c>
      <c r="H89" s="21">
        <f>IF(H$3&gt;i_trans_start,MAX(i_T_floor,i_T_occ-i_T_dec*(H$3-i_trans_start)),i_T_occ)</f>
        <v/>
      </c>
      <c r="I89" s="21">
        <f>IF(I$3&gt;i_trans_start,MAX(i_T_floor,i_T_occ-i_T_dec*(I$3-i_trans_start)),i_T_occ)</f>
        <v/>
      </c>
      <c r="J89" s="21">
        <f>IF(J$3&gt;i_trans_start,MAX(i_T_floor,i_T_occ-i_T_dec*(J$3-i_trans_start)),i_T_occ)</f>
        <v/>
      </c>
      <c r="K89" s="21">
        <f>IF(K$3&gt;i_trans_start,MAX(i_T_floor,i_T_occ-i_T_dec*(K$3-i_trans_start)),i_T_occ)</f>
        <v/>
      </c>
      <c r="L89" s="21">
        <f>IF(L$3&gt;i_trans_start,MAX(i_T_floor,i_T_occ-i_T_dec*(L$3-i_trans_start)),i_T_occ)</f>
        <v/>
      </c>
      <c r="M89" s="21">
        <f>IF(M$3&gt;i_trans_start,MAX(i_T_floor,i_T_occ-i_T_dec*(M$3-i_trans_start)),i_T_occ)</f>
        <v/>
      </c>
      <c r="N89" s="21">
        <f>IF(N$3&gt;i_trans_start,MAX(i_T_floor,i_T_occ-i_T_dec*(N$3-i_trans_start)),i_T_occ)</f>
        <v/>
      </c>
      <c r="O89" s="21">
        <f>IF(O$3&gt;i_trans_start,MAX(i_T_floor,i_T_occ-i_T_dec*(O$3-i_trans_start)),i_T_occ)</f>
        <v/>
      </c>
      <c r="P89" s="21">
        <f>IF(P$3&gt;i_trans_start,MAX(i_T_floor,i_T_occ-i_T_dec*(P$3-i_trans_start)),i_T_occ)</f>
        <v/>
      </c>
      <c r="Q89" s="21">
        <f>IF(Q$3&gt;i_trans_start,MAX(i_T_floor,i_T_occ-i_T_dec*(Q$3-i_trans_start)),i_T_occ)</f>
        <v/>
      </c>
      <c r="R89" s="21">
        <f>IF(R$3&gt;i_trans_start,MAX(i_T_floor,i_T_occ-i_T_dec*(R$3-i_trans_start)),i_T_occ)</f>
        <v/>
      </c>
      <c r="S89" s="21">
        <f>IF(S$3&gt;i_trans_start,MAX(i_T_floor,i_T_occ-i_T_dec*(S$3-i_trans_start)),i_T_occ)</f>
        <v/>
      </c>
      <c r="T89" s="21">
        <f>IF(T$3&gt;i_trans_start,MAX(i_T_floor,i_T_occ-i_T_dec*(T$3-i_trans_start)),i_T_occ)</f>
        <v/>
      </c>
      <c r="U89" s="21">
        <f>IF(U$3&gt;i_trans_start,MAX(i_T_floor,i_T_occ-i_T_dec*(U$3-i_trans_start)),i_T_occ)</f>
        <v/>
      </c>
      <c r="V89" s="21">
        <f>IF(V$3&gt;i_trans_start,MAX(i_T_floor,i_T_occ-i_T_dec*(V$3-i_trans_start)),i_T_occ)</f>
        <v/>
      </c>
      <c r="W89" s="21">
        <f>IF(W$3&gt;i_trans_start,MAX(i_T_floor,i_T_occ-i_T_dec*(W$3-i_trans_start)),i_T_occ)</f>
        <v/>
      </c>
      <c r="X89" s="21">
        <f>IF(X$3&gt;i_trans_start,MAX(i_T_floor,i_T_occ-i_T_dec*(X$3-i_trans_start)),i_T_occ)</f>
        <v/>
      </c>
      <c r="Y89" s="21">
        <f>IF(Y$3&gt;i_trans_start,MAX(i_T_floor,i_T_occ-i_T_dec*(Y$3-i_trans_start)),i_T_occ)</f>
        <v/>
      </c>
      <c r="Z89" s="21">
        <f>IF(Z$3&gt;i_trans_start,MAX(i_T_floor,i_T_occ-i_T_dec*(Z$3-i_trans_start)),i_T_occ)</f>
        <v/>
      </c>
      <c r="AA89" s="21">
        <f>IF(AA$3&gt;i_trans_start,MAX(i_T_floor,i_T_occ-i_T_dec*(AA$3-i_trans_start)),i_T_occ)</f>
        <v/>
      </c>
      <c r="AB89" s="21">
        <f>IF(AB$3&gt;i_trans_start,MAX(i_T_floor,i_T_occ-i_T_dec*(AB$3-i_trans_start)),i_T_occ)</f>
        <v/>
      </c>
      <c r="AC89" s="21">
        <f>IF(AC$3&gt;i_trans_start,MAX(i_T_floor,i_T_occ-i_T_dec*(AC$3-i_trans_start)),i_T_occ)</f>
        <v/>
      </c>
      <c r="AD89" s="21">
        <f>IF(AD$3&gt;i_trans_start,MAX(i_T_floor,i_T_occ-i_T_dec*(AD$3-i_trans_start)),i_T_occ)</f>
        <v/>
      </c>
      <c r="AE89" s="21">
        <f>IF(AE$3&gt;i_trans_start,MAX(i_T_floor,i_T_occ-i_T_dec*(AE$3-i_trans_start)),i_T_occ)</f>
        <v/>
      </c>
      <c r="AF89" s="21">
        <f>IF(AF$3&gt;i_trans_start,MAX(i_T_floor,i_T_occ-i_T_dec*(AF$3-i_trans_start)),i_T_occ)</f>
        <v/>
      </c>
      <c r="AG89" s="21">
        <f>IF(AG$3&gt;i_trans_start,MAX(i_T_floor,i_T_occ-i_T_dec*(AG$3-i_trans_start)),i_T_occ)</f>
        <v/>
      </c>
      <c r="AH89" s="21">
        <f>IF(AH$3&gt;i_trans_start,MAX(i_T_floor,i_T_occ-i_T_dec*(AH$3-i_trans_start)),i_T_occ)</f>
        <v/>
      </c>
      <c r="AI89" s="21">
        <f>IF(AI$3&gt;i_trans_start,MAX(i_T_floor,i_T_occ-i_T_dec*(AI$3-i_trans_start)),i_T_occ)</f>
        <v/>
      </c>
    </row>
    <row r="90">
      <c r="B90" s="2" t="inlineStr">
        <is>
          <t xml:space="preserve">  Occupancy (with the shift switch from 2027)</t>
        </is>
      </c>
      <c r="D90" s="21">
        <f>IF(D$4&gt;0,MIN(1,D89+DCF!$C$44),D89)</f>
        <v/>
      </c>
      <c r="E90" s="21">
        <f>IF(E$4&gt;0,MIN(1,E89+DCF!$C$44),E89)</f>
        <v/>
      </c>
      <c r="F90" s="21">
        <f>IF(F$4&gt;0,MIN(1,F89+DCF!$C$44),F89)</f>
        <v/>
      </c>
      <c r="G90" s="21">
        <f>IF(G$4&gt;0,MIN(1,G89+DCF!$C$44),G89)</f>
        <v/>
      </c>
      <c r="H90" s="21">
        <f>IF(H$4&gt;0,MIN(1,H89+DCF!$C$44),H89)</f>
        <v/>
      </c>
      <c r="I90" s="21">
        <f>IF(I$4&gt;0,MIN(1,I89+DCF!$C$44),I89)</f>
        <v/>
      </c>
      <c r="J90" s="21">
        <f>IF(J$4&gt;0,MIN(1,J89+DCF!$C$44),J89)</f>
        <v/>
      </c>
      <c r="K90" s="21">
        <f>IF(K$4&gt;0,MIN(1,K89+DCF!$C$44),K89)</f>
        <v/>
      </c>
      <c r="L90" s="21">
        <f>IF(L$4&gt;0,MIN(1,L89+DCF!$C$44),L89)</f>
        <v/>
      </c>
      <c r="M90" s="21">
        <f>IF(M$4&gt;0,MIN(1,M89+DCF!$C$44),M89)</f>
        <v/>
      </c>
      <c r="N90" s="21">
        <f>IF(N$4&gt;0,MIN(1,N89+DCF!$C$44),N89)</f>
        <v/>
      </c>
      <c r="O90" s="21">
        <f>IF(O$4&gt;0,MIN(1,O89+DCF!$C$44),O89)</f>
        <v/>
      </c>
      <c r="P90" s="21">
        <f>IF(P$4&gt;0,MIN(1,P89+DCF!$C$44),P89)</f>
        <v/>
      </c>
      <c r="Q90" s="21">
        <f>IF(Q$4&gt;0,MIN(1,Q89+DCF!$C$44),Q89)</f>
        <v/>
      </c>
      <c r="R90" s="21">
        <f>IF(R$4&gt;0,MIN(1,R89+DCF!$C$44),R89)</f>
        <v/>
      </c>
      <c r="S90" s="21">
        <f>IF(S$4&gt;0,MIN(1,S89+DCF!$C$44),S89)</f>
        <v/>
      </c>
      <c r="T90" s="21">
        <f>IF(T$4&gt;0,MIN(1,T89+DCF!$C$44),T89)</f>
        <v/>
      </c>
      <c r="U90" s="21">
        <f>IF(U$4&gt;0,MIN(1,U89+DCF!$C$44),U89)</f>
        <v/>
      </c>
      <c r="V90" s="21">
        <f>IF(V$4&gt;0,MIN(1,V89+DCF!$C$44),V89)</f>
        <v/>
      </c>
      <c r="W90" s="21">
        <f>IF(W$4&gt;0,MIN(1,W89+DCF!$C$44),W89)</f>
        <v/>
      </c>
      <c r="X90" s="21">
        <f>IF(X$4&gt;0,MIN(1,X89+DCF!$C$44),X89)</f>
        <v/>
      </c>
      <c r="Y90" s="21">
        <f>IF(Y$4&gt;0,MIN(1,Y89+DCF!$C$44),Y89)</f>
        <v/>
      </c>
      <c r="Z90" s="21">
        <f>IF(Z$4&gt;0,MIN(1,Z89+DCF!$C$44),Z89)</f>
        <v/>
      </c>
      <c r="AA90" s="21">
        <f>IF(AA$4&gt;0,MIN(1,AA89+DCF!$C$44),AA89)</f>
        <v/>
      </c>
      <c r="AB90" s="21">
        <f>IF(AB$4&gt;0,MIN(1,AB89+DCF!$C$44),AB89)</f>
        <v/>
      </c>
      <c r="AC90" s="21">
        <f>IF(AC$4&gt;0,MIN(1,AC89+DCF!$C$44),AC89)</f>
        <v/>
      </c>
      <c r="AD90" s="21">
        <f>IF(AD$4&gt;0,MIN(1,AD89+DCF!$C$44),AD89)</f>
        <v/>
      </c>
      <c r="AE90" s="21">
        <f>IF(AE$4&gt;0,MIN(1,AE89+DCF!$C$44),AE89)</f>
        <v/>
      </c>
      <c r="AF90" s="21">
        <f>IF(AF$4&gt;0,MIN(1,AF89+DCF!$C$44),AF89)</f>
        <v/>
      </c>
      <c r="AG90" s="21">
        <f>IF(AG$4&gt;0,MIN(1,AG89+DCF!$C$44),AG89)</f>
        <v/>
      </c>
      <c r="AH90" s="21">
        <f>IF(AH$4&gt;0,MIN(1,AH89+DCF!$C$44),AH89)</f>
        <v/>
      </c>
      <c r="AI90" s="21">
        <f>IF(AI$4&gt;0,MIN(1,AI89+DCF!$C$44),AI89)</f>
        <v/>
      </c>
    </row>
    <row r="91">
      <c r="B91" s="2" t="inlineStr">
        <is>
          <t xml:space="preserve">  Storage revenue</t>
        </is>
      </c>
      <c r="D91" s="19">
        <f>D85*D88*12*D90</f>
        <v/>
      </c>
      <c r="E91" s="19">
        <f>E85*E88*12*E90</f>
        <v/>
      </c>
      <c r="F91" s="19">
        <f>F85*F88*12*F90</f>
        <v/>
      </c>
      <c r="G91" s="19">
        <f>G85*G88*12*G90</f>
        <v/>
      </c>
      <c r="H91" s="19">
        <f>H85*H88*12*H90</f>
        <v/>
      </c>
      <c r="I91" s="19">
        <f>I85*I88*12*I90</f>
        <v/>
      </c>
      <c r="J91" s="19">
        <f>J85*J88*12*J90</f>
        <v/>
      </c>
      <c r="K91" s="19">
        <f>K85*K88*12*K90</f>
        <v/>
      </c>
      <c r="L91" s="19">
        <f>L85*L88*12*L90</f>
        <v/>
      </c>
      <c r="M91" s="19">
        <f>M85*M88*12*M90</f>
        <v/>
      </c>
      <c r="N91" s="19">
        <f>N85*N88*12*N90</f>
        <v/>
      </c>
      <c r="O91" s="19">
        <f>O85*O88*12*O90</f>
        <v/>
      </c>
      <c r="P91" s="19">
        <f>P85*P88*12*P90</f>
        <v/>
      </c>
      <c r="Q91" s="19">
        <f>Q85*Q88*12*Q90</f>
        <v/>
      </c>
      <c r="R91" s="19">
        <f>R85*R88*12*R90</f>
        <v/>
      </c>
      <c r="S91" s="19">
        <f>S85*S88*12*S90</f>
        <v/>
      </c>
      <c r="T91" s="19">
        <f>T85*T88*12*T90</f>
        <v/>
      </c>
      <c r="U91" s="19">
        <f>U85*U88*12*U90</f>
        <v/>
      </c>
      <c r="V91" s="19">
        <f>V85*V88*12*V90</f>
        <v/>
      </c>
      <c r="W91" s="19">
        <f>W85*W88*12*W90</f>
        <v/>
      </c>
      <c r="X91" s="19">
        <f>X85*X88*12*X90</f>
        <v/>
      </c>
      <c r="Y91" s="19">
        <f>Y85*Y88*12*Y90</f>
        <v/>
      </c>
      <c r="Z91" s="19">
        <f>Z85*Z88*12*Z90</f>
        <v/>
      </c>
      <c r="AA91" s="19">
        <f>AA85*AA88*12*AA90</f>
        <v/>
      </c>
      <c r="AB91" s="19">
        <f>AB85*AB88*12*AB90</f>
        <v/>
      </c>
      <c r="AC91" s="19">
        <f>AC85*AC88*12*AC90</f>
        <v/>
      </c>
      <c r="AD91" s="19">
        <f>AD85*AD88*12*AD90</f>
        <v/>
      </c>
      <c r="AE91" s="19">
        <f>AE85*AE88*12*AE90</f>
        <v/>
      </c>
      <c r="AF91" s="19">
        <f>AF85*AF88*12*AF90</f>
        <v/>
      </c>
      <c r="AG91" s="19">
        <f>AG85*AG88*12*AG90</f>
        <v/>
      </c>
      <c r="AH91" s="19">
        <f>AH85*AH88*12*AH90</f>
        <v/>
      </c>
      <c r="AI91" s="19">
        <f>AI85*AI88*12*AI90</f>
        <v/>
      </c>
    </row>
    <row r="92">
      <c r="B92" s="2" t="inlineStr">
        <is>
          <t xml:space="preserve">  Ancillary and throughput revenue</t>
        </is>
      </c>
      <c r="D92" s="19">
        <f>D91*i_T_anc</f>
        <v/>
      </c>
      <c r="E92" s="19">
        <f>E91*i_T_anc</f>
        <v/>
      </c>
      <c r="F92" s="19">
        <f>F91*i_T_anc</f>
        <v/>
      </c>
      <c r="G92" s="19">
        <f>G91*i_T_anc</f>
        <v/>
      </c>
      <c r="H92" s="19">
        <f>H91*i_T_anc</f>
        <v/>
      </c>
      <c r="I92" s="19">
        <f>I91*i_T_anc</f>
        <v/>
      </c>
      <c r="J92" s="19">
        <f>J91*i_T_anc</f>
        <v/>
      </c>
      <c r="K92" s="19">
        <f>K91*i_T_anc</f>
        <v/>
      </c>
      <c r="L92" s="19">
        <f>L91*i_T_anc</f>
        <v/>
      </c>
      <c r="M92" s="19">
        <f>M91*i_T_anc</f>
        <v/>
      </c>
      <c r="N92" s="19">
        <f>N91*i_T_anc</f>
        <v/>
      </c>
      <c r="O92" s="19">
        <f>O91*i_T_anc</f>
        <v/>
      </c>
      <c r="P92" s="19">
        <f>P91*i_T_anc</f>
        <v/>
      </c>
      <c r="Q92" s="19">
        <f>Q91*i_T_anc</f>
        <v/>
      </c>
      <c r="R92" s="19">
        <f>R91*i_T_anc</f>
        <v/>
      </c>
      <c r="S92" s="19">
        <f>S91*i_T_anc</f>
        <v/>
      </c>
      <c r="T92" s="19">
        <f>T91*i_T_anc</f>
        <v/>
      </c>
      <c r="U92" s="19">
        <f>U91*i_T_anc</f>
        <v/>
      </c>
      <c r="V92" s="19">
        <f>V91*i_T_anc</f>
        <v/>
      </c>
      <c r="W92" s="19">
        <f>W91*i_T_anc</f>
        <v/>
      </c>
      <c r="X92" s="19">
        <f>X91*i_T_anc</f>
        <v/>
      </c>
      <c r="Y92" s="19">
        <f>Y91*i_T_anc</f>
        <v/>
      </c>
      <c r="Z92" s="19">
        <f>Z91*i_T_anc</f>
        <v/>
      </c>
      <c r="AA92" s="19">
        <f>AA91*i_T_anc</f>
        <v/>
      </c>
      <c r="AB92" s="19">
        <f>AB91*i_T_anc</f>
        <v/>
      </c>
      <c r="AC92" s="19">
        <f>AC91*i_T_anc</f>
        <v/>
      </c>
      <c r="AD92" s="19">
        <f>AD91*i_T_anc</f>
        <v/>
      </c>
      <c r="AE92" s="19">
        <f>AE91*i_T_anc</f>
        <v/>
      </c>
      <c r="AF92" s="19">
        <f>AF91*i_T_anc</f>
        <v/>
      </c>
      <c r="AG92" s="19">
        <f>AG91*i_T_anc</f>
        <v/>
      </c>
      <c r="AH92" s="19">
        <f>AH91*i_T_anc</f>
        <v/>
      </c>
      <c r="AI92" s="19">
        <f>AI91*i_T_anc</f>
        <v/>
      </c>
    </row>
    <row r="93">
      <c r="B93" s="3" t="inlineStr">
        <is>
          <t xml:space="preserve">  Revenue</t>
        </is>
      </c>
      <c r="D93" s="31">
        <f>D91+D92</f>
        <v/>
      </c>
      <c r="E93" s="31">
        <f>E91+E92</f>
        <v/>
      </c>
      <c r="F93" s="31">
        <f>F91+F92</f>
        <v/>
      </c>
      <c r="G93" s="31">
        <f>G91+G92</f>
        <v/>
      </c>
      <c r="H93" s="31">
        <f>H91+H92</f>
        <v/>
      </c>
      <c r="I93" s="31">
        <f>I91+I92</f>
        <v/>
      </c>
      <c r="J93" s="31">
        <f>J91+J92</f>
        <v/>
      </c>
      <c r="K93" s="31">
        <f>K91+K92</f>
        <v/>
      </c>
      <c r="L93" s="31">
        <f>L91+L92</f>
        <v/>
      </c>
      <c r="M93" s="31">
        <f>M91+M92</f>
        <v/>
      </c>
      <c r="N93" s="31">
        <f>N91+N92</f>
        <v/>
      </c>
      <c r="O93" s="31">
        <f>O91+O92</f>
        <v/>
      </c>
      <c r="P93" s="31">
        <f>P91+P92</f>
        <v/>
      </c>
      <c r="Q93" s="31">
        <f>Q91+Q92</f>
        <v/>
      </c>
      <c r="R93" s="31">
        <f>R91+R92</f>
        <v/>
      </c>
      <c r="S93" s="31">
        <f>S91+S92</f>
        <v/>
      </c>
      <c r="T93" s="31">
        <f>T91+T92</f>
        <v/>
      </c>
      <c r="U93" s="31">
        <f>U91+U92</f>
        <v/>
      </c>
      <c r="V93" s="31">
        <f>V91+V92</f>
        <v/>
      </c>
      <c r="W93" s="31">
        <f>W91+W92</f>
        <v/>
      </c>
      <c r="X93" s="31">
        <f>X91+X92</f>
        <v/>
      </c>
      <c r="Y93" s="31">
        <f>Y91+Y92</f>
        <v/>
      </c>
      <c r="Z93" s="31">
        <f>Z91+Z92</f>
        <v/>
      </c>
      <c r="AA93" s="31">
        <f>AA91+AA92</f>
        <v/>
      </c>
      <c r="AB93" s="31">
        <f>AB91+AB92</f>
        <v/>
      </c>
      <c r="AC93" s="31">
        <f>AC91+AC92</f>
        <v/>
      </c>
      <c r="AD93" s="31">
        <f>AD91+AD92</f>
        <v/>
      </c>
      <c r="AE93" s="31">
        <f>AE91+AE92</f>
        <v/>
      </c>
      <c r="AF93" s="31">
        <f>AF91+AF92</f>
        <v/>
      </c>
      <c r="AG93" s="31">
        <f>AG91+AG92</f>
        <v/>
      </c>
      <c r="AH93" s="31">
        <f>AH91+AH92</f>
        <v/>
      </c>
      <c r="AI93" s="31">
        <f>AI91+AI92</f>
        <v/>
      </c>
    </row>
    <row r="94">
      <c r="B94" s="2" t="inlineStr">
        <is>
          <t xml:space="preserve">  Fixed cost</t>
        </is>
      </c>
      <c r="D94" s="19">
        <f>D85*i_T_fix*D49</f>
        <v/>
      </c>
      <c r="E94" s="19">
        <f>E85*i_T_fix*E49</f>
        <v/>
      </c>
      <c r="F94" s="19">
        <f>F85*i_T_fix*F49</f>
        <v/>
      </c>
      <c r="G94" s="19">
        <f>G85*i_T_fix*G49</f>
        <v/>
      </c>
      <c r="H94" s="19">
        <f>H85*i_T_fix*H49</f>
        <v/>
      </c>
      <c r="I94" s="19">
        <f>I85*i_T_fix*I49</f>
        <v/>
      </c>
      <c r="J94" s="19">
        <f>J85*i_T_fix*J49</f>
        <v/>
      </c>
      <c r="K94" s="19">
        <f>K85*i_T_fix*K49</f>
        <v/>
      </c>
      <c r="L94" s="19">
        <f>L85*i_T_fix*L49</f>
        <v/>
      </c>
      <c r="M94" s="19">
        <f>M85*i_T_fix*M49</f>
        <v/>
      </c>
      <c r="N94" s="19">
        <f>N85*i_T_fix*N49</f>
        <v/>
      </c>
      <c r="O94" s="19">
        <f>O85*i_T_fix*O49</f>
        <v/>
      </c>
      <c r="P94" s="19">
        <f>P85*i_T_fix*P49</f>
        <v/>
      </c>
      <c r="Q94" s="19">
        <f>Q85*i_T_fix*Q49</f>
        <v/>
      </c>
      <c r="R94" s="19">
        <f>R85*i_T_fix*R49</f>
        <v/>
      </c>
      <c r="S94" s="19">
        <f>S85*i_T_fix*S49</f>
        <v/>
      </c>
      <c r="T94" s="19">
        <f>T85*i_T_fix*T49</f>
        <v/>
      </c>
      <c r="U94" s="19">
        <f>U85*i_T_fix*U49</f>
        <v/>
      </c>
      <c r="V94" s="19">
        <f>V85*i_T_fix*V49</f>
        <v/>
      </c>
      <c r="W94" s="19">
        <f>W85*i_T_fix*W49</f>
        <v/>
      </c>
      <c r="X94" s="19">
        <f>X85*i_T_fix*X49</f>
        <v/>
      </c>
      <c r="Y94" s="19">
        <f>Y85*i_T_fix*Y49</f>
        <v/>
      </c>
      <c r="Z94" s="19">
        <f>Z85*i_T_fix*Z49</f>
        <v/>
      </c>
      <c r="AA94" s="19">
        <f>AA85*i_T_fix*AA49</f>
        <v/>
      </c>
      <c r="AB94" s="19">
        <f>AB85*i_T_fix*AB49</f>
        <v/>
      </c>
      <c r="AC94" s="19">
        <f>AC85*i_T_fix*AC49</f>
        <v/>
      </c>
      <c r="AD94" s="19">
        <f>AD85*i_T_fix*AD49</f>
        <v/>
      </c>
      <c r="AE94" s="19">
        <f>AE85*i_T_fix*AE49</f>
        <v/>
      </c>
      <c r="AF94" s="19">
        <f>AF85*i_T_fix*AF49</f>
        <v/>
      </c>
      <c r="AG94" s="19">
        <f>AG85*i_T_fix*AG49</f>
        <v/>
      </c>
      <c r="AH94" s="19">
        <f>AH85*i_T_fix*AH49</f>
        <v/>
      </c>
      <c r="AI94" s="19">
        <f>AI85*i_T_fix*AI49</f>
        <v/>
      </c>
    </row>
    <row r="95">
      <c r="B95" s="2" t="inlineStr">
        <is>
          <t xml:space="preserve">  Variable cost</t>
        </is>
      </c>
      <c r="D95" s="19">
        <f>i_T_var*D93</f>
        <v/>
      </c>
      <c r="E95" s="19">
        <f>i_T_var*E93</f>
        <v/>
      </c>
      <c r="F95" s="19">
        <f>i_T_var*F93</f>
        <v/>
      </c>
      <c r="G95" s="19">
        <f>i_T_var*G93</f>
        <v/>
      </c>
      <c r="H95" s="19">
        <f>i_T_var*H93</f>
        <v/>
      </c>
      <c r="I95" s="19">
        <f>i_T_var*I93</f>
        <v/>
      </c>
      <c r="J95" s="19">
        <f>i_T_var*J93</f>
        <v/>
      </c>
      <c r="K95" s="19">
        <f>i_T_var*K93</f>
        <v/>
      </c>
      <c r="L95" s="19">
        <f>i_T_var*L93</f>
        <v/>
      </c>
      <c r="M95" s="19">
        <f>i_T_var*M93</f>
        <v/>
      </c>
      <c r="N95" s="19">
        <f>i_T_var*N93</f>
        <v/>
      </c>
      <c r="O95" s="19">
        <f>i_T_var*O93</f>
        <v/>
      </c>
      <c r="P95" s="19">
        <f>i_T_var*P93</f>
        <v/>
      </c>
      <c r="Q95" s="19">
        <f>i_T_var*Q93</f>
        <v/>
      </c>
      <c r="R95" s="19">
        <f>i_T_var*R93</f>
        <v/>
      </c>
      <c r="S95" s="19">
        <f>i_T_var*S93</f>
        <v/>
      </c>
      <c r="T95" s="19">
        <f>i_T_var*T93</f>
        <v/>
      </c>
      <c r="U95" s="19">
        <f>i_T_var*U93</f>
        <v/>
      </c>
      <c r="V95" s="19">
        <f>i_T_var*V93</f>
        <v/>
      </c>
      <c r="W95" s="19">
        <f>i_T_var*W93</f>
        <v/>
      </c>
      <c r="X95" s="19">
        <f>i_T_var*X93</f>
        <v/>
      </c>
      <c r="Y95" s="19">
        <f>i_T_var*Y93</f>
        <v/>
      </c>
      <c r="Z95" s="19">
        <f>i_T_var*Z93</f>
        <v/>
      </c>
      <c r="AA95" s="19">
        <f>i_T_var*AA93</f>
        <v/>
      </c>
      <c r="AB95" s="19">
        <f>i_T_var*AB93</f>
        <v/>
      </c>
      <c r="AC95" s="19">
        <f>i_T_var*AC93</f>
        <v/>
      </c>
      <c r="AD95" s="19">
        <f>i_T_var*AD93</f>
        <v/>
      </c>
      <c r="AE95" s="19">
        <f>i_T_var*AE93</f>
        <v/>
      </c>
      <c r="AF95" s="19">
        <f>i_T_var*AF93</f>
        <v/>
      </c>
      <c r="AG95" s="19">
        <f>i_T_var*AG93</f>
        <v/>
      </c>
      <c r="AH95" s="19">
        <f>i_T_var*AH93</f>
        <v/>
      </c>
      <c r="AI95" s="19">
        <f>i_T_var*AI93</f>
        <v/>
      </c>
    </row>
    <row r="96">
      <c r="B96" s="2" t="inlineStr">
        <is>
          <t xml:space="preserve">  Operating cost</t>
        </is>
      </c>
      <c r="D96" s="19">
        <f>D94+D95</f>
        <v/>
      </c>
      <c r="E96" s="19">
        <f>E94+E95</f>
        <v/>
      </c>
      <c r="F96" s="19">
        <f>F94+F95</f>
        <v/>
      </c>
      <c r="G96" s="19">
        <f>G94+G95</f>
        <v/>
      </c>
      <c r="H96" s="19">
        <f>H94+H95</f>
        <v/>
      </c>
      <c r="I96" s="19">
        <f>I94+I95</f>
        <v/>
      </c>
      <c r="J96" s="19">
        <f>J94+J95</f>
        <v/>
      </c>
      <c r="K96" s="19">
        <f>K94+K95</f>
        <v/>
      </c>
      <c r="L96" s="19">
        <f>L94+L95</f>
        <v/>
      </c>
      <c r="M96" s="19">
        <f>M94+M95</f>
        <v/>
      </c>
      <c r="N96" s="19">
        <f>N94+N95</f>
        <v/>
      </c>
      <c r="O96" s="19">
        <f>O94+O95</f>
        <v/>
      </c>
      <c r="P96" s="19">
        <f>P94+P95</f>
        <v/>
      </c>
      <c r="Q96" s="19">
        <f>Q94+Q95</f>
        <v/>
      </c>
      <c r="R96" s="19">
        <f>R94+R95</f>
        <v/>
      </c>
      <c r="S96" s="19">
        <f>S94+S95</f>
        <v/>
      </c>
      <c r="T96" s="19">
        <f>T94+T95</f>
        <v/>
      </c>
      <c r="U96" s="19">
        <f>U94+U95</f>
        <v/>
      </c>
      <c r="V96" s="19">
        <f>V94+V95</f>
        <v/>
      </c>
      <c r="W96" s="19">
        <f>W94+W95</f>
        <v/>
      </c>
      <c r="X96" s="19">
        <f>X94+X95</f>
        <v/>
      </c>
      <c r="Y96" s="19">
        <f>Y94+Y95</f>
        <v/>
      </c>
      <c r="Z96" s="19">
        <f>Z94+Z95</f>
        <v/>
      </c>
      <c r="AA96" s="19">
        <f>AA94+AA95</f>
        <v/>
      </c>
      <c r="AB96" s="19">
        <f>AB94+AB95</f>
        <v/>
      </c>
      <c r="AC96" s="19">
        <f>AC94+AC95</f>
        <v/>
      </c>
      <c r="AD96" s="19">
        <f>AD94+AD95</f>
        <v/>
      </c>
      <c r="AE96" s="19">
        <f>AE94+AE95</f>
        <v/>
      </c>
      <c r="AF96" s="19">
        <f>AF94+AF95</f>
        <v/>
      </c>
      <c r="AG96" s="19">
        <f>AG94+AG95</f>
        <v/>
      </c>
      <c r="AH96" s="19">
        <f>AH94+AH95</f>
        <v/>
      </c>
      <c r="AI96" s="19">
        <f>AI94+AI95</f>
        <v/>
      </c>
    </row>
    <row r="97">
      <c r="B97" s="3" t="inlineStr">
        <is>
          <t xml:space="preserve">  EBITDA</t>
        </is>
      </c>
      <c r="D97" s="31">
        <f>D93-D96</f>
        <v/>
      </c>
      <c r="E97" s="31">
        <f>E93-E96</f>
        <v/>
      </c>
      <c r="F97" s="31">
        <f>F93-F96</f>
        <v/>
      </c>
      <c r="G97" s="31">
        <f>G93-G96</f>
        <v/>
      </c>
      <c r="H97" s="31">
        <f>H93-H96</f>
        <v/>
      </c>
      <c r="I97" s="31">
        <f>I93-I96</f>
        <v/>
      </c>
      <c r="J97" s="31">
        <f>J93-J96</f>
        <v/>
      </c>
      <c r="K97" s="31">
        <f>K93-K96</f>
        <v/>
      </c>
      <c r="L97" s="31">
        <f>L93-L96</f>
        <v/>
      </c>
      <c r="M97" s="31">
        <f>M93-M96</f>
        <v/>
      </c>
      <c r="N97" s="31">
        <f>N93-N96</f>
        <v/>
      </c>
      <c r="O97" s="31">
        <f>O93-O96</f>
        <v/>
      </c>
      <c r="P97" s="31">
        <f>P93-P96</f>
        <v/>
      </c>
      <c r="Q97" s="31">
        <f>Q93-Q96</f>
        <v/>
      </c>
      <c r="R97" s="31">
        <f>R93-R96</f>
        <v/>
      </c>
      <c r="S97" s="31">
        <f>S93-S96</f>
        <v/>
      </c>
      <c r="T97" s="31">
        <f>T93-T96</f>
        <v/>
      </c>
      <c r="U97" s="31">
        <f>U93-U96</f>
        <v/>
      </c>
      <c r="V97" s="31">
        <f>V93-V96</f>
        <v/>
      </c>
      <c r="W97" s="31">
        <f>W93-W96</f>
        <v/>
      </c>
      <c r="X97" s="31">
        <f>X93-X96</f>
        <v/>
      </c>
      <c r="Y97" s="31">
        <f>Y93-Y96</f>
        <v/>
      </c>
      <c r="Z97" s="31">
        <f>Z93-Z96</f>
        <v/>
      </c>
      <c r="AA97" s="31">
        <f>AA93-AA96</f>
        <v/>
      </c>
      <c r="AB97" s="31">
        <f>AB93-AB96</f>
        <v/>
      </c>
      <c r="AC97" s="31">
        <f>AC93-AC96</f>
        <v/>
      </c>
      <c r="AD97" s="31">
        <f>AD93-AD96</f>
        <v/>
      </c>
      <c r="AE97" s="31">
        <f>AE93-AE96</f>
        <v/>
      </c>
      <c r="AF97" s="31">
        <f>AF93-AF96</f>
        <v/>
      </c>
      <c r="AG97" s="31">
        <f>AG93-AG96</f>
        <v/>
      </c>
      <c r="AH97" s="31">
        <f>AH93-AH96</f>
        <v/>
      </c>
      <c r="AI97" s="31">
        <f>AI93-AI96</f>
        <v/>
      </c>
    </row>
    <row r="98">
      <c r="B98" s="2" t="inlineStr">
        <is>
          <t xml:space="preserve">  Maintenance capex</t>
        </is>
      </c>
      <c r="D98" s="19">
        <f>D85*i_T_mc*D49</f>
        <v/>
      </c>
      <c r="E98" s="19">
        <f>E85*i_T_mc*E49</f>
        <v/>
      </c>
      <c r="F98" s="19">
        <f>F85*i_T_mc*F49</f>
        <v/>
      </c>
      <c r="G98" s="19">
        <f>G85*i_T_mc*G49</f>
        <v/>
      </c>
      <c r="H98" s="19">
        <f>H85*i_T_mc*H49</f>
        <v/>
      </c>
      <c r="I98" s="19">
        <f>I85*i_T_mc*I49</f>
        <v/>
      </c>
      <c r="J98" s="19">
        <f>J85*i_T_mc*J49</f>
        <v/>
      </c>
      <c r="K98" s="19">
        <f>K85*i_T_mc*K49</f>
        <v/>
      </c>
      <c r="L98" s="19">
        <f>L85*i_T_mc*L49</f>
        <v/>
      </c>
      <c r="M98" s="19">
        <f>M85*i_T_mc*M49</f>
        <v/>
      </c>
      <c r="N98" s="19">
        <f>N85*i_T_mc*N49</f>
        <v/>
      </c>
      <c r="O98" s="19">
        <f>O85*i_T_mc*O49</f>
        <v/>
      </c>
      <c r="P98" s="19">
        <f>P85*i_T_mc*P49</f>
        <v/>
      </c>
      <c r="Q98" s="19">
        <f>Q85*i_T_mc*Q49</f>
        <v/>
      </c>
      <c r="R98" s="19">
        <f>R85*i_T_mc*R49</f>
        <v/>
      </c>
      <c r="S98" s="19">
        <f>S85*i_T_mc*S49</f>
        <v/>
      </c>
      <c r="T98" s="19">
        <f>T85*i_T_mc*T49</f>
        <v/>
      </c>
      <c r="U98" s="19">
        <f>U85*i_T_mc*U49</f>
        <v/>
      </c>
      <c r="V98" s="19">
        <f>V85*i_T_mc*V49</f>
        <v/>
      </c>
      <c r="W98" s="19">
        <f>W85*i_T_mc*W49</f>
        <v/>
      </c>
      <c r="X98" s="19">
        <f>X85*i_T_mc*X49</f>
        <v/>
      </c>
      <c r="Y98" s="19">
        <f>Y85*i_T_mc*Y49</f>
        <v/>
      </c>
      <c r="Z98" s="19">
        <f>Z85*i_T_mc*Z49</f>
        <v/>
      </c>
      <c r="AA98" s="19">
        <f>AA85*i_T_mc*AA49</f>
        <v/>
      </c>
      <c r="AB98" s="19">
        <f>AB85*i_T_mc*AB49</f>
        <v/>
      </c>
      <c r="AC98" s="19">
        <f>AC85*i_T_mc*AC49</f>
        <v/>
      </c>
      <c r="AD98" s="19">
        <f>AD85*i_T_mc*AD49</f>
        <v/>
      </c>
      <c r="AE98" s="19">
        <f>AE85*i_T_mc*AE49</f>
        <v/>
      </c>
      <c r="AF98" s="19">
        <f>AF85*i_T_mc*AF49</f>
        <v/>
      </c>
      <c r="AG98" s="19">
        <f>AG85*i_T_mc*AG49</f>
        <v/>
      </c>
      <c r="AH98" s="19">
        <f>AH85*i_T_mc*AH49</f>
        <v/>
      </c>
      <c r="AI98" s="19">
        <f>AI85*i_T_mc*AI49</f>
        <v/>
      </c>
    </row>
    <row r="99">
      <c r="B99" s="3" t="inlineStr">
        <is>
          <t>Sabine Bend</t>
        </is>
      </c>
    </row>
    <row r="100">
      <c r="B100" s="2" t="inlineStr">
        <is>
          <t xml:space="preserve">  Capacity in service (million m3)</t>
        </is>
      </c>
      <c r="D100" s="24">
        <f>i_G_cap</f>
        <v/>
      </c>
      <c r="E100" s="24">
        <f>i_G_cap</f>
        <v/>
      </c>
      <c r="F100" s="24">
        <f>i_G_cap</f>
        <v/>
      </c>
      <c r="G100" s="24">
        <f>i_G_cap</f>
        <v/>
      </c>
      <c r="H100" s="24">
        <f>i_G_cap</f>
        <v/>
      </c>
      <c r="I100" s="24">
        <f>i_G_cap</f>
        <v/>
      </c>
      <c r="J100" s="24">
        <f>i_G_cap</f>
        <v/>
      </c>
      <c r="K100" s="24">
        <f>i_G_cap</f>
        <v/>
      </c>
      <c r="L100" s="24">
        <f>i_G_cap</f>
        <v/>
      </c>
      <c r="M100" s="24">
        <f>i_G_cap</f>
        <v/>
      </c>
      <c r="N100" s="24">
        <f>i_G_cap</f>
        <v/>
      </c>
      <c r="O100" s="24">
        <f>i_G_cap</f>
        <v/>
      </c>
      <c r="P100" s="24">
        <f>i_G_cap</f>
        <v/>
      </c>
      <c r="Q100" s="24">
        <f>i_G_cap</f>
        <v/>
      </c>
      <c r="R100" s="24">
        <f>i_G_cap</f>
        <v/>
      </c>
      <c r="S100" s="24">
        <f>i_G_cap</f>
        <v/>
      </c>
      <c r="T100" s="24">
        <f>i_G_cap</f>
        <v/>
      </c>
      <c r="U100" s="24">
        <f>i_G_cap</f>
        <v/>
      </c>
      <c r="V100" s="24">
        <f>i_G_cap</f>
        <v/>
      </c>
      <c r="W100" s="24">
        <f>i_G_cap</f>
        <v/>
      </c>
      <c r="X100" s="24">
        <f>i_G_cap</f>
        <v/>
      </c>
      <c r="Y100" s="24">
        <f>i_G_cap</f>
        <v/>
      </c>
      <c r="Z100" s="24">
        <f>i_G_cap</f>
        <v/>
      </c>
      <c r="AA100" s="24">
        <f>i_G_cap</f>
        <v/>
      </c>
      <c r="AB100" s="24">
        <f>i_G_cap</f>
        <v/>
      </c>
      <c r="AC100" s="24">
        <f>i_G_cap</f>
        <v/>
      </c>
      <c r="AD100" s="24">
        <f>i_G_cap</f>
        <v/>
      </c>
      <c r="AE100" s="24">
        <f>i_G_cap</f>
        <v/>
      </c>
      <c r="AF100" s="24">
        <f>i_G_cap</f>
        <v/>
      </c>
      <c r="AG100" s="24">
        <f>i_G_cap</f>
        <v/>
      </c>
      <c r="AH100" s="24">
        <f>i_G_cap</f>
        <v/>
      </c>
      <c r="AI100" s="24">
        <f>i_G_cap</f>
        <v/>
      </c>
    </row>
    <row r="101">
      <c r="B101" s="2" t="inlineStr">
        <is>
          <t xml:space="preserve">  Share on contracts signed before 2027</t>
        </is>
      </c>
      <c r="D101" s="21">
        <f>SUMIF(i_book_years,D$3,i_G_book)</f>
        <v/>
      </c>
      <c r="E101" s="21">
        <f>SUMIF(i_book_years,E$3,i_G_book)</f>
        <v/>
      </c>
      <c r="F101" s="21">
        <f>SUMIF(i_book_years,F$3,i_G_book)</f>
        <v/>
      </c>
      <c r="G101" s="21">
        <f>SUMIF(i_book_years,G$3,i_G_book)</f>
        <v/>
      </c>
      <c r="H101" s="21">
        <f>SUMIF(i_book_years,H$3,i_G_book)</f>
        <v/>
      </c>
      <c r="I101" s="21">
        <f>SUMIF(i_book_years,I$3,i_G_book)</f>
        <v/>
      </c>
      <c r="J101" s="21">
        <f>SUMIF(i_book_years,J$3,i_G_book)</f>
        <v/>
      </c>
      <c r="K101" s="21">
        <f>SUMIF(i_book_years,K$3,i_G_book)</f>
        <v/>
      </c>
      <c r="L101" s="21">
        <f>SUMIF(i_book_years,L$3,i_G_book)</f>
        <v/>
      </c>
      <c r="M101" s="21">
        <f>SUMIF(i_book_years,M$3,i_G_book)</f>
        <v/>
      </c>
      <c r="N101" s="21">
        <f>SUMIF(i_book_years,N$3,i_G_book)</f>
        <v/>
      </c>
      <c r="O101" s="21">
        <f>SUMIF(i_book_years,O$3,i_G_book)</f>
        <v/>
      </c>
      <c r="P101" s="21">
        <f>SUMIF(i_book_years,P$3,i_G_book)</f>
        <v/>
      </c>
      <c r="Q101" s="21">
        <f>SUMIF(i_book_years,Q$3,i_G_book)</f>
        <v/>
      </c>
      <c r="R101" s="21">
        <f>SUMIF(i_book_years,R$3,i_G_book)</f>
        <v/>
      </c>
      <c r="S101" s="21">
        <f>SUMIF(i_book_years,S$3,i_G_book)</f>
        <v/>
      </c>
      <c r="T101" s="21">
        <f>SUMIF(i_book_years,T$3,i_G_book)</f>
        <v/>
      </c>
      <c r="U101" s="21">
        <f>SUMIF(i_book_years,U$3,i_G_book)</f>
        <v/>
      </c>
      <c r="V101" s="21">
        <f>SUMIF(i_book_years,V$3,i_G_book)</f>
        <v/>
      </c>
      <c r="W101" s="21">
        <f>SUMIF(i_book_years,W$3,i_G_book)</f>
        <v/>
      </c>
      <c r="X101" s="21">
        <f>SUMIF(i_book_years,X$3,i_G_book)</f>
        <v/>
      </c>
      <c r="Y101" s="21">
        <f>SUMIF(i_book_years,Y$3,i_G_book)</f>
        <v/>
      </c>
      <c r="Z101" s="21">
        <f>SUMIF(i_book_years,Z$3,i_G_book)</f>
        <v/>
      </c>
      <c r="AA101" s="21">
        <f>SUMIF(i_book_years,AA$3,i_G_book)</f>
        <v/>
      </c>
      <c r="AB101" s="21">
        <f>SUMIF(i_book_years,AB$3,i_G_book)</f>
        <v/>
      </c>
      <c r="AC101" s="21">
        <f>SUMIF(i_book_years,AC$3,i_G_book)</f>
        <v/>
      </c>
      <c r="AD101" s="21">
        <f>SUMIF(i_book_years,AD$3,i_G_book)</f>
        <v/>
      </c>
      <c r="AE101" s="21">
        <f>SUMIF(i_book_years,AE$3,i_G_book)</f>
        <v/>
      </c>
      <c r="AF101" s="21">
        <f>SUMIF(i_book_years,AF$3,i_G_book)</f>
        <v/>
      </c>
      <c r="AG101" s="21">
        <f>SUMIF(i_book_years,AG$3,i_G_book)</f>
        <v/>
      </c>
      <c r="AH101" s="21">
        <f>SUMIF(i_book_years,AH$3,i_G_book)</f>
        <v/>
      </c>
      <c r="AI101" s="21">
        <f>SUMIF(i_book_years,AI$3,i_G_book)</f>
        <v/>
      </c>
    </row>
    <row r="102">
      <c r="B102" s="2" t="inlineStr">
        <is>
          <t xml:space="preserve">  Recontracting factor against current rates</t>
        </is>
      </c>
      <c r="D102" s="21">
        <f>IF(D$4=0,0,IF(DCF!$C$39=1,i_G_mtm,i_G_mtm_plan)+DCF!$C$45)</f>
        <v/>
      </c>
      <c r="E102" s="21">
        <f>IF(E$4=0,0,IF(DCF!$C$39=1,i_G_mtm,i_G_mtm_plan)+DCF!$C$45)</f>
        <v/>
      </c>
      <c r="F102" s="21">
        <f>IF(F$4=0,0,IF(DCF!$C$39=1,i_G_mtm,i_G_mtm_plan)+DCF!$C$45)</f>
        <v/>
      </c>
      <c r="G102" s="21">
        <f>IF(G$4=0,0,IF(DCF!$C$39=1,i_G_mtm,i_G_mtm_plan)+DCF!$C$45)</f>
        <v/>
      </c>
      <c r="H102" s="21">
        <f>IF(H$4=0,0,IF(DCF!$C$39=1,i_G_mtm,i_G_mtm_plan)+DCF!$C$45)</f>
        <v/>
      </c>
      <c r="I102" s="21">
        <f>IF(I$4=0,0,IF(DCF!$C$39=1,i_G_mtm,i_G_mtm_plan)+DCF!$C$45)</f>
        <v/>
      </c>
      <c r="J102" s="21">
        <f>IF(J$4=0,0,IF(DCF!$C$39=1,i_G_mtm,i_G_mtm_plan)+DCF!$C$45)</f>
        <v/>
      </c>
      <c r="K102" s="21">
        <f>IF(K$4=0,0,IF(DCF!$C$39=1,i_G_mtm,i_G_mtm_plan)+DCF!$C$45)</f>
        <v/>
      </c>
      <c r="L102" s="21">
        <f>IF(L$4=0,0,IF(DCF!$C$39=1,i_G_mtm,i_G_mtm_plan)+DCF!$C$45)</f>
        <v/>
      </c>
      <c r="M102" s="21">
        <f>IF(M$4=0,0,IF(DCF!$C$39=1,i_G_mtm,i_G_mtm_plan)+DCF!$C$45)</f>
        <v/>
      </c>
      <c r="N102" s="21">
        <f>IF(N$4=0,0,IF(DCF!$C$39=1,i_G_mtm,i_G_mtm_plan)+DCF!$C$45)</f>
        <v/>
      </c>
      <c r="O102" s="21">
        <f>IF(O$4=0,0,IF(DCF!$C$39=1,i_G_mtm,i_G_mtm_plan)+DCF!$C$45)</f>
        <v/>
      </c>
      <c r="P102" s="21">
        <f>IF(P$4=0,0,IF(DCF!$C$39=1,i_G_mtm,i_G_mtm_plan)+DCF!$C$45)</f>
        <v/>
      </c>
      <c r="Q102" s="21">
        <f>IF(Q$4=0,0,IF(DCF!$C$39=1,i_G_mtm,i_G_mtm_plan)+DCF!$C$45)</f>
        <v/>
      </c>
      <c r="R102" s="21">
        <f>IF(R$4=0,0,IF(DCF!$C$39=1,i_G_mtm,i_G_mtm_plan)+DCF!$C$45)</f>
        <v/>
      </c>
      <c r="S102" s="21">
        <f>IF(S$4=0,0,IF(DCF!$C$39=1,i_G_mtm,i_G_mtm_plan)+DCF!$C$45)</f>
        <v/>
      </c>
      <c r="T102" s="21">
        <f>IF(T$4=0,0,IF(DCF!$C$39=1,i_G_mtm,i_G_mtm_plan)+DCF!$C$45)</f>
        <v/>
      </c>
      <c r="U102" s="21">
        <f>IF(U$4=0,0,IF(DCF!$C$39=1,i_G_mtm,i_G_mtm_plan)+DCF!$C$45)</f>
        <v/>
      </c>
      <c r="V102" s="21">
        <f>IF(V$4=0,0,IF(DCF!$C$39=1,i_G_mtm,i_G_mtm_plan)+DCF!$C$45)</f>
        <v/>
      </c>
      <c r="W102" s="21">
        <f>IF(W$4=0,0,IF(DCF!$C$39=1,i_G_mtm,i_G_mtm_plan)+DCF!$C$45)</f>
        <v/>
      </c>
      <c r="X102" s="21">
        <f>IF(X$4=0,0,IF(DCF!$C$39=1,i_G_mtm,i_G_mtm_plan)+DCF!$C$45)</f>
        <v/>
      </c>
      <c r="Y102" s="21">
        <f>IF(Y$4=0,0,IF(DCF!$C$39=1,i_G_mtm,i_G_mtm_plan)+DCF!$C$45)</f>
        <v/>
      </c>
      <c r="Z102" s="21">
        <f>IF(Z$4=0,0,IF(DCF!$C$39=1,i_G_mtm,i_G_mtm_plan)+DCF!$C$45)</f>
        <v/>
      </c>
      <c r="AA102" s="21">
        <f>IF(AA$4=0,0,IF(DCF!$C$39=1,i_G_mtm,i_G_mtm_plan)+DCF!$C$45)</f>
        <v/>
      </c>
      <c r="AB102" s="21">
        <f>IF(AB$4=0,0,IF(DCF!$C$39=1,i_G_mtm,i_G_mtm_plan)+DCF!$C$45)</f>
        <v/>
      </c>
      <c r="AC102" s="21">
        <f>IF(AC$4=0,0,IF(DCF!$C$39=1,i_G_mtm,i_G_mtm_plan)+DCF!$C$45)</f>
        <v/>
      </c>
      <c r="AD102" s="21">
        <f>IF(AD$4=0,0,IF(DCF!$C$39=1,i_G_mtm,i_G_mtm_plan)+DCF!$C$45)</f>
        <v/>
      </c>
      <c r="AE102" s="21">
        <f>IF(AE$4=0,0,IF(DCF!$C$39=1,i_G_mtm,i_G_mtm_plan)+DCF!$C$45)</f>
        <v/>
      </c>
      <c r="AF102" s="21">
        <f>IF(AF$4=0,0,IF(DCF!$C$39=1,i_G_mtm,i_G_mtm_plan)+DCF!$C$45)</f>
        <v/>
      </c>
      <c r="AG102" s="21">
        <f>IF(AG$4=0,0,IF(DCF!$C$39=1,i_G_mtm,i_G_mtm_plan)+DCF!$C$45)</f>
        <v/>
      </c>
      <c r="AH102" s="21">
        <f>IF(AH$4=0,0,IF(DCF!$C$39=1,i_G_mtm,i_G_mtm_plan)+DCF!$C$45)</f>
        <v/>
      </c>
      <c r="AI102" s="21">
        <f>IF(AI$4=0,0,IF(DCF!$C$39=1,i_G_mtm,i_G_mtm_plan)+DCF!$C$45)</f>
        <v/>
      </c>
    </row>
    <row r="103">
      <c r="B103" s="2" t="inlineStr">
        <is>
          <t xml:space="preserve">  Average rate ($ per m3 per month)</t>
        </is>
      </c>
      <c r="D103" s="24">
        <f>i_G_rate*D50*(D101+(1-D101)*(1+D102))</f>
        <v/>
      </c>
      <c r="E103" s="24">
        <f>i_G_rate*E50*(E101+(1-E101)*(1+E102))</f>
        <v/>
      </c>
      <c r="F103" s="24">
        <f>i_G_rate*F50*(F101+(1-F101)*(1+F102))</f>
        <v/>
      </c>
      <c r="G103" s="24">
        <f>i_G_rate*G50*(G101+(1-G101)*(1+G102))</f>
        <v/>
      </c>
      <c r="H103" s="24">
        <f>i_G_rate*H50*(H101+(1-H101)*(1+H102))</f>
        <v/>
      </c>
      <c r="I103" s="24">
        <f>i_G_rate*I50*(I101+(1-I101)*(1+I102))</f>
        <v/>
      </c>
      <c r="J103" s="24">
        <f>i_G_rate*J50*(J101+(1-J101)*(1+J102))</f>
        <v/>
      </c>
      <c r="K103" s="24">
        <f>i_G_rate*K50*(K101+(1-K101)*(1+K102))</f>
        <v/>
      </c>
      <c r="L103" s="24">
        <f>i_G_rate*L50*(L101+(1-L101)*(1+L102))</f>
        <v/>
      </c>
      <c r="M103" s="24">
        <f>i_G_rate*M50*(M101+(1-M101)*(1+M102))</f>
        <v/>
      </c>
      <c r="N103" s="24">
        <f>i_G_rate*N50*(N101+(1-N101)*(1+N102))</f>
        <v/>
      </c>
      <c r="O103" s="24">
        <f>i_G_rate*O50*(O101+(1-O101)*(1+O102))</f>
        <v/>
      </c>
      <c r="P103" s="24">
        <f>i_G_rate*P50*(P101+(1-P101)*(1+P102))</f>
        <v/>
      </c>
      <c r="Q103" s="24">
        <f>i_G_rate*Q50*(Q101+(1-Q101)*(1+Q102))</f>
        <v/>
      </c>
      <c r="R103" s="24">
        <f>i_G_rate*R50*(R101+(1-R101)*(1+R102))</f>
        <v/>
      </c>
      <c r="S103" s="24">
        <f>i_G_rate*S50*(S101+(1-S101)*(1+S102))</f>
        <v/>
      </c>
      <c r="T103" s="24">
        <f>i_G_rate*T50*(T101+(1-T101)*(1+T102))</f>
        <v/>
      </c>
      <c r="U103" s="24">
        <f>i_G_rate*U50*(U101+(1-U101)*(1+U102))</f>
        <v/>
      </c>
      <c r="V103" s="24">
        <f>i_G_rate*V50*(V101+(1-V101)*(1+V102))</f>
        <v/>
      </c>
      <c r="W103" s="24">
        <f>i_G_rate*W50*(W101+(1-W101)*(1+W102))</f>
        <v/>
      </c>
      <c r="X103" s="24">
        <f>i_G_rate*X50*(X101+(1-X101)*(1+X102))</f>
        <v/>
      </c>
      <c r="Y103" s="24">
        <f>i_G_rate*Y50*(Y101+(1-Y101)*(1+Y102))</f>
        <v/>
      </c>
      <c r="Z103" s="24">
        <f>i_G_rate*Z50*(Z101+(1-Z101)*(1+Z102))</f>
        <v/>
      </c>
      <c r="AA103" s="24">
        <f>i_G_rate*AA50*(AA101+(1-AA101)*(1+AA102))</f>
        <v/>
      </c>
      <c r="AB103" s="24">
        <f>i_G_rate*AB50*(AB101+(1-AB101)*(1+AB102))</f>
        <v/>
      </c>
      <c r="AC103" s="24">
        <f>i_G_rate*AC50*(AC101+(1-AC101)*(1+AC102))</f>
        <v/>
      </c>
      <c r="AD103" s="24">
        <f>i_G_rate*AD50*(AD101+(1-AD101)*(1+AD102))</f>
        <v/>
      </c>
      <c r="AE103" s="24">
        <f>i_G_rate*AE50*(AE101+(1-AE101)*(1+AE102))</f>
        <v/>
      </c>
      <c r="AF103" s="24">
        <f>i_G_rate*AF50*(AF101+(1-AF101)*(1+AF102))</f>
        <v/>
      </c>
      <c r="AG103" s="24">
        <f>i_G_rate*AG50*(AG101+(1-AG101)*(1+AG102))</f>
        <v/>
      </c>
      <c r="AH103" s="24">
        <f>i_G_rate*AH50*(AH101+(1-AH101)*(1+AH102))</f>
        <v/>
      </c>
      <c r="AI103" s="24">
        <f>i_G_rate*AI50*(AI101+(1-AI101)*(1+AI102))</f>
        <v/>
      </c>
    </row>
    <row r="104">
      <c r="B104" s="2" t="inlineStr">
        <is>
          <t xml:space="preserve">  Occupancy after the transition decline and floor</t>
        </is>
      </c>
      <c r="D104" s="21">
        <f>IF(D$3&gt;i_trans_start,MAX(i_G_floor,i_G_occ-i_G_dec*(D$3-i_trans_start)),i_G_occ)</f>
        <v/>
      </c>
      <c r="E104" s="21">
        <f>IF(E$3&gt;i_trans_start,MAX(i_G_floor,i_G_occ-i_G_dec*(E$3-i_trans_start)),i_G_occ)</f>
        <v/>
      </c>
      <c r="F104" s="21">
        <f>IF(F$3&gt;i_trans_start,MAX(i_G_floor,i_G_occ-i_G_dec*(F$3-i_trans_start)),i_G_occ)</f>
        <v/>
      </c>
      <c r="G104" s="21">
        <f>IF(G$3&gt;i_trans_start,MAX(i_G_floor,i_G_occ-i_G_dec*(G$3-i_trans_start)),i_G_occ)</f>
        <v/>
      </c>
      <c r="H104" s="21">
        <f>IF(H$3&gt;i_trans_start,MAX(i_G_floor,i_G_occ-i_G_dec*(H$3-i_trans_start)),i_G_occ)</f>
        <v/>
      </c>
      <c r="I104" s="21">
        <f>IF(I$3&gt;i_trans_start,MAX(i_G_floor,i_G_occ-i_G_dec*(I$3-i_trans_start)),i_G_occ)</f>
        <v/>
      </c>
      <c r="J104" s="21">
        <f>IF(J$3&gt;i_trans_start,MAX(i_G_floor,i_G_occ-i_G_dec*(J$3-i_trans_start)),i_G_occ)</f>
        <v/>
      </c>
      <c r="K104" s="21">
        <f>IF(K$3&gt;i_trans_start,MAX(i_G_floor,i_G_occ-i_G_dec*(K$3-i_trans_start)),i_G_occ)</f>
        <v/>
      </c>
      <c r="L104" s="21">
        <f>IF(L$3&gt;i_trans_start,MAX(i_G_floor,i_G_occ-i_G_dec*(L$3-i_trans_start)),i_G_occ)</f>
        <v/>
      </c>
      <c r="M104" s="21">
        <f>IF(M$3&gt;i_trans_start,MAX(i_G_floor,i_G_occ-i_G_dec*(M$3-i_trans_start)),i_G_occ)</f>
        <v/>
      </c>
      <c r="N104" s="21">
        <f>IF(N$3&gt;i_trans_start,MAX(i_G_floor,i_G_occ-i_G_dec*(N$3-i_trans_start)),i_G_occ)</f>
        <v/>
      </c>
      <c r="O104" s="21">
        <f>IF(O$3&gt;i_trans_start,MAX(i_G_floor,i_G_occ-i_G_dec*(O$3-i_trans_start)),i_G_occ)</f>
        <v/>
      </c>
      <c r="P104" s="21">
        <f>IF(P$3&gt;i_trans_start,MAX(i_G_floor,i_G_occ-i_G_dec*(P$3-i_trans_start)),i_G_occ)</f>
        <v/>
      </c>
      <c r="Q104" s="21">
        <f>IF(Q$3&gt;i_trans_start,MAX(i_G_floor,i_G_occ-i_G_dec*(Q$3-i_trans_start)),i_G_occ)</f>
        <v/>
      </c>
      <c r="R104" s="21">
        <f>IF(R$3&gt;i_trans_start,MAX(i_G_floor,i_G_occ-i_G_dec*(R$3-i_trans_start)),i_G_occ)</f>
        <v/>
      </c>
      <c r="S104" s="21">
        <f>IF(S$3&gt;i_trans_start,MAX(i_G_floor,i_G_occ-i_G_dec*(S$3-i_trans_start)),i_G_occ)</f>
        <v/>
      </c>
      <c r="T104" s="21">
        <f>IF(T$3&gt;i_trans_start,MAX(i_G_floor,i_G_occ-i_G_dec*(T$3-i_trans_start)),i_G_occ)</f>
        <v/>
      </c>
      <c r="U104" s="21">
        <f>IF(U$3&gt;i_trans_start,MAX(i_G_floor,i_G_occ-i_G_dec*(U$3-i_trans_start)),i_G_occ)</f>
        <v/>
      </c>
      <c r="V104" s="21">
        <f>IF(V$3&gt;i_trans_start,MAX(i_G_floor,i_G_occ-i_G_dec*(V$3-i_trans_start)),i_G_occ)</f>
        <v/>
      </c>
      <c r="W104" s="21">
        <f>IF(W$3&gt;i_trans_start,MAX(i_G_floor,i_G_occ-i_G_dec*(W$3-i_trans_start)),i_G_occ)</f>
        <v/>
      </c>
      <c r="X104" s="21">
        <f>IF(X$3&gt;i_trans_start,MAX(i_G_floor,i_G_occ-i_G_dec*(X$3-i_trans_start)),i_G_occ)</f>
        <v/>
      </c>
      <c r="Y104" s="21">
        <f>IF(Y$3&gt;i_trans_start,MAX(i_G_floor,i_G_occ-i_G_dec*(Y$3-i_trans_start)),i_G_occ)</f>
        <v/>
      </c>
      <c r="Z104" s="21">
        <f>IF(Z$3&gt;i_trans_start,MAX(i_G_floor,i_G_occ-i_G_dec*(Z$3-i_trans_start)),i_G_occ)</f>
        <v/>
      </c>
      <c r="AA104" s="21">
        <f>IF(AA$3&gt;i_trans_start,MAX(i_G_floor,i_G_occ-i_G_dec*(AA$3-i_trans_start)),i_G_occ)</f>
        <v/>
      </c>
      <c r="AB104" s="21">
        <f>IF(AB$3&gt;i_trans_start,MAX(i_G_floor,i_G_occ-i_G_dec*(AB$3-i_trans_start)),i_G_occ)</f>
        <v/>
      </c>
      <c r="AC104" s="21">
        <f>IF(AC$3&gt;i_trans_start,MAX(i_G_floor,i_G_occ-i_G_dec*(AC$3-i_trans_start)),i_G_occ)</f>
        <v/>
      </c>
      <c r="AD104" s="21">
        <f>IF(AD$3&gt;i_trans_start,MAX(i_G_floor,i_G_occ-i_G_dec*(AD$3-i_trans_start)),i_G_occ)</f>
        <v/>
      </c>
      <c r="AE104" s="21">
        <f>IF(AE$3&gt;i_trans_start,MAX(i_G_floor,i_G_occ-i_G_dec*(AE$3-i_trans_start)),i_G_occ)</f>
        <v/>
      </c>
      <c r="AF104" s="21">
        <f>IF(AF$3&gt;i_trans_start,MAX(i_G_floor,i_G_occ-i_G_dec*(AF$3-i_trans_start)),i_G_occ)</f>
        <v/>
      </c>
      <c r="AG104" s="21">
        <f>IF(AG$3&gt;i_trans_start,MAX(i_G_floor,i_G_occ-i_G_dec*(AG$3-i_trans_start)),i_G_occ)</f>
        <v/>
      </c>
      <c r="AH104" s="21">
        <f>IF(AH$3&gt;i_trans_start,MAX(i_G_floor,i_G_occ-i_G_dec*(AH$3-i_trans_start)),i_G_occ)</f>
        <v/>
      </c>
      <c r="AI104" s="21">
        <f>IF(AI$3&gt;i_trans_start,MAX(i_G_floor,i_G_occ-i_G_dec*(AI$3-i_trans_start)),i_G_occ)</f>
        <v/>
      </c>
    </row>
    <row r="105">
      <c r="B105" s="2" t="inlineStr">
        <is>
          <t xml:space="preserve">  Occupancy (with the shift switch from 2027)</t>
        </is>
      </c>
      <c r="D105" s="21">
        <f>IF(D$4&gt;0,MIN(1,D104+DCF!$C$44),D104)</f>
        <v/>
      </c>
      <c r="E105" s="21">
        <f>IF(E$4&gt;0,MIN(1,E104+DCF!$C$44),E104)</f>
        <v/>
      </c>
      <c r="F105" s="21">
        <f>IF(F$4&gt;0,MIN(1,F104+DCF!$C$44),F104)</f>
        <v/>
      </c>
      <c r="G105" s="21">
        <f>IF(G$4&gt;0,MIN(1,G104+DCF!$C$44),G104)</f>
        <v/>
      </c>
      <c r="H105" s="21">
        <f>IF(H$4&gt;0,MIN(1,H104+DCF!$C$44),H104)</f>
        <v/>
      </c>
      <c r="I105" s="21">
        <f>IF(I$4&gt;0,MIN(1,I104+DCF!$C$44),I104)</f>
        <v/>
      </c>
      <c r="J105" s="21">
        <f>IF(J$4&gt;0,MIN(1,J104+DCF!$C$44),J104)</f>
        <v/>
      </c>
      <c r="K105" s="21">
        <f>IF(K$4&gt;0,MIN(1,K104+DCF!$C$44),K104)</f>
        <v/>
      </c>
      <c r="L105" s="21">
        <f>IF(L$4&gt;0,MIN(1,L104+DCF!$C$44),L104)</f>
        <v/>
      </c>
      <c r="M105" s="21">
        <f>IF(M$4&gt;0,MIN(1,M104+DCF!$C$44),M104)</f>
        <v/>
      </c>
      <c r="N105" s="21">
        <f>IF(N$4&gt;0,MIN(1,N104+DCF!$C$44),N104)</f>
        <v/>
      </c>
      <c r="O105" s="21">
        <f>IF(O$4&gt;0,MIN(1,O104+DCF!$C$44),O104)</f>
        <v/>
      </c>
      <c r="P105" s="21">
        <f>IF(P$4&gt;0,MIN(1,P104+DCF!$C$44),P104)</f>
        <v/>
      </c>
      <c r="Q105" s="21">
        <f>IF(Q$4&gt;0,MIN(1,Q104+DCF!$C$44),Q104)</f>
        <v/>
      </c>
      <c r="R105" s="21">
        <f>IF(R$4&gt;0,MIN(1,R104+DCF!$C$44),R104)</f>
        <v/>
      </c>
      <c r="S105" s="21">
        <f>IF(S$4&gt;0,MIN(1,S104+DCF!$C$44),S104)</f>
        <v/>
      </c>
      <c r="T105" s="21">
        <f>IF(T$4&gt;0,MIN(1,T104+DCF!$C$44),T104)</f>
        <v/>
      </c>
      <c r="U105" s="21">
        <f>IF(U$4&gt;0,MIN(1,U104+DCF!$C$44),U104)</f>
        <v/>
      </c>
      <c r="V105" s="21">
        <f>IF(V$4&gt;0,MIN(1,V104+DCF!$C$44),V104)</f>
        <v/>
      </c>
      <c r="W105" s="21">
        <f>IF(W$4&gt;0,MIN(1,W104+DCF!$C$44),W104)</f>
        <v/>
      </c>
      <c r="X105" s="21">
        <f>IF(X$4&gt;0,MIN(1,X104+DCF!$C$44),X104)</f>
        <v/>
      </c>
      <c r="Y105" s="21">
        <f>IF(Y$4&gt;0,MIN(1,Y104+DCF!$C$44),Y104)</f>
        <v/>
      </c>
      <c r="Z105" s="21">
        <f>IF(Z$4&gt;0,MIN(1,Z104+DCF!$C$44),Z104)</f>
        <v/>
      </c>
      <c r="AA105" s="21">
        <f>IF(AA$4&gt;0,MIN(1,AA104+DCF!$C$44),AA104)</f>
        <v/>
      </c>
      <c r="AB105" s="21">
        <f>IF(AB$4&gt;0,MIN(1,AB104+DCF!$C$44),AB104)</f>
        <v/>
      </c>
      <c r="AC105" s="21">
        <f>IF(AC$4&gt;0,MIN(1,AC104+DCF!$C$44),AC104)</f>
        <v/>
      </c>
      <c r="AD105" s="21">
        <f>IF(AD$4&gt;0,MIN(1,AD104+DCF!$C$44),AD104)</f>
        <v/>
      </c>
      <c r="AE105" s="21">
        <f>IF(AE$4&gt;0,MIN(1,AE104+DCF!$C$44),AE104)</f>
        <v/>
      </c>
      <c r="AF105" s="21">
        <f>IF(AF$4&gt;0,MIN(1,AF104+DCF!$C$44),AF104)</f>
        <v/>
      </c>
      <c r="AG105" s="21">
        <f>IF(AG$4&gt;0,MIN(1,AG104+DCF!$C$44),AG104)</f>
        <v/>
      </c>
      <c r="AH105" s="21">
        <f>IF(AH$4&gt;0,MIN(1,AH104+DCF!$C$44),AH104)</f>
        <v/>
      </c>
      <c r="AI105" s="21">
        <f>IF(AI$4&gt;0,MIN(1,AI104+DCF!$C$44),AI104)</f>
        <v/>
      </c>
    </row>
    <row r="106">
      <c r="B106" s="2" t="inlineStr">
        <is>
          <t xml:space="preserve">  Storage revenue</t>
        </is>
      </c>
      <c r="D106" s="19">
        <f>D100*D103*12*D105</f>
        <v/>
      </c>
      <c r="E106" s="19">
        <f>E100*E103*12*E105</f>
        <v/>
      </c>
      <c r="F106" s="19">
        <f>F100*F103*12*F105</f>
        <v/>
      </c>
      <c r="G106" s="19">
        <f>G100*G103*12*G105</f>
        <v/>
      </c>
      <c r="H106" s="19">
        <f>H100*H103*12*H105</f>
        <v/>
      </c>
      <c r="I106" s="19">
        <f>I100*I103*12*I105</f>
        <v/>
      </c>
      <c r="J106" s="19">
        <f>J100*J103*12*J105</f>
        <v/>
      </c>
      <c r="K106" s="19">
        <f>K100*K103*12*K105</f>
        <v/>
      </c>
      <c r="L106" s="19">
        <f>L100*L103*12*L105</f>
        <v/>
      </c>
      <c r="M106" s="19">
        <f>M100*M103*12*M105</f>
        <v/>
      </c>
      <c r="N106" s="19">
        <f>N100*N103*12*N105</f>
        <v/>
      </c>
      <c r="O106" s="19">
        <f>O100*O103*12*O105</f>
        <v/>
      </c>
      <c r="P106" s="19">
        <f>P100*P103*12*P105</f>
        <v/>
      </c>
      <c r="Q106" s="19">
        <f>Q100*Q103*12*Q105</f>
        <v/>
      </c>
      <c r="R106" s="19">
        <f>R100*R103*12*R105</f>
        <v/>
      </c>
      <c r="S106" s="19">
        <f>S100*S103*12*S105</f>
        <v/>
      </c>
      <c r="T106" s="19">
        <f>T100*T103*12*T105</f>
        <v/>
      </c>
      <c r="U106" s="19">
        <f>U100*U103*12*U105</f>
        <v/>
      </c>
      <c r="V106" s="19">
        <f>V100*V103*12*V105</f>
        <v/>
      </c>
      <c r="W106" s="19">
        <f>W100*W103*12*W105</f>
        <v/>
      </c>
      <c r="X106" s="19">
        <f>X100*X103*12*X105</f>
        <v/>
      </c>
      <c r="Y106" s="19">
        <f>Y100*Y103*12*Y105</f>
        <v/>
      </c>
      <c r="Z106" s="19">
        <f>Z100*Z103*12*Z105</f>
        <v/>
      </c>
      <c r="AA106" s="19">
        <f>AA100*AA103*12*AA105</f>
        <v/>
      </c>
      <c r="AB106" s="19">
        <f>AB100*AB103*12*AB105</f>
        <v/>
      </c>
      <c r="AC106" s="19">
        <f>AC100*AC103*12*AC105</f>
        <v/>
      </c>
      <c r="AD106" s="19">
        <f>AD100*AD103*12*AD105</f>
        <v/>
      </c>
      <c r="AE106" s="19">
        <f>AE100*AE103*12*AE105</f>
        <v/>
      </c>
      <c r="AF106" s="19">
        <f>AF100*AF103*12*AF105</f>
        <v/>
      </c>
      <c r="AG106" s="19">
        <f>AG100*AG103*12*AG105</f>
        <v/>
      </c>
      <c r="AH106" s="19">
        <f>AH100*AH103*12*AH105</f>
        <v/>
      </c>
      <c r="AI106" s="19">
        <f>AI100*AI103*12*AI105</f>
        <v/>
      </c>
    </row>
    <row r="107">
      <c r="B107" s="2" t="inlineStr">
        <is>
          <t xml:space="preserve">  Ancillary and throughput revenue</t>
        </is>
      </c>
      <c r="D107" s="19">
        <f>D106*i_G_anc</f>
        <v/>
      </c>
      <c r="E107" s="19">
        <f>E106*i_G_anc</f>
        <v/>
      </c>
      <c r="F107" s="19">
        <f>F106*i_G_anc</f>
        <v/>
      </c>
      <c r="G107" s="19">
        <f>G106*i_G_anc</f>
        <v/>
      </c>
      <c r="H107" s="19">
        <f>H106*i_G_anc</f>
        <v/>
      </c>
      <c r="I107" s="19">
        <f>I106*i_G_anc</f>
        <v/>
      </c>
      <c r="J107" s="19">
        <f>J106*i_G_anc</f>
        <v/>
      </c>
      <c r="K107" s="19">
        <f>K106*i_G_anc</f>
        <v/>
      </c>
      <c r="L107" s="19">
        <f>L106*i_G_anc</f>
        <v/>
      </c>
      <c r="M107" s="19">
        <f>M106*i_G_anc</f>
        <v/>
      </c>
      <c r="N107" s="19">
        <f>N106*i_G_anc</f>
        <v/>
      </c>
      <c r="O107" s="19">
        <f>O106*i_G_anc</f>
        <v/>
      </c>
      <c r="P107" s="19">
        <f>P106*i_G_anc</f>
        <v/>
      </c>
      <c r="Q107" s="19">
        <f>Q106*i_G_anc</f>
        <v/>
      </c>
      <c r="R107" s="19">
        <f>R106*i_G_anc</f>
        <v/>
      </c>
      <c r="S107" s="19">
        <f>S106*i_G_anc</f>
        <v/>
      </c>
      <c r="T107" s="19">
        <f>T106*i_G_anc</f>
        <v/>
      </c>
      <c r="U107" s="19">
        <f>U106*i_G_anc</f>
        <v/>
      </c>
      <c r="V107" s="19">
        <f>V106*i_G_anc</f>
        <v/>
      </c>
      <c r="W107" s="19">
        <f>W106*i_G_anc</f>
        <v/>
      </c>
      <c r="X107" s="19">
        <f>X106*i_G_anc</f>
        <v/>
      </c>
      <c r="Y107" s="19">
        <f>Y106*i_G_anc</f>
        <v/>
      </c>
      <c r="Z107" s="19">
        <f>Z106*i_G_anc</f>
        <v/>
      </c>
      <c r="AA107" s="19">
        <f>AA106*i_G_anc</f>
        <v/>
      </c>
      <c r="AB107" s="19">
        <f>AB106*i_G_anc</f>
        <v/>
      </c>
      <c r="AC107" s="19">
        <f>AC106*i_G_anc</f>
        <v/>
      </c>
      <c r="AD107" s="19">
        <f>AD106*i_G_anc</f>
        <v/>
      </c>
      <c r="AE107" s="19">
        <f>AE106*i_G_anc</f>
        <v/>
      </c>
      <c r="AF107" s="19">
        <f>AF106*i_G_anc</f>
        <v/>
      </c>
      <c r="AG107" s="19">
        <f>AG106*i_G_anc</f>
        <v/>
      </c>
      <c r="AH107" s="19">
        <f>AH106*i_G_anc</f>
        <v/>
      </c>
      <c r="AI107" s="19">
        <f>AI106*i_G_anc</f>
        <v/>
      </c>
    </row>
    <row r="108">
      <c r="B108" s="3" t="inlineStr">
        <is>
          <t xml:space="preserve">  Revenue</t>
        </is>
      </c>
      <c r="D108" s="31">
        <f>D106+D107</f>
        <v/>
      </c>
      <c r="E108" s="31">
        <f>E106+E107</f>
        <v/>
      </c>
      <c r="F108" s="31">
        <f>F106+F107</f>
        <v/>
      </c>
      <c r="G108" s="31">
        <f>G106+G107</f>
        <v/>
      </c>
      <c r="H108" s="31">
        <f>H106+H107</f>
        <v/>
      </c>
      <c r="I108" s="31">
        <f>I106+I107</f>
        <v/>
      </c>
      <c r="J108" s="31">
        <f>J106+J107</f>
        <v/>
      </c>
      <c r="K108" s="31">
        <f>K106+K107</f>
        <v/>
      </c>
      <c r="L108" s="31">
        <f>L106+L107</f>
        <v/>
      </c>
      <c r="M108" s="31">
        <f>M106+M107</f>
        <v/>
      </c>
      <c r="N108" s="31">
        <f>N106+N107</f>
        <v/>
      </c>
      <c r="O108" s="31">
        <f>O106+O107</f>
        <v/>
      </c>
      <c r="P108" s="31">
        <f>P106+P107</f>
        <v/>
      </c>
      <c r="Q108" s="31">
        <f>Q106+Q107</f>
        <v/>
      </c>
      <c r="R108" s="31">
        <f>R106+R107</f>
        <v/>
      </c>
      <c r="S108" s="31">
        <f>S106+S107</f>
        <v/>
      </c>
      <c r="T108" s="31">
        <f>T106+T107</f>
        <v/>
      </c>
      <c r="U108" s="31">
        <f>U106+U107</f>
        <v/>
      </c>
      <c r="V108" s="31">
        <f>V106+V107</f>
        <v/>
      </c>
      <c r="W108" s="31">
        <f>W106+W107</f>
        <v/>
      </c>
      <c r="X108" s="31">
        <f>X106+X107</f>
        <v/>
      </c>
      <c r="Y108" s="31">
        <f>Y106+Y107</f>
        <v/>
      </c>
      <c r="Z108" s="31">
        <f>Z106+Z107</f>
        <v/>
      </c>
      <c r="AA108" s="31">
        <f>AA106+AA107</f>
        <v/>
      </c>
      <c r="AB108" s="31">
        <f>AB106+AB107</f>
        <v/>
      </c>
      <c r="AC108" s="31">
        <f>AC106+AC107</f>
        <v/>
      </c>
      <c r="AD108" s="31">
        <f>AD106+AD107</f>
        <v/>
      </c>
      <c r="AE108" s="31">
        <f>AE106+AE107</f>
        <v/>
      </c>
      <c r="AF108" s="31">
        <f>AF106+AF107</f>
        <v/>
      </c>
      <c r="AG108" s="31">
        <f>AG106+AG107</f>
        <v/>
      </c>
      <c r="AH108" s="31">
        <f>AH106+AH107</f>
        <v/>
      </c>
      <c r="AI108" s="31">
        <f>AI106+AI107</f>
        <v/>
      </c>
    </row>
    <row r="109">
      <c r="B109" s="2" t="inlineStr">
        <is>
          <t xml:space="preserve">  Fixed cost</t>
        </is>
      </c>
      <c r="D109" s="19">
        <f>D100*i_G_fix*D49</f>
        <v/>
      </c>
      <c r="E109" s="19">
        <f>E100*i_G_fix*E49</f>
        <v/>
      </c>
      <c r="F109" s="19">
        <f>F100*i_G_fix*F49</f>
        <v/>
      </c>
      <c r="G109" s="19">
        <f>G100*i_G_fix*G49</f>
        <v/>
      </c>
      <c r="H109" s="19">
        <f>H100*i_G_fix*H49</f>
        <v/>
      </c>
      <c r="I109" s="19">
        <f>I100*i_G_fix*I49</f>
        <v/>
      </c>
      <c r="J109" s="19">
        <f>J100*i_G_fix*J49</f>
        <v/>
      </c>
      <c r="K109" s="19">
        <f>K100*i_G_fix*K49</f>
        <v/>
      </c>
      <c r="L109" s="19">
        <f>L100*i_G_fix*L49</f>
        <v/>
      </c>
      <c r="M109" s="19">
        <f>M100*i_G_fix*M49</f>
        <v/>
      </c>
      <c r="N109" s="19">
        <f>N100*i_G_fix*N49</f>
        <v/>
      </c>
      <c r="O109" s="19">
        <f>O100*i_G_fix*O49</f>
        <v/>
      </c>
      <c r="P109" s="19">
        <f>P100*i_G_fix*P49</f>
        <v/>
      </c>
      <c r="Q109" s="19">
        <f>Q100*i_G_fix*Q49</f>
        <v/>
      </c>
      <c r="R109" s="19">
        <f>R100*i_G_fix*R49</f>
        <v/>
      </c>
      <c r="S109" s="19">
        <f>S100*i_G_fix*S49</f>
        <v/>
      </c>
      <c r="T109" s="19">
        <f>T100*i_G_fix*T49</f>
        <v/>
      </c>
      <c r="U109" s="19">
        <f>U100*i_G_fix*U49</f>
        <v/>
      </c>
      <c r="V109" s="19">
        <f>V100*i_G_fix*V49</f>
        <v/>
      </c>
      <c r="W109" s="19">
        <f>W100*i_G_fix*W49</f>
        <v/>
      </c>
      <c r="X109" s="19">
        <f>X100*i_G_fix*X49</f>
        <v/>
      </c>
      <c r="Y109" s="19">
        <f>Y100*i_G_fix*Y49</f>
        <v/>
      </c>
      <c r="Z109" s="19">
        <f>Z100*i_G_fix*Z49</f>
        <v/>
      </c>
      <c r="AA109" s="19">
        <f>AA100*i_G_fix*AA49</f>
        <v/>
      </c>
      <c r="AB109" s="19">
        <f>AB100*i_G_fix*AB49</f>
        <v/>
      </c>
      <c r="AC109" s="19">
        <f>AC100*i_G_fix*AC49</f>
        <v/>
      </c>
      <c r="AD109" s="19">
        <f>AD100*i_G_fix*AD49</f>
        <v/>
      </c>
      <c r="AE109" s="19">
        <f>AE100*i_G_fix*AE49</f>
        <v/>
      </c>
      <c r="AF109" s="19">
        <f>AF100*i_G_fix*AF49</f>
        <v/>
      </c>
      <c r="AG109" s="19">
        <f>AG100*i_G_fix*AG49</f>
        <v/>
      </c>
      <c r="AH109" s="19">
        <f>AH100*i_G_fix*AH49</f>
        <v/>
      </c>
      <c r="AI109" s="19">
        <f>AI100*i_G_fix*AI49</f>
        <v/>
      </c>
    </row>
    <row r="110">
      <c r="B110" s="2" t="inlineStr">
        <is>
          <t xml:space="preserve">  Variable cost</t>
        </is>
      </c>
      <c r="D110" s="19">
        <f>i_G_var*D108</f>
        <v/>
      </c>
      <c r="E110" s="19">
        <f>i_G_var*E108</f>
        <v/>
      </c>
      <c r="F110" s="19">
        <f>i_G_var*F108</f>
        <v/>
      </c>
      <c r="G110" s="19">
        <f>i_G_var*G108</f>
        <v/>
      </c>
      <c r="H110" s="19">
        <f>i_G_var*H108</f>
        <v/>
      </c>
      <c r="I110" s="19">
        <f>i_G_var*I108</f>
        <v/>
      </c>
      <c r="J110" s="19">
        <f>i_G_var*J108</f>
        <v/>
      </c>
      <c r="K110" s="19">
        <f>i_G_var*K108</f>
        <v/>
      </c>
      <c r="L110" s="19">
        <f>i_G_var*L108</f>
        <v/>
      </c>
      <c r="M110" s="19">
        <f>i_G_var*M108</f>
        <v/>
      </c>
      <c r="N110" s="19">
        <f>i_G_var*N108</f>
        <v/>
      </c>
      <c r="O110" s="19">
        <f>i_G_var*O108</f>
        <v/>
      </c>
      <c r="P110" s="19">
        <f>i_G_var*P108</f>
        <v/>
      </c>
      <c r="Q110" s="19">
        <f>i_G_var*Q108</f>
        <v/>
      </c>
      <c r="R110" s="19">
        <f>i_G_var*R108</f>
        <v/>
      </c>
      <c r="S110" s="19">
        <f>i_G_var*S108</f>
        <v/>
      </c>
      <c r="T110" s="19">
        <f>i_G_var*T108</f>
        <v/>
      </c>
      <c r="U110" s="19">
        <f>i_G_var*U108</f>
        <v/>
      </c>
      <c r="V110" s="19">
        <f>i_G_var*V108</f>
        <v/>
      </c>
      <c r="W110" s="19">
        <f>i_G_var*W108</f>
        <v/>
      </c>
      <c r="X110" s="19">
        <f>i_G_var*X108</f>
        <v/>
      </c>
      <c r="Y110" s="19">
        <f>i_G_var*Y108</f>
        <v/>
      </c>
      <c r="Z110" s="19">
        <f>i_G_var*Z108</f>
        <v/>
      </c>
      <c r="AA110" s="19">
        <f>i_G_var*AA108</f>
        <v/>
      </c>
      <c r="AB110" s="19">
        <f>i_G_var*AB108</f>
        <v/>
      </c>
      <c r="AC110" s="19">
        <f>i_G_var*AC108</f>
        <v/>
      </c>
      <c r="AD110" s="19">
        <f>i_G_var*AD108</f>
        <v/>
      </c>
      <c r="AE110" s="19">
        <f>i_G_var*AE108</f>
        <v/>
      </c>
      <c r="AF110" s="19">
        <f>i_G_var*AF108</f>
        <v/>
      </c>
      <c r="AG110" s="19">
        <f>i_G_var*AG108</f>
        <v/>
      </c>
      <c r="AH110" s="19">
        <f>i_G_var*AH108</f>
        <v/>
      </c>
      <c r="AI110" s="19">
        <f>i_G_var*AI108</f>
        <v/>
      </c>
    </row>
    <row r="111">
      <c r="B111" s="2" t="inlineStr">
        <is>
          <t xml:space="preserve">  Extra windstorm insurance</t>
        </is>
      </c>
      <c r="D111" s="19">
        <f>IF(D$4&gt;0,DCF!$C$42*i_g_ins*D49,0)</f>
        <v/>
      </c>
      <c r="E111" s="19">
        <f>IF(E$4&gt;0,DCF!$C$42*i_g_ins*E49,0)</f>
        <v/>
      </c>
      <c r="F111" s="19">
        <f>IF(F$4&gt;0,DCF!$C$42*i_g_ins*F49,0)</f>
        <v/>
      </c>
      <c r="G111" s="19">
        <f>IF(G$4&gt;0,DCF!$C$42*i_g_ins*G49,0)</f>
        <v/>
      </c>
      <c r="H111" s="19">
        <f>IF(H$4&gt;0,DCF!$C$42*i_g_ins*H49,0)</f>
        <v/>
      </c>
      <c r="I111" s="19">
        <f>IF(I$4&gt;0,DCF!$C$42*i_g_ins*I49,0)</f>
        <v/>
      </c>
      <c r="J111" s="19">
        <f>IF(J$4&gt;0,DCF!$C$42*i_g_ins*J49,0)</f>
        <v/>
      </c>
      <c r="K111" s="19">
        <f>IF(K$4&gt;0,DCF!$C$42*i_g_ins*K49,0)</f>
        <v/>
      </c>
      <c r="L111" s="19">
        <f>IF(L$4&gt;0,DCF!$C$42*i_g_ins*L49,0)</f>
        <v/>
      </c>
      <c r="M111" s="19">
        <f>IF(M$4&gt;0,DCF!$C$42*i_g_ins*M49,0)</f>
        <v/>
      </c>
      <c r="N111" s="19">
        <f>IF(N$4&gt;0,DCF!$C$42*i_g_ins*N49,0)</f>
        <v/>
      </c>
      <c r="O111" s="19">
        <f>IF(O$4&gt;0,DCF!$C$42*i_g_ins*O49,0)</f>
        <v/>
      </c>
      <c r="P111" s="19">
        <f>IF(P$4&gt;0,DCF!$C$42*i_g_ins*P49,0)</f>
        <v/>
      </c>
      <c r="Q111" s="19">
        <f>IF(Q$4&gt;0,DCF!$C$42*i_g_ins*Q49,0)</f>
        <v/>
      </c>
      <c r="R111" s="19">
        <f>IF(R$4&gt;0,DCF!$C$42*i_g_ins*R49,0)</f>
        <v/>
      </c>
      <c r="S111" s="19">
        <f>IF(S$4&gt;0,DCF!$C$42*i_g_ins*S49,0)</f>
        <v/>
      </c>
      <c r="T111" s="19">
        <f>IF(T$4&gt;0,DCF!$C$42*i_g_ins*T49,0)</f>
        <v/>
      </c>
      <c r="U111" s="19">
        <f>IF(U$4&gt;0,DCF!$C$42*i_g_ins*U49,0)</f>
        <v/>
      </c>
      <c r="V111" s="19">
        <f>IF(V$4&gt;0,DCF!$C$42*i_g_ins*V49,0)</f>
        <v/>
      </c>
      <c r="W111" s="19">
        <f>IF(W$4&gt;0,DCF!$C$42*i_g_ins*W49,0)</f>
        <v/>
      </c>
      <c r="X111" s="19">
        <f>IF(X$4&gt;0,DCF!$C$42*i_g_ins*X49,0)</f>
        <v/>
      </c>
      <c r="Y111" s="19">
        <f>IF(Y$4&gt;0,DCF!$C$42*i_g_ins*Y49,0)</f>
        <v/>
      </c>
      <c r="Z111" s="19">
        <f>IF(Z$4&gt;0,DCF!$C$42*i_g_ins*Z49,0)</f>
        <v/>
      </c>
      <c r="AA111" s="19">
        <f>IF(AA$4&gt;0,DCF!$C$42*i_g_ins*AA49,0)</f>
        <v/>
      </c>
      <c r="AB111" s="19">
        <f>IF(AB$4&gt;0,DCF!$C$42*i_g_ins*AB49,0)</f>
        <v/>
      </c>
      <c r="AC111" s="19">
        <f>IF(AC$4&gt;0,DCF!$C$42*i_g_ins*AC49,0)</f>
        <v/>
      </c>
      <c r="AD111" s="19">
        <f>IF(AD$4&gt;0,DCF!$C$42*i_g_ins*AD49,0)</f>
        <v/>
      </c>
      <c r="AE111" s="19">
        <f>IF(AE$4&gt;0,DCF!$C$42*i_g_ins*AE49,0)</f>
        <v/>
      </c>
      <c r="AF111" s="19">
        <f>IF(AF$4&gt;0,DCF!$C$42*i_g_ins*AF49,0)</f>
        <v/>
      </c>
      <c r="AG111" s="19">
        <f>IF(AG$4&gt;0,DCF!$C$42*i_g_ins*AG49,0)</f>
        <v/>
      </c>
      <c r="AH111" s="19">
        <f>IF(AH$4&gt;0,DCF!$C$42*i_g_ins*AH49,0)</f>
        <v/>
      </c>
      <c r="AI111" s="19">
        <f>IF(AI$4&gt;0,DCF!$C$42*i_g_ins*AI49,0)</f>
        <v/>
      </c>
    </row>
    <row r="112">
      <c r="B112" s="2" t="inlineStr">
        <is>
          <t xml:space="preserve">  Operating cost</t>
        </is>
      </c>
      <c r="D112" s="19">
        <f>D109+D110+D111</f>
        <v/>
      </c>
      <c r="E112" s="19">
        <f>E109+E110+E111</f>
        <v/>
      </c>
      <c r="F112" s="19">
        <f>F109+F110+F111</f>
        <v/>
      </c>
      <c r="G112" s="19">
        <f>G109+G110+G111</f>
        <v/>
      </c>
      <c r="H112" s="19">
        <f>H109+H110+H111</f>
        <v/>
      </c>
      <c r="I112" s="19">
        <f>I109+I110+I111</f>
        <v/>
      </c>
      <c r="J112" s="19">
        <f>J109+J110+J111</f>
        <v/>
      </c>
      <c r="K112" s="19">
        <f>K109+K110+K111</f>
        <v/>
      </c>
      <c r="L112" s="19">
        <f>L109+L110+L111</f>
        <v/>
      </c>
      <c r="M112" s="19">
        <f>M109+M110+M111</f>
        <v/>
      </c>
      <c r="N112" s="19">
        <f>N109+N110+N111</f>
        <v/>
      </c>
      <c r="O112" s="19">
        <f>O109+O110+O111</f>
        <v/>
      </c>
      <c r="P112" s="19">
        <f>P109+P110+P111</f>
        <v/>
      </c>
      <c r="Q112" s="19">
        <f>Q109+Q110+Q111</f>
        <v/>
      </c>
      <c r="R112" s="19">
        <f>R109+R110+R111</f>
        <v/>
      </c>
      <c r="S112" s="19">
        <f>S109+S110+S111</f>
        <v/>
      </c>
      <c r="T112" s="19">
        <f>T109+T110+T111</f>
        <v/>
      </c>
      <c r="U112" s="19">
        <f>U109+U110+U111</f>
        <v/>
      </c>
      <c r="V112" s="19">
        <f>V109+V110+V111</f>
        <v/>
      </c>
      <c r="W112" s="19">
        <f>W109+W110+W111</f>
        <v/>
      </c>
      <c r="X112" s="19">
        <f>X109+X110+X111</f>
        <v/>
      </c>
      <c r="Y112" s="19">
        <f>Y109+Y110+Y111</f>
        <v/>
      </c>
      <c r="Z112" s="19">
        <f>Z109+Z110+Z111</f>
        <v/>
      </c>
      <c r="AA112" s="19">
        <f>AA109+AA110+AA111</f>
        <v/>
      </c>
      <c r="AB112" s="19">
        <f>AB109+AB110+AB111</f>
        <v/>
      </c>
      <c r="AC112" s="19">
        <f>AC109+AC110+AC111</f>
        <v/>
      </c>
      <c r="AD112" s="19">
        <f>AD109+AD110+AD111</f>
        <v/>
      </c>
      <c r="AE112" s="19">
        <f>AE109+AE110+AE111</f>
        <v/>
      </c>
      <c r="AF112" s="19">
        <f>AF109+AF110+AF111</f>
        <v/>
      </c>
      <c r="AG112" s="19">
        <f>AG109+AG110+AG111</f>
        <v/>
      </c>
      <c r="AH112" s="19">
        <f>AH109+AH110+AH111</f>
        <v/>
      </c>
      <c r="AI112" s="19">
        <f>AI109+AI110+AI111</f>
        <v/>
      </c>
    </row>
    <row r="113">
      <c r="B113" s="3" t="inlineStr">
        <is>
          <t xml:space="preserve">  EBITDA</t>
        </is>
      </c>
      <c r="D113" s="31">
        <f>D108-D112</f>
        <v/>
      </c>
      <c r="E113" s="31">
        <f>E108-E112</f>
        <v/>
      </c>
      <c r="F113" s="31">
        <f>F108-F112</f>
        <v/>
      </c>
      <c r="G113" s="31">
        <f>G108-G112</f>
        <v/>
      </c>
      <c r="H113" s="31">
        <f>H108-H112</f>
        <v/>
      </c>
      <c r="I113" s="31">
        <f>I108-I112</f>
        <v/>
      </c>
      <c r="J113" s="31">
        <f>J108-J112</f>
        <v/>
      </c>
      <c r="K113" s="31">
        <f>K108-K112</f>
        <v/>
      </c>
      <c r="L113" s="31">
        <f>L108-L112</f>
        <v/>
      </c>
      <c r="M113" s="31">
        <f>M108-M112</f>
        <v/>
      </c>
      <c r="N113" s="31">
        <f>N108-N112</f>
        <v/>
      </c>
      <c r="O113" s="31">
        <f>O108-O112</f>
        <v/>
      </c>
      <c r="P113" s="31">
        <f>P108-P112</f>
        <v/>
      </c>
      <c r="Q113" s="31">
        <f>Q108-Q112</f>
        <v/>
      </c>
      <c r="R113" s="31">
        <f>R108-R112</f>
        <v/>
      </c>
      <c r="S113" s="31">
        <f>S108-S112</f>
        <v/>
      </c>
      <c r="T113" s="31">
        <f>T108-T112</f>
        <v/>
      </c>
      <c r="U113" s="31">
        <f>U108-U112</f>
        <v/>
      </c>
      <c r="V113" s="31">
        <f>V108-V112</f>
        <v/>
      </c>
      <c r="W113" s="31">
        <f>W108-W112</f>
        <v/>
      </c>
      <c r="X113" s="31">
        <f>X108-X112</f>
        <v/>
      </c>
      <c r="Y113" s="31">
        <f>Y108-Y112</f>
        <v/>
      </c>
      <c r="Z113" s="31">
        <f>Z108-Z112</f>
        <v/>
      </c>
      <c r="AA113" s="31">
        <f>AA108-AA112</f>
        <v/>
      </c>
      <c r="AB113" s="31">
        <f>AB108-AB112</f>
        <v/>
      </c>
      <c r="AC113" s="31">
        <f>AC108-AC112</f>
        <v/>
      </c>
      <c r="AD113" s="31">
        <f>AD108-AD112</f>
        <v/>
      </c>
      <c r="AE113" s="31">
        <f>AE108-AE112</f>
        <v/>
      </c>
      <c r="AF113" s="31">
        <f>AF108-AF112</f>
        <v/>
      </c>
      <c r="AG113" s="31">
        <f>AG108-AG112</f>
        <v/>
      </c>
      <c r="AH113" s="31">
        <f>AH108-AH112</f>
        <v/>
      </c>
      <c r="AI113" s="31">
        <f>AI108-AI112</f>
        <v/>
      </c>
    </row>
    <row r="114">
      <c r="B114" s="2" t="inlineStr">
        <is>
          <t xml:space="preserve">  Maintenance capex</t>
        </is>
      </c>
      <c r="D114" s="19">
        <f>D100*i_G_mc*D49</f>
        <v/>
      </c>
      <c r="E114" s="19">
        <f>E100*i_G_mc*E49</f>
        <v/>
      </c>
      <c r="F114" s="19">
        <f>F100*i_G_mc*F49</f>
        <v/>
      </c>
      <c r="G114" s="19">
        <f>G100*i_G_mc*G49</f>
        <v/>
      </c>
      <c r="H114" s="19">
        <f>H100*i_G_mc*H49</f>
        <v/>
      </c>
      <c r="I114" s="19">
        <f>I100*i_G_mc*I49</f>
        <v/>
      </c>
      <c r="J114" s="19">
        <f>J100*i_G_mc*J49</f>
        <v/>
      </c>
      <c r="K114" s="19">
        <f>K100*i_G_mc*K49</f>
        <v/>
      </c>
      <c r="L114" s="19">
        <f>L100*i_G_mc*L49</f>
        <v/>
      </c>
      <c r="M114" s="19">
        <f>M100*i_G_mc*M49</f>
        <v/>
      </c>
      <c r="N114" s="19">
        <f>N100*i_G_mc*N49</f>
        <v/>
      </c>
      <c r="O114" s="19">
        <f>O100*i_G_mc*O49</f>
        <v/>
      </c>
      <c r="P114" s="19">
        <f>P100*i_G_mc*P49</f>
        <v/>
      </c>
      <c r="Q114" s="19">
        <f>Q100*i_G_mc*Q49</f>
        <v/>
      </c>
      <c r="R114" s="19">
        <f>R100*i_G_mc*R49</f>
        <v/>
      </c>
      <c r="S114" s="19">
        <f>S100*i_G_mc*S49</f>
        <v/>
      </c>
      <c r="T114" s="19">
        <f>T100*i_G_mc*T49</f>
        <v/>
      </c>
      <c r="U114" s="19">
        <f>U100*i_G_mc*U49</f>
        <v/>
      </c>
      <c r="V114" s="19">
        <f>V100*i_G_mc*V49</f>
        <v/>
      </c>
      <c r="W114" s="19">
        <f>W100*i_G_mc*W49</f>
        <v/>
      </c>
      <c r="X114" s="19">
        <f>X100*i_G_mc*X49</f>
        <v/>
      </c>
      <c r="Y114" s="19">
        <f>Y100*i_G_mc*Y49</f>
        <v/>
      </c>
      <c r="Z114" s="19">
        <f>Z100*i_G_mc*Z49</f>
        <v/>
      </c>
      <c r="AA114" s="19">
        <f>AA100*i_G_mc*AA49</f>
        <v/>
      </c>
      <c r="AB114" s="19">
        <f>AB100*i_G_mc*AB49</f>
        <v/>
      </c>
      <c r="AC114" s="19">
        <f>AC100*i_G_mc*AC49</f>
        <v/>
      </c>
      <c r="AD114" s="19">
        <f>AD100*i_G_mc*AD49</f>
        <v/>
      </c>
      <c r="AE114" s="19">
        <f>AE100*i_G_mc*AE49</f>
        <v/>
      </c>
      <c r="AF114" s="19">
        <f>AF100*i_G_mc*AF49</f>
        <v/>
      </c>
      <c r="AG114" s="19">
        <f>AG100*i_G_mc*AG49</f>
        <v/>
      </c>
      <c r="AH114" s="19">
        <f>AH100*i_G_mc*AH49</f>
        <v/>
      </c>
      <c r="AI114" s="19">
        <f>AI100*i_G_mc*AI49</f>
        <v/>
      </c>
    </row>
    <row r="115">
      <c r="B115" s="3" t="inlineStr">
        <is>
          <t>Sabine Bend expansion (renewable fuels)</t>
        </is>
      </c>
    </row>
    <row r="116">
      <c r="B116" s="2" t="inlineStr">
        <is>
          <t xml:space="preserve">  Growth capex</t>
        </is>
      </c>
      <c r="D116" s="19">
        <f>DCF!$C$43*SUMIF(i_exp_capex_years,D$3,i_exp_capex_vals)*D49</f>
        <v/>
      </c>
      <c r="E116" s="19">
        <f>DCF!$C$43*SUMIF(i_exp_capex_years,E$3,i_exp_capex_vals)*E49</f>
        <v/>
      </c>
      <c r="F116" s="19">
        <f>DCF!$C$43*SUMIF(i_exp_capex_years,F$3,i_exp_capex_vals)*F49</f>
        <v/>
      </c>
      <c r="G116" s="19">
        <f>DCF!$C$43*SUMIF(i_exp_capex_years,G$3,i_exp_capex_vals)*G49</f>
        <v/>
      </c>
      <c r="H116" s="19">
        <f>DCF!$C$43*SUMIF(i_exp_capex_years,H$3,i_exp_capex_vals)*H49</f>
        <v/>
      </c>
      <c r="I116" s="19">
        <f>DCF!$C$43*SUMIF(i_exp_capex_years,I$3,i_exp_capex_vals)*I49</f>
        <v/>
      </c>
      <c r="J116" s="19">
        <f>DCF!$C$43*SUMIF(i_exp_capex_years,J$3,i_exp_capex_vals)*J49</f>
        <v/>
      </c>
      <c r="K116" s="19">
        <f>DCF!$C$43*SUMIF(i_exp_capex_years,K$3,i_exp_capex_vals)*K49</f>
        <v/>
      </c>
      <c r="L116" s="19">
        <f>DCF!$C$43*SUMIF(i_exp_capex_years,L$3,i_exp_capex_vals)*L49</f>
        <v/>
      </c>
      <c r="M116" s="19">
        <f>DCF!$C$43*SUMIF(i_exp_capex_years,M$3,i_exp_capex_vals)*M49</f>
        <v/>
      </c>
      <c r="N116" s="19">
        <f>DCF!$C$43*SUMIF(i_exp_capex_years,N$3,i_exp_capex_vals)*N49</f>
        <v/>
      </c>
      <c r="O116" s="19">
        <f>DCF!$C$43*SUMIF(i_exp_capex_years,O$3,i_exp_capex_vals)*O49</f>
        <v/>
      </c>
      <c r="P116" s="19">
        <f>DCF!$C$43*SUMIF(i_exp_capex_years,P$3,i_exp_capex_vals)*P49</f>
        <v/>
      </c>
      <c r="Q116" s="19">
        <f>DCF!$C$43*SUMIF(i_exp_capex_years,Q$3,i_exp_capex_vals)*Q49</f>
        <v/>
      </c>
      <c r="R116" s="19">
        <f>DCF!$C$43*SUMIF(i_exp_capex_years,R$3,i_exp_capex_vals)*R49</f>
        <v/>
      </c>
      <c r="S116" s="19">
        <f>DCF!$C$43*SUMIF(i_exp_capex_years,S$3,i_exp_capex_vals)*S49</f>
        <v/>
      </c>
      <c r="T116" s="19">
        <f>DCF!$C$43*SUMIF(i_exp_capex_years,T$3,i_exp_capex_vals)*T49</f>
        <v/>
      </c>
      <c r="U116" s="19">
        <f>DCF!$C$43*SUMIF(i_exp_capex_years,U$3,i_exp_capex_vals)*U49</f>
        <v/>
      </c>
      <c r="V116" s="19">
        <f>DCF!$C$43*SUMIF(i_exp_capex_years,V$3,i_exp_capex_vals)*V49</f>
        <v/>
      </c>
      <c r="W116" s="19">
        <f>DCF!$C$43*SUMIF(i_exp_capex_years,W$3,i_exp_capex_vals)*W49</f>
        <v/>
      </c>
      <c r="X116" s="19">
        <f>DCF!$C$43*SUMIF(i_exp_capex_years,X$3,i_exp_capex_vals)*X49</f>
        <v/>
      </c>
      <c r="Y116" s="19">
        <f>DCF!$C$43*SUMIF(i_exp_capex_years,Y$3,i_exp_capex_vals)*Y49</f>
        <v/>
      </c>
      <c r="Z116" s="19">
        <f>DCF!$C$43*SUMIF(i_exp_capex_years,Z$3,i_exp_capex_vals)*Z49</f>
        <v/>
      </c>
      <c r="AA116" s="19">
        <f>DCF!$C$43*SUMIF(i_exp_capex_years,AA$3,i_exp_capex_vals)*AA49</f>
        <v/>
      </c>
      <c r="AB116" s="19">
        <f>DCF!$C$43*SUMIF(i_exp_capex_years,AB$3,i_exp_capex_vals)*AB49</f>
        <v/>
      </c>
      <c r="AC116" s="19">
        <f>DCF!$C$43*SUMIF(i_exp_capex_years,AC$3,i_exp_capex_vals)*AC49</f>
        <v/>
      </c>
      <c r="AD116" s="19">
        <f>DCF!$C$43*SUMIF(i_exp_capex_years,AD$3,i_exp_capex_vals)*AD49</f>
        <v/>
      </c>
      <c r="AE116" s="19">
        <f>DCF!$C$43*SUMIF(i_exp_capex_years,AE$3,i_exp_capex_vals)*AE49</f>
        <v/>
      </c>
      <c r="AF116" s="19">
        <f>DCF!$C$43*SUMIF(i_exp_capex_years,AF$3,i_exp_capex_vals)*AF49</f>
        <v/>
      </c>
      <c r="AG116" s="19">
        <f>DCF!$C$43*SUMIF(i_exp_capex_years,AG$3,i_exp_capex_vals)*AG49</f>
        <v/>
      </c>
      <c r="AH116" s="19">
        <f>DCF!$C$43*SUMIF(i_exp_capex_years,AH$3,i_exp_capex_vals)*AH49</f>
        <v/>
      </c>
      <c r="AI116" s="19">
        <f>DCF!$C$43*SUMIF(i_exp_capex_years,AI$3,i_exp_capex_vals)*AI49</f>
        <v/>
      </c>
    </row>
    <row r="117">
      <c r="B117" s="2" t="inlineStr">
        <is>
          <t xml:space="preserve">  Operating (1/0)</t>
        </is>
      </c>
      <c r="D117" s="22">
        <f>IF(D$3&gt;=i_exp_start,DCF!$C$43,0)</f>
        <v/>
      </c>
      <c r="E117" s="22">
        <f>IF(E$3&gt;=i_exp_start,DCF!$C$43,0)</f>
        <v/>
      </c>
      <c r="F117" s="22">
        <f>IF(F$3&gt;=i_exp_start,DCF!$C$43,0)</f>
        <v/>
      </c>
      <c r="G117" s="22">
        <f>IF(G$3&gt;=i_exp_start,DCF!$C$43,0)</f>
        <v/>
      </c>
      <c r="H117" s="22">
        <f>IF(H$3&gt;=i_exp_start,DCF!$C$43,0)</f>
        <v/>
      </c>
      <c r="I117" s="22">
        <f>IF(I$3&gt;=i_exp_start,DCF!$C$43,0)</f>
        <v/>
      </c>
      <c r="J117" s="22">
        <f>IF(J$3&gt;=i_exp_start,DCF!$C$43,0)</f>
        <v/>
      </c>
      <c r="K117" s="22">
        <f>IF(K$3&gt;=i_exp_start,DCF!$C$43,0)</f>
        <v/>
      </c>
      <c r="L117" s="22">
        <f>IF(L$3&gt;=i_exp_start,DCF!$C$43,0)</f>
        <v/>
      </c>
      <c r="M117" s="22">
        <f>IF(M$3&gt;=i_exp_start,DCF!$C$43,0)</f>
        <v/>
      </c>
      <c r="N117" s="22">
        <f>IF(N$3&gt;=i_exp_start,DCF!$C$43,0)</f>
        <v/>
      </c>
      <c r="O117" s="22">
        <f>IF(O$3&gt;=i_exp_start,DCF!$C$43,0)</f>
        <v/>
      </c>
      <c r="P117" s="22">
        <f>IF(P$3&gt;=i_exp_start,DCF!$C$43,0)</f>
        <v/>
      </c>
      <c r="Q117" s="22">
        <f>IF(Q$3&gt;=i_exp_start,DCF!$C$43,0)</f>
        <v/>
      </c>
      <c r="R117" s="22">
        <f>IF(R$3&gt;=i_exp_start,DCF!$C$43,0)</f>
        <v/>
      </c>
      <c r="S117" s="22">
        <f>IF(S$3&gt;=i_exp_start,DCF!$C$43,0)</f>
        <v/>
      </c>
      <c r="T117" s="22">
        <f>IF(T$3&gt;=i_exp_start,DCF!$C$43,0)</f>
        <v/>
      </c>
      <c r="U117" s="22">
        <f>IF(U$3&gt;=i_exp_start,DCF!$C$43,0)</f>
        <v/>
      </c>
      <c r="V117" s="22">
        <f>IF(V$3&gt;=i_exp_start,DCF!$C$43,0)</f>
        <v/>
      </c>
      <c r="W117" s="22">
        <f>IF(W$3&gt;=i_exp_start,DCF!$C$43,0)</f>
        <v/>
      </c>
      <c r="X117" s="22">
        <f>IF(X$3&gt;=i_exp_start,DCF!$C$43,0)</f>
        <v/>
      </c>
      <c r="Y117" s="22">
        <f>IF(Y$3&gt;=i_exp_start,DCF!$C$43,0)</f>
        <v/>
      </c>
      <c r="Z117" s="22">
        <f>IF(Z$3&gt;=i_exp_start,DCF!$C$43,0)</f>
        <v/>
      </c>
      <c r="AA117" s="22">
        <f>IF(AA$3&gt;=i_exp_start,DCF!$C$43,0)</f>
        <v/>
      </c>
      <c r="AB117" s="22">
        <f>IF(AB$3&gt;=i_exp_start,DCF!$C$43,0)</f>
        <v/>
      </c>
      <c r="AC117" s="22">
        <f>IF(AC$3&gt;=i_exp_start,DCF!$C$43,0)</f>
        <v/>
      </c>
      <c r="AD117" s="22">
        <f>IF(AD$3&gt;=i_exp_start,DCF!$C$43,0)</f>
        <v/>
      </c>
      <c r="AE117" s="22">
        <f>IF(AE$3&gt;=i_exp_start,DCF!$C$43,0)</f>
        <v/>
      </c>
      <c r="AF117" s="22">
        <f>IF(AF$3&gt;=i_exp_start,DCF!$C$43,0)</f>
        <v/>
      </c>
      <c r="AG117" s="22">
        <f>IF(AG$3&gt;=i_exp_start,DCF!$C$43,0)</f>
        <v/>
      </c>
      <c r="AH117" s="22">
        <f>IF(AH$3&gt;=i_exp_start,DCF!$C$43,0)</f>
        <v/>
      </c>
      <c r="AI117" s="22">
        <f>IF(AI$3&gt;=i_exp_start,DCF!$C$43,0)</f>
        <v/>
      </c>
    </row>
    <row r="118">
      <c r="B118" s="2" t="inlineStr">
        <is>
          <t xml:space="preserve">  Under the anchor contract (1/0)</t>
        </is>
      </c>
      <c r="D118" s="22">
        <f>IF(D$3&lt;i_exp_start+i_exp_years,1,0)</f>
        <v/>
      </c>
      <c r="E118" s="22">
        <f>IF(E$3&lt;i_exp_start+i_exp_years,1,0)</f>
        <v/>
      </c>
      <c r="F118" s="22">
        <f>IF(F$3&lt;i_exp_start+i_exp_years,1,0)</f>
        <v/>
      </c>
      <c r="G118" s="22">
        <f>IF(G$3&lt;i_exp_start+i_exp_years,1,0)</f>
        <v/>
      </c>
      <c r="H118" s="22">
        <f>IF(H$3&lt;i_exp_start+i_exp_years,1,0)</f>
        <v/>
      </c>
      <c r="I118" s="22">
        <f>IF(I$3&lt;i_exp_start+i_exp_years,1,0)</f>
        <v/>
      </c>
      <c r="J118" s="22">
        <f>IF(J$3&lt;i_exp_start+i_exp_years,1,0)</f>
        <v/>
      </c>
      <c r="K118" s="22">
        <f>IF(K$3&lt;i_exp_start+i_exp_years,1,0)</f>
        <v/>
      </c>
      <c r="L118" s="22">
        <f>IF(L$3&lt;i_exp_start+i_exp_years,1,0)</f>
        <v/>
      </c>
      <c r="M118" s="22">
        <f>IF(M$3&lt;i_exp_start+i_exp_years,1,0)</f>
        <v/>
      </c>
      <c r="N118" s="22">
        <f>IF(N$3&lt;i_exp_start+i_exp_years,1,0)</f>
        <v/>
      </c>
      <c r="O118" s="22">
        <f>IF(O$3&lt;i_exp_start+i_exp_years,1,0)</f>
        <v/>
      </c>
      <c r="P118" s="22">
        <f>IF(P$3&lt;i_exp_start+i_exp_years,1,0)</f>
        <v/>
      </c>
      <c r="Q118" s="22">
        <f>IF(Q$3&lt;i_exp_start+i_exp_years,1,0)</f>
        <v/>
      </c>
      <c r="R118" s="22">
        <f>IF(R$3&lt;i_exp_start+i_exp_years,1,0)</f>
        <v/>
      </c>
      <c r="S118" s="22">
        <f>IF(S$3&lt;i_exp_start+i_exp_years,1,0)</f>
        <v/>
      </c>
      <c r="T118" s="22">
        <f>IF(T$3&lt;i_exp_start+i_exp_years,1,0)</f>
        <v/>
      </c>
      <c r="U118" s="22">
        <f>IF(U$3&lt;i_exp_start+i_exp_years,1,0)</f>
        <v/>
      </c>
      <c r="V118" s="22">
        <f>IF(V$3&lt;i_exp_start+i_exp_years,1,0)</f>
        <v/>
      </c>
      <c r="W118" s="22">
        <f>IF(W$3&lt;i_exp_start+i_exp_years,1,0)</f>
        <v/>
      </c>
      <c r="X118" s="22">
        <f>IF(X$3&lt;i_exp_start+i_exp_years,1,0)</f>
        <v/>
      </c>
      <c r="Y118" s="22">
        <f>IF(Y$3&lt;i_exp_start+i_exp_years,1,0)</f>
        <v/>
      </c>
      <c r="Z118" s="22">
        <f>IF(Z$3&lt;i_exp_start+i_exp_years,1,0)</f>
        <v/>
      </c>
      <c r="AA118" s="22">
        <f>IF(AA$3&lt;i_exp_start+i_exp_years,1,0)</f>
        <v/>
      </c>
      <c r="AB118" s="22">
        <f>IF(AB$3&lt;i_exp_start+i_exp_years,1,0)</f>
        <v/>
      </c>
      <c r="AC118" s="22">
        <f>IF(AC$3&lt;i_exp_start+i_exp_years,1,0)</f>
        <v/>
      </c>
      <c r="AD118" s="22">
        <f>IF(AD$3&lt;i_exp_start+i_exp_years,1,0)</f>
        <v/>
      </c>
      <c r="AE118" s="22">
        <f>IF(AE$3&lt;i_exp_start+i_exp_years,1,0)</f>
        <v/>
      </c>
      <c r="AF118" s="22">
        <f>IF(AF$3&lt;i_exp_start+i_exp_years,1,0)</f>
        <v/>
      </c>
      <c r="AG118" s="22">
        <f>IF(AG$3&lt;i_exp_start+i_exp_years,1,0)</f>
        <v/>
      </c>
      <c r="AH118" s="22">
        <f>IF(AH$3&lt;i_exp_start+i_exp_years,1,0)</f>
        <v/>
      </c>
      <c r="AI118" s="22">
        <f>IF(AI$3&lt;i_exp_start+i_exp_years,1,0)</f>
        <v/>
      </c>
    </row>
    <row r="119">
      <c r="B119" s="2" t="inlineStr">
        <is>
          <t xml:space="preserve">  Rate ($ per m3 per month)</t>
        </is>
      </c>
      <c r="D119" s="24">
        <f>i_exp_rate*D50*IF(D118=1,1,1+i_exp_mtm)</f>
        <v/>
      </c>
      <c r="E119" s="24">
        <f>i_exp_rate*E50*IF(E118=1,1,1+i_exp_mtm)</f>
        <v/>
      </c>
      <c r="F119" s="24">
        <f>i_exp_rate*F50*IF(F118=1,1,1+i_exp_mtm)</f>
        <v/>
      </c>
      <c r="G119" s="24">
        <f>i_exp_rate*G50*IF(G118=1,1,1+i_exp_mtm)</f>
        <v/>
      </c>
      <c r="H119" s="24">
        <f>i_exp_rate*H50*IF(H118=1,1,1+i_exp_mtm)</f>
        <v/>
      </c>
      <c r="I119" s="24">
        <f>i_exp_rate*I50*IF(I118=1,1,1+i_exp_mtm)</f>
        <v/>
      </c>
      <c r="J119" s="24">
        <f>i_exp_rate*J50*IF(J118=1,1,1+i_exp_mtm)</f>
        <v/>
      </c>
      <c r="K119" s="24">
        <f>i_exp_rate*K50*IF(K118=1,1,1+i_exp_mtm)</f>
        <v/>
      </c>
      <c r="L119" s="24">
        <f>i_exp_rate*L50*IF(L118=1,1,1+i_exp_mtm)</f>
        <v/>
      </c>
      <c r="M119" s="24">
        <f>i_exp_rate*M50*IF(M118=1,1,1+i_exp_mtm)</f>
        <v/>
      </c>
      <c r="N119" s="24">
        <f>i_exp_rate*N50*IF(N118=1,1,1+i_exp_mtm)</f>
        <v/>
      </c>
      <c r="O119" s="24">
        <f>i_exp_rate*O50*IF(O118=1,1,1+i_exp_mtm)</f>
        <v/>
      </c>
      <c r="P119" s="24">
        <f>i_exp_rate*P50*IF(P118=1,1,1+i_exp_mtm)</f>
        <v/>
      </c>
      <c r="Q119" s="24">
        <f>i_exp_rate*Q50*IF(Q118=1,1,1+i_exp_mtm)</f>
        <v/>
      </c>
      <c r="R119" s="24">
        <f>i_exp_rate*R50*IF(R118=1,1,1+i_exp_mtm)</f>
        <v/>
      </c>
      <c r="S119" s="24">
        <f>i_exp_rate*S50*IF(S118=1,1,1+i_exp_mtm)</f>
        <v/>
      </c>
      <c r="T119" s="24">
        <f>i_exp_rate*T50*IF(T118=1,1,1+i_exp_mtm)</f>
        <v/>
      </c>
      <c r="U119" s="24">
        <f>i_exp_rate*U50*IF(U118=1,1,1+i_exp_mtm)</f>
        <v/>
      </c>
      <c r="V119" s="24">
        <f>i_exp_rate*V50*IF(V118=1,1,1+i_exp_mtm)</f>
        <v/>
      </c>
      <c r="W119" s="24">
        <f>i_exp_rate*W50*IF(W118=1,1,1+i_exp_mtm)</f>
        <v/>
      </c>
      <c r="X119" s="24">
        <f>i_exp_rate*X50*IF(X118=1,1,1+i_exp_mtm)</f>
        <v/>
      </c>
      <c r="Y119" s="24">
        <f>i_exp_rate*Y50*IF(Y118=1,1,1+i_exp_mtm)</f>
        <v/>
      </c>
      <c r="Z119" s="24">
        <f>i_exp_rate*Z50*IF(Z118=1,1,1+i_exp_mtm)</f>
        <v/>
      </c>
      <c r="AA119" s="24">
        <f>i_exp_rate*AA50*IF(AA118=1,1,1+i_exp_mtm)</f>
        <v/>
      </c>
      <c r="AB119" s="24">
        <f>i_exp_rate*AB50*IF(AB118=1,1,1+i_exp_mtm)</f>
        <v/>
      </c>
      <c r="AC119" s="24">
        <f>i_exp_rate*AC50*IF(AC118=1,1,1+i_exp_mtm)</f>
        <v/>
      </c>
      <c r="AD119" s="24">
        <f>i_exp_rate*AD50*IF(AD118=1,1,1+i_exp_mtm)</f>
        <v/>
      </c>
      <c r="AE119" s="24">
        <f>i_exp_rate*AE50*IF(AE118=1,1,1+i_exp_mtm)</f>
        <v/>
      </c>
      <c r="AF119" s="24">
        <f>i_exp_rate*AF50*IF(AF118=1,1,1+i_exp_mtm)</f>
        <v/>
      </c>
      <c r="AG119" s="24">
        <f>i_exp_rate*AG50*IF(AG118=1,1,1+i_exp_mtm)</f>
        <v/>
      </c>
      <c r="AH119" s="24">
        <f>i_exp_rate*AH50*IF(AH118=1,1,1+i_exp_mtm)</f>
        <v/>
      </c>
      <c r="AI119" s="24">
        <f>i_exp_rate*AI50*IF(AI118=1,1,1+i_exp_mtm)</f>
        <v/>
      </c>
    </row>
    <row r="120">
      <c r="B120" s="2" t="inlineStr">
        <is>
          <t xml:space="preserve">  Occupancy</t>
        </is>
      </c>
      <c r="D120" s="21">
        <f>IF(D118=1,i_exp_occ_c,i_exp_occ_m)</f>
        <v/>
      </c>
      <c r="E120" s="21">
        <f>IF(E118=1,i_exp_occ_c,i_exp_occ_m)</f>
        <v/>
      </c>
      <c r="F120" s="21">
        <f>IF(F118=1,i_exp_occ_c,i_exp_occ_m)</f>
        <v/>
      </c>
      <c r="G120" s="21">
        <f>IF(G118=1,i_exp_occ_c,i_exp_occ_m)</f>
        <v/>
      </c>
      <c r="H120" s="21">
        <f>IF(H118=1,i_exp_occ_c,i_exp_occ_m)</f>
        <v/>
      </c>
      <c r="I120" s="21">
        <f>IF(I118=1,i_exp_occ_c,i_exp_occ_m)</f>
        <v/>
      </c>
      <c r="J120" s="21">
        <f>IF(J118=1,i_exp_occ_c,i_exp_occ_m)</f>
        <v/>
      </c>
      <c r="K120" s="21">
        <f>IF(K118=1,i_exp_occ_c,i_exp_occ_m)</f>
        <v/>
      </c>
      <c r="L120" s="21">
        <f>IF(L118=1,i_exp_occ_c,i_exp_occ_m)</f>
        <v/>
      </c>
      <c r="M120" s="21">
        <f>IF(M118=1,i_exp_occ_c,i_exp_occ_m)</f>
        <v/>
      </c>
      <c r="N120" s="21">
        <f>IF(N118=1,i_exp_occ_c,i_exp_occ_m)</f>
        <v/>
      </c>
      <c r="O120" s="21">
        <f>IF(O118=1,i_exp_occ_c,i_exp_occ_m)</f>
        <v/>
      </c>
      <c r="P120" s="21">
        <f>IF(P118=1,i_exp_occ_c,i_exp_occ_m)</f>
        <v/>
      </c>
      <c r="Q120" s="21">
        <f>IF(Q118=1,i_exp_occ_c,i_exp_occ_m)</f>
        <v/>
      </c>
      <c r="R120" s="21">
        <f>IF(R118=1,i_exp_occ_c,i_exp_occ_m)</f>
        <v/>
      </c>
      <c r="S120" s="21">
        <f>IF(S118=1,i_exp_occ_c,i_exp_occ_m)</f>
        <v/>
      </c>
      <c r="T120" s="21">
        <f>IF(T118=1,i_exp_occ_c,i_exp_occ_m)</f>
        <v/>
      </c>
      <c r="U120" s="21">
        <f>IF(U118=1,i_exp_occ_c,i_exp_occ_m)</f>
        <v/>
      </c>
      <c r="V120" s="21">
        <f>IF(V118=1,i_exp_occ_c,i_exp_occ_m)</f>
        <v/>
      </c>
      <c r="W120" s="21">
        <f>IF(W118=1,i_exp_occ_c,i_exp_occ_m)</f>
        <v/>
      </c>
      <c r="X120" s="21">
        <f>IF(X118=1,i_exp_occ_c,i_exp_occ_m)</f>
        <v/>
      </c>
      <c r="Y120" s="21">
        <f>IF(Y118=1,i_exp_occ_c,i_exp_occ_m)</f>
        <v/>
      </c>
      <c r="Z120" s="21">
        <f>IF(Z118=1,i_exp_occ_c,i_exp_occ_m)</f>
        <v/>
      </c>
      <c r="AA120" s="21">
        <f>IF(AA118=1,i_exp_occ_c,i_exp_occ_m)</f>
        <v/>
      </c>
      <c r="AB120" s="21">
        <f>IF(AB118=1,i_exp_occ_c,i_exp_occ_m)</f>
        <v/>
      </c>
      <c r="AC120" s="21">
        <f>IF(AC118=1,i_exp_occ_c,i_exp_occ_m)</f>
        <v/>
      </c>
      <c r="AD120" s="21">
        <f>IF(AD118=1,i_exp_occ_c,i_exp_occ_m)</f>
        <v/>
      </c>
      <c r="AE120" s="21">
        <f>IF(AE118=1,i_exp_occ_c,i_exp_occ_m)</f>
        <v/>
      </c>
      <c r="AF120" s="21">
        <f>IF(AF118=1,i_exp_occ_c,i_exp_occ_m)</f>
        <v/>
      </c>
      <c r="AG120" s="21">
        <f>IF(AG118=1,i_exp_occ_c,i_exp_occ_m)</f>
        <v/>
      </c>
      <c r="AH120" s="21">
        <f>IF(AH118=1,i_exp_occ_c,i_exp_occ_m)</f>
        <v/>
      </c>
      <c r="AI120" s="21">
        <f>IF(AI118=1,i_exp_occ_c,i_exp_occ_m)</f>
        <v/>
      </c>
    </row>
    <row r="121">
      <c r="B121" s="2" t="inlineStr">
        <is>
          <t xml:space="preserve">  Storage revenue</t>
        </is>
      </c>
      <c r="D121" s="19">
        <f>D117*i_exp_cap*D119*12*D120</f>
        <v/>
      </c>
      <c r="E121" s="19">
        <f>E117*i_exp_cap*E119*12*E120</f>
        <v/>
      </c>
      <c r="F121" s="19">
        <f>F117*i_exp_cap*F119*12*F120</f>
        <v/>
      </c>
      <c r="G121" s="19">
        <f>G117*i_exp_cap*G119*12*G120</f>
        <v/>
      </c>
      <c r="H121" s="19">
        <f>H117*i_exp_cap*H119*12*H120</f>
        <v/>
      </c>
      <c r="I121" s="19">
        <f>I117*i_exp_cap*I119*12*I120</f>
        <v/>
      </c>
      <c r="J121" s="19">
        <f>J117*i_exp_cap*J119*12*J120</f>
        <v/>
      </c>
      <c r="K121" s="19">
        <f>K117*i_exp_cap*K119*12*K120</f>
        <v/>
      </c>
      <c r="L121" s="19">
        <f>L117*i_exp_cap*L119*12*L120</f>
        <v/>
      </c>
      <c r="M121" s="19">
        <f>M117*i_exp_cap*M119*12*M120</f>
        <v/>
      </c>
      <c r="N121" s="19">
        <f>N117*i_exp_cap*N119*12*N120</f>
        <v/>
      </c>
      <c r="O121" s="19">
        <f>O117*i_exp_cap*O119*12*O120</f>
        <v/>
      </c>
      <c r="P121" s="19">
        <f>P117*i_exp_cap*P119*12*P120</f>
        <v/>
      </c>
      <c r="Q121" s="19">
        <f>Q117*i_exp_cap*Q119*12*Q120</f>
        <v/>
      </c>
      <c r="R121" s="19">
        <f>R117*i_exp_cap*R119*12*R120</f>
        <v/>
      </c>
      <c r="S121" s="19">
        <f>S117*i_exp_cap*S119*12*S120</f>
        <v/>
      </c>
      <c r="T121" s="19">
        <f>T117*i_exp_cap*T119*12*T120</f>
        <v/>
      </c>
      <c r="U121" s="19">
        <f>U117*i_exp_cap*U119*12*U120</f>
        <v/>
      </c>
      <c r="V121" s="19">
        <f>V117*i_exp_cap*V119*12*V120</f>
        <v/>
      </c>
      <c r="W121" s="19">
        <f>W117*i_exp_cap*W119*12*W120</f>
        <v/>
      </c>
      <c r="X121" s="19">
        <f>X117*i_exp_cap*X119*12*X120</f>
        <v/>
      </c>
      <c r="Y121" s="19">
        <f>Y117*i_exp_cap*Y119*12*Y120</f>
        <v/>
      </c>
      <c r="Z121" s="19">
        <f>Z117*i_exp_cap*Z119*12*Z120</f>
        <v/>
      </c>
      <c r="AA121" s="19">
        <f>AA117*i_exp_cap*AA119*12*AA120</f>
        <v/>
      </c>
      <c r="AB121" s="19">
        <f>AB117*i_exp_cap*AB119*12*AB120</f>
        <v/>
      </c>
      <c r="AC121" s="19">
        <f>AC117*i_exp_cap*AC119*12*AC120</f>
        <v/>
      </c>
      <c r="AD121" s="19">
        <f>AD117*i_exp_cap*AD119*12*AD120</f>
        <v/>
      </c>
      <c r="AE121" s="19">
        <f>AE117*i_exp_cap*AE119*12*AE120</f>
        <v/>
      </c>
      <c r="AF121" s="19">
        <f>AF117*i_exp_cap*AF119*12*AF120</f>
        <v/>
      </c>
      <c r="AG121" s="19">
        <f>AG117*i_exp_cap*AG119*12*AG120</f>
        <v/>
      </c>
      <c r="AH121" s="19">
        <f>AH117*i_exp_cap*AH119*12*AH120</f>
        <v/>
      </c>
      <c r="AI121" s="19">
        <f>AI117*i_exp_cap*AI119*12*AI120</f>
        <v/>
      </c>
    </row>
    <row r="122">
      <c r="B122" s="3" t="inlineStr">
        <is>
          <t xml:space="preserve">  Revenue</t>
        </is>
      </c>
      <c r="D122" s="31">
        <f>D121*(1+i_exp_anc)</f>
        <v/>
      </c>
      <c r="E122" s="31">
        <f>E121*(1+i_exp_anc)</f>
        <v/>
      </c>
      <c r="F122" s="31">
        <f>F121*(1+i_exp_anc)</f>
        <v/>
      </c>
      <c r="G122" s="31">
        <f>G121*(1+i_exp_anc)</f>
        <v/>
      </c>
      <c r="H122" s="31">
        <f>H121*(1+i_exp_anc)</f>
        <v/>
      </c>
      <c r="I122" s="31">
        <f>I121*(1+i_exp_anc)</f>
        <v/>
      </c>
      <c r="J122" s="31">
        <f>J121*(1+i_exp_anc)</f>
        <v/>
      </c>
      <c r="K122" s="31">
        <f>K121*(1+i_exp_anc)</f>
        <v/>
      </c>
      <c r="L122" s="31">
        <f>L121*(1+i_exp_anc)</f>
        <v/>
      </c>
      <c r="M122" s="31">
        <f>M121*(1+i_exp_anc)</f>
        <v/>
      </c>
      <c r="N122" s="31">
        <f>N121*(1+i_exp_anc)</f>
        <v/>
      </c>
      <c r="O122" s="31">
        <f>O121*(1+i_exp_anc)</f>
        <v/>
      </c>
      <c r="P122" s="31">
        <f>P121*(1+i_exp_anc)</f>
        <v/>
      </c>
      <c r="Q122" s="31">
        <f>Q121*(1+i_exp_anc)</f>
        <v/>
      </c>
      <c r="R122" s="31">
        <f>R121*(1+i_exp_anc)</f>
        <v/>
      </c>
      <c r="S122" s="31">
        <f>S121*(1+i_exp_anc)</f>
        <v/>
      </c>
      <c r="T122" s="31">
        <f>T121*(1+i_exp_anc)</f>
        <v/>
      </c>
      <c r="U122" s="31">
        <f>U121*(1+i_exp_anc)</f>
        <v/>
      </c>
      <c r="V122" s="31">
        <f>V121*(1+i_exp_anc)</f>
        <v/>
      </c>
      <c r="W122" s="31">
        <f>W121*(1+i_exp_anc)</f>
        <v/>
      </c>
      <c r="X122" s="31">
        <f>X121*(1+i_exp_anc)</f>
        <v/>
      </c>
      <c r="Y122" s="31">
        <f>Y121*(1+i_exp_anc)</f>
        <v/>
      </c>
      <c r="Z122" s="31">
        <f>Z121*(1+i_exp_anc)</f>
        <v/>
      </c>
      <c r="AA122" s="31">
        <f>AA121*(1+i_exp_anc)</f>
        <v/>
      </c>
      <c r="AB122" s="31">
        <f>AB121*(1+i_exp_anc)</f>
        <v/>
      </c>
      <c r="AC122" s="31">
        <f>AC121*(1+i_exp_anc)</f>
        <v/>
      </c>
      <c r="AD122" s="31">
        <f>AD121*(1+i_exp_anc)</f>
        <v/>
      </c>
      <c r="AE122" s="31">
        <f>AE121*(1+i_exp_anc)</f>
        <v/>
      </c>
      <c r="AF122" s="31">
        <f>AF121*(1+i_exp_anc)</f>
        <v/>
      </c>
      <c r="AG122" s="31">
        <f>AG121*(1+i_exp_anc)</f>
        <v/>
      </c>
      <c r="AH122" s="31">
        <f>AH121*(1+i_exp_anc)</f>
        <v/>
      </c>
      <c r="AI122" s="31">
        <f>AI121*(1+i_exp_anc)</f>
        <v/>
      </c>
    </row>
    <row r="123">
      <c r="B123" s="2" t="inlineStr">
        <is>
          <t xml:space="preserve">  Operating cost</t>
        </is>
      </c>
      <c r="D123" s="19">
        <f>D117*i_exp_fix*i_exp_cap*D49+i_exp_var*D122</f>
        <v/>
      </c>
      <c r="E123" s="19">
        <f>E117*i_exp_fix*i_exp_cap*E49+i_exp_var*E122</f>
        <v/>
      </c>
      <c r="F123" s="19">
        <f>F117*i_exp_fix*i_exp_cap*F49+i_exp_var*F122</f>
        <v/>
      </c>
      <c r="G123" s="19">
        <f>G117*i_exp_fix*i_exp_cap*G49+i_exp_var*G122</f>
        <v/>
      </c>
      <c r="H123" s="19">
        <f>H117*i_exp_fix*i_exp_cap*H49+i_exp_var*H122</f>
        <v/>
      </c>
      <c r="I123" s="19">
        <f>I117*i_exp_fix*i_exp_cap*I49+i_exp_var*I122</f>
        <v/>
      </c>
      <c r="J123" s="19">
        <f>J117*i_exp_fix*i_exp_cap*J49+i_exp_var*J122</f>
        <v/>
      </c>
      <c r="K123" s="19">
        <f>K117*i_exp_fix*i_exp_cap*K49+i_exp_var*K122</f>
        <v/>
      </c>
      <c r="L123" s="19">
        <f>L117*i_exp_fix*i_exp_cap*L49+i_exp_var*L122</f>
        <v/>
      </c>
      <c r="M123" s="19">
        <f>M117*i_exp_fix*i_exp_cap*M49+i_exp_var*M122</f>
        <v/>
      </c>
      <c r="N123" s="19">
        <f>N117*i_exp_fix*i_exp_cap*N49+i_exp_var*N122</f>
        <v/>
      </c>
      <c r="O123" s="19">
        <f>O117*i_exp_fix*i_exp_cap*O49+i_exp_var*O122</f>
        <v/>
      </c>
      <c r="P123" s="19">
        <f>P117*i_exp_fix*i_exp_cap*P49+i_exp_var*P122</f>
        <v/>
      </c>
      <c r="Q123" s="19">
        <f>Q117*i_exp_fix*i_exp_cap*Q49+i_exp_var*Q122</f>
        <v/>
      </c>
      <c r="R123" s="19">
        <f>R117*i_exp_fix*i_exp_cap*R49+i_exp_var*R122</f>
        <v/>
      </c>
      <c r="S123" s="19">
        <f>S117*i_exp_fix*i_exp_cap*S49+i_exp_var*S122</f>
        <v/>
      </c>
      <c r="T123" s="19">
        <f>T117*i_exp_fix*i_exp_cap*T49+i_exp_var*T122</f>
        <v/>
      </c>
      <c r="U123" s="19">
        <f>U117*i_exp_fix*i_exp_cap*U49+i_exp_var*U122</f>
        <v/>
      </c>
      <c r="V123" s="19">
        <f>V117*i_exp_fix*i_exp_cap*V49+i_exp_var*V122</f>
        <v/>
      </c>
      <c r="W123" s="19">
        <f>W117*i_exp_fix*i_exp_cap*W49+i_exp_var*W122</f>
        <v/>
      </c>
      <c r="X123" s="19">
        <f>X117*i_exp_fix*i_exp_cap*X49+i_exp_var*X122</f>
        <v/>
      </c>
      <c r="Y123" s="19">
        <f>Y117*i_exp_fix*i_exp_cap*Y49+i_exp_var*Y122</f>
        <v/>
      </c>
      <c r="Z123" s="19">
        <f>Z117*i_exp_fix*i_exp_cap*Z49+i_exp_var*Z122</f>
        <v/>
      </c>
      <c r="AA123" s="19">
        <f>AA117*i_exp_fix*i_exp_cap*AA49+i_exp_var*AA122</f>
        <v/>
      </c>
      <c r="AB123" s="19">
        <f>AB117*i_exp_fix*i_exp_cap*AB49+i_exp_var*AB122</f>
        <v/>
      </c>
      <c r="AC123" s="19">
        <f>AC117*i_exp_fix*i_exp_cap*AC49+i_exp_var*AC122</f>
        <v/>
      </c>
      <c r="AD123" s="19">
        <f>AD117*i_exp_fix*i_exp_cap*AD49+i_exp_var*AD122</f>
        <v/>
      </c>
      <c r="AE123" s="19">
        <f>AE117*i_exp_fix*i_exp_cap*AE49+i_exp_var*AE122</f>
        <v/>
      </c>
      <c r="AF123" s="19">
        <f>AF117*i_exp_fix*i_exp_cap*AF49+i_exp_var*AF122</f>
        <v/>
      </c>
      <c r="AG123" s="19">
        <f>AG117*i_exp_fix*i_exp_cap*AG49+i_exp_var*AG122</f>
        <v/>
      </c>
      <c r="AH123" s="19">
        <f>AH117*i_exp_fix*i_exp_cap*AH49+i_exp_var*AH122</f>
        <v/>
      </c>
      <c r="AI123" s="19">
        <f>AI117*i_exp_fix*i_exp_cap*AI49+i_exp_var*AI122</f>
        <v/>
      </c>
    </row>
    <row r="124">
      <c r="B124" s="3" t="inlineStr">
        <is>
          <t xml:space="preserve">  EBITDA</t>
        </is>
      </c>
      <c r="D124" s="31">
        <f>D122-D123</f>
        <v/>
      </c>
      <c r="E124" s="31">
        <f>E122-E123</f>
        <v/>
      </c>
      <c r="F124" s="31">
        <f>F122-F123</f>
        <v/>
      </c>
      <c r="G124" s="31">
        <f>G122-G123</f>
        <v/>
      </c>
      <c r="H124" s="31">
        <f>H122-H123</f>
        <v/>
      </c>
      <c r="I124" s="31">
        <f>I122-I123</f>
        <v/>
      </c>
      <c r="J124" s="31">
        <f>J122-J123</f>
        <v/>
      </c>
      <c r="K124" s="31">
        <f>K122-K123</f>
        <v/>
      </c>
      <c r="L124" s="31">
        <f>L122-L123</f>
        <v/>
      </c>
      <c r="M124" s="31">
        <f>M122-M123</f>
        <v/>
      </c>
      <c r="N124" s="31">
        <f>N122-N123</f>
        <v/>
      </c>
      <c r="O124" s="31">
        <f>O122-O123</f>
        <v/>
      </c>
      <c r="P124" s="31">
        <f>P122-P123</f>
        <v/>
      </c>
      <c r="Q124" s="31">
        <f>Q122-Q123</f>
        <v/>
      </c>
      <c r="R124" s="31">
        <f>R122-R123</f>
        <v/>
      </c>
      <c r="S124" s="31">
        <f>S122-S123</f>
        <v/>
      </c>
      <c r="T124" s="31">
        <f>T122-T123</f>
        <v/>
      </c>
      <c r="U124" s="31">
        <f>U122-U123</f>
        <v/>
      </c>
      <c r="V124" s="31">
        <f>V122-V123</f>
        <v/>
      </c>
      <c r="W124" s="31">
        <f>W122-W123</f>
        <v/>
      </c>
      <c r="X124" s="31">
        <f>X122-X123</f>
        <v/>
      </c>
      <c r="Y124" s="31">
        <f>Y122-Y123</f>
        <v/>
      </c>
      <c r="Z124" s="31">
        <f>Z122-Z123</f>
        <v/>
      </c>
      <c r="AA124" s="31">
        <f>AA122-AA123</f>
        <v/>
      </c>
      <c r="AB124" s="31">
        <f>AB122-AB123</f>
        <v/>
      </c>
      <c r="AC124" s="31">
        <f>AC122-AC123</f>
        <v/>
      </c>
      <c r="AD124" s="31">
        <f>AD122-AD123</f>
        <v/>
      </c>
      <c r="AE124" s="31">
        <f>AE122-AE123</f>
        <v/>
      </c>
      <c r="AF124" s="31">
        <f>AF122-AF123</f>
        <v/>
      </c>
      <c r="AG124" s="31">
        <f>AG122-AG123</f>
        <v/>
      </c>
      <c r="AH124" s="31">
        <f>AH122-AH123</f>
        <v/>
      </c>
      <c r="AI124" s="31">
        <f>AI122-AI123</f>
        <v/>
      </c>
    </row>
    <row r="125">
      <c r="B125" s="2" t="inlineStr">
        <is>
          <t xml:space="preserve">  Maintenance capex</t>
        </is>
      </c>
      <c r="D125" s="19">
        <f>D117*i_exp_mc*i_exp_cap*D49</f>
        <v/>
      </c>
      <c r="E125" s="19">
        <f>E117*i_exp_mc*i_exp_cap*E49</f>
        <v/>
      </c>
      <c r="F125" s="19">
        <f>F117*i_exp_mc*i_exp_cap*F49</f>
        <v/>
      </c>
      <c r="G125" s="19">
        <f>G117*i_exp_mc*i_exp_cap*G49</f>
        <v/>
      </c>
      <c r="H125" s="19">
        <f>H117*i_exp_mc*i_exp_cap*H49</f>
        <v/>
      </c>
      <c r="I125" s="19">
        <f>I117*i_exp_mc*i_exp_cap*I49</f>
        <v/>
      </c>
      <c r="J125" s="19">
        <f>J117*i_exp_mc*i_exp_cap*J49</f>
        <v/>
      </c>
      <c r="K125" s="19">
        <f>K117*i_exp_mc*i_exp_cap*K49</f>
        <v/>
      </c>
      <c r="L125" s="19">
        <f>L117*i_exp_mc*i_exp_cap*L49</f>
        <v/>
      </c>
      <c r="M125" s="19">
        <f>M117*i_exp_mc*i_exp_cap*M49</f>
        <v/>
      </c>
      <c r="N125" s="19">
        <f>N117*i_exp_mc*i_exp_cap*N49</f>
        <v/>
      </c>
      <c r="O125" s="19">
        <f>O117*i_exp_mc*i_exp_cap*O49</f>
        <v/>
      </c>
      <c r="P125" s="19">
        <f>P117*i_exp_mc*i_exp_cap*P49</f>
        <v/>
      </c>
      <c r="Q125" s="19">
        <f>Q117*i_exp_mc*i_exp_cap*Q49</f>
        <v/>
      </c>
      <c r="R125" s="19">
        <f>R117*i_exp_mc*i_exp_cap*R49</f>
        <v/>
      </c>
      <c r="S125" s="19">
        <f>S117*i_exp_mc*i_exp_cap*S49</f>
        <v/>
      </c>
      <c r="T125" s="19">
        <f>T117*i_exp_mc*i_exp_cap*T49</f>
        <v/>
      </c>
      <c r="U125" s="19">
        <f>U117*i_exp_mc*i_exp_cap*U49</f>
        <v/>
      </c>
      <c r="V125" s="19">
        <f>V117*i_exp_mc*i_exp_cap*V49</f>
        <v/>
      </c>
      <c r="W125" s="19">
        <f>W117*i_exp_mc*i_exp_cap*W49</f>
        <v/>
      </c>
      <c r="X125" s="19">
        <f>X117*i_exp_mc*i_exp_cap*X49</f>
        <v/>
      </c>
      <c r="Y125" s="19">
        <f>Y117*i_exp_mc*i_exp_cap*Y49</f>
        <v/>
      </c>
      <c r="Z125" s="19">
        <f>Z117*i_exp_mc*i_exp_cap*Z49</f>
        <v/>
      </c>
      <c r="AA125" s="19">
        <f>AA117*i_exp_mc*i_exp_cap*AA49</f>
        <v/>
      </c>
      <c r="AB125" s="19">
        <f>AB117*i_exp_mc*i_exp_cap*AB49</f>
        <v/>
      </c>
      <c r="AC125" s="19">
        <f>AC117*i_exp_mc*i_exp_cap*AC49</f>
        <v/>
      </c>
      <c r="AD125" s="19">
        <f>AD117*i_exp_mc*i_exp_cap*AD49</f>
        <v/>
      </c>
      <c r="AE125" s="19">
        <f>AE117*i_exp_mc*i_exp_cap*AE49</f>
        <v/>
      </c>
      <c r="AF125" s="19">
        <f>AF117*i_exp_mc*i_exp_cap*AF49</f>
        <v/>
      </c>
      <c r="AG125" s="19">
        <f>AG117*i_exp_mc*i_exp_cap*AG49</f>
        <v/>
      </c>
      <c r="AH125" s="19">
        <f>AH117*i_exp_mc*i_exp_cap*AH49</f>
        <v/>
      </c>
      <c r="AI125" s="19">
        <f>AI117*i_exp_mc*i_exp_cap*AI49</f>
        <v/>
      </c>
    </row>
    <row r="127">
      <c r="B127" s="5" t="inlineStr">
        <is>
          <t>Consolidated</t>
        </is>
      </c>
    </row>
    <row r="128">
      <c r="B128" s="2" t="inlineStr">
        <is>
          <t>Revenue</t>
        </is>
      </c>
      <c r="D128" s="19">
        <f>D62+D78+D93+D108+D122</f>
        <v/>
      </c>
      <c r="E128" s="19">
        <f>E62+E78+E93+E108+E122</f>
        <v/>
      </c>
      <c r="F128" s="19">
        <f>F62+F78+F93+F108+F122</f>
        <v/>
      </c>
      <c r="G128" s="19">
        <f>G62+G78+G93+G108+G122</f>
        <v/>
      </c>
      <c r="H128" s="19">
        <f>H62+H78+H93+H108+H122</f>
        <v/>
      </c>
      <c r="I128" s="19">
        <f>I62+I78+I93+I108+I122</f>
        <v/>
      </c>
      <c r="J128" s="19">
        <f>J62+J78+J93+J108+J122</f>
        <v/>
      </c>
      <c r="K128" s="19">
        <f>K62+K78+K93+K108+K122</f>
        <v/>
      </c>
      <c r="L128" s="19">
        <f>L62+L78+L93+L108+L122</f>
        <v/>
      </c>
      <c r="M128" s="19">
        <f>M62+M78+M93+M108+M122</f>
        <v/>
      </c>
      <c r="N128" s="19">
        <f>N62+N78+N93+N108+N122</f>
        <v/>
      </c>
      <c r="O128" s="19">
        <f>O62+O78+O93+O108+O122</f>
        <v/>
      </c>
      <c r="P128" s="19">
        <f>P62+P78+P93+P108+P122</f>
        <v/>
      </c>
      <c r="Q128" s="19">
        <f>Q62+Q78+Q93+Q108+Q122</f>
        <v/>
      </c>
      <c r="R128" s="19">
        <f>R62+R78+R93+R108+R122</f>
        <v/>
      </c>
      <c r="S128" s="19">
        <f>S62+S78+S93+S108+S122</f>
        <v/>
      </c>
      <c r="T128" s="19">
        <f>T62+T78+T93+T108+T122</f>
        <v/>
      </c>
      <c r="U128" s="19">
        <f>U62+U78+U93+U108+U122</f>
        <v/>
      </c>
      <c r="V128" s="19">
        <f>V62+V78+V93+V108+V122</f>
        <v/>
      </c>
      <c r="W128" s="19">
        <f>W62+W78+W93+W108+W122</f>
        <v/>
      </c>
      <c r="X128" s="19">
        <f>X62+X78+X93+X108+X122</f>
        <v/>
      </c>
      <c r="Y128" s="19">
        <f>Y62+Y78+Y93+Y108+Y122</f>
        <v/>
      </c>
      <c r="Z128" s="19">
        <f>Z62+Z78+Z93+Z108+Z122</f>
        <v/>
      </c>
      <c r="AA128" s="19">
        <f>AA62+AA78+AA93+AA108+AA122</f>
        <v/>
      </c>
      <c r="AB128" s="19">
        <f>AB62+AB78+AB93+AB108+AB122</f>
        <v/>
      </c>
      <c r="AC128" s="19">
        <f>AC62+AC78+AC93+AC108+AC122</f>
        <v/>
      </c>
      <c r="AD128" s="19">
        <f>AD62+AD78+AD93+AD108+AD122</f>
        <v/>
      </c>
      <c r="AE128" s="19">
        <f>AE62+AE78+AE93+AE108+AE122</f>
        <v/>
      </c>
      <c r="AF128" s="19">
        <f>AF62+AF78+AF93+AF108+AF122</f>
        <v/>
      </c>
      <c r="AG128" s="19">
        <f>AG62+AG78+AG93+AG108+AG122</f>
        <v/>
      </c>
      <c r="AH128" s="19">
        <f>AH62+AH78+AH93+AH108+AH122</f>
        <v/>
      </c>
      <c r="AI128" s="19">
        <f>AI62+AI78+AI93+AI108+AI122</f>
        <v/>
      </c>
    </row>
    <row r="129">
      <c r="B129" s="2" t="inlineStr">
        <is>
          <t>Business unit EBITDA (with the expansion)</t>
        </is>
      </c>
      <c r="D129" s="19">
        <f>D67+D82+D97+D113+D124</f>
        <v/>
      </c>
      <c r="E129" s="19">
        <f>E67+E82+E97+E113+E124</f>
        <v/>
      </c>
      <c r="F129" s="19">
        <f>F67+F82+F97+F113+F124</f>
        <v/>
      </c>
      <c r="G129" s="19">
        <f>G67+G82+G97+G113+G124</f>
        <v/>
      </c>
      <c r="H129" s="19">
        <f>H67+H82+H97+H113+H124</f>
        <v/>
      </c>
      <c r="I129" s="19">
        <f>I67+I82+I97+I113+I124</f>
        <v/>
      </c>
      <c r="J129" s="19">
        <f>J67+J82+J97+J113+J124</f>
        <v/>
      </c>
      <c r="K129" s="19">
        <f>K67+K82+K97+K113+K124</f>
        <v/>
      </c>
      <c r="L129" s="19">
        <f>L67+L82+L97+L113+L124</f>
        <v/>
      </c>
      <c r="M129" s="19">
        <f>M67+M82+M97+M113+M124</f>
        <v/>
      </c>
      <c r="N129" s="19">
        <f>N67+N82+N97+N113+N124</f>
        <v/>
      </c>
      <c r="O129" s="19">
        <f>O67+O82+O97+O113+O124</f>
        <v/>
      </c>
      <c r="P129" s="19">
        <f>P67+P82+P97+P113+P124</f>
        <v/>
      </c>
      <c r="Q129" s="19">
        <f>Q67+Q82+Q97+Q113+Q124</f>
        <v/>
      </c>
      <c r="R129" s="19">
        <f>R67+R82+R97+R113+R124</f>
        <v/>
      </c>
      <c r="S129" s="19">
        <f>S67+S82+S97+S113+S124</f>
        <v/>
      </c>
      <c r="T129" s="19">
        <f>T67+T82+T97+T113+T124</f>
        <v/>
      </c>
      <c r="U129" s="19">
        <f>U67+U82+U97+U113+U124</f>
        <v/>
      </c>
      <c r="V129" s="19">
        <f>V67+V82+V97+V113+V124</f>
        <v/>
      </c>
      <c r="W129" s="19">
        <f>W67+W82+W97+W113+W124</f>
        <v/>
      </c>
      <c r="X129" s="19">
        <f>X67+X82+X97+X113+X124</f>
        <v/>
      </c>
      <c r="Y129" s="19">
        <f>Y67+Y82+Y97+Y113+Y124</f>
        <v/>
      </c>
      <c r="Z129" s="19">
        <f>Z67+Z82+Z97+Z113+Z124</f>
        <v/>
      </c>
      <c r="AA129" s="19">
        <f>AA67+AA82+AA97+AA113+AA124</f>
        <v/>
      </c>
      <c r="AB129" s="19">
        <f>AB67+AB82+AB97+AB113+AB124</f>
        <v/>
      </c>
      <c r="AC129" s="19">
        <f>AC67+AC82+AC97+AC113+AC124</f>
        <v/>
      </c>
      <c r="AD129" s="19">
        <f>AD67+AD82+AD97+AD113+AD124</f>
        <v/>
      </c>
      <c r="AE129" s="19">
        <f>AE67+AE82+AE97+AE113+AE124</f>
        <v/>
      </c>
      <c r="AF129" s="19">
        <f>AF67+AF82+AF97+AF113+AF124</f>
        <v/>
      </c>
      <c r="AG129" s="19">
        <f>AG67+AG82+AG97+AG113+AG124</f>
        <v/>
      </c>
      <c r="AH129" s="19">
        <f>AH67+AH82+AH97+AH113+AH124</f>
        <v/>
      </c>
      <c r="AI129" s="19">
        <f>AI67+AI82+AI97+AI113+AI124</f>
        <v/>
      </c>
    </row>
    <row r="130">
      <c r="B130" s="2" t="inlineStr">
        <is>
          <t>Corporate costs</t>
        </is>
      </c>
      <c r="D130" s="19">
        <f>i_corp*D49*IF(OR(DCF!$C$46=1,D$3&lt;=i_conc_end),1,i_corp_after_w)+IF(D$3&gt;=i_mitig_start,DCF!$C$48*D49,0)</f>
        <v/>
      </c>
      <c r="E130" s="19">
        <f>i_corp*E49*IF(OR(DCF!$C$46=1,E$3&lt;=i_conc_end),1,i_corp_after_w)+IF(E$3&gt;=i_mitig_start,DCF!$C$48*E49,0)</f>
        <v/>
      </c>
      <c r="F130" s="19">
        <f>i_corp*F49*IF(OR(DCF!$C$46=1,F$3&lt;=i_conc_end),1,i_corp_after_w)+IF(F$3&gt;=i_mitig_start,DCF!$C$48*F49,0)</f>
        <v/>
      </c>
      <c r="G130" s="19">
        <f>i_corp*G49*IF(OR(DCF!$C$46=1,G$3&lt;=i_conc_end),1,i_corp_after_w)+IF(G$3&gt;=i_mitig_start,DCF!$C$48*G49,0)</f>
        <v/>
      </c>
      <c r="H130" s="19">
        <f>i_corp*H49*IF(OR(DCF!$C$46=1,H$3&lt;=i_conc_end),1,i_corp_after_w)+IF(H$3&gt;=i_mitig_start,DCF!$C$48*H49,0)</f>
        <v/>
      </c>
      <c r="I130" s="19">
        <f>i_corp*I49*IF(OR(DCF!$C$46=1,I$3&lt;=i_conc_end),1,i_corp_after_w)+IF(I$3&gt;=i_mitig_start,DCF!$C$48*I49,0)</f>
        <v/>
      </c>
      <c r="J130" s="19">
        <f>i_corp*J49*IF(OR(DCF!$C$46=1,J$3&lt;=i_conc_end),1,i_corp_after_w)+IF(J$3&gt;=i_mitig_start,DCF!$C$48*J49,0)</f>
        <v/>
      </c>
      <c r="K130" s="19">
        <f>i_corp*K49*IF(OR(DCF!$C$46=1,K$3&lt;=i_conc_end),1,i_corp_after_w)+IF(K$3&gt;=i_mitig_start,DCF!$C$48*K49,0)</f>
        <v/>
      </c>
      <c r="L130" s="19">
        <f>i_corp*L49*IF(OR(DCF!$C$46=1,L$3&lt;=i_conc_end),1,i_corp_after_w)+IF(L$3&gt;=i_mitig_start,DCF!$C$48*L49,0)</f>
        <v/>
      </c>
      <c r="M130" s="19">
        <f>i_corp*M49*IF(OR(DCF!$C$46=1,M$3&lt;=i_conc_end),1,i_corp_after_w)+IF(M$3&gt;=i_mitig_start,DCF!$C$48*M49,0)</f>
        <v/>
      </c>
      <c r="N130" s="19">
        <f>i_corp*N49*IF(OR(DCF!$C$46=1,N$3&lt;=i_conc_end),1,i_corp_after_w)+IF(N$3&gt;=i_mitig_start,DCF!$C$48*N49,0)</f>
        <v/>
      </c>
      <c r="O130" s="19">
        <f>i_corp*O49*IF(OR(DCF!$C$46=1,O$3&lt;=i_conc_end),1,i_corp_after_w)+IF(O$3&gt;=i_mitig_start,DCF!$C$48*O49,0)</f>
        <v/>
      </c>
      <c r="P130" s="19">
        <f>i_corp*P49*IF(OR(DCF!$C$46=1,P$3&lt;=i_conc_end),1,i_corp_after_w)+IF(P$3&gt;=i_mitig_start,DCF!$C$48*P49,0)</f>
        <v/>
      </c>
      <c r="Q130" s="19">
        <f>i_corp*Q49*IF(OR(DCF!$C$46=1,Q$3&lt;=i_conc_end),1,i_corp_after_w)+IF(Q$3&gt;=i_mitig_start,DCF!$C$48*Q49,0)</f>
        <v/>
      </c>
      <c r="R130" s="19">
        <f>i_corp*R49*IF(OR(DCF!$C$46=1,R$3&lt;=i_conc_end),1,i_corp_after_w)+IF(R$3&gt;=i_mitig_start,DCF!$C$48*R49,0)</f>
        <v/>
      </c>
      <c r="S130" s="19">
        <f>i_corp*S49*IF(OR(DCF!$C$46=1,S$3&lt;=i_conc_end),1,i_corp_after_w)+IF(S$3&gt;=i_mitig_start,DCF!$C$48*S49,0)</f>
        <v/>
      </c>
      <c r="T130" s="19">
        <f>i_corp*T49*IF(OR(DCF!$C$46=1,T$3&lt;=i_conc_end),1,i_corp_after_w)+IF(T$3&gt;=i_mitig_start,DCF!$C$48*T49,0)</f>
        <v/>
      </c>
      <c r="U130" s="19">
        <f>i_corp*U49*IF(OR(DCF!$C$46=1,U$3&lt;=i_conc_end),1,i_corp_after_w)+IF(U$3&gt;=i_mitig_start,DCF!$C$48*U49,0)</f>
        <v/>
      </c>
      <c r="V130" s="19">
        <f>i_corp*V49*IF(OR(DCF!$C$46=1,V$3&lt;=i_conc_end),1,i_corp_after_w)+IF(V$3&gt;=i_mitig_start,DCF!$C$48*V49,0)</f>
        <v/>
      </c>
      <c r="W130" s="19">
        <f>i_corp*W49*IF(OR(DCF!$C$46=1,W$3&lt;=i_conc_end),1,i_corp_after_w)+IF(W$3&gt;=i_mitig_start,DCF!$C$48*W49,0)</f>
        <v/>
      </c>
      <c r="X130" s="19">
        <f>i_corp*X49*IF(OR(DCF!$C$46=1,X$3&lt;=i_conc_end),1,i_corp_after_w)+IF(X$3&gt;=i_mitig_start,DCF!$C$48*X49,0)</f>
        <v/>
      </c>
      <c r="Y130" s="19">
        <f>i_corp*Y49*IF(OR(DCF!$C$46=1,Y$3&lt;=i_conc_end),1,i_corp_after_w)+IF(Y$3&gt;=i_mitig_start,DCF!$C$48*Y49,0)</f>
        <v/>
      </c>
      <c r="Z130" s="19">
        <f>i_corp*Z49*IF(OR(DCF!$C$46=1,Z$3&lt;=i_conc_end),1,i_corp_after_w)+IF(Z$3&gt;=i_mitig_start,DCF!$C$48*Z49,0)</f>
        <v/>
      </c>
      <c r="AA130" s="19">
        <f>i_corp*AA49*IF(OR(DCF!$C$46=1,AA$3&lt;=i_conc_end),1,i_corp_after_w)+IF(AA$3&gt;=i_mitig_start,DCF!$C$48*AA49,0)</f>
        <v/>
      </c>
      <c r="AB130" s="19">
        <f>i_corp*AB49*IF(OR(DCF!$C$46=1,AB$3&lt;=i_conc_end),1,i_corp_after_w)+IF(AB$3&gt;=i_mitig_start,DCF!$C$48*AB49,0)</f>
        <v/>
      </c>
      <c r="AC130" s="19">
        <f>i_corp*AC49*IF(OR(DCF!$C$46=1,AC$3&lt;=i_conc_end),1,i_corp_after_w)+IF(AC$3&gt;=i_mitig_start,DCF!$C$48*AC49,0)</f>
        <v/>
      </c>
      <c r="AD130" s="19">
        <f>i_corp*AD49*IF(OR(DCF!$C$46=1,AD$3&lt;=i_conc_end),1,i_corp_after_w)+IF(AD$3&gt;=i_mitig_start,DCF!$C$48*AD49,0)</f>
        <v/>
      </c>
      <c r="AE130" s="19">
        <f>i_corp*AE49*IF(OR(DCF!$C$46=1,AE$3&lt;=i_conc_end),1,i_corp_after_w)+IF(AE$3&gt;=i_mitig_start,DCF!$C$48*AE49,0)</f>
        <v/>
      </c>
      <c r="AF130" s="19">
        <f>i_corp*AF49*IF(OR(DCF!$C$46=1,AF$3&lt;=i_conc_end),1,i_corp_after_w)+IF(AF$3&gt;=i_mitig_start,DCF!$C$48*AF49,0)</f>
        <v/>
      </c>
      <c r="AG130" s="19">
        <f>i_corp*AG49*IF(OR(DCF!$C$46=1,AG$3&lt;=i_conc_end),1,i_corp_after_w)+IF(AG$3&gt;=i_mitig_start,DCF!$C$48*AG49,0)</f>
        <v/>
      </c>
      <c r="AH130" s="19">
        <f>i_corp*AH49*IF(OR(DCF!$C$46=1,AH$3&lt;=i_conc_end),1,i_corp_after_w)+IF(AH$3&gt;=i_mitig_start,DCF!$C$48*AH49,0)</f>
        <v/>
      </c>
      <c r="AI130" s="19">
        <f>i_corp*AI49*IF(OR(DCF!$C$46=1,AI$3&lt;=i_conc_end),1,i_corp_after_w)+IF(AI$3&gt;=i_mitig_start,DCF!$C$48*AI49,0)</f>
        <v/>
      </c>
    </row>
    <row r="131">
      <c r="B131" s="3" t="inlineStr">
        <is>
          <t>EBITDA</t>
        </is>
      </c>
      <c r="D131" s="31">
        <f>D129-D130</f>
        <v/>
      </c>
      <c r="E131" s="31">
        <f>E129-E130</f>
        <v/>
      </c>
      <c r="F131" s="31">
        <f>F129-F130</f>
        <v/>
      </c>
      <c r="G131" s="31">
        <f>G129-G130</f>
        <v/>
      </c>
      <c r="H131" s="31">
        <f>H129-H130</f>
        <v/>
      </c>
      <c r="I131" s="31">
        <f>I129-I130</f>
        <v/>
      </c>
      <c r="J131" s="31">
        <f>J129-J130</f>
        <v/>
      </c>
      <c r="K131" s="31">
        <f>K129-K130</f>
        <v/>
      </c>
      <c r="L131" s="31">
        <f>L129-L130</f>
        <v/>
      </c>
      <c r="M131" s="31">
        <f>M129-M130</f>
        <v/>
      </c>
      <c r="N131" s="31">
        <f>N129-N130</f>
        <v/>
      </c>
      <c r="O131" s="31">
        <f>O129-O130</f>
        <v/>
      </c>
      <c r="P131" s="31">
        <f>P129-P130</f>
        <v/>
      </c>
      <c r="Q131" s="31">
        <f>Q129-Q130</f>
        <v/>
      </c>
      <c r="R131" s="31">
        <f>R129-R130</f>
        <v/>
      </c>
      <c r="S131" s="31">
        <f>S129-S130</f>
        <v/>
      </c>
      <c r="T131" s="31">
        <f>T129-T130</f>
        <v/>
      </c>
      <c r="U131" s="31">
        <f>U129-U130</f>
        <v/>
      </c>
      <c r="V131" s="31">
        <f>V129-V130</f>
        <v/>
      </c>
      <c r="W131" s="31">
        <f>W129-W130</f>
        <v/>
      </c>
      <c r="X131" s="31">
        <f>X129-X130</f>
        <v/>
      </c>
      <c r="Y131" s="31">
        <f>Y129-Y130</f>
        <v/>
      </c>
      <c r="Z131" s="31">
        <f>Z129-Z130</f>
        <v/>
      </c>
      <c r="AA131" s="31">
        <f>AA129-AA130</f>
        <v/>
      </c>
      <c r="AB131" s="31">
        <f>AB129-AB130</f>
        <v/>
      </c>
      <c r="AC131" s="31">
        <f>AC129-AC130</f>
        <v/>
      </c>
      <c r="AD131" s="31">
        <f>AD129-AD130</f>
        <v/>
      </c>
      <c r="AE131" s="31">
        <f>AE129-AE130</f>
        <v/>
      </c>
      <c r="AF131" s="31">
        <f>AF129-AF130</f>
        <v/>
      </c>
      <c r="AG131" s="31">
        <f>AG129-AG130</f>
        <v/>
      </c>
      <c r="AH131" s="31">
        <f>AH129-AH130</f>
        <v/>
      </c>
      <c r="AI131" s="31">
        <f>AI129-AI130</f>
        <v/>
      </c>
    </row>
    <row r="132">
      <c r="B132" s="2" t="inlineStr">
        <is>
          <t>Maintenance capex</t>
        </is>
      </c>
      <c r="D132" s="19">
        <f>D68+D83+D98+D114+D125</f>
        <v/>
      </c>
      <c r="E132" s="19">
        <f>E68+E83+E98+E114+E125</f>
        <v/>
      </c>
      <c r="F132" s="19">
        <f>F68+F83+F98+F114+F125</f>
        <v/>
      </c>
      <c r="G132" s="19">
        <f>G68+G83+G98+G114+G125</f>
        <v/>
      </c>
      <c r="H132" s="19">
        <f>H68+H83+H98+H114+H125</f>
        <v/>
      </c>
      <c r="I132" s="19">
        <f>I68+I83+I98+I114+I125</f>
        <v/>
      </c>
      <c r="J132" s="19">
        <f>J68+J83+J98+J114+J125</f>
        <v/>
      </c>
      <c r="K132" s="19">
        <f>K68+K83+K98+K114+K125</f>
        <v/>
      </c>
      <c r="L132" s="19">
        <f>L68+L83+L98+L114+L125</f>
        <v/>
      </c>
      <c r="M132" s="19">
        <f>M68+M83+M98+M114+M125</f>
        <v/>
      </c>
      <c r="N132" s="19">
        <f>N68+N83+N98+N114+N125</f>
        <v/>
      </c>
      <c r="O132" s="19">
        <f>O68+O83+O98+O114+O125</f>
        <v/>
      </c>
      <c r="P132" s="19">
        <f>P68+P83+P98+P114+P125</f>
        <v/>
      </c>
      <c r="Q132" s="19">
        <f>Q68+Q83+Q98+Q114+Q125</f>
        <v/>
      </c>
      <c r="R132" s="19">
        <f>R68+R83+R98+R114+R125</f>
        <v/>
      </c>
      <c r="S132" s="19">
        <f>S68+S83+S98+S114+S125</f>
        <v/>
      </c>
      <c r="T132" s="19">
        <f>T68+T83+T98+T114+T125</f>
        <v/>
      </c>
      <c r="U132" s="19">
        <f>U68+U83+U98+U114+U125</f>
        <v/>
      </c>
      <c r="V132" s="19">
        <f>V68+V83+V98+V114+V125</f>
        <v/>
      </c>
      <c r="W132" s="19">
        <f>W68+W83+W98+W114+W125</f>
        <v/>
      </c>
      <c r="X132" s="19">
        <f>X68+X83+X98+X114+X125</f>
        <v/>
      </c>
      <c r="Y132" s="19">
        <f>Y68+Y83+Y98+Y114+Y125</f>
        <v/>
      </c>
      <c r="Z132" s="19">
        <f>Z68+Z83+Z98+Z114+Z125</f>
        <v/>
      </c>
      <c r="AA132" s="19">
        <f>AA68+AA83+AA98+AA114+AA125</f>
        <v/>
      </c>
      <c r="AB132" s="19">
        <f>AB68+AB83+AB98+AB114+AB125</f>
        <v/>
      </c>
      <c r="AC132" s="19">
        <f>AC68+AC83+AC98+AC114+AC125</f>
        <v/>
      </c>
      <c r="AD132" s="19">
        <f>AD68+AD83+AD98+AD114+AD125</f>
        <v/>
      </c>
      <c r="AE132" s="19">
        <f>AE68+AE83+AE98+AE114+AE125</f>
        <v/>
      </c>
      <c r="AF132" s="19">
        <f>AF68+AF83+AF98+AF114+AF125</f>
        <v/>
      </c>
      <c r="AG132" s="19">
        <f>AG68+AG83+AG98+AG114+AG125</f>
        <v/>
      </c>
      <c r="AH132" s="19">
        <f>AH68+AH83+AH98+AH114+AH125</f>
        <v/>
      </c>
      <c r="AI132" s="19">
        <f>AI68+AI83+AI98+AI114+AI125</f>
        <v/>
      </c>
    </row>
    <row r="133">
      <c r="B133" s="2" t="inlineStr">
        <is>
          <t>Growth capex</t>
        </is>
      </c>
      <c r="D133" s="19">
        <f>D116</f>
        <v/>
      </c>
      <c r="E133" s="19">
        <f>E116</f>
        <v/>
      </c>
      <c r="F133" s="19">
        <f>F116</f>
        <v/>
      </c>
      <c r="G133" s="19">
        <f>G116</f>
        <v/>
      </c>
      <c r="H133" s="19">
        <f>H116</f>
        <v/>
      </c>
      <c r="I133" s="19">
        <f>I116</f>
        <v/>
      </c>
      <c r="J133" s="19">
        <f>J116</f>
        <v/>
      </c>
      <c r="K133" s="19">
        <f>K116</f>
        <v/>
      </c>
      <c r="L133" s="19">
        <f>L116</f>
        <v/>
      </c>
      <c r="M133" s="19">
        <f>M116</f>
        <v/>
      </c>
      <c r="N133" s="19">
        <f>N116</f>
        <v/>
      </c>
      <c r="O133" s="19">
        <f>O116</f>
        <v/>
      </c>
      <c r="P133" s="19">
        <f>P116</f>
        <v/>
      </c>
      <c r="Q133" s="19">
        <f>Q116</f>
        <v/>
      </c>
      <c r="R133" s="19">
        <f>R116</f>
        <v/>
      </c>
      <c r="S133" s="19">
        <f>S116</f>
        <v/>
      </c>
      <c r="T133" s="19">
        <f>T116</f>
        <v/>
      </c>
      <c r="U133" s="19">
        <f>U116</f>
        <v/>
      </c>
      <c r="V133" s="19">
        <f>V116</f>
        <v/>
      </c>
      <c r="W133" s="19">
        <f>W116</f>
        <v/>
      </c>
      <c r="X133" s="19">
        <f>X116</f>
        <v/>
      </c>
      <c r="Y133" s="19">
        <f>Y116</f>
        <v/>
      </c>
      <c r="Z133" s="19">
        <f>Z116</f>
        <v/>
      </c>
      <c r="AA133" s="19">
        <f>AA116</f>
        <v/>
      </c>
      <c r="AB133" s="19">
        <f>AB116</f>
        <v/>
      </c>
      <c r="AC133" s="19">
        <f>AC116</f>
        <v/>
      </c>
      <c r="AD133" s="19">
        <f>AD116</f>
        <v/>
      </c>
      <c r="AE133" s="19">
        <f>AE116</f>
        <v/>
      </c>
      <c r="AF133" s="19">
        <f>AF116</f>
        <v/>
      </c>
      <c r="AG133" s="19">
        <f>AG116</f>
        <v/>
      </c>
      <c r="AH133" s="19">
        <f>AH116</f>
        <v/>
      </c>
      <c r="AI133" s="19">
        <f>AI116</f>
        <v/>
      </c>
    </row>
    <row r="134">
      <c r="B134" s="2" t="inlineStr">
        <is>
          <t>Tax depreciation</t>
        </is>
      </c>
      <c r="D134" s="19">
        <f>D132+IF(D$3&lt;=i_tax_dep_end,i_tax_dep_extra,0)</f>
        <v/>
      </c>
      <c r="E134" s="19">
        <f>E132+IF(E$3&lt;=i_tax_dep_end,i_tax_dep_extra,0)</f>
        <v/>
      </c>
      <c r="F134" s="19">
        <f>F132+IF(F$3&lt;=i_tax_dep_end,i_tax_dep_extra,0)</f>
        <v/>
      </c>
      <c r="G134" s="19">
        <f>G132+IF(G$3&lt;=i_tax_dep_end,i_tax_dep_extra,0)</f>
        <v/>
      </c>
      <c r="H134" s="19">
        <f>H132+IF(H$3&lt;=i_tax_dep_end,i_tax_dep_extra,0)</f>
        <v/>
      </c>
      <c r="I134" s="19">
        <f>I132+IF(I$3&lt;=i_tax_dep_end,i_tax_dep_extra,0)</f>
        <v/>
      </c>
      <c r="J134" s="19">
        <f>J132+IF(J$3&lt;=i_tax_dep_end,i_tax_dep_extra,0)</f>
        <v/>
      </c>
      <c r="K134" s="19">
        <f>K132+IF(K$3&lt;=i_tax_dep_end,i_tax_dep_extra,0)</f>
        <v/>
      </c>
      <c r="L134" s="19">
        <f>L132+IF(L$3&lt;=i_tax_dep_end,i_tax_dep_extra,0)</f>
        <v/>
      </c>
      <c r="M134" s="19">
        <f>M132+IF(M$3&lt;=i_tax_dep_end,i_tax_dep_extra,0)</f>
        <v/>
      </c>
      <c r="N134" s="19">
        <f>N132+IF(N$3&lt;=i_tax_dep_end,i_tax_dep_extra,0)</f>
        <v/>
      </c>
      <c r="O134" s="19">
        <f>O132+IF(O$3&lt;=i_tax_dep_end,i_tax_dep_extra,0)</f>
        <v/>
      </c>
      <c r="P134" s="19">
        <f>P132+IF(P$3&lt;=i_tax_dep_end,i_tax_dep_extra,0)</f>
        <v/>
      </c>
      <c r="Q134" s="19">
        <f>Q132+IF(Q$3&lt;=i_tax_dep_end,i_tax_dep_extra,0)</f>
        <v/>
      </c>
      <c r="R134" s="19">
        <f>R132+IF(R$3&lt;=i_tax_dep_end,i_tax_dep_extra,0)</f>
        <v/>
      </c>
      <c r="S134" s="19">
        <f>S132+IF(S$3&lt;=i_tax_dep_end,i_tax_dep_extra,0)</f>
        <v/>
      </c>
      <c r="T134" s="19">
        <f>T132+IF(T$3&lt;=i_tax_dep_end,i_tax_dep_extra,0)</f>
        <v/>
      </c>
      <c r="U134" s="19">
        <f>U132+IF(U$3&lt;=i_tax_dep_end,i_tax_dep_extra,0)</f>
        <v/>
      </c>
      <c r="V134" s="19">
        <f>V132+IF(V$3&lt;=i_tax_dep_end,i_tax_dep_extra,0)</f>
        <v/>
      </c>
      <c r="W134" s="19">
        <f>W132+IF(W$3&lt;=i_tax_dep_end,i_tax_dep_extra,0)</f>
        <v/>
      </c>
      <c r="X134" s="19">
        <f>X132+IF(X$3&lt;=i_tax_dep_end,i_tax_dep_extra,0)</f>
        <v/>
      </c>
      <c r="Y134" s="19">
        <f>Y132+IF(Y$3&lt;=i_tax_dep_end,i_tax_dep_extra,0)</f>
        <v/>
      </c>
      <c r="Z134" s="19">
        <f>Z132+IF(Z$3&lt;=i_tax_dep_end,i_tax_dep_extra,0)</f>
        <v/>
      </c>
      <c r="AA134" s="19">
        <f>AA132+IF(AA$3&lt;=i_tax_dep_end,i_tax_dep_extra,0)</f>
        <v/>
      </c>
      <c r="AB134" s="19">
        <f>AB132+IF(AB$3&lt;=i_tax_dep_end,i_tax_dep_extra,0)</f>
        <v/>
      </c>
      <c r="AC134" s="19">
        <f>AC132+IF(AC$3&lt;=i_tax_dep_end,i_tax_dep_extra,0)</f>
        <v/>
      </c>
      <c r="AD134" s="19">
        <f>AD132+IF(AD$3&lt;=i_tax_dep_end,i_tax_dep_extra,0)</f>
        <v/>
      </c>
      <c r="AE134" s="19">
        <f>AE132+IF(AE$3&lt;=i_tax_dep_end,i_tax_dep_extra,0)</f>
        <v/>
      </c>
      <c r="AF134" s="19">
        <f>AF132+IF(AF$3&lt;=i_tax_dep_end,i_tax_dep_extra,0)</f>
        <v/>
      </c>
      <c r="AG134" s="19">
        <f>AG132+IF(AG$3&lt;=i_tax_dep_end,i_tax_dep_extra,0)</f>
        <v/>
      </c>
      <c r="AH134" s="19">
        <f>AH132+IF(AH$3&lt;=i_tax_dep_end,i_tax_dep_extra,0)</f>
        <v/>
      </c>
      <c r="AI134" s="19">
        <f>AI132+IF(AI$3&lt;=i_tax_dep_end,i_tax_dep_extra,0)</f>
        <v/>
      </c>
    </row>
    <row r="135">
      <c r="B135" s="2" t="inlineStr">
        <is>
          <t>Unlevered cash tax</t>
        </is>
      </c>
      <c r="D135" s="19">
        <f>i_tax*MAX(0,D131-D134)</f>
        <v/>
      </c>
      <c r="E135" s="19">
        <f>i_tax*MAX(0,E131-E134)</f>
        <v/>
      </c>
      <c r="F135" s="19">
        <f>i_tax*MAX(0,F131-F134)</f>
        <v/>
      </c>
      <c r="G135" s="19">
        <f>i_tax*MAX(0,G131-G134)</f>
        <v/>
      </c>
      <c r="H135" s="19">
        <f>i_tax*MAX(0,H131-H134)</f>
        <v/>
      </c>
      <c r="I135" s="19">
        <f>i_tax*MAX(0,I131-I134)</f>
        <v/>
      </c>
      <c r="J135" s="19">
        <f>i_tax*MAX(0,J131-J134)</f>
        <v/>
      </c>
      <c r="K135" s="19">
        <f>i_tax*MAX(0,K131-K134)</f>
        <v/>
      </c>
      <c r="L135" s="19">
        <f>i_tax*MAX(0,L131-L134)</f>
        <v/>
      </c>
      <c r="M135" s="19">
        <f>i_tax*MAX(0,M131-M134)</f>
        <v/>
      </c>
      <c r="N135" s="19">
        <f>i_tax*MAX(0,N131-N134)</f>
        <v/>
      </c>
      <c r="O135" s="19">
        <f>i_tax*MAX(0,O131-O134)</f>
        <v/>
      </c>
      <c r="P135" s="19">
        <f>i_tax*MAX(0,P131-P134)</f>
        <v/>
      </c>
      <c r="Q135" s="19">
        <f>i_tax*MAX(0,Q131-Q134)</f>
        <v/>
      </c>
      <c r="R135" s="19">
        <f>i_tax*MAX(0,R131-R134)</f>
        <v/>
      </c>
      <c r="S135" s="19">
        <f>i_tax*MAX(0,S131-S134)</f>
        <v/>
      </c>
      <c r="T135" s="19">
        <f>i_tax*MAX(0,T131-T134)</f>
        <v/>
      </c>
      <c r="U135" s="19">
        <f>i_tax*MAX(0,U131-U134)</f>
        <v/>
      </c>
      <c r="V135" s="19">
        <f>i_tax*MAX(0,V131-V134)</f>
        <v/>
      </c>
      <c r="W135" s="19">
        <f>i_tax*MAX(0,W131-W134)</f>
        <v/>
      </c>
      <c r="X135" s="19">
        <f>i_tax*MAX(0,X131-X134)</f>
        <v/>
      </c>
      <c r="Y135" s="19">
        <f>i_tax*MAX(0,Y131-Y134)</f>
        <v/>
      </c>
      <c r="Z135" s="19">
        <f>i_tax*MAX(0,Z131-Z134)</f>
        <v/>
      </c>
      <c r="AA135" s="19">
        <f>i_tax*MAX(0,AA131-AA134)</f>
        <v/>
      </c>
      <c r="AB135" s="19">
        <f>i_tax*MAX(0,AB131-AB134)</f>
        <v/>
      </c>
      <c r="AC135" s="19">
        <f>i_tax*MAX(0,AC131-AC134)</f>
        <v/>
      </c>
      <c r="AD135" s="19">
        <f>i_tax*MAX(0,AD131-AD134)</f>
        <v/>
      </c>
      <c r="AE135" s="19">
        <f>i_tax*MAX(0,AE131-AE134)</f>
        <v/>
      </c>
      <c r="AF135" s="19">
        <f>i_tax*MAX(0,AF131-AF134)</f>
        <v/>
      </c>
      <c r="AG135" s="19">
        <f>i_tax*MAX(0,AG131-AG134)</f>
        <v/>
      </c>
      <c r="AH135" s="19">
        <f>i_tax*MAX(0,AH131-AH134)</f>
        <v/>
      </c>
      <c r="AI135" s="19">
        <f>i_tax*MAX(0,AI131-AI134)</f>
        <v/>
      </c>
    </row>
    <row r="136">
      <c r="B136" s="2" t="inlineStr">
        <is>
          <t>Westerhaven handback works</t>
        </is>
      </c>
      <c r="D136" s="19">
        <f>IF(AND(DCF!$C$46=0,D$3=i_conc_end),i_handback*D49,0)</f>
        <v/>
      </c>
      <c r="E136" s="19">
        <f>IF(AND(DCF!$C$46=0,E$3=i_conc_end),i_handback*E49,0)</f>
        <v/>
      </c>
      <c r="F136" s="19">
        <f>IF(AND(DCF!$C$46=0,F$3=i_conc_end),i_handback*F49,0)</f>
        <v/>
      </c>
      <c r="G136" s="19">
        <f>IF(AND(DCF!$C$46=0,G$3=i_conc_end),i_handback*G49,0)</f>
        <v/>
      </c>
      <c r="H136" s="19">
        <f>IF(AND(DCF!$C$46=0,H$3=i_conc_end),i_handback*H49,0)</f>
        <v/>
      </c>
      <c r="I136" s="19">
        <f>IF(AND(DCF!$C$46=0,I$3=i_conc_end),i_handback*I49,0)</f>
        <v/>
      </c>
      <c r="J136" s="19">
        <f>IF(AND(DCF!$C$46=0,J$3=i_conc_end),i_handback*J49,0)</f>
        <v/>
      </c>
      <c r="K136" s="19">
        <f>IF(AND(DCF!$C$46=0,K$3=i_conc_end),i_handback*K49,0)</f>
        <v/>
      </c>
      <c r="L136" s="19">
        <f>IF(AND(DCF!$C$46=0,L$3=i_conc_end),i_handback*L49,0)</f>
        <v/>
      </c>
      <c r="M136" s="19">
        <f>IF(AND(DCF!$C$46=0,M$3=i_conc_end),i_handback*M49,0)</f>
        <v/>
      </c>
      <c r="N136" s="19">
        <f>IF(AND(DCF!$C$46=0,N$3=i_conc_end),i_handback*N49,0)</f>
        <v/>
      </c>
      <c r="O136" s="19">
        <f>IF(AND(DCF!$C$46=0,O$3=i_conc_end),i_handback*O49,0)</f>
        <v/>
      </c>
      <c r="P136" s="19">
        <f>IF(AND(DCF!$C$46=0,P$3=i_conc_end),i_handback*P49,0)</f>
        <v/>
      </c>
      <c r="Q136" s="19">
        <f>IF(AND(DCF!$C$46=0,Q$3=i_conc_end),i_handback*Q49,0)</f>
        <v/>
      </c>
      <c r="R136" s="19">
        <f>IF(AND(DCF!$C$46=0,R$3=i_conc_end),i_handback*R49,0)</f>
        <v/>
      </c>
      <c r="S136" s="19">
        <f>IF(AND(DCF!$C$46=0,S$3=i_conc_end),i_handback*S49,0)</f>
        <v/>
      </c>
      <c r="T136" s="19">
        <f>IF(AND(DCF!$C$46=0,T$3=i_conc_end),i_handback*T49,0)</f>
        <v/>
      </c>
      <c r="U136" s="19">
        <f>IF(AND(DCF!$C$46=0,U$3=i_conc_end),i_handback*U49,0)</f>
        <v/>
      </c>
      <c r="V136" s="19">
        <f>IF(AND(DCF!$C$46=0,V$3=i_conc_end),i_handback*V49,0)</f>
        <v/>
      </c>
      <c r="W136" s="19">
        <f>IF(AND(DCF!$C$46=0,W$3=i_conc_end),i_handback*W49,0)</f>
        <v/>
      </c>
      <c r="X136" s="19">
        <f>IF(AND(DCF!$C$46=0,X$3=i_conc_end),i_handback*X49,0)</f>
        <v/>
      </c>
      <c r="Y136" s="19">
        <f>IF(AND(DCF!$C$46=0,Y$3=i_conc_end),i_handback*Y49,0)</f>
        <v/>
      </c>
      <c r="Z136" s="19">
        <f>IF(AND(DCF!$C$46=0,Z$3=i_conc_end),i_handback*Z49,0)</f>
        <v/>
      </c>
      <c r="AA136" s="19">
        <f>IF(AND(DCF!$C$46=0,AA$3=i_conc_end),i_handback*AA49,0)</f>
        <v/>
      </c>
      <c r="AB136" s="19">
        <f>IF(AND(DCF!$C$46=0,AB$3=i_conc_end),i_handback*AB49,0)</f>
        <v/>
      </c>
      <c r="AC136" s="19">
        <f>IF(AND(DCF!$C$46=0,AC$3=i_conc_end),i_handback*AC49,0)</f>
        <v/>
      </c>
      <c r="AD136" s="19">
        <f>IF(AND(DCF!$C$46=0,AD$3=i_conc_end),i_handback*AD49,0)</f>
        <v/>
      </c>
      <c r="AE136" s="19">
        <f>IF(AND(DCF!$C$46=0,AE$3=i_conc_end),i_handback*AE49,0)</f>
        <v/>
      </c>
      <c r="AF136" s="19">
        <f>IF(AND(DCF!$C$46=0,AF$3=i_conc_end),i_handback*AF49,0)</f>
        <v/>
      </c>
      <c r="AG136" s="19">
        <f>IF(AND(DCF!$C$46=0,AG$3=i_conc_end),i_handback*AG49,0)</f>
        <v/>
      </c>
      <c r="AH136" s="19">
        <f>IF(AND(DCF!$C$46=0,AH$3=i_conc_end),i_handback*AH49,0)</f>
        <v/>
      </c>
      <c r="AI136" s="19">
        <f>IF(AND(DCF!$C$46=0,AI$3=i_conc_end),i_handback*AI49,0)</f>
        <v/>
      </c>
    </row>
    <row r="137">
      <c r="B137" s="3" t="inlineStr">
        <is>
          <t>Free cash flow (unlevered)</t>
        </is>
      </c>
      <c r="D137" s="31">
        <f>D131-D132-D133-D135-D136</f>
        <v/>
      </c>
      <c r="E137" s="31">
        <f>E131-E132-E133-E135-E136</f>
        <v/>
      </c>
      <c r="F137" s="31">
        <f>F131-F132-F133-F135-F136</f>
        <v/>
      </c>
      <c r="G137" s="31">
        <f>G131-G132-G133-G135-G136</f>
        <v/>
      </c>
      <c r="H137" s="31">
        <f>H131-H132-H133-H135-H136</f>
        <v/>
      </c>
      <c r="I137" s="31">
        <f>I131-I132-I133-I135-I136</f>
        <v/>
      </c>
      <c r="J137" s="31">
        <f>J131-J132-J133-J135-J136</f>
        <v/>
      </c>
      <c r="K137" s="31">
        <f>K131-K132-K133-K135-K136</f>
        <v/>
      </c>
      <c r="L137" s="31">
        <f>L131-L132-L133-L135-L136</f>
        <v/>
      </c>
      <c r="M137" s="31">
        <f>M131-M132-M133-M135-M136</f>
        <v/>
      </c>
      <c r="N137" s="31">
        <f>N131-N132-N133-N135-N136</f>
        <v/>
      </c>
      <c r="O137" s="31">
        <f>O131-O132-O133-O135-O136</f>
        <v/>
      </c>
      <c r="P137" s="31">
        <f>P131-P132-P133-P135-P136</f>
        <v/>
      </c>
      <c r="Q137" s="31">
        <f>Q131-Q132-Q133-Q135-Q136</f>
        <v/>
      </c>
      <c r="R137" s="31">
        <f>R131-R132-R133-R135-R136</f>
        <v/>
      </c>
      <c r="S137" s="31">
        <f>S131-S132-S133-S135-S136</f>
        <v/>
      </c>
      <c r="T137" s="31">
        <f>T131-T132-T133-T135-T136</f>
        <v/>
      </c>
      <c r="U137" s="31">
        <f>U131-U132-U133-U135-U136</f>
        <v/>
      </c>
      <c r="V137" s="31">
        <f>V131-V132-V133-V135-V136</f>
        <v/>
      </c>
      <c r="W137" s="31">
        <f>W131-W132-W133-W135-W136</f>
        <v/>
      </c>
      <c r="X137" s="31">
        <f>X131-X132-X133-X135-X136</f>
        <v/>
      </c>
      <c r="Y137" s="31">
        <f>Y131-Y132-Y133-Y135-Y136</f>
        <v/>
      </c>
      <c r="Z137" s="31">
        <f>Z131-Z132-Z133-Z135-Z136</f>
        <v/>
      </c>
      <c r="AA137" s="31">
        <f>AA131-AA132-AA133-AA135-AA136</f>
        <v/>
      </c>
      <c r="AB137" s="31">
        <f>AB131-AB132-AB133-AB135-AB136</f>
        <v/>
      </c>
      <c r="AC137" s="31">
        <f>AC131-AC132-AC133-AC135-AC136</f>
        <v/>
      </c>
      <c r="AD137" s="31">
        <f>AD131-AD132-AD133-AD135-AD136</f>
        <v/>
      </c>
      <c r="AE137" s="31">
        <f>AE131-AE132-AE133-AE135-AE136</f>
        <v/>
      </c>
      <c r="AF137" s="31">
        <f>AF131-AF132-AF133-AF135-AF136</f>
        <v/>
      </c>
      <c r="AG137" s="31">
        <f>AG131-AG132-AG133-AG135-AG136</f>
        <v/>
      </c>
      <c r="AH137" s="31">
        <f>AH131-AH132-AH133-AH135-AH136</f>
        <v/>
      </c>
      <c r="AI137" s="31">
        <f>AI131-AI132-AI133-AI135-AI136</f>
        <v/>
      </c>
    </row>
    <row r="138">
      <c r="B138" s="2" t="inlineStr">
        <is>
          <t>Present value at the discount rate (2027 to 2056)</t>
        </is>
      </c>
      <c r="D138" s="19">
        <f>IF(AND(D$3&gt;i_base_year,D$3&lt;=i_last),D137/(1+i_r)^D$4,0)</f>
        <v/>
      </c>
      <c r="E138" s="19">
        <f>IF(AND(E$3&gt;i_base_year,E$3&lt;=i_last),E137/(1+i_r)^E$4,0)</f>
        <v/>
      </c>
      <c r="F138" s="19">
        <f>IF(AND(F$3&gt;i_base_year,F$3&lt;=i_last),F137/(1+i_r)^F$4,0)</f>
        <v/>
      </c>
      <c r="G138" s="19">
        <f>IF(AND(G$3&gt;i_base_year,G$3&lt;=i_last),G137/(1+i_r)^G$4,0)</f>
        <v/>
      </c>
      <c r="H138" s="19">
        <f>IF(AND(H$3&gt;i_base_year,H$3&lt;=i_last),H137/(1+i_r)^H$4,0)</f>
        <v/>
      </c>
      <c r="I138" s="19">
        <f>IF(AND(I$3&gt;i_base_year,I$3&lt;=i_last),I137/(1+i_r)^I$4,0)</f>
        <v/>
      </c>
      <c r="J138" s="19">
        <f>IF(AND(J$3&gt;i_base_year,J$3&lt;=i_last),J137/(1+i_r)^J$4,0)</f>
        <v/>
      </c>
      <c r="K138" s="19">
        <f>IF(AND(K$3&gt;i_base_year,K$3&lt;=i_last),K137/(1+i_r)^K$4,0)</f>
        <v/>
      </c>
      <c r="L138" s="19">
        <f>IF(AND(L$3&gt;i_base_year,L$3&lt;=i_last),L137/(1+i_r)^L$4,0)</f>
        <v/>
      </c>
      <c r="M138" s="19">
        <f>IF(AND(M$3&gt;i_base_year,M$3&lt;=i_last),M137/(1+i_r)^M$4,0)</f>
        <v/>
      </c>
      <c r="N138" s="19">
        <f>IF(AND(N$3&gt;i_base_year,N$3&lt;=i_last),N137/(1+i_r)^N$4,0)</f>
        <v/>
      </c>
      <c r="O138" s="19">
        <f>IF(AND(O$3&gt;i_base_year,O$3&lt;=i_last),O137/(1+i_r)^O$4,0)</f>
        <v/>
      </c>
      <c r="P138" s="19">
        <f>IF(AND(P$3&gt;i_base_year,P$3&lt;=i_last),P137/(1+i_r)^P$4,0)</f>
        <v/>
      </c>
      <c r="Q138" s="19">
        <f>IF(AND(Q$3&gt;i_base_year,Q$3&lt;=i_last),Q137/(1+i_r)^Q$4,0)</f>
        <v/>
      </c>
      <c r="R138" s="19">
        <f>IF(AND(R$3&gt;i_base_year,R$3&lt;=i_last),R137/(1+i_r)^R$4,0)</f>
        <v/>
      </c>
      <c r="S138" s="19">
        <f>IF(AND(S$3&gt;i_base_year,S$3&lt;=i_last),S137/(1+i_r)^S$4,0)</f>
        <v/>
      </c>
      <c r="T138" s="19">
        <f>IF(AND(T$3&gt;i_base_year,T$3&lt;=i_last),T137/(1+i_r)^T$4,0)</f>
        <v/>
      </c>
      <c r="U138" s="19">
        <f>IF(AND(U$3&gt;i_base_year,U$3&lt;=i_last),U137/(1+i_r)^U$4,0)</f>
        <v/>
      </c>
      <c r="V138" s="19">
        <f>IF(AND(V$3&gt;i_base_year,V$3&lt;=i_last),V137/(1+i_r)^V$4,0)</f>
        <v/>
      </c>
      <c r="W138" s="19">
        <f>IF(AND(W$3&gt;i_base_year,W$3&lt;=i_last),W137/(1+i_r)^W$4,0)</f>
        <v/>
      </c>
      <c r="X138" s="19">
        <f>IF(AND(X$3&gt;i_base_year,X$3&lt;=i_last),X137/(1+i_r)^X$4,0)</f>
        <v/>
      </c>
      <c r="Y138" s="19">
        <f>IF(AND(Y$3&gt;i_base_year,Y$3&lt;=i_last),Y137/(1+i_r)^Y$4,0)</f>
        <v/>
      </c>
      <c r="Z138" s="19">
        <f>IF(AND(Z$3&gt;i_base_year,Z$3&lt;=i_last),Z137/(1+i_r)^Z$4,0)</f>
        <v/>
      </c>
      <c r="AA138" s="19">
        <f>IF(AND(AA$3&gt;i_base_year,AA$3&lt;=i_last),AA137/(1+i_r)^AA$4,0)</f>
        <v/>
      </c>
      <c r="AB138" s="19">
        <f>IF(AND(AB$3&gt;i_base_year,AB$3&lt;=i_last),AB137/(1+i_r)^AB$4,0)</f>
        <v/>
      </c>
      <c r="AC138" s="19">
        <f>IF(AND(AC$3&gt;i_base_year,AC$3&lt;=i_last),AC137/(1+i_r)^AC$4,0)</f>
        <v/>
      </c>
      <c r="AD138" s="19">
        <f>IF(AND(AD$3&gt;i_base_year,AD$3&lt;=i_last),AD137/(1+i_r)^AD$4,0)</f>
        <v/>
      </c>
      <c r="AE138" s="19">
        <f>IF(AND(AE$3&gt;i_base_year,AE$3&lt;=i_last),AE137/(1+i_r)^AE$4,0)</f>
        <v/>
      </c>
      <c r="AF138" s="19">
        <f>IF(AND(AF$3&gt;i_base_year,AF$3&lt;=i_last),AF137/(1+i_r)^AF$4,0)</f>
        <v/>
      </c>
      <c r="AG138" s="19">
        <f>IF(AND(AG$3&gt;i_base_year,AG$3&lt;=i_last),AG137/(1+i_r)^AG$4,0)</f>
        <v/>
      </c>
      <c r="AH138" s="19">
        <f>IF(AND(AH$3&gt;i_base_year,AH$3&lt;=i_last),AH137/(1+i_r)^AH$4,0)</f>
        <v/>
      </c>
      <c r="AI138" s="19">
        <f>IF(AND(AI$3&gt;i_base_year,AI$3&lt;=i_last),AI137/(1+i_r)^AI$4,0)</f>
        <v/>
      </c>
    </row>
    <row r="139">
      <c r="B139" s="2" t="inlineStr">
        <is>
          <t>Present value of 2027 to 2056 free cash flow</t>
        </is>
      </c>
      <c r="C139" s="19">
        <f>SUM(D138:AI138)</f>
        <v/>
      </c>
    </row>
    <row r="140">
      <c r="B140" s="2" t="inlineStr">
        <is>
          <t>Terminal value at the end of 2056 (on 2057 free cash flow)</t>
        </is>
      </c>
      <c r="C140" s="19">
        <f>AI137/(i_r-i_g)</f>
        <v/>
      </c>
    </row>
    <row r="141">
      <c r="B141" s="2" t="inlineStr">
        <is>
          <t>Present value of the terminal value</t>
        </is>
      </c>
      <c r="C141" s="19">
        <f>C140/(1+i_r)^(i_last-i_base_year)</f>
        <v/>
      </c>
    </row>
    <row r="142">
      <c r="B142" s="3" t="inlineStr">
        <is>
          <t>Enterprise value at 31 December 2026</t>
        </is>
      </c>
      <c r="C142" s="31">
        <f>C139+C141</f>
        <v/>
      </c>
    </row>
    <row r="145">
      <c r="B145" s="5" t="inlineStr">
        <is>
          <t>Platform case: Westerhaven concession renewed to 2081 at an 8 percent fee</t>
        </is>
      </c>
    </row>
    <row r="146">
      <c r="B146" s="4" t="inlineStr">
        <is>
          <t>Inflation</t>
        </is>
      </c>
      <c r="C146" s="27">
        <f>Inputs!$K$219</f>
        <v/>
      </c>
    </row>
    <row r="147">
      <c r="B147" s="4" t="inlineStr">
        <is>
          <t>Buyer's recontracting rates (1) or seller's plan rates (0)</t>
        </is>
      </c>
      <c r="C147" s="26">
        <f>Inputs!$K$220</f>
        <v/>
      </c>
    </row>
    <row r="148">
      <c r="B148" s="4" t="inlineStr">
        <is>
          <t>Largest Westerhaven customer leaves (1/0)</t>
        </is>
      </c>
      <c r="C148" s="26">
        <f>Inputs!$K$221</f>
        <v/>
      </c>
    </row>
    <row r="149">
      <c r="B149" s="4" t="inlineStr">
        <is>
          <t>Jetty 3 refurbishment (1/0)</t>
        </is>
      </c>
      <c r="C149" s="26">
        <f>Inputs!$K$222</f>
        <v/>
      </c>
    </row>
    <row r="150">
      <c r="B150" s="4" t="inlineStr">
        <is>
          <t>Sabine Bend extra insurance (1/0)</t>
        </is>
      </c>
      <c r="C150" s="26">
        <f>Inputs!$K$223</f>
        <v/>
      </c>
    </row>
    <row r="151">
      <c r="B151" s="4" t="inlineStr">
        <is>
          <t>Expansion built (1/0)</t>
        </is>
      </c>
      <c r="C151" s="26">
        <f>Inputs!$K$224</f>
        <v/>
      </c>
    </row>
    <row r="152">
      <c r="B152" s="4" t="inlineStr">
        <is>
          <t>Occupancy shift from 2027</t>
        </is>
      </c>
      <c r="C152" s="27">
        <f>Inputs!$K$225</f>
        <v/>
      </c>
    </row>
    <row r="153">
      <c r="B153" s="4" t="inlineStr">
        <is>
          <t>Recontracting shift</t>
        </is>
      </c>
      <c r="C153" s="27">
        <f>Inputs!$K$226</f>
        <v/>
      </c>
    </row>
    <row r="154">
      <c r="B154" s="4" t="inlineStr">
        <is>
          <t>Concession renewed (1/0)</t>
        </is>
      </c>
      <c r="C154" s="26">
        <f>Inputs!$K$227</f>
        <v/>
      </c>
    </row>
    <row r="155">
      <c r="B155" s="4" t="inlineStr">
        <is>
          <t>Westerhaven capacity multiplier</t>
        </is>
      </c>
      <c r="C155" s="28">
        <f>Inputs!$K$228</f>
        <v/>
      </c>
    </row>
    <row r="156">
      <c r="B156" s="4" t="inlineStr">
        <is>
          <t>Extra yearly cost from 2028 ($m, 2026 dollars)</t>
        </is>
      </c>
      <c r="C156" s="29">
        <f>Inputs!$K$229</f>
        <v/>
      </c>
    </row>
    <row r="157">
      <c r="B157" s="2" t="inlineStr">
        <is>
          <t>Cost index (inflation)</t>
        </is>
      </c>
      <c r="D157" s="30">
        <f>(1+DCF!$C$146)^D$4</f>
        <v/>
      </c>
      <c r="E157" s="30">
        <f>(1+DCF!$C$146)^E$4</f>
        <v/>
      </c>
      <c r="F157" s="30">
        <f>(1+DCF!$C$146)^F$4</f>
        <v/>
      </c>
      <c r="G157" s="30">
        <f>(1+DCF!$C$146)^G$4</f>
        <v/>
      </c>
      <c r="H157" s="30">
        <f>(1+DCF!$C$146)^H$4</f>
        <v/>
      </c>
      <c r="I157" s="30">
        <f>(1+DCF!$C$146)^I$4</f>
        <v/>
      </c>
      <c r="J157" s="30">
        <f>(1+DCF!$C$146)^J$4</f>
        <v/>
      </c>
      <c r="K157" s="30">
        <f>(1+DCF!$C$146)^K$4</f>
        <v/>
      </c>
      <c r="L157" s="30">
        <f>(1+DCF!$C$146)^L$4</f>
        <v/>
      </c>
      <c r="M157" s="30">
        <f>(1+DCF!$C$146)^M$4</f>
        <v/>
      </c>
      <c r="N157" s="30">
        <f>(1+DCF!$C$146)^N$4</f>
        <v/>
      </c>
      <c r="O157" s="30">
        <f>(1+DCF!$C$146)^O$4</f>
        <v/>
      </c>
      <c r="P157" s="30">
        <f>(1+DCF!$C$146)^P$4</f>
        <v/>
      </c>
      <c r="Q157" s="30">
        <f>(1+DCF!$C$146)^Q$4</f>
        <v/>
      </c>
      <c r="R157" s="30">
        <f>(1+DCF!$C$146)^R$4</f>
        <v/>
      </c>
      <c r="S157" s="30">
        <f>(1+DCF!$C$146)^S$4</f>
        <v/>
      </c>
      <c r="T157" s="30">
        <f>(1+DCF!$C$146)^T$4</f>
        <v/>
      </c>
      <c r="U157" s="30">
        <f>(1+DCF!$C$146)^U$4</f>
        <v/>
      </c>
      <c r="V157" s="30">
        <f>(1+DCF!$C$146)^V$4</f>
        <v/>
      </c>
      <c r="W157" s="30">
        <f>(1+DCF!$C$146)^W$4</f>
        <v/>
      </c>
      <c r="X157" s="30">
        <f>(1+DCF!$C$146)^X$4</f>
        <v/>
      </c>
      <c r="Y157" s="30">
        <f>(1+DCF!$C$146)^Y$4</f>
        <v/>
      </c>
      <c r="Z157" s="30">
        <f>(1+DCF!$C$146)^Z$4</f>
        <v/>
      </c>
      <c r="AA157" s="30">
        <f>(1+DCF!$C$146)^AA$4</f>
        <v/>
      </c>
      <c r="AB157" s="30">
        <f>(1+DCF!$C$146)^AB$4</f>
        <v/>
      </c>
      <c r="AC157" s="30">
        <f>(1+DCF!$C$146)^AC$4</f>
        <v/>
      </c>
      <c r="AD157" s="30">
        <f>(1+DCF!$C$146)^AD$4</f>
        <v/>
      </c>
      <c r="AE157" s="30">
        <f>(1+DCF!$C$146)^AE$4</f>
        <v/>
      </c>
      <c r="AF157" s="30">
        <f>(1+DCF!$C$146)^AF$4</f>
        <v/>
      </c>
      <c r="AG157" s="30">
        <f>(1+DCF!$C$146)^AG$4</f>
        <v/>
      </c>
      <c r="AH157" s="30">
        <f>(1+DCF!$C$146)^AH$4</f>
        <v/>
      </c>
      <c r="AI157" s="30">
        <f>(1+DCF!$C$146)^AI$4</f>
        <v/>
      </c>
    </row>
    <row r="158">
      <c r="B158" s="2" t="inlineStr">
        <is>
          <t>Rate index (inflation x pass-through)</t>
        </is>
      </c>
      <c r="D158" s="30">
        <f>(1+DCF!$C$146*i_index_share)^D$4</f>
        <v/>
      </c>
      <c r="E158" s="30">
        <f>(1+DCF!$C$146*i_index_share)^E$4</f>
        <v/>
      </c>
      <c r="F158" s="30">
        <f>(1+DCF!$C$146*i_index_share)^F$4</f>
        <v/>
      </c>
      <c r="G158" s="30">
        <f>(1+DCF!$C$146*i_index_share)^G$4</f>
        <v/>
      </c>
      <c r="H158" s="30">
        <f>(1+DCF!$C$146*i_index_share)^H$4</f>
        <v/>
      </c>
      <c r="I158" s="30">
        <f>(1+DCF!$C$146*i_index_share)^I$4</f>
        <v/>
      </c>
      <c r="J158" s="30">
        <f>(1+DCF!$C$146*i_index_share)^J$4</f>
        <v/>
      </c>
      <c r="K158" s="30">
        <f>(1+DCF!$C$146*i_index_share)^K$4</f>
        <v/>
      </c>
      <c r="L158" s="30">
        <f>(1+DCF!$C$146*i_index_share)^L$4</f>
        <v/>
      </c>
      <c r="M158" s="30">
        <f>(1+DCF!$C$146*i_index_share)^M$4</f>
        <v/>
      </c>
      <c r="N158" s="30">
        <f>(1+DCF!$C$146*i_index_share)^N$4</f>
        <v/>
      </c>
      <c r="O158" s="30">
        <f>(1+DCF!$C$146*i_index_share)^O$4</f>
        <v/>
      </c>
      <c r="P158" s="30">
        <f>(1+DCF!$C$146*i_index_share)^P$4</f>
        <v/>
      </c>
      <c r="Q158" s="30">
        <f>(1+DCF!$C$146*i_index_share)^Q$4</f>
        <v/>
      </c>
      <c r="R158" s="30">
        <f>(1+DCF!$C$146*i_index_share)^R$4</f>
        <v/>
      </c>
      <c r="S158" s="30">
        <f>(1+DCF!$C$146*i_index_share)^S$4</f>
        <v/>
      </c>
      <c r="T158" s="30">
        <f>(1+DCF!$C$146*i_index_share)^T$4</f>
        <v/>
      </c>
      <c r="U158" s="30">
        <f>(1+DCF!$C$146*i_index_share)^U$4</f>
        <v/>
      </c>
      <c r="V158" s="30">
        <f>(1+DCF!$C$146*i_index_share)^V$4</f>
        <v/>
      </c>
      <c r="W158" s="30">
        <f>(1+DCF!$C$146*i_index_share)^W$4</f>
        <v/>
      </c>
      <c r="X158" s="30">
        <f>(1+DCF!$C$146*i_index_share)^X$4</f>
        <v/>
      </c>
      <c r="Y158" s="30">
        <f>(1+DCF!$C$146*i_index_share)^Y$4</f>
        <v/>
      </c>
      <c r="Z158" s="30">
        <f>(1+DCF!$C$146*i_index_share)^Z$4</f>
        <v/>
      </c>
      <c r="AA158" s="30">
        <f>(1+DCF!$C$146*i_index_share)^AA$4</f>
        <v/>
      </c>
      <c r="AB158" s="30">
        <f>(1+DCF!$C$146*i_index_share)^AB$4</f>
        <v/>
      </c>
      <c r="AC158" s="30">
        <f>(1+DCF!$C$146*i_index_share)^AC$4</f>
        <v/>
      </c>
      <c r="AD158" s="30">
        <f>(1+DCF!$C$146*i_index_share)^AD$4</f>
        <v/>
      </c>
      <c r="AE158" s="30">
        <f>(1+DCF!$C$146*i_index_share)^AE$4</f>
        <v/>
      </c>
      <c r="AF158" s="30">
        <f>(1+DCF!$C$146*i_index_share)^AF$4</f>
        <v/>
      </c>
      <c r="AG158" s="30">
        <f>(1+DCF!$C$146*i_index_share)^AG$4</f>
        <v/>
      </c>
      <c r="AH158" s="30">
        <f>(1+DCF!$C$146*i_index_share)^AH$4</f>
        <v/>
      </c>
      <c r="AI158" s="30">
        <f>(1+DCF!$C$146*i_index_share)^AI$4</f>
        <v/>
      </c>
    </row>
    <row r="159">
      <c r="B159" s="3" t="inlineStr">
        <is>
          <t>Westerhaven</t>
        </is>
      </c>
    </row>
    <row r="160">
      <c r="B160" s="2" t="inlineStr">
        <is>
          <t xml:space="preserve">  Concession in force (1/0)</t>
        </is>
      </c>
      <c r="D160" s="22">
        <f>IF(DCF!$C$154=1,1,IF(D$3&lt;=i_conc_end,1,0))</f>
        <v/>
      </c>
      <c r="E160" s="22">
        <f>IF(DCF!$C$154=1,1,IF(E$3&lt;=i_conc_end,1,0))</f>
        <v/>
      </c>
      <c r="F160" s="22">
        <f>IF(DCF!$C$154=1,1,IF(F$3&lt;=i_conc_end,1,0))</f>
        <v/>
      </c>
      <c r="G160" s="22">
        <f>IF(DCF!$C$154=1,1,IF(G$3&lt;=i_conc_end,1,0))</f>
        <v/>
      </c>
      <c r="H160" s="22">
        <f>IF(DCF!$C$154=1,1,IF(H$3&lt;=i_conc_end,1,0))</f>
        <v/>
      </c>
      <c r="I160" s="22">
        <f>IF(DCF!$C$154=1,1,IF(I$3&lt;=i_conc_end,1,0))</f>
        <v/>
      </c>
      <c r="J160" s="22">
        <f>IF(DCF!$C$154=1,1,IF(J$3&lt;=i_conc_end,1,0))</f>
        <v/>
      </c>
      <c r="K160" s="22">
        <f>IF(DCF!$C$154=1,1,IF(K$3&lt;=i_conc_end,1,0))</f>
        <v/>
      </c>
      <c r="L160" s="22">
        <f>IF(DCF!$C$154=1,1,IF(L$3&lt;=i_conc_end,1,0))</f>
        <v/>
      </c>
      <c r="M160" s="22">
        <f>IF(DCF!$C$154=1,1,IF(M$3&lt;=i_conc_end,1,0))</f>
        <v/>
      </c>
      <c r="N160" s="22">
        <f>IF(DCF!$C$154=1,1,IF(N$3&lt;=i_conc_end,1,0))</f>
        <v/>
      </c>
      <c r="O160" s="22">
        <f>IF(DCF!$C$154=1,1,IF(O$3&lt;=i_conc_end,1,0))</f>
        <v/>
      </c>
      <c r="P160" s="22">
        <f>IF(DCF!$C$154=1,1,IF(P$3&lt;=i_conc_end,1,0))</f>
        <v/>
      </c>
      <c r="Q160" s="22">
        <f>IF(DCF!$C$154=1,1,IF(Q$3&lt;=i_conc_end,1,0))</f>
        <v/>
      </c>
      <c r="R160" s="22">
        <f>IF(DCF!$C$154=1,1,IF(R$3&lt;=i_conc_end,1,0))</f>
        <v/>
      </c>
      <c r="S160" s="22">
        <f>IF(DCF!$C$154=1,1,IF(S$3&lt;=i_conc_end,1,0))</f>
        <v/>
      </c>
      <c r="T160" s="22">
        <f>IF(DCF!$C$154=1,1,IF(T$3&lt;=i_conc_end,1,0))</f>
        <v/>
      </c>
      <c r="U160" s="22">
        <f>IF(DCF!$C$154=1,1,IF(U$3&lt;=i_conc_end,1,0))</f>
        <v/>
      </c>
      <c r="V160" s="22">
        <f>IF(DCF!$C$154=1,1,IF(V$3&lt;=i_conc_end,1,0))</f>
        <v/>
      </c>
      <c r="W160" s="22">
        <f>IF(DCF!$C$154=1,1,IF(W$3&lt;=i_conc_end,1,0))</f>
        <v/>
      </c>
      <c r="X160" s="22">
        <f>IF(DCF!$C$154=1,1,IF(X$3&lt;=i_conc_end,1,0))</f>
        <v/>
      </c>
      <c r="Y160" s="22">
        <f>IF(DCF!$C$154=1,1,IF(Y$3&lt;=i_conc_end,1,0))</f>
        <v/>
      </c>
      <c r="Z160" s="22">
        <f>IF(DCF!$C$154=1,1,IF(Z$3&lt;=i_conc_end,1,0))</f>
        <v/>
      </c>
      <c r="AA160" s="22">
        <f>IF(DCF!$C$154=1,1,IF(AA$3&lt;=i_conc_end,1,0))</f>
        <v/>
      </c>
      <c r="AB160" s="22">
        <f>IF(DCF!$C$154=1,1,IF(AB$3&lt;=i_conc_end,1,0))</f>
        <v/>
      </c>
      <c r="AC160" s="22">
        <f>IF(DCF!$C$154=1,1,IF(AC$3&lt;=i_conc_end,1,0))</f>
        <v/>
      </c>
      <c r="AD160" s="22">
        <f>IF(DCF!$C$154=1,1,IF(AD$3&lt;=i_conc_end,1,0))</f>
        <v/>
      </c>
      <c r="AE160" s="22">
        <f>IF(DCF!$C$154=1,1,IF(AE$3&lt;=i_conc_end,1,0))</f>
        <v/>
      </c>
      <c r="AF160" s="22">
        <f>IF(DCF!$C$154=1,1,IF(AF$3&lt;=i_conc_end,1,0))</f>
        <v/>
      </c>
      <c r="AG160" s="22">
        <f>IF(DCF!$C$154=1,1,IF(AG$3&lt;=i_conc_end,1,0))</f>
        <v/>
      </c>
      <c r="AH160" s="22">
        <f>IF(DCF!$C$154=1,1,IF(AH$3&lt;=i_conc_end,1,0))</f>
        <v/>
      </c>
      <c r="AI160" s="22">
        <f>IF(DCF!$C$154=1,1,IF(AI$3&lt;=i_conc_end,1,0))</f>
        <v/>
      </c>
    </row>
    <row r="161">
      <c r="B161" s="2" t="inlineStr">
        <is>
          <t xml:space="preserve">  Capacity in service (million m3)</t>
        </is>
      </c>
      <c r="D161" s="24">
        <f>i_W_cap*DCF!$C$155*D160</f>
        <v/>
      </c>
      <c r="E161" s="24">
        <f>i_W_cap*DCF!$C$155*E160</f>
        <v/>
      </c>
      <c r="F161" s="24">
        <f>i_W_cap*DCF!$C$155*F160</f>
        <v/>
      </c>
      <c r="G161" s="24">
        <f>i_W_cap*DCF!$C$155*G160</f>
        <v/>
      </c>
      <c r="H161" s="24">
        <f>i_W_cap*DCF!$C$155*H160</f>
        <v/>
      </c>
      <c r="I161" s="24">
        <f>i_W_cap*DCF!$C$155*I160</f>
        <v/>
      </c>
      <c r="J161" s="24">
        <f>i_W_cap*DCF!$C$155*J160</f>
        <v/>
      </c>
      <c r="K161" s="24">
        <f>i_W_cap*DCF!$C$155*K160</f>
        <v/>
      </c>
      <c r="L161" s="24">
        <f>i_W_cap*DCF!$C$155*L160</f>
        <v/>
      </c>
      <c r="M161" s="24">
        <f>i_W_cap*DCF!$C$155*M160</f>
        <v/>
      </c>
      <c r="N161" s="24">
        <f>i_W_cap*DCF!$C$155*N160</f>
        <v/>
      </c>
      <c r="O161" s="24">
        <f>i_W_cap*DCF!$C$155*O160</f>
        <v/>
      </c>
      <c r="P161" s="24">
        <f>i_W_cap*DCF!$C$155*P160</f>
        <v/>
      </c>
      <c r="Q161" s="24">
        <f>i_W_cap*DCF!$C$155*Q160</f>
        <v/>
      </c>
      <c r="R161" s="24">
        <f>i_W_cap*DCF!$C$155*R160</f>
        <v/>
      </c>
      <c r="S161" s="24">
        <f>i_W_cap*DCF!$C$155*S160</f>
        <v/>
      </c>
      <c r="T161" s="24">
        <f>i_W_cap*DCF!$C$155*T160</f>
        <v/>
      </c>
      <c r="U161" s="24">
        <f>i_W_cap*DCF!$C$155*U160</f>
        <v/>
      </c>
      <c r="V161" s="24">
        <f>i_W_cap*DCF!$C$155*V160</f>
        <v/>
      </c>
      <c r="W161" s="24">
        <f>i_W_cap*DCF!$C$155*W160</f>
        <v/>
      </c>
      <c r="X161" s="24">
        <f>i_W_cap*DCF!$C$155*X160</f>
        <v/>
      </c>
      <c r="Y161" s="24">
        <f>i_W_cap*DCF!$C$155*Y160</f>
        <v/>
      </c>
      <c r="Z161" s="24">
        <f>i_W_cap*DCF!$C$155*Z160</f>
        <v/>
      </c>
      <c r="AA161" s="24">
        <f>i_W_cap*DCF!$C$155*AA160</f>
        <v/>
      </c>
      <c r="AB161" s="24">
        <f>i_W_cap*DCF!$C$155*AB160</f>
        <v/>
      </c>
      <c r="AC161" s="24">
        <f>i_W_cap*DCF!$C$155*AC160</f>
        <v/>
      </c>
      <c r="AD161" s="24">
        <f>i_W_cap*DCF!$C$155*AD160</f>
        <v/>
      </c>
      <c r="AE161" s="24">
        <f>i_W_cap*DCF!$C$155*AE160</f>
        <v/>
      </c>
      <c r="AF161" s="24">
        <f>i_W_cap*DCF!$C$155*AF160</f>
        <v/>
      </c>
      <c r="AG161" s="24">
        <f>i_W_cap*DCF!$C$155*AG160</f>
        <v/>
      </c>
      <c r="AH161" s="24">
        <f>i_W_cap*DCF!$C$155*AH160</f>
        <v/>
      </c>
      <c r="AI161" s="24">
        <f>i_W_cap*DCF!$C$155*AI160</f>
        <v/>
      </c>
    </row>
    <row r="162">
      <c r="B162" s="2" t="inlineStr">
        <is>
          <t xml:space="preserve">  Share on contracts signed before 2027</t>
        </is>
      </c>
      <c r="D162" s="21">
        <f>SUMIF(i_book_years,D$3,i_W_book)</f>
        <v/>
      </c>
      <c r="E162" s="21">
        <f>SUMIF(i_book_years,E$3,i_W_book)</f>
        <v/>
      </c>
      <c r="F162" s="21">
        <f>SUMIF(i_book_years,F$3,i_W_book)</f>
        <v/>
      </c>
      <c r="G162" s="21">
        <f>SUMIF(i_book_years,G$3,i_W_book)</f>
        <v/>
      </c>
      <c r="H162" s="21">
        <f>SUMIF(i_book_years,H$3,i_W_book)</f>
        <v/>
      </c>
      <c r="I162" s="21">
        <f>SUMIF(i_book_years,I$3,i_W_book)</f>
        <v/>
      </c>
      <c r="J162" s="21">
        <f>SUMIF(i_book_years,J$3,i_W_book)</f>
        <v/>
      </c>
      <c r="K162" s="21">
        <f>SUMIF(i_book_years,K$3,i_W_book)</f>
        <v/>
      </c>
      <c r="L162" s="21">
        <f>SUMIF(i_book_years,L$3,i_W_book)</f>
        <v/>
      </c>
      <c r="M162" s="21">
        <f>SUMIF(i_book_years,M$3,i_W_book)</f>
        <v/>
      </c>
      <c r="N162" s="21">
        <f>SUMIF(i_book_years,N$3,i_W_book)</f>
        <v/>
      </c>
      <c r="O162" s="21">
        <f>SUMIF(i_book_years,O$3,i_W_book)</f>
        <v/>
      </c>
      <c r="P162" s="21">
        <f>SUMIF(i_book_years,P$3,i_W_book)</f>
        <v/>
      </c>
      <c r="Q162" s="21">
        <f>SUMIF(i_book_years,Q$3,i_W_book)</f>
        <v/>
      </c>
      <c r="R162" s="21">
        <f>SUMIF(i_book_years,R$3,i_W_book)</f>
        <v/>
      </c>
      <c r="S162" s="21">
        <f>SUMIF(i_book_years,S$3,i_W_book)</f>
        <v/>
      </c>
      <c r="T162" s="21">
        <f>SUMIF(i_book_years,T$3,i_W_book)</f>
        <v/>
      </c>
      <c r="U162" s="21">
        <f>SUMIF(i_book_years,U$3,i_W_book)</f>
        <v/>
      </c>
      <c r="V162" s="21">
        <f>SUMIF(i_book_years,V$3,i_W_book)</f>
        <v/>
      </c>
      <c r="W162" s="21">
        <f>SUMIF(i_book_years,W$3,i_W_book)</f>
        <v/>
      </c>
      <c r="X162" s="21">
        <f>SUMIF(i_book_years,X$3,i_W_book)</f>
        <v/>
      </c>
      <c r="Y162" s="21">
        <f>SUMIF(i_book_years,Y$3,i_W_book)</f>
        <v/>
      </c>
      <c r="Z162" s="21">
        <f>SUMIF(i_book_years,Z$3,i_W_book)</f>
        <v/>
      </c>
      <c r="AA162" s="21">
        <f>SUMIF(i_book_years,AA$3,i_W_book)</f>
        <v/>
      </c>
      <c r="AB162" s="21">
        <f>SUMIF(i_book_years,AB$3,i_W_book)</f>
        <v/>
      </c>
      <c r="AC162" s="21">
        <f>SUMIF(i_book_years,AC$3,i_W_book)</f>
        <v/>
      </c>
      <c r="AD162" s="21">
        <f>SUMIF(i_book_years,AD$3,i_W_book)</f>
        <v/>
      </c>
      <c r="AE162" s="21">
        <f>SUMIF(i_book_years,AE$3,i_W_book)</f>
        <v/>
      </c>
      <c r="AF162" s="21">
        <f>SUMIF(i_book_years,AF$3,i_W_book)</f>
        <v/>
      </c>
      <c r="AG162" s="21">
        <f>SUMIF(i_book_years,AG$3,i_W_book)</f>
        <v/>
      </c>
      <c r="AH162" s="21">
        <f>SUMIF(i_book_years,AH$3,i_W_book)</f>
        <v/>
      </c>
      <c r="AI162" s="21">
        <f>SUMIF(i_book_years,AI$3,i_W_book)</f>
        <v/>
      </c>
    </row>
    <row r="163">
      <c r="B163" s="2" t="inlineStr">
        <is>
          <t xml:space="preserve">  Recontracting factor against current rates</t>
        </is>
      </c>
      <c r="D163" s="21">
        <f>IF(D$4=0,0,IF(DCF!$C$147=1,i_W_mtm,i_W_mtm_plan)+DCF!$C$153)</f>
        <v/>
      </c>
      <c r="E163" s="21">
        <f>IF(E$4=0,0,IF(DCF!$C$147=1,i_W_mtm,i_W_mtm_plan)+DCF!$C$153)</f>
        <v/>
      </c>
      <c r="F163" s="21">
        <f>IF(F$4=0,0,IF(DCF!$C$147=1,i_W_mtm,i_W_mtm_plan)+DCF!$C$153)</f>
        <v/>
      </c>
      <c r="G163" s="21">
        <f>IF(G$4=0,0,IF(DCF!$C$147=1,i_W_mtm,i_W_mtm_plan)+DCF!$C$153)</f>
        <v/>
      </c>
      <c r="H163" s="21">
        <f>IF(H$4=0,0,IF(DCF!$C$147=1,i_W_mtm,i_W_mtm_plan)+DCF!$C$153)</f>
        <v/>
      </c>
      <c r="I163" s="21">
        <f>IF(I$4=0,0,IF(DCF!$C$147=1,i_W_mtm,i_W_mtm_plan)+DCF!$C$153)</f>
        <v/>
      </c>
      <c r="J163" s="21">
        <f>IF(J$4=0,0,IF(DCF!$C$147=1,i_W_mtm,i_W_mtm_plan)+DCF!$C$153)</f>
        <v/>
      </c>
      <c r="K163" s="21">
        <f>IF(K$4=0,0,IF(DCF!$C$147=1,i_W_mtm,i_W_mtm_plan)+DCF!$C$153)</f>
        <v/>
      </c>
      <c r="L163" s="21">
        <f>IF(L$4=0,0,IF(DCF!$C$147=1,i_W_mtm,i_W_mtm_plan)+DCF!$C$153)</f>
        <v/>
      </c>
      <c r="M163" s="21">
        <f>IF(M$4=0,0,IF(DCF!$C$147=1,i_W_mtm,i_W_mtm_plan)+DCF!$C$153)</f>
        <v/>
      </c>
      <c r="N163" s="21">
        <f>IF(N$4=0,0,IF(DCF!$C$147=1,i_W_mtm,i_W_mtm_plan)+DCF!$C$153)</f>
        <v/>
      </c>
      <c r="O163" s="21">
        <f>IF(O$4=0,0,IF(DCF!$C$147=1,i_W_mtm,i_W_mtm_plan)+DCF!$C$153)</f>
        <v/>
      </c>
      <c r="P163" s="21">
        <f>IF(P$4=0,0,IF(DCF!$C$147=1,i_W_mtm,i_W_mtm_plan)+DCF!$C$153)</f>
        <v/>
      </c>
      <c r="Q163" s="21">
        <f>IF(Q$4=0,0,IF(DCF!$C$147=1,i_W_mtm,i_W_mtm_plan)+DCF!$C$153)</f>
        <v/>
      </c>
      <c r="R163" s="21">
        <f>IF(R$4=0,0,IF(DCF!$C$147=1,i_W_mtm,i_W_mtm_plan)+DCF!$C$153)</f>
        <v/>
      </c>
      <c r="S163" s="21">
        <f>IF(S$4=0,0,IF(DCF!$C$147=1,i_W_mtm,i_W_mtm_plan)+DCF!$C$153)</f>
        <v/>
      </c>
      <c r="T163" s="21">
        <f>IF(T$4=0,0,IF(DCF!$C$147=1,i_W_mtm,i_W_mtm_plan)+DCF!$C$153)</f>
        <v/>
      </c>
      <c r="U163" s="21">
        <f>IF(U$4=0,0,IF(DCF!$C$147=1,i_W_mtm,i_W_mtm_plan)+DCF!$C$153)</f>
        <v/>
      </c>
      <c r="V163" s="21">
        <f>IF(V$4=0,0,IF(DCF!$C$147=1,i_W_mtm,i_W_mtm_plan)+DCF!$C$153)</f>
        <v/>
      </c>
      <c r="W163" s="21">
        <f>IF(W$4=0,0,IF(DCF!$C$147=1,i_W_mtm,i_W_mtm_plan)+DCF!$C$153)</f>
        <v/>
      </c>
      <c r="X163" s="21">
        <f>IF(X$4=0,0,IF(DCF!$C$147=1,i_W_mtm,i_W_mtm_plan)+DCF!$C$153)</f>
        <v/>
      </c>
      <c r="Y163" s="21">
        <f>IF(Y$4=0,0,IF(DCF!$C$147=1,i_W_mtm,i_W_mtm_plan)+DCF!$C$153)</f>
        <v/>
      </c>
      <c r="Z163" s="21">
        <f>IF(Z$4=0,0,IF(DCF!$C$147=1,i_W_mtm,i_W_mtm_plan)+DCF!$C$153)</f>
        <v/>
      </c>
      <c r="AA163" s="21">
        <f>IF(AA$4=0,0,IF(DCF!$C$147=1,i_W_mtm,i_W_mtm_plan)+DCF!$C$153)</f>
        <v/>
      </c>
      <c r="AB163" s="21">
        <f>IF(AB$4=0,0,IF(DCF!$C$147=1,i_W_mtm,i_W_mtm_plan)+DCF!$C$153)</f>
        <v/>
      </c>
      <c r="AC163" s="21">
        <f>IF(AC$4=0,0,IF(DCF!$C$147=1,i_W_mtm,i_W_mtm_plan)+DCF!$C$153)</f>
        <v/>
      </c>
      <c r="AD163" s="21">
        <f>IF(AD$4=0,0,IF(DCF!$C$147=1,i_W_mtm,i_W_mtm_plan)+DCF!$C$153)</f>
        <v/>
      </c>
      <c r="AE163" s="21">
        <f>IF(AE$4=0,0,IF(DCF!$C$147=1,i_W_mtm,i_W_mtm_plan)+DCF!$C$153)</f>
        <v/>
      </c>
      <c r="AF163" s="21">
        <f>IF(AF$4=0,0,IF(DCF!$C$147=1,i_W_mtm,i_W_mtm_plan)+DCF!$C$153)</f>
        <v/>
      </c>
      <c r="AG163" s="21">
        <f>IF(AG$4=0,0,IF(DCF!$C$147=1,i_W_mtm,i_W_mtm_plan)+DCF!$C$153)</f>
        <v/>
      </c>
      <c r="AH163" s="21">
        <f>IF(AH$4=0,0,IF(DCF!$C$147=1,i_W_mtm,i_W_mtm_plan)+DCF!$C$153)</f>
        <v/>
      </c>
      <c r="AI163" s="21">
        <f>IF(AI$4=0,0,IF(DCF!$C$147=1,i_W_mtm,i_W_mtm_plan)+DCF!$C$153)</f>
        <v/>
      </c>
    </row>
    <row r="164">
      <c r="B164" s="2" t="inlineStr">
        <is>
          <t xml:space="preserve">  Average rate ($ per m3 per month)</t>
        </is>
      </c>
      <c r="D164" s="24">
        <f>i_W_rate*D158*(D162+(1-D162)*(1+D163))</f>
        <v/>
      </c>
      <c r="E164" s="24">
        <f>i_W_rate*E158*(E162+(1-E162)*(1+E163))</f>
        <v/>
      </c>
      <c r="F164" s="24">
        <f>i_W_rate*F158*(F162+(1-F162)*(1+F163))</f>
        <v/>
      </c>
      <c r="G164" s="24">
        <f>i_W_rate*G158*(G162+(1-G162)*(1+G163))</f>
        <v/>
      </c>
      <c r="H164" s="24">
        <f>i_W_rate*H158*(H162+(1-H162)*(1+H163))</f>
        <v/>
      </c>
      <c r="I164" s="24">
        <f>i_W_rate*I158*(I162+(1-I162)*(1+I163))</f>
        <v/>
      </c>
      <c r="J164" s="24">
        <f>i_W_rate*J158*(J162+(1-J162)*(1+J163))</f>
        <v/>
      </c>
      <c r="K164" s="24">
        <f>i_W_rate*K158*(K162+(1-K162)*(1+K163))</f>
        <v/>
      </c>
      <c r="L164" s="24">
        <f>i_W_rate*L158*(L162+(1-L162)*(1+L163))</f>
        <v/>
      </c>
      <c r="M164" s="24">
        <f>i_W_rate*M158*(M162+(1-M162)*(1+M163))</f>
        <v/>
      </c>
      <c r="N164" s="24">
        <f>i_W_rate*N158*(N162+(1-N162)*(1+N163))</f>
        <v/>
      </c>
      <c r="O164" s="24">
        <f>i_W_rate*O158*(O162+(1-O162)*(1+O163))</f>
        <v/>
      </c>
      <c r="P164" s="24">
        <f>i_W_rate*P158*(P162+(1-P162)*(1+P163))</f>
        <v/>
      </c>
      <c r="Q164" s="24">
        <f>i_W_rate*Q158*(Q162+(1-Q162)*(1+Q163))</f>
        <v/>
      </c>
      <c r="R164" s="24">
        <f>i_W_rate*R158*(R162+(1-R162)*(1+R163))</f>
        <v/>
      </c>
      <c r="S164" s="24">
        <f>i_W_rate*S158*(S162+(1-S162)*(1+S163))</f>
        <v/>
      </c>
      <c r="T164" s="24">
        <f>i_W_rate*T158*(T162+(1-T162)*(1+T163))</f>
        <v/>
      </c>
      <c r="U164" s="24">
        <f>i_W_rate*U158*(U162+(1-U162)*(1+U163))</f>
        <v/>
      </c>
      <c r="V164" s="24">
        <f>i_W_rate*V158*(V162+(1-V162)*(1+V163))</f>
        <v/>
      </c>
      <c r="W164" s="24">
        <f>i_W_rate*W158*(W162+(1-W162)*(1+W163))</f>
        <v/>
      </c>
      <c r="X164" s="24">
        <f>i_W_rate*X158*(X162+(1-X162)*(1+X163))</f>
        <v/>
      </c>
      <c r="Y164" s="24">
        <f>i_W_rate*Y158*(Y162+(1-Y162)*(1+Y163))</f>
        <v/>
      </c>
      <c r="Z164" s="24">
        <f>i_W_rate*Z158*(Z162+(1-Z162)*(1+Z163))</f>
        <v/>
      </c>
      <c r="AA164" s="24">
        <f>i_W_rate*AA158*(AA162+(1-AA162)*(1+AA163))</f>
        <v/>
      </c>
      <c r="AB164" s="24">
        <f>i_W_rate*AB158*(AB162+(1-AB162)*(1+AB163))</f>
        <v/>
      </c>
      <c r="AC164" s="24">
        <f>i_W_rate*AC158*(AC162+(1-AC162)*(1+AC163))</f>
        <v/>
      </c>
      <c r="AD164" s="24">
        <f>i_W_rate*AD158*(AD162+(1-AD162)*(1+AD163))</f>
        <v/>
      </c>
      <c r="AE164" s="24">
        <f>i_W_rate*AE158*(AE162+(1-AE162)*(1+AE163))</f>
        <v/>
      </c>
      <c r="AF164" s="24">
        <f>i_W_rate*AF158*(AF162+(1-AF162)*(1+AF163))</f>
        <v/>
      </c>
      <c r="AG164" s="24">
        <f>i_W_rate*AG158*(AG162+(1-AG162)*(1+AG163))</f>
        <v/>
      </c>
      <c r="AH164" s="24">
        <f>i_W_rate*AH158*(AH162+(1-AH162)*(1+AH163))</f>
        <v/>
      </c>
      <c r="AI164" s="24">
        <f>i_W_rate*AI158*(AI162+(1-AI162)*(1+AI163))</f>
        <v/>
      </c>
    </row>
    <row r="165">
      <c r="B165" s="2" t="inlineStr">
        <is>
          <t xml:space="preserve">  Occupancy after the transition decline and floor</t>
        </is>
      </c>
      <c r="D165" s="21">
        <f>IF(D$3&gt;i_trans_start,MAX(i_W_floor,i_W_occ-i_W_dec*(D$3-i_trans_start)),i_W_occ)</f>
        <v/>
      </c>
      <c r="E165" s="21">
        <f>IF(E$3&gt;i_trans_start,MAX(i_W_floor,i_W_occ-i_W_dec*(E$3-i_trans_start)),i_W_occ)</f>
        <v/>
      </c>
      <c r="F165" s="21">
        <f>IF(F$3&gt;i_trans_start,MAX(i_W_floor,i_W_occ-i_W_dec*(F$3-i_trans_start)),i_W_occ)</f>
        <v/>
      </c>
      <c r="G165" s="21">
        <f>IF(G$3&gt;i_trans_start,MAX(i_W_floor,i_W_occ-i_W_dec*(G$3-i_trans_start)),i_W_occ)</f>
        <v/>
      </c>
      <c r="H165" s="21">
        <f>IF(H$3&gt;i_trans_start,MAX(i_W_floor,i_W_occ-i_W_dec*(H$3-i_trans_start)),i_W_occ)</f>
        <v/>
      </c>
      <c r="I165" s="21">
        <f>IF(I$3&gt;i_trans_start,MAX(i_W_floor,i_W_occ-i_W_dec*(I$3-i_trans_start)),i_W_occ)</f>
        <v/>
      </c>
      <c r="J165" s="21">
        <f>IF(J$3&gt;i_trans_start,MAX(i_W_floor,i_W_occ-i_W_dec*(J$3-i_trans_start)),i_W_occ)</f>
        <v/>
      </c>
      <c r="K165" s="21">
        <f>IF(K$3&gt;i_trans_start,MAX(i_W_floor,i_W_occ-i_W_dec*(K$3-i_trans_start)),i_W_occ)</f>
        <v/>
      </c>
      <c r="L165" s="21">
        <f>IF(L$3&gt;i_trans_start,MAX(i_W_floor,i_W_occ-i_W_dec*(L$3-i_trans_start)),i_W_occ)</f>
        <v/>
      </c>
      <c r="M165" s="21">
        <f>IF(M$3&gt;i_trans_start,MAX(i_W_floor,i_W_occ-i_W_dec*(M$3-i_trans_start)),i_W_occ)</f>
        <v/>
      </c>
      <c r="N165" s="21">
        <f>IF(N$3&gt;i_trans_start,MAX(i_W_floor,i_W_occ-i_W_dec*(N$3-i_trans_start)),i_W_occ)</f>
        <v/>
      </c>
      <c r="O165" s="21">
        <f>IF(O$3&gt;i_trans_start,MAX(i_W_floor,i_W_occ-i_W_dec*(O$3-i_trans_start)),i_W_occ)</f>
        <v/>
      </c>
      <c r="P165" s="21">
        <f>IF(P$3&gt;i_trans_start,MAX(i_W_floor,i_W_occ-i_W_dec*(P$3-i_trans_start)),i_W_occ)</f>
        <v/>
      </c>
      <c r="Q165" s="21">
        <f>IF(Q$3&gt;i_trans_start,MAX(i_W_floor,i_W_occ-i_W_dec*(Q$3-i_trans_start)),i_W_occ)</f>
        <v/>
      </c>
      <c r="R165" s="21">
        <f>IF(R$3&gt;i_trans_start,MAX(i_W_floor,i_W_occ-i_W_dec*(R$3-i_trans_start)),i_W_occ)</f>
        <v/>
      </c>
      <c r="S165" s="21">
        <f>IF(S$3&gt;i_trans_start,MAX(i_W_floor,i_W_occ-i_W_dec*(S$3-i_trans_start)),i_W_occ)</f>
        <v/>
      </c>
      <c r="T165" s="21">
        <f>IF(T$3&gt;i_trans_start,MAX(i_W_floor,i_W_occ-i_W_dec*(T$3-i_trans_start)),i_W_occ)</f>
        <v/>
      </c>
      <c r="U165" s="21">
        <f>IF(U$3&gt;i_trans_start,MAX(i_W_floor,i_W_occ-i_W_dec*(U$3-i_trans_start)),i_W_occ)</f>
        <v/>
      </c>
      <c r="V165" s="21">
        <f>IF(V$3&gt;i_trans_start,MAX(i_W_floor,i_W_occ-i_W_dec*(V$3-i_trans_start)),i_W_occ)</f>
        <v/>
      </c>
      <c r="W165" s="21">
        <f>IF(W$3&gt;i_trans_start,MAX(i_W_floor,i_W_occ-i_W_dec*(W$3-i_trans_start)),i_W_occ)</f>
        <v/>
      </c>
      <c r="X165" s="21">
        <f>IF(X$3&gt;i_trans_start,MAX(i_W_floor,i_W_occ-i_W_dec*(X$3-i_trans_start)),i_W_occ)</f>
        <v/>
      </c>
      <c r="Y165" s="21">
        <f>IF(Y$3&gt;i_trans_start,MAX(i_W_floor,i_W_occ-i_W_dec*(Y$3-i_trans_start)),i_W_occ)</f>
        <v/>
      </c>
      <c r="Z165" s="21">
        <f>IF(Z$3&gt;i_trans_start,MAX(i_W_floor,i_W_occ-i_W_dec*(Z$3-i_trans_start)),i_W_occ)</f>
        <v/>
      </c>
      <c r="AA165" s="21">
        <f>IF(AA$3&gt;i_trans_start,MAX(i_W_floor,i_W_occ-i_W_dec*(AA$3-i_trans_start)),i_W_occ)</f>
        <v/>
      </c>
      <c r="AB165" s="21">
        <f>IF(AB$3&gt;i_trans_start,MAX(i_W_floor,i_W_occ-i_W_dec*(AB$3-i_trans_start)),i_W_occ)</f>
        <v/>
      </c>
      <c r="AC165" s="21">
        <f>IF(AC$3&gt;i_trans_start,MAX(i_W_floor,i_W_occ-i_W_dec*(AC$3-i_trans_start)),i_W_occ)</f>
        <v/>
      </c>
      <c r="AD165" s="21">
        <f>IF(AD$3&gt;i_trans_start,MAX(i_W_floor,i_W_occ-i_W_dec*(AD$3-i_trans_start)),i_W_occ)</f>
        <v/>
      </c>
      <c r="AE165" s="21">
        <f>IF(AE$3&gt;i_trans_start,MAX(i_W_floor,i_W_occ-i_W_dec*(AE$3-i_trans_start)),i_W_occ)</f>
        <v/>
      </c>
      <c r="AF165" s="21">
        <f>IF(AF$3&gt;i_trans_start,MAX(i_W_floor,i_W_occ-i_W_dec*(AF$3-i_trans_start)),i_W_occ)</f>
        <v/>
      </c>
      <c r="AG165" s="21">
        <f>IF(AG$3&gt;i_trans_start,MAX(i_W_floor,i_W_occ-i_W_dec*(AG$3-i_trans_start)),i_W_occ)</f>
        <v/>
      </c>
      <c r="AH165" s="21">
        <f>IF(AH$3&gt;i_trans_start,MAX(i_W_floor,i_W_occ-i_W_dec*(AH$3-i_trans_start)),i_W_occ)</f>
        <v/>
      </c>
      <c r="AI165" s="21">
        <f>IF(AI$3&gt;i_trans_start,MAX(i_W_floor,i_W_occ-i_W_dec*(AI$3-i_trans_start)),i_W_occ)</f>
        <v/>
      </c>
    </row>
    <row r="166">
      <c r="B166" s="2" t="inlineStr">
        <is>
          <t xml:space="preserve">  Customer loss (points)</t>
        </is>
      </c>
      <c r="D166" s="21">
        <f>DCF!$C$148*SUMIF(i_dip_years,D$3,i_dip_vals)</f>
        <v/>
      </c>
      <c r="E166" s="21">
        <f>DCF!$C$148*SUMIF(i_dip_years,E$3,i_dip_vals)</f>
        <v/>
      </c>
      <c r="F166" s="21">
        <f>DCF!$C$148*SUMIF(i_dip_years,F$3,i_dip_vals)</f>
        <v/>
      </c>
      <c r="G166" s="21">
        <f>DCF!$C$148*SUMIF(i_dip_years,G$3,i_dip_vals)</f>
        <v/>
      </c>
      <c r="H166" s="21">
        <f>DCF!$C$148*SUMIF(i_dip_years,H$3,i_dip_vals)</f>
        <v/>
      </c>
      <c r="I166" s="21">
        <f>DCF!$C$148*SUMIF(i_dip_years,I$3,i_dip_vals)</f>
        <v/>
      </c>
      <c r="J166" s="21">
        <f>DCF!$C$148*SUMIF(i_dip_years,J$3,i_dip_vals)</f>
        <v/>
      </c>
      <c r="K166" s="21">
        <f>DCF!$C$148*SUMIF(i_dip_years,K$3,i_dip_vals)</f>
        <v/>
      </c>
      <c r="L166" s="21">
        <f>DCF!$C$148*SUMIF(i_dip_years,L$3,i_dip_vals)</f>
        <v/>
      </c>
      <c r="M166" s="21">
        <f>DCF!$C$148*SUMIF(i_dip_years,M$3,i_dip_vals)</f>
        <v/>
      </c>
      <c r="N166" s="21">
        <f>DCF!$C$148*SUMIF(i_dip_years,N$3,i_dip_vals)</f>
        <v/>
      </c>
      <c r="O166" s="21">
        <f>DCF!$C$148*SUMIF(i_dip_years,O$3,i_dip_vals)</f>
        <v/>
      </c>
      <c r="P166" s="21">
        <f>DCF!$C$148*SUMIF(i_dip_years,P$3,i_dip_vals)</f>
        <v/>
      </c>
      <c r="Q166" s="21">
        <f>DCF!$C$148*SUMIF(i_dip_years,Q$3,i_dip_vals)</f>
        <v/>
      </c>
      <c r="R166" s="21">
        <f>DCF!$C$148*SUMIF(i_dip_years,R$3,i_dip_vals)</f>
        <v/>
      </c>
      <c r="S166" s="21">
        <f>DCF!$C$148*SUMIF(i_dip_years,S$3,i_dip_vals)</f>
        <v/>
      </c>
      <c r="T166" s="21">
        <f>DCF!$C$148*SUMIF(i_dip_years,T$3,i_dip_vals)</f>
        <v/>
      </c>
      <c r="U166" s="21">
        <f>DCF!$C$148*SUMIF(i_dip_years,U$3,i_dip_vals)</f>
        <v/>
      </c>
      <c r="V166" s="21">
        <f>DCF!$C$148*SUMIF(i_dip_years,V$3,i_dip_vals)</f>
        <v/>
      </c>
      <c r="W166" s="21">
        <f>DCF!$C$148*SUMIF(i_dip_years,W$3,i_dip_vals)</f>
        <v/>
      </c>
      <c r="X166" s="21">
        <f>DCF!$C$148*SUMIF(i_dip_years,X$3,i_dip_vals)</f>
        <v/>
      </c>
      <c r="Y166" s="21">
        <f>DCF!$C$148*SUMIF(i_dip_years,Y$3,i_dip_vals)</f>
        <v/>
      </c>
      <c r="Z166" s="21">
        <f>DCF!$C$148*SUMIF(i_dip_years,Z$3,i_dip_vals)</f>
        <v/>
      </c>
      <c r="AA166" s="21">
        <f>DCF!$C$148*SUMIF(i_dip_years,AA$3,i_dip_vals)</f>
        <v/>
      </c>
      <c r="AB166" s="21">
        <f>DCF!$C$148*SUMIF(i_dip_years,AB$3,i_dip_vals)</f>
        <v/>
      </c>
      <c r="AC166" s="21">
        <f>DCF!$C$148*SUMIF(i_dip_years,AC$3,i_dip_vals)</f>
        <v/>
      </c>
      <c r="AD166" s="21">
        <f>DCF!$C$148*SUMIF(i_dip_years,AD$3,i_dip_vals)</f>
        <v/>
      </c>
      <c r="AE166" s="21">
        <f>DCF!$C$148*SUMIF(i_dip_years,AE$3,i_dip_vals)</f>
        <v/>
      </c>
      <c r="AF166" s="21">
        <f>DCF!$C$148*SUMIF(i_dip_years,AF$3,i_dip_vals)</f>
        <v/>
      </c>
      <c r="AG166" s="21">
        <f>DCF!$C$148*SUMIF(i_dip_years,AG$3,i_dip_vals)</f>
        <v/>
      </c>
      <c r="AH166" s="21">
        <f>DCF!$C$148*SUMIF(i_dip_years,AH$3,i_dip_vals)</f>
        <v/>
      </c>
      <c r="AI166" s="21">
        <f>DCF!$C$148*SUMIF(i_dip_years,AI$3,i_dip_vals)</f>
        <v/>
      </c>
    </row>
    <row r="167">
      <c r="B167" s="2" t="inlineStr">
        <is>
          <t xml:space="preserve">  Occupancy (with the shift switch from 2027)</t>
        </is>
      </c>
      <c r="D167" s="21">
        <f>IF(D$4&gt;0,MIN(1,D165-D166+DCF!$C$152),D165-D166)</f>
        <v/>
      </c>
      <c r="E167" s="21">
        <f>IF(E$4&gt;0,MIN(1,E165-E166+DCF!$C$152),E165-E166)</f>
        <v/>
      </c>
      <c r="F167" s="21">
        <f>IF(F$4&gt;0,MIN(1,F165-F166+DCF!$C$152),F165-F166)</f>
        <v/>
      </c>
      <c r="G167" s="21">
        <f>IF(G$4&gt;0,MIN(1,G165-G166+DCF!$C$152),G165-G166)</f>
        <v/>
      </c>
      <c r="H167" s="21">
        <f>IF(H$4&gt;0,MIN(1,H165-H166+DCF!$C$152),H165-H166)</f>
        <v/>
      </c>
      <c r="I167" s="21">
        <f>IF(I$4&gt;0,MIN(1,I165-I166+DCF!$C$152),I165-I166)</f>
        <v/>
      </c>
      <c r="J167" s="21">
        <f>IF(J$4&gt;0,MIN(1,J165-J166+DCF!$C$152),J165-J166)</f>
        <v/>
      </c>
      <c r="K167" s="21">
        <f>IF(K$4&gt;0,MIN(1,K165-K166+DCF!$C$152),K165-K166)</f>
        <v/>
      </c>
      <c r="L167" s="21">
        <f>IF(L$4&gt;0,MIN(1,L165-L166+DCF!$C$152),L165-L166)</f>
        <v/>
      </c>
      <c r="M167" s="21">
        <f>IF(M$4&gt;0,MIN(1,M165-M166+DCF!$C$152),M165-M166)</f>
        <v/>
      </c>
      <c r="N167" s="21">
        <f>IF(N$4&gt;0,MIN(1,N165-N166+DCF!$C$152),N165-N166)</f>
        <v/>
      </c>
      <c r="O167" s="21">
        <f>IF(O$4&gt;0,MIN(1,O165-O166+DCF!$C$152),O165-O166)</f>
        <v/>
      </c>
      <c r="P167" s="21">
        <f>IF(P$4&gt;0,MIN(1,P165-P166+DCF!$C$152),P165-P166)</f>
        <v/>
      </c>
      <c r="Q167" s="21">
        <f>IF(Q$4&gt;0,MIN(1,Q165-Q166+DCF!$C$152),Q165-Q166)</f>
        <v/>
      </c>
      <c r="R167" s="21">
        <f>IF(R$4&gt;0,MIN(1,R165-R166+DCF!$C$152),R165-R166)</f>
        <v/>
      </c>
      <c r="S167" s="21">
        <f>IF(S$4&gt;0,MIN(1,S165-S166+DCF!$C$152),S165-S166)</f>
        <v/>
      </c>
      <c r="T167" s="21">
        <f>IF(T$4&gt;0,MIN(1,T165-T166+DCF!$C$152),T165-T166)</f>
        <v/>
      </c>
      <c r="U167" s="21">
        <f>IF(U$4&gt;0,MIN(1,U165-U166+DCF!$C$152),U165-U166)</f>
        <v/>
      </c>
      <c r="V167" s="21">
        <f>IF(V$4&gt;0,MIN(1,V165-V166+DCF!$C$152),V165-V166)</f>
        <v/>
      </c>
      <c r="W167" s="21">
        <f>IF(W$4&gt;0,MIN(1,W165-W166+DCF!$C$152),W165-W166)</f>
        <v/>
      </c>
      <c r="X167" s="21">
        <f>IF(X$4&gt;0,MIN(1,X165-X166+DCF!$C$152),X165-X166)</f>
        <v/>
      </c>
      <c r="Y167" s="21">
        <f>IF(Y$4&gt;0,MIN(1,Y165-Y166+DCF!$C$152),Y165-Y166)</f>
        <v/>
      </c>
      <c r="Z167" s="21">
        <f>IF(Z$4&gt;0,MIN(1,Z165-Z166+DCF!$C$152),Z165-Z166)</f>
        <v/>
      </c>
      <c r="AA167" s="21">
        <f>IF(AA$4&gt;0,MIN(1,AA165-AA166+DCF!$C$152),AA165-AA166)</f>
        <v/>
      </c>
      <c r="AB167" s="21">
        <f>IF(AB$4&gt;0,MIN(1,AB165-AB166+DCF!$C$152),AB165-AB166)</f>
        <v/>
      </c>
      <c r="AC167" s="21">
        <f>IF(AC$4&gt;0,MIN(1,AC165-AC166+DCF!$C$152),AC165-AC166)</f>
        <v/>
      </c>
      <c r="AD167" s="21">
        <f>IF(AD$4&gt;0,MIN(1,AD165-AD166+DCF!$C$152),AD165-AD166)</f>
        <v/>
      </c>
      <c r="AE167" s="21">
        <f>IF(AE$4&gt;0,MIN(1,AE165-AE166+DCF!$C$152),AE165-AE166)</f>
        <v/>
      </c>
      <c r="AF167" s="21">
        <f>IF(AF$4&gt;0,MIN(1,AF165-AF166+DCF!$C$152),AF165-AF166)</f>
        <v/>
      </c>
      <c r="AG167" s="21">
        <f>IF(AG$4&gt;0,MIN(1,AG165-AG166+DCF!$C$152),AG165-AG166)</f>
        <v/>
      </c>
      <c r="AH167" s="21">
        <f>IF(AH$4&gt;0,MIN(1,AH165-AH166+DCF!$C$152),AH165-AH166)</f>
        <v/>
      </c>
      <c r="AI167" s="21">
        <f>IF(AI$4&gt;0,MIN(1,AI165-AI166+DCF!$C$152),AI165-AI166)</f>
        <v/>
      </c>
    </row>
    <row r="168">
      <c r="B168" s="2" t="inlineStr">
        <is>
          <t xml:space="preserve">  Storage revenue</t>
        </is>
      </c>
      <c r="D168" s="19">
        <f>D161*D164*12*D167</f>
        <v/>
      </c>
      <c r="E168" s="19">
        <f>E161*E164*12*E167</f>
        <v/>
      </c>
      <c r="F168" s="19">
        <f>F161*F164*12*F167</f>
        <v/>
      </c>
      <c r="G168" s="19">
        <f>G161*G164*12*G167</f>
        <v/>
      </c>
      <c r="H168" s="19">
        <f>H161*H164*12*H167</f>
        <v/>
      </c>
      <c r="I168" s="19">
        <f>I161*I164*12*I167</f>
        <v/>
      </c>
      <c r="J168" s="19">
        <f>J161*J164*12*J167</f>
        <v/>
      </c>
      <c r="K168" s="19">
        <f>K161*K164*12*K167</f>
        <v/>
      </c>
      <c r="L168" s="19">
        <f>L161*L164*12*L167</f>
        <v/>
      </c>
      <c r="M168" s="19">
        <f>M161*M164*12*M167</f>
        <v/>
      </c>
      <c r="N168" s="19">
        <f>N161*N164*12*N167</f>
        <v/>
      </c>
      <c r="O168" s="19">
        <f>O161*O164*12*O167</f>
        <v/>
      </c>
      <c r="P168" s="19">
        <f>P161*P164*12*P167</f>
        <v/>
      </c>
      <c r="Q168" s="19">
        <f>Q161*Q164*12*Q167</f>
        <v/>
      </c>
      <c r="R168" s="19">
        <f>R161*R164*12*R167</f>
        <v/>
      </c>
      <c r="S168" s="19">
        <f>S161*S164*12*S167</f>
        <v/>
      </c>
      <c r="T168" s="19">
        <f>T161*T164*12*T167</f>
        <v/>
      </c>
      <c r="U168" s="19">
        <f>U161*U164*12*U167</f>
        <v/>
      </c>
      <c r="V168" s="19">
        <f>V161*V164*12*V167</f>
        <v/>
      </c>
      <c r="W168" s="19">
        <f>W161*W164*12*W167</f>
        <v/>
      </c>
      <c r="X168" s="19">
        <f>X161*X164*12*X167</f>
        <v/>
      </c>
      <c r="Y168" s="19">
        <f>Y161*Y164*12*Y167</f>
        <v/>
      </c>
      <c r="Z168" s="19">
        <f>Z161*Z164*12*Z167</f>
        <v/>
      </c>
      <c r="AA168" s="19">
        <f>AA161*AA164*12*AA167</f>
        <v/>
      </c>
      <c r="AB168" s="19">
        <f>AB161*AB164*12*AB167</f>
        <v/>
      </c>
      <c r="AC168" s="19">
        <f>AC161*AC164*12*AC167</f>
        <v/>
      </c>
      <c r="AD168" s="19">
        <f>AD161*AD164*12*AD167</f>
        <v/>
      </c>
      <c r="AE168" s="19">
        <f>AE161*AE164*12*AE167</f>
        <v/>
      </c>
      <c r="AF168" s="19">
        <f>AF161*AF164*12*AF167</f>
        <v/>
      </c>
      <c r="AG168" s="19">
        <f>AG161*AG164*12*AG167</f>
        <v/>
      </c>
      <c r="AH168" s="19">
        <f>AH161*AH164*12*AH167</f>
        <v/>
      </c>
      <c r="AI168" s="19">
        <f>AI161*AI164*12*AI167</f>
        <v/>
      </c>
    </row>
    <row r="169">
      <c r="B169" s="2" t="inlineStr">
        <is>
          <t xml:space="preserve">  Ancillary and throughput revenue</t>
        </is>
      </c>
      <c r="D169" s="19">
        <f>D168*i_W_anc</f>
        <v/>
      </c>
      <c r="E169" s="19">
        <f>E168*i_W_anc</f>
        <v/>
      </c>
      <c r="F169" s="19">
        <f>F168*i_W_anc</f>
        <v/>
      </c>
      <c r="G169" s="19">
        <f>G168*i_W_anc</f>
        <v/>
      </c>
      <c r="H169" s="19">
        <f>H168*i_W_anc</f>
        <v/>
      </c>
      <c r="I169" s="19">
        <f>I168*i_W_anc</f>
        <v/>
      </c>
      <c r="J169" s="19">
        <f>J168*i_W_anc</f>
        <v/>
      </c>
      <c r="K169" s="19">
        <f>K168*i_W_anc</f>
        <v/>
      </c>
      <c r="L169" s="19">
        <f>L168*i_W_anc</f>
        <v/>
      </c>
      <c r="M169" s="19">
        <f>M168*i_W_anc</f>
        <v/>
      </c>
      <c r="N169" s="19">
        <f>N168*i_W_anc</f>
        <v/>
      </c>
      <c r="O169" s="19">
        <f>O168*i_W_anc</f>
        <v/>
      </c>
      <c r="P169" s="19">
        <f>P168*i_W_anc</f>
        <v/>
      </c>
      <c r="Q169" s="19">
        <f>Q168*i_W_anc</f>
        <v/>
      </c>
      <c r="R169" s="19">
        <f>R168*i_W_anc</f>
        <v/>
      </c>
      <c r="S169" s="19">
        <f>S168*i_W_anc</f>
        <v/>
      </c>
      <c r="T169" s="19">
        <f>T168*i_W_anc</f>
        <v/>
      </c>
      <c r="U169" s="19">
        <f>U168*i_W_anc</f>
        <v/>
      </c>
      <c r="V169" s="19">
        <f>V168*i_W_anc</f>
        <v/>
      </c>
      <c r="W169" s="19">
        <f>W168*i_W_anc</f>
        <v/>
      </c>
      <c r="X169" s="19">
        <f>X168*i_W_anc</f>
        <v/>
      </c>
      <c r="Y169" s="19">
        <f>Y168*i_W_anc</f>
        <v/>
      </c>
      <c r="Z169" s="19">
        <f>Z168*i_W_anc</f>
        <v/>
      </c>
      <c r="AA169" s="19">
        <f>AA168*i_W_anc</f>
        <v/>
      </c>
      <c r="AB169" s="19">
        <f>AB168*i_W_anc</f>
        <v/>
      </c>
      <c r="AC169" s="19">
        <f>AC168*i_W_anc</f>
        <v/>
      </c>
      <c r="AD169" s="19">
        <f>AD168*i_W_anc</f>
        <v/>
      </c>
      <c r="AE169" s="19">
        <f>AE168*i_W_anc</f>
        <v/>
      </c>
      <c r="AF169" s="19">
        <f>AF168*i_W_anc</f>
        <v/>
      </c>
      <c r="AG169" s="19">
        <f>AG168*i_W_anc</f>
        <v/>
      </c>
      <c r="AH169" s="19">
        <f>AH168*i_W_anc</f>
        <v/>
      </c>
      <c r="AI169" s="19">
        <f>AI168*i_W_anc</f>
        <v/>
      </c>
    </row>
    <row r="170">
      <c r="B170" s="3" t="inlineStr">
        <is>
          <t xml:space="preserve">  Revenue</t>
        </is>
      </c>
      <c r="D170" s="31">
        <f>D168+D169</f>
        <v/>
      </c>
      <c r="E170" s="31">
        <f>E168+E169</f>
        <v/>
      </c>
      <c r="F170" s="31">
        <f>F168+F169</f>
        <v/>
      </c>
      <c r="G170" s="31">
        <f>G168+G169</f>
        <v/>
      </c>
      <c r="H170" s="31">
        <f>H168+H169</f>
        <v/>
      </c>
      <c r="I170" s="31">
        <f>I168+I169</f>
        <v/>
      </c>
      <c r="J170" s="31">
        <f>J168+J169</f>
        <v/>
      </c>
      <c r="K170" s="31">
        <f>K168+K169</f>
        <v/>
      </c>
      <c r="L170" s="31">
        <f>L168+L169</f>
        <v/>
      </c>
      <c r="M170" s="31">
        <f>M168+M169</f>
        <v/>
      </c>
      <c r="N170" s="31">
        <f>N168+N169</f>
        <v/>
      </c>
      <c r="O170" s="31">
        <f>O168+O169</f>
        <v/>
      </c>
      <c r="P170" s="31">
        <f>P168+P169</f>
        <v/>
      </c>
      <c r="Q170" s="31">
        <f>Q168+Q169</f>
        <v/>
      </c>
      <c r="R170" s="31">
        <f>R168+R169</f>
        <v/>
      </c>
      <c r="S170" s="31">
        <f>S168+S169</f>
        <v/>
      </c>
      <c r="T170" s="31">
        <f>T168+T169</f>
        <v/>
      </c>
      <c r="U170" s="31">
        <f>U168+U169</f>
        <v/>
      </c>
      <c r="V170" s="31">
        <f>V168+V169</f>
        <v/>
      </c>
      <c r="W170" s="31">
        <f>W168+W169</f>
        <v/>
      </c>
      <c r="X170" s="31">
        <f>X168+X169</f>
        <v/>
      </c>
      <c r="Y170" s="31">
        <f>Y168+Y169</f>
        <v/>
      </c>
      <c r="Z170" s="31">
        <f>Z168+Z169</f>
        <v/>
      </c>
      <c r="AA170" s="31">
        <f>AA168+AA169</f>
        <v/>
      </c>
      <c r="AB170" s="31">
        <f>AB168+AB169</f>
        <v/>
      </c>
      <c r="AC170" s="31">
        <f>AC168+AC169</f>
        <v/>
      </c>
      <c r="AD170" s="31">
        <f>AD168+AD169</f>
        <v/>
      </c>
      <c r="AE170" s="31">
        <f>AE168+AE169</f>
        <v/>
      </c>
      <c r="AF170" s="31">
        <f>AF168+AF169</f>
        <v/>
      </c>
      <c r="AG170" s="31">
        <f>AG168+AG169</f>
        <v/>
      </c>
      <c r="AH170" s="31">
        <f>AH168+AH169</f>
        <v/>
      </c>
      <c r="AI170" s="31">
        <f>AI168+AI169</f>
        <v/>
      </c>
    </row>
    <row r="171">
      <c r="B171" s="2" t="inlineStr">
        <is>
          <t xml:space="preserve">  Fixed cost</t>
        </is>
      </c>
      <c r="D171" s="19">
        <f>D161*i_W_fix*D157</f>
        <v/>
      </c>
      <c r="E171" s="19">
        <f>E161*i_W_fix*E157</f>
        <v/>
      </c>
      <c r="F171" s="19">
        <f>F161*i_W_fix*F157</f>
        <v/>
      </c>
      <c r="G171" s="19">
        <f>G161*i_W_fix*G157</f>
        <v/>
      </c>
      <c r="H171" s="19">
        <f>H161*i_W_fix*H157</f>
        <v/>
      </c>
      <c r="I171" s="19">
        <f>I161*i_W_fix*I157</f>
        <v/>
      </c>
      <c r="J171" s="19">
        <f>J161*i_W_fix*J157</f>
        <v/>
      </c>
      <c r="K171" s="19">
        <f>K161*i_W_fix*K157</f>
        <v/>
      </c>
      <c r="L171" s="19">
        <f>L161*i_W_fix*L157</f>
        <v/>
      </c>
      <c r="M171" s="19">
        <f>M161*i_W_fix*M157</f>
        <v/>
      </c>
      <c r="N171" s="19">
        <f>N161*i_W_fix*N157</f>
        <v/>
      </c>
      <c r="O171" s="19">
        <f>O161*i_W_fix*O157</f>
        <v/>
      </c>
      <c r="P171" s="19">
        <f>P161*i_W_fix*P157</f>
        <v/>
      </c>
      <c r="Q171" s="19">
        <f>Q161*i_W_fix*Q157</f>
        <v/>
      </c>
      <c r="R171" s="19">
        <f>R161*i_W_fix*R157</f>
        <v/>
      </c>
      <c r="S171" s="19">
        <f>S161*i_W_fix*S157</f>
        <v/>
      </c>
      <c r="T171" s="19">
        <f>T161*i_W_fix*T157</f>
        <v/>
      </c>
      <c r="U171" s="19">
        <f>U161*i_W_fix*U157</f>
        <v/>
      </c>
      <c r="V171" s="19">
        <f>V161*i_W_fix*V157</f>
        <v/>
      </c>
      <c r="W171" s="19">
        <f>W161*i_W_fix*W157</f>
        <v/>
      </c>
      <c r="X171" s="19">
        <f>X161*i_W_fix*X157</f>
        <v/>
      </c>
      <c r="Y171" s="19">
        <f>Y161*i_W_fix*Y157</f>
        <v/>
      </c>
      <c r="Z171" s="19">
        <f>Z161*i_W_fix*Z157</f>
        <v/>
      </c>
      <c r="AA171" s="19">
        <f>AA161*i_W_fix*AA157</f>
        <v/>
      </c>
      <c r="AB171" s="19">
        <f>AB161*i_W_fix*AB157</f>
        <v/>
      </c>
      <c r="AC171" s="19">
        <f>AC161*i_W_fix*AC157</f>
        <v/>
      </c>
      <c r="AD171" s="19">
        <f>AD161*i_W_fix*AD157</f>
        <v/>
      </c>
      <c r="AE171" s="19">
        <f>AE161*i_W_fix*AE157</f>
        <v/>
      </c>
      <c r="AF171" s="19">
        <f>AF161*i_W_fix*AF157</f>
        <v/>
      </c>
      <c r="AG171" s="19">
        <f>AG161*i_W_fix*AG157</f>
        <v/>
      </c>
      <c r="AH171" s="19">
        <f>AH161*i_W_fix*AH157</f>
        <v/>
      </c>
      <c r="AI171" s="19">
        <f>AI161*i_W_fix*AI157</f>
        <v/>
      </c>
    </row>
    <row r="172">
      <c r="B172" s="2" t="inlineStr">
        <is>
          <t xml:space="preserve">  Variable cost</t>
        </is>
      </c>
      <c r="D172" s="19">
        <f>i_W_var*D170</f>
        <v/>
      </c>
      <c r="E172" s="19">
        <f>i_W_var*E170</f>
        <v/>
      </c>
      <c r="F172" s="19">
        <f>i_W_var*F170</f>
        <v/>
      </c>
      <c r="G172" s="19">
        <f>i_W_var*G170</f>
        <v/>
      </c>
      <c r="H172" s="19">
        <f>i_W_var*H170</f>
        <v/>
      </c>
      <c r="I172" s="19">
        <f>i_W_var*I170</f>
        <v/>
      </c>
      <c r="J172" s="19">
        <f>i_W_var*J170</f>
        <v/>
      </c>
      <c r="K172" s="19">
        <f>i_W_var*K170</f>
        <v/>
      </c>
      <c r="L172" s="19">
        <f>i_W_var*L170</f>
        <v/>
      </c>
      <c r="M172" s="19">
        <f>i_W_var*M170</f>
        <v/>
      </c>
      <c r="N172" s="19">
        <f>i_W_var*N170</f>
        <v/>
      </c>
      <c r="O172" s="19">
        <f>i_W_var*O170</f>
        <v/>
      </c>
      <c r="P172" s="19">
        <f>i_W_var*P170</f>
        <v/>
      </c>
      <c r="Q172" s="19">
        <f>i_W_var*Q170</f>
        <v/>
      </c>
      <c r="R172" s="19">
        <f>i_W_var*R170</f>
        <v/>
      </c>
      <c r="S172" s="19">
        <f>i_W_var*S170</f>
        <v/>
      </c>
      <c r="T172" s="19">
        <f>i_W_var*T170</f>
        <v/>
      </c>
      <c r="U172" s="19">
        <f>i_W_var*U170</f>
        <v/>
      </c>
      <c r="V172" s="19">
        <f>i_W_var*V170</f>
        <v/>
      </c>
      <c r="W172" s="19">
        <f>i_W_var*W170</f>
        <v/>
      </c>
      <c r="X172" s="19">
        <f>i_W_var*X170</f>
        <v/>
      </c>
      <c r="Y172" s="19">
        <f>i_W_var*Y170</f>
        <v/>
      </c>
      <c r="Z172" s="19">
        <f>i_W_var*Z170</f>
        <v/>
      </c>
      <c r="AA172" s="19">
        <f>i_W_var*AA170</f>
        <v/>
      </c>
      <c r="AB172" s="19">
        <f>i_W_var*AB170</f>
        <v/>
      </c>
      <c r="AC172" s="19">
        <f>i_W_var*AC170</f>
        <v/>
      </c>
      <c r="AD172" s="19">
        <f>i_W_var*AD170</f>
        <v/>
      </c>
      <c r="AE172" s="19">
        <f>i_W_var*AE170</f>
        <v/>
      </c>
      <c r="AF172" s="19">
        <f>i_W_var*AF170</f>
        <v/>
      </c>
      <c r="AG172" s="19">
        <f>i_W_var*AG170</f>
        <v/>
      </c>
      <c r="AH172" s="19">
        <f>i_W_var*AH170</f>
        <v/>
      </c>
      <c r="AI172" s="19">
        <f>i_W_var*AI170</f>
        <v/>
      </c>
    </row>
    <row r="173">
      <c r="B173" s="2" t="inlineStr">
        <is>
          <t xml:space="preserve">  Concession fee</t>
        </is>
      </c>
      <c r="D173" s="19">
        <f>IF(AND(DCF!$C$154=1,D$3&gt;i_conc_end),i_renew_fee,i_W_fee)*D170</f>
        <v/>
      </c>
      <c r="E173" s="19">
        <f>IF(AND(DCF!$C$154=1,E$3&gt;i_conc_end),i_renew_fee,i_W_fee)*E170</f>
        <v/>
      </c>
      <c r="F173" s="19">
        <f>IF(AND(DCF!$C$154=1,F$3&gt;i_conc_end),i_renew_fee,i_W_fee)*F170</f>
        <v/>
      </c>
      <c r="G173" s="19">
        <f>IF(AND(DCF!$C$154=1,G$3&gt;i_conc_end),i_renew_fee,i_W_fee)*G170</f>
        <v/>
      </c>
      <c r="H173" s="19">
        <f>IF(AND(DCF!$C$154=1,H$3&gt;i_conc_end),i_renew_fee,i_W_fee)*H170</f>
        <v/>
      </c>
      <c r="I173" s="19">
        <f>IF(AND(DCF!$C$154=1,I$3&gt;i_conc_end),i_renew_fee,i_W_fee)*I170</f>
        <v/>
      </c>
      <c r="J173" s="19">
        <f>IF(AND(DCF!$C$154=1,J$3&gt;i_conc_end),i_renew_fee,i_W_fee)*J170</f>
        <v/>
      </c>
      <c r="K173" s="19">
        <f>IF(AND(DCF!$C$154=1,K$3&gt;i_conc_end),i_renew_fee,i_W_fee)*K170</f>
        <v/>
      </c>
      <c r="L173" s="19">
        <f>IF(AND(DCF!$C$154=1,L$3&gt;i_conc_end),i_renew_fee,i_W_fee)*L170</f>
        <v/>
      </c>
      <c r="M173" s="19">
        <f>IF(AND(DCF!$C$154=1,M$3&gt;i_conc_end),i_renew_fee,i_W_fee)*M170</f>
        <v/>
      </c>
      <c r="N173" s="19">
        <f>IF(AND(DCF!$C$154=1,N$3&gt;i_conc_end),i_renew_fee,i_W_fee)*N170</f>
        <v/>
      </c>
      <c r="O173" s="19">
        <f>IF(AND(DCF!$C$154=1,O$3&gt;i_conc_end),i_renew_fee,i_W_fee)*O170</f>
        <v/>
      </c>
      <c r="P173" s="19">
        <f>IF(AND(DCF!$C$154=1,P$3&gt;i_conc_end),i_renew_fee,i_W_fee)*P170</f>
        <v/>
      </c>
      <c r="Q173" s="19">
        <f>IF(AND(DCF!$C$154=1,Q$3&gt;i_conc_end),i_renew_fee,i_W_fee)*Q170</f>
        <v/>
      </c>
      <c r="R173" s="19">
        <f>IF(AND(DCF!$C$154=1,R$3&gt;i_conc_end),i_renew_fee,i_W_fee)*R170</f>
        <v/>
      </c>
      <c r="S173" s="19">
        <f>IF(AND(DCF!$C$154=1,S$3&gt;i_conc_end),i_renew_fee,i_W_fee)*S170</f>
        <v/>
      </c>
      <c r="T173" s="19">
        <f>IF(AND(DCF!$C$154=1,T$3&gt;i_conc_end),i_renew_fee,i_W_fee)*T170</f>
        <v/>
      </c>
      <c r="U173" s="19">
        <f>IF(AND(DCF!$C$154=1,U$3&gt;i_conc_end),i_renew_fee,i_W_fee)*U170</f>
        <v/>
      </c>
      <c r="V173" s="19">
        <f>IF(AND(DCF!$C$154=1,V$3&gt;i_conc_end),i_renew_fee,i_W_fee)*V170</f>
        <v/>
      </c>
      <c r="W173" s="19">
        <f>IF(AND(DCF!$C$154=1,W$3&gt;i_conc_end),i_renew_fee,i_W_fee)*W170</f>
        <v/>
      </c>
      <c r="X173" s="19">
        <f>IF(AND(DCF!$C$154=1,X$3&gt;i_conc_end),i_renew_fee,i_W_fee)*X170</f>
        <v/>
      </c>
      <c r="Y173" s="19">
        <f>IF(AND(DCF!$C$154=1,Y$3&gt;i_conc_end),i_renew_fee,i_W_fee)*Y170</f>
        <v/>
      </c>
      <c r="Z173" s="19">
        <f>IF(AND(DCF!$C$154=1,Z$3&gt;i_conc_end),i_renew_fee,i_W_fee)*Z170</f>
        <v/>
      </c>
      <c r="AA173" s="19">
        <f>IF(AND(DCF!$C$154=1,AA$3&gt;i_conc_end),i_renew_fee,i_W_fee)*AA170</f>
        <v/>
      </c>
      <c r="AB173" s="19">
        <f>IF(AND(DCF!$C$154=1,AB$3&gt;i_conc_end),i_renew_fee,i_W_fee)*AB170</f>
        <v/>
      </c>
      <c r="AC173" s="19">
        <f>IF(AND(DCF!$C$154=1,AC$3&gt;i_conc_end),i_renew_fee,i_W_fee)*AC170</f>
        <v/>
      </c>
      <c r="AD173" s="19">
        <f>IF(AND(DCF!$C$154=1,AD$3&gt;i_conc_end),i_renew_fee,i_W_fee)*AD170</f>
        <v/>
      </c>
      <c r="AE173" s="19">
        <f>IF(AND(DCF!$C$154=1,AE$3&gt;i_conc_end),i_renew_fee,i_W_fee)*AE170</f>
        <v/>
      </c>
      <c r="AF173" s="19">
        <f>IF(AND(DCF!$C$154=1,AF$3&gt;i_conc_end),i_renew_fee,i_W_fee)*AF170</f>
        <v/>
      </c>
      <c r="AG173" s="19">
        <f>IF(AND(DCF!$C$154=1,AG$3&gt;i_conc_end),i_renew_fee,i_W_fee)*AG170</f>
        <v/>
      </c>
      <c r="AH173" s="19">
        <f>IF(AND(DCF!$C$154=1,AH$3&gt;i_conc_end),i_renew_fee,i_W_fee)*AH170</f>
        <v/>
      </c>
      <c r="AI173" s="19">
        <f>IF(AND(DCF!$C$154=1,AI$3&gt;i_conc_end),i_renew_fee,i_W_fee)*AI170</f>
        <v/>
      </c>
    </row>
    <row r="174">
      <c r="B174" s="2" t="inlineStr">
        <is>
          <t xml:space="preserve">  Operating cost</t>
        </is>
      </c>
      <c r="D174" s="19">
        <f>D171+D172+D173</f>
        <v/>
      </c>
      <c r="E174" s="19">
        <f>E171+E172+E173</f>
        <v/>
      </c>
      <c r="F174" s="19">
        <f>F171+F172+F173</f>
        <v/>
      </c>
      <c r="G174" s="19">
        <f>G171+G172+G173</f>
        <v/>
      </c>
      <c r="H174" s="19">
        <f>H171+H172+H173</f>
        <v/>
      </c>
      <c r="I174" s="19">
        <f>I171+I172+I173</f>
        <v/>
      </c>
      <c r="J174" s="19">
        <f>J171+J172+J173</f>
        <v/>
      </c>
      <c r="K174" s="19">
        <f>K171+K172+K173</f>
        <v/>
      </c>
      <c r="L174" s="19">
        <f>L171+L172+L173</f>
        <v/>
      </c>
      <c r="M174" s="19">
        <f>M171+M172+M173</f>
        <v/>
      </c>
      <c r="N174" s="19">
        <f>N171+N172+N173</f>
        <v/>
      </c>
      <c r="O174" s="19">
        <f>O171+O172+O173</f>
        <v/>
      </c>
      <c r="P174" s="19">
        <f>P171+P172+P173</f>
        <v/>
      </c>
      <c r="Q174" s="19">
        <f>Q171+Q172+Q173</f>
        <v/>
      </c>
      <c r="R174" s="19">
        <f>R171+R172+R173</f>
        <v/>
      </c>
      <c r="S174" s="19">
        <f>S171+S172+S173</f>
        <v/>
      </c>
      <c r="T174" s="19">
        <f>T171+T172+T173</f>
        <v/>
      </c>
      <c r="U174" s="19">
        <f>U171+U172+U173</f>
        <v/>
      </c>
      <c r="V174" s="19">
        <f>V171+V172+V173</f>
        <v/>
      </c>
      <c r="W174" s="19">
        <f>W171+W172+W173</f>
        <v/>
      </c>
      <c r="X174" s="19">
        <f>X171+X172+X173</f>
        <v/>
      </c>
      <c r="Y174" s="19">
        <f>Y171+Y172+Y173</f>
        <v/>
      </c>
      <c r="Z174" s="19">
        <f>Z171+Z172+Z173</f>
        <v/>
      </c>
      <c r="AA174" s="19">
        <f>AA171+AA172+AA173</f>
        <v/>
      </c>
      <c r="AB174" s="19">
        <f>AB171+AB172+AB173</f>
        <v/>
      </c>
      <c r="AC174" s="19">
        <f>AC171+AC172+AC173</f>
        <v/>
      </c>
      <c r="AD174" s="19">
        <f>AD171+AD172+AD173</f>
        <v/>
      </c>
      <c r="AE174" s="19">
        <f>AE171+AE172+AE173</f>
        <v/>
      </c>
      <c r="AF174" s="19">
        <f>AF171+AF172+AF173</f>
        <v/>
      </c>
      <c r="AG174" s="19">
        <f>AG171+AG172+AG173</f>
        <v/>
      </c>
      <c r="AH174" s="19">
        <f>AH171+AH172+AH173</f>
        <v/>
      </c>
      <c r="AI174" s="19">
        <f>AI171+AI172+AI173</f>
        <v/>
      </c>
    </row>
    <row r="175">
      <c r="B175" s="3" t="inlineStr">
        <is>
          <t xml:space="preserve">  EBITDA</t>
        </is>
      </c>
      <c r="D175" s="31">
        <f>D170-D174</f>
        <v/>
      </c>
      <c r="E175" s="31">
        <f>E170-E174</f>
        <v/>
      </c>
      <c r="F175" s="31">
        <f>F170-F174</f>
        <v/>
      </c>
      <c r="G175" s="31">
        <f>G170-G174</f>
        <v/>
      </c>
      <c r="H175" s="31">
        <f>H170-H174</f>
        <v/>
      </c>
      <c r="I175" s="31">
        <f>I170-I174</f>
        <v/>
      </c>
      <c r="J175" s="31">
        <f>J170-J174</f>
        <v/>
      </c>
      <c r="K175" s="31">
        <f>K170-K174</f>
        <v/>
      </c>
      <c r="L175" s="31">
        <f>L170-L174</f>
        <v/>
      </c>
      <c r="M175" s="31">
        <f>M170-M174</f>
        <v/>
      </c>
      <c r="N175" s="31">
        <f>N170-N174</f>
        <v/>
      </c>
      <c r="O175" s="31">
        <f>O170-O174</f>
        <v/>
      </c>
      <c r="P175" s="31">
        <f>P170-P174</f>
        <v/>
      </c>
      <c r="Q175" s="31">
        <f>Q170-Q174</f>
        <v/>
      </c>
      <c r="R175" s="31">
        <f>R170-R174</f>
        <v/>
      </c>
      <c r="S175" s="31">
        <f>S170-S174</f>
        <v/>
      </c>
      <c r="T175" s="31">
        <f>T170-T174</f>
        <v/>
      </c>
      <c r="U175" s="31">
        <f>U170-U174</f>
        <v/>
      </c>
      <c r="V175" s="31">
        <f>V170-V174</f>
        <v/>
      </c>
      <c r="W175" s="31">
        <f>W170-W174</f>
        <v/>
      </c>
      <c r="X175" s="31">
        <f>X170-X174</f>
        <v/>
      </c>
      <c r="Y175" s="31">
        <f>Y170-Y174</f>
        <v/>
      </c>
      <c r="Z175" s="31">
        <f>Z170-Z174</f>
        <v/>
      </c>
      <c r="AA175" s="31">
        <f>AA170-AA174</f>
        <v/>
      </c>
      <c r="AB175" s="31">
        <f>AB170-AB174</f>
        <v/>
      </c>
      <c r="AC175" s="31">
        <f>AC170-AC174</f>
        <v/>
      </c>
      <c r="AD175" s="31">
        <f>AD170-AD174</f>
        <v/>
      </c>
      <c r="AE175" s="31">
        <f>AE170-AE174</f>
        <v/>
      </c>
      <c r="AF175" s="31">
        <f>AF170-AF174</f>
        <v/>
      </c>
      <c r="AG175" s="31">
        <f>AG170-AG174</f>
        <v/>
      </c>
      <c r="AH175" s="31">
        <f>AH170-AH174</f>
        <v/>
      </c>
      <c r="AI175" s="31">
        <f>AI170-AI174</f>
        <v/>
      </c>
    </row>
    <row r="176">
      <c r="B176" s="2" t="inlineStr">
        <is>
          <t xml:space="preserve">  Maintenance capex (with jetty 3)</t>
        </is>
      </c>
      <c r="D176" s="19">
        <f>D161*i_W_mc*D157+D160*DCF!$C$149*SUMIF(i_jetty_years,D$3,i_jetty_vals)*D157</f>
        <v/>
      </c>
      <c r="E176" s="19">
        <f>E161*i_W_mc*E157+E160*DCF!$C$149*SUMIF(i_jetty_years,E$3,i_jetty_vals)*E157</f>
        <v/>
      </c>
      <c r="F176" s="19">
        <f>F161*i_W_mc*F157+F160*DCF!$C$149*SUMIF(i_jetty_years,F$3,i_jetty_vals)*F157</f>
        <v/>
      </c>
      <c r="G176" s="19">
        <f>G161*i_W_mc*G157+G160*DCF!$C$149*SUMIF(i_jetty_years,G$3,i_jetty_vals)*G157</f>
        <v/>
      </c>
      <c r="H176" s="19">
        <f>H161*i_W_mc*H157+H160*DCF!$C$149*SUMIF(i_jetty_years,H$3,i_jetty_vals)*H157</f>
        <v/>
      </c>
      <c r="I176" s="19">
        <f>I161*i_W_mc*I157+I160*DCF!$C$149*SUMIF(i_jetty_years,I$3,i_jetty_vals)*I157</f>
        <v/>
      </c>
      <c r="J176" s="19">
        <f>J161*i_W_mc*J157+J160*DCF!$C$149*SUMIF(i_jetty_years,J$3,i_jetty_vals)*J157</f>
        <v/>
      </c>
      <c r="K176" s="19">
        <f>K161*i_W_mc*K157+K160*DCF!$C$149*SUMIF(i_jetty_years,K$3,i_jetty_vals)*K157</f>
        <v/>
      </c>
      <c r="L176" s="19">
        <f>L161*i_W_mc*L157+L160*DCF!$C$149*SUMIF(i_jetty_years,L$3,i_jetty_vals)*L157</f>
        <v/>
      </c>
      <c r="M176" s="19">
        <f>M161*i_W_mc*M157+M160*DCF!$C$149*SUMIF(i_jetty_years,M$3,i_jetty_vals)*M157</f>
        <v/>
      </c>
      <c r="N176" s="19">
        <f>N161*i_W_mc*N157+N160*DCF!$C$149*SUMIF(i_jetty_years,N$3,i_jetty_vals)*N157</f>
        <v/>
      </c>
      <c r="O176" s="19">
        <f>O161*i_W_mc*O157+O160*DCF!$C$149*SUMIF(i_jetty_years,O$3,i_jetty_vals)*O157</f>
        <v/>
      </c>
      <c r="P176" s="19">
        <f>P161*i_W_mc*P157+P160*DCF!$C$149*SUMIF(i_jetty_years,P$3,i_jetty_vals)*P157</f>
        <v/>
      </c>
      <c r="Q176" s="19">
        <f>Q161*i_W_mc*Q157+Q160*DCF!$C$149*SUMIF(i_jetty_years,Q$3,i_jetty_vals)*Q157</f>
        <v/>
      </c>
      <c r="R176" s="19">
        <f>R161*i_W_mc*R157+R160*DCF!$C$149*SUMIF(i_jetty_years,R$3,i_jetty_vals)*R157</f>
        <v/>
      </c>
      <c r="S176" s="19">
        <f>S161*i_W_mc*S157+S160*DCF!$C$149*SUMIF(i_jetty_years,S$3,i_jetty_vals)*S157</f>
        <v/>
      </c>
      <c r="T176" s="19">
        <f>T161*i_W_mc*T157+T160*DCF!$C$149*SUMIF(i_jetty_years,T$3,i_jetty_vals)*T157</f>
        <v/>
      </c>
      <c r="U176" s="19">
        <f>U161*i_W_mc*U157+U160*DCF!$C$149*SUMIF(i_jetty_years,U$3,i_jetty_vals)*U157</f>
        <v/>
      </c>
      <c r="V176" s="19">
        <f>V161*i_W_mc*V157+V160*DCF!$C$149*SUMIF(i_jetty_years,V$3,i_jetty_vals)*V157</f>
        <v/>
      </c>
      <c r="W176" s="19">
        <f>W161*i_W_mc*W157+W160*DCF!$C$149*SUMIF(i_jetty_years,W$3,i_jetty_vals)*W157</f>
        <v/>
      </c>
      <c r="X176" s="19">
        <f>X161*i_W_mc*X157+X160*DCF!$C$149*SUMIF(i_jetty_years,X$3,i_jetty_vals)*X157</f>
        <v/>
      </c>
      <c r="Y176" s="19">
        <f>Y161*i_W_mc*Y157+Y160*DCF!$C$149*SUMIF(i_jetty_years,Y$3,i_jetty_vals)*Y157</f>
        <v/>
      </c>
      <c r="Z176" s="19">
        <f>Z161*i_W_mc*Z157+Z160*DCF!$C$149*SUMIF(i_jetty_years,Z$3,i_jetty_vals)*Z157</f>
        <v/>
      </c>
      <c r="AA176" s="19">
        <f>AA161*i_W_mc*AA157+AA160*DCF!$C$149*SUMIF(i_jetty_years,AA$3,i_jetty_vals)*AA157</f>
        <v/>
      </c>
      <c r="AB176" s="19">
        <f>AB161*i_W_mc*AB157+AB160*DCF!$C$149*SUMIF(i_jetty_years,AB$3,i_jetty_vals)*AB157</f>
        <v/>
      </c>
      <c r="AC176" s="19">
        <f>AC161*i_W_mc*AC157+AC160*DCF!$C$149*SUMIF(i_jetty_years,AC$3,i_jetty_vals)*AC157</f>
        <v/>
      </c>
      <c r="AD176" s="19">
        <f>AD161*i_W_mc*AD157+AD160*DCF!$C$149*SUMIF(i_jetty_years,AD$3,i_jetty_vals)*AD157</f>
        <v/>
      </c>
      <c r="AE176" s="19">
        <f>AE161*i_W_mc*AE157+AE160*DCF!$C$149*SUMIF(i_jetty_years,AE$3,i_jetty_vals)*AE157</f>
        <v/>
      </c>
      <c r="AF176" s="19">
        <f>AF161*i_W_mc*AF157+AF160*DCF!$C$149*SUMIF(i_jetty_years,AF$3,i_jetty_vals)*AF157</f>
        <v/>
      </c>
      <c r="AG176" s="19">
        <f>AG161*i_W_mc*AG157+AG160*DCF!$C$149*SUMIF(i_jetty_years,AG$3,i_jetty_vals)*AG157</f>
        <v/>
      </c>
      <c r="AH176" s="19">
        <f>AH161*i_W_mc*AH157+AH160*DCF!$C$149*SUMIF(i_jetty_years,AH$3,i_jetty_vals)*AH157</f>
        <v/>
      </c>
      <c r="AI176" s="19">
        <f>AI161*i_W_mc*AI157+AI160*DCF!$C$149*SUMIF(i_jetty_years,AI$3,i_jetty_vals)*AI157</f>
        <v/>
      </c>
    </row>
    <row r="177">
      <c r="B177" s="3" t="inlineStr">
        <is>
          <t>Rhine Inland</t>
        </is>
      </c>
    </row>
    <row r="178">
      <c r="B178" s="2" t="inlineStr">
        <is>
          <t xml:space="preserve">  Capacity in service (million m3)</t>
        </is>
      </c>
      <c r="D178" s="24">
        <f>i_R_cap</f>
        <v/>
      </c>
      <c r="E178" s="24">
        <f>i_R_cap</f>
        <v/>
      </c>
      <c r="F178" s="24">
        <f>i_R_cap</f>
        <v/>
      </c>
      <c r="G178" s="24">
        <f>i_R_cap</f>
        <v/>
      </c>
      <c r="H178" s="24">
        <f>i_R_cap</f>
        <v/>
      </c>
      <c r="I178" s="24">
        <f>i_R_cap</f>
        <v/>
      </c>
      <c r="J178" s="24">
        <f>i_R_cap</f>
        <v/>
      </c>
      <c r="K178" s="24">
        <f>i_R_cap</f>
        <v/>
      </c>
      <c r="L178" s="24">
        <f>i_R_cap</f>
        <v/>
      </c>
      <c r="M178" s="24">
        <f>i_R_cap</f>
        <v/>
      </c>
      <c r="N178" s="24">
        <f>i_R_cap</f>
        <v/>
      </c>
      <c r="O178" s="24">
        <f>i_R_cap</f>
        <v/>
      </c>
      <c r="P178" s="24">
        <f>i_R_cap</f>
        <v/>
      </c>
      <c r="Q178" s="24">
        <f>i_R_cap</f>
        <v/>
      </c>
      <c r="R178" s="24">
        <f>i_R_cap</f>
        <v/>
      </c>
      <c r="S178" s="24">
        <f>i_R_cap</f>
        <v/>
      </c>
      <c r="T178" s="24">
        <f>i_R_cap</f>
        <v/>
      </c>
      <c r="U178" s="24">
        <f>i_R_cap</f>
        <v/>
      </c>
      <c r="V178" s="24">
        <f>i_R_cap</f>
        <v/>
      </c>
      <c r="W178" s="24">
        <f>i_R_cap</f>
        <v/>
      </c>
      <c r="X178" s="24">
        <f>i_R_cap</f>
        <v/>
      </c>
      <c r="Y178" s="24">
        <f>i_R_cap</f>
        <v/>
      </c>
      <c r="Z178" s="24">
        <f>i_R_cap</f>
        <v/>
      </c>
      <c r="AA178" s="24">
        <f>i_R_cap</f>
        <v/>
      </c>
      <c r="AB178" s="24">
        <f>i_R_cap</f>
        <v/>
      </c>
      <c r="AC178" s="24">
        <f>i_R_cap</f>
        <v/>
      </c>
      <c r="AD178" s="24">
        <f>i_R_cap</f>
        <v/>
      </c>
      <c r="AE178" s="24">
        <f>i_R_cap</f>
        <v/>
      </c>
      <c r="AF178" s="24">
        <f>i_R_cap</f>
        <v/>
      </c>
      <c r="AG178" s="24">
        <f>i_R_cap</f>
        <v/>
      </c>
      <c r="AH178" s="24">
        <f>i_R_cap</f>
        <v/>
      </c>
      <c r="AI178" s="24">
        <f>i_R_cap</f>
        <v/>
      </c>
    </row>
    <row r="179">
      <c r="B179" s="2" t="inlineStr">
        <is>
          <t xml:space="preserve">  Share on contracts signed before 2027</t>
        </is>
      </c>
      <c r="D179" s="21">
        <f>SUMIF(i_book_years,D$3,i_R_book)</f>
        <v/>
      </c>
      <c r="E179" s="21">
        <f>SUMIF(i_book_years,E$3,i_R_book)</f>
        <v/>
      </c>
      <c r="F179" s="21">
        <f>SUMIF(i_book_years,F$3,i_R_book)</f>
        <v/>
      </c>
      <c r="G179" s="21">
        <f>SUMIF(i_book_years,G$3,i_R_book)</f>
        <v/>
      </c>
      <c r="H179" s="21">
        <f>SUMIF(i_book_years,H$3,i_R_book)</f>
        <v/>
      </c>
      <c r="I179" s="21">
        <f>SUMIF(i_book_years,I$3,i_R_book)</f>
        <v/>
      </c>
      <c r="J179" s="21">
        <f>SUMIF(i_book_years,J$3,i_R_book)</f>
        <v/>
      </c>
      <c r="K179" s="21">
        <f>SUMIF(i_book_years,K$3,i_R_book)</f>
        <v/>
      </c>
      <c r="L179" s="21">
        <f>SUMIF(i_book_years,L$3,i_R_book)</f>
        <v/>
      </c>
      <c r="M179" s="21">
        <f>SUMIF(i_book_years,M$3,i_R_book)</f>
        <v/>
      </c>
      <c r="N179" s="21">
        <f>SUMIF(i_book_years,N$3,i_R_book)</f>
        <v/>
      </c>
      <c r="O179" s="21">
        <f>SUMIF(i_book_years,O$3,i_R_book)</f>
        <v/>
      </c>
      <c r="P179" s="21">
        <f>SUMIF(i_book_years,P$3,i_R_book)</f>
        <v/>
      </c>
      <c r="Q179" s="21">
        <f>SUMIF(i_book_years,Q$3,i_R_book)</f>
        <v/>
      </c>
      <c r="R179" s="21">
        <f>SUMIF(i_book_years,R$3,i_R_book)</f>
        <v/>
      </c>
      <c r="S179" s="21">
        <f>SUMIF(i_book_years,S$3,i_R_book)</f>
        <v/>
      </c>
      <c r="T179" s="21">
        <f>SUMIF(i_book_years,T$3,i_R_book)</f>
        <v/>
      </c>
      <c r="U179" s="21">
        <f>SUMIF(i_book_years,U$3,i_R_book)</f>
        <v/>
      </c>
      <c r="V179" s="21">
        <f>SUMIF(i_book_years,V$3,i_R_book)</f>
        <v/>
      </c>
      <c r="W179" s="21">
        <f>SUMIF(i_book_years,W$3,i_R_book)</f>
        <v/>
      </c>
      <c r="X179" s="21">
        <f>SUMIF(i_book_years,X$3,i_R_book)</f>
        <v/>
      </c>
      <c r="Y179" s="21">
        <f>SUMIF(i_book_years,Y$3,i_R_book)</f>
        <v/>
      </c>
      <c r="Z179" s="21">
        <f>SUMIF(i_book_years,Z$3,i_R_book)</f>
        <v/>
      </c>
      <c r="AA179" s="21">
        <f>SUMIF(i_book_years,AA$3,i_R_book)</f>
        <v/>
      </c>
      <c r="AB179" s="21">
        <f>SUMIF(i_book_years,AB$3,i_R_book)</f>
        <v/>
      </c>
      <c r="AC179" s="21">
        <f>SUMIF(i_book_years,AC$3,i_R_book)</f>
        <v/>
      </c>
      <c r="AD179" s="21">
        <f>SUMIF(i_book_years,AD$3,i_R_book)</f>
        <v/>
      </c>
      <c r="AE179" s="21">
        <f>SUMIF(i_book_years,AE$3,i_R_book)</f>
        <v/>
      </c>
      <c r="AF179" s="21">
        <f>SUMIF(i_book_years,AF$3,i_R_book)</f>
        <v/>
      </c>
      <c r="AG179" s="21">
        <f>SUMIF(i_book_years,AG$3,i_R_book)</f>
        <v/>
      </c>
      <c r="AH179" s="21">
        <f>SUMIF(i_book_years,AH$3,i_R_book)</f>
        <v/>
      </c>
      <c r="AI179" s="21">
        <f>SUMIF(i_book_years,AI$3,i_R_book)</f>
        <v/>
      </c>
    </row>
    <row r="180">
      <c r="B180" s="2" t="inlineStr">
        <is>
          <t xml:space="preserve">  Recontracting factor against current rates</t>
        </is>
      </c>
      <c r="D180" s="21">
        <f>IF(D$4=0,0,IF(DCF!$C$147=1,i_R_mtm,i_R_mtm_plan)+DCF!$C$153)</f>
        <v/>
      </c>
      <c r="E180" s="21">
        <f>IF(E$4=0,0,IF(DCF!$C$147=1,i_R_mtm,i_R_mtm_plan)+DCF!$C$153)</f>
        <v/>
      </c>
      <c r="F180" s="21">
        <f>IF(F$4=0,0,IF(DCF!$C$147=1,i_R_mtm,i_R_mtm_plan)+DCF!$C$153)</f>
        <v/>
      </c>
      <c r="G180" s="21">
        <f>IF(G$4=0,0,IF(DCF!$C$147=1,i_R_mtm,i_R_mtm_plan)+DCF!$C$153)</f>
        <v/>
      </c>
      <c r="H180" s="21">
        <f>IF(H$4=0,0,IF(DCF!$C$147=1,i_R_mtm,i_R_mtm_plan)+DCF!$C$153)</f>
        <v/>
      </c>
      <c r="I180" s="21">
        <f>IF(I$4=0,0,IF(DCF!$C$147=1,i_R_mtm,i_R_mtm_plan)+DCF!$C$153)</f>
        <v/>
      </c>
      <c r="J180" s="21">
        <f>IF(J$4=0,0,IF(DCF!$C$147=1,i_R_mtm,i_R_mtm_plan)+DCF!$C$153)</f>
        <v/>
      </c>
      <c r="K180" s="21">
        <f>IF(K$4=0,0,IF(DCF!$C$147=1,i_R_mtm,i_R_mtm_plan)+DCF!$C$153)</f>
        <v/>
      </c>
      <c r="L180" s="21">
        <f>IF(L$4=0,0,IF(DCF!$C$147=1,i_R_mtm,i_R_mtm_plan)+DCF!$C$153)</f>
        <v/>
      </c>
      <c r="M180" s="21">
        <f>IF(M$4=0,0,IF(DCF!$C$147=1,i_R_mtm,i_R_mtm_plan)+DCF!$C$153)</f>
        <v/>
      </c>
      <c r="N180" s="21">
        <f>IF(N$4=0,0,IF(DCF!$C$147=1,i_R_mtm,i_R_mtm_plan)+DCF!$C$153)</f>
        <v/>
      </c>
      <c r="O180" s="21">
        <f>IF(O$4=0,0,IF(DCF!$C$147=1,i_R_mtm,i_R_mtm_plan)+DCF!$C$153)</f>
        <v/>
      </c>
      <c r="P180" s="21">
        <f>IF(P$4=0,0,IF(DCF!$C$147=1,i_R_mtm,i_R_mtm_plan)+DCF!$C$153)</f>
        <v/>
      </c>
      <c r="Q180" s="21">
        <f>IF(Q$4=0,0,IF(DCF!$C$147=1,i_R_mtm,i_R_mtm_plan)+DCF!$C$153)</f>
        <v/>
      </c>
      <c r="R180" s="21">
        <f>IF(R$4=0,0,IF(DCF!$C$147=1,i_R_mtm,i_R_mtm_plan)+DCF!$C$153)</f>
        <v/>
      </c>
      <c r="S180" s="21">
        <f>IF(S$4=0,0,IF(DCF!$C$147=1,i_R_mtm,i_R_mtm_plan)+DCF!$C$153)</f>
        <v/>
      </c>
      <c r="T180" s="21">
        <f>IF(T$4=0,0,IF(DCF!$C$147=1,i_R_mtm,i_R_mtm_plan)+DCF!$C$153)</f>
        <v/>
      </c>
      <c r="U180" s="21">
        <f>IF(U$4=0,0,IF(DCF!$C$147=1,i_R_mtm,i_R_mtm_plan)+DCF!$C$153)</f>
        <v/>
      </c>
      <c r="V180" s="21">
        <f>IF(V$4=0,0,IF(DCF!$C$147=1,i_R_mtm,i_R_mtm_plan)+DCF!$C$153)</f>
        <v/>
      </c>
      <c r="W180" s="21">
        <f>IF(W$4=0,0,IF(DCF!$C$147=1,i_R_mtm,i_R_mtm_plan)+DCF!$C$153)</f>
        <v/>
      </c>
      <c r="X180" s="21">
        <f>IF(X$4=0,0,IF(DCF!$C$147=1,i_R_mtm,i_R_mtm_plan)+DCF!$C$153)</f>
        <v/>
      </c>
      <c r="Y180" s="21">
        <f>IF(Y$4=0,0,IF(DCF!$C$147=1,i_R_mtm,i_R_mtm_plan)+DCF!$C$153)</f>
        <v/>
      </c>
      <c r="Z180" s="21">
        <f>IF(Z$4=0,0,IF(DCF!$C$147=1,i_R_mtm,i_R_mtm_plan)+DCF!$C$153)</f>
        <v/>
      </c>
      <c r="AA180" s="21">
        <f>IF(AA$4=0,0,IF(DCF!$C$147=1,i_R_mtm,i_R_mtm_plan)+DCF!$C$153)</f>
        <v/>
      </c>
      <c r="AB180" s="21">
        <f>IF(AB$4=0,0,IF(DCF!$C$147=1,i_R_mtm,i_R_mtm_plan)+DCF!$C$153)</f>
        <v/>
      </c>
      <c r="AC180" s="21">
        <f>IF(AC$4=0,0,IF(DCF!$C$147=1,i_R_mtm,i_R_mtm_plan)+DCF!$C$153)</f>
        <v/>
      </c>
      <c r="AD180" s="21">
        <f>IF(AD$4=0,0,IF(DCF!$C$147=1,i_R_mtm,i_R_mtm_plan)+DCF!$C$153)</f>
        <v/>
      </c>
      <c r="AE180" s="21">
        <f>IF(AE$4=0,0,IF(DCF!$C$147=1,i_R_mtm,i_R_mtm_plan)+DCF!$C$153)</f>
        <v/>
      </c>
      <c r="AF180" s="21">
        <f>IF(AF$4=0,0,IF(DCF!$C$147=1,i_R_mtm,i_R_mtm_plan)+DCF!$C$153)</f>
        <v/>
      </c>
      <c r="AG180" s="21">
        <f>IF(AG$4=0,0,IF(DCF!$C$147=1,i_R_mtm,i_R_mtm_plan)+DCF!$C$153)</f>
        <v/>
      </c>
      <c r="AH180" s="21">
        <f>IF(AH$4=0,0,IF(DCF!$C$147=1,i_R_mtm,i_R_mtm_plan)+DCF!$C$153)</f>
        <v/>
      </c>
      <c r="AI180" s="21">
        <f>IF(AI$4=0,0,IF(DCF!$C$147=1,i_R_mtm,i_R_mtm_plan)+DCF!$C$153)</f>
        <v/>
      </c>
    </row>
    <row r="181">
      <c r="B181" s="2" t="inlineStr">
        <is>
          <t xml:space="preserve">  Average rate ($ per m3 per month)</t>
        </is>
      </c>
      <c r="D181" s="24">
        <f>i_R_rate*D158*(D179+(1-D179)*(1+D180))</f>
        <v/>
      </c>
      <c r="E181" s="24">
        <f>i_R_rate*E158*(E179+(1-E179)*(1+E180))</f>
        <v/>
      </c>
      <c r="F181" s="24">
        <f>i_R_rate*F158*(F179+(1-F179)*(1+F180))</f>
        <v/>
      </c>
      <c r="G181" s="24">
        <f>i_R_rate*G158*(G179+(1-G179)*(1+G180))</f>
        <v/>
      </c>
      <c r="H181" s="24">
        <f>i_R_rate*H158*(H179+(1-H179)*(1+H180))</f>
        <v/>
      </c>
      <c r="I181" s="24">
        <f>i_R_rate*I158*(I179+(1-I179)*(1+I180))</f>
        <v/>
      </c>
      <c r="J181" s="24">
        <f>i_R_rate*J158*(J179+(1-J179)*(1+J180))</f>
        <v/>
      </c>
      <c r="K181" s="24">
        <f>i_R_rate*K158*(K179+(1-K179)*(1+K180))</f>
        <v/>
      </c>
      <c r="L181" s="24">
        <f>i_R_rate*L158*(L179+(1-L179)*(1+L180))</f>
        <v/>
      </c>
      <c r="M181" s="24">
        <f>i_R_rate*M158*(M179+(1-M179)*(1+M180))</f>
        <v/>
      </c>
      <c r="N181" s="24">
        <f>i_R_rate*N158*(N179+(1-N179)*(1+N180))</f>
        <v/>
      </c>
      <c r="O181" s="24">
        <f>i_R_rate*O158*(O179+(1-O179)*(1+O180))</f>
        <v/>
      </c>
      <c r="P181" s="24">
        <f>i_R_rate*P158*(P179+(1-P179)*(1+P180))</f>
        <v/>
      </c>
      <c r="Q181" s="24">
        <f>i_R_rate*Q158*(Q179+(1-Q179)*(1+Q180))</f>
        <v/>
      </c>
      <c r="R181" s="24">
        <f>i_R_rate*R158*(R179+(1-R179)*(1+R180))</f>
        <v/>
      </c>
      <c r="S181" s="24">
        <f>i_R_rate*S158*(S179+(1-S179)*(1+S180))</f>
        <v/>
      </c>
      <c r="T181" s="24">
        <f>i_R_rate*T158*(T179+(1-T179)*(1+T180))</f>
        <v/>
      </c>
      <c r="U181" s="24">
        <f>i_R_rate*U158*(U179+(1-U179)*(1+U180))</f>
        <v/>
      </c>
      <c r="V181" s="24">
        <f>i_R_rate*V158*(V179+(1-V179)*(1+V180))</f>
        <v/>
      </c>
      <c r="W181" s="24">
        <f>i_R_rate*W158*(W179+(1-W179)*(1+W180))</f>
        <v/>
      </c>
      <c r="X181" s="24">
        <f>i_R_rate*X158*(X179+(1-X179)*(1+X180))</f>
        <v/>
      </c>
      <c r="Y181" s="24">
        <f>i_R_rate*Y158*(Y179+(1-Y179)*(1+Y180))</f>
        <v/>
      </c>
      <c r="Z181" s="24">
        <f>i_R_rate*Z158*(Z179+(1-Z179)*(1+Z180))</f>
        <v/>
      </c>
      <c r="AA181" s="24">
        <f>i_R_rate*AA158*(AA179+(1-AA179)*(1+AA180))</f>
        <v/>
      </c>
      <c r="AB181" s="24">
        <f>i_R_rate*AB158*(AB179+(1-AB179)*(1+AB180))</f>
        <v/>
      </c>
      <c r="AC181" s="24">
        <f>i_R_rate*AC158*(AC179+(1-AC179)*(1+AC180))</f>
        <v/>
      </c>
      <c r="AD181" s="24">
        <f>i_R_rate*AD158*(AD179+(1-AD179)*(1+AD180))</f>
        <v/>
      </c>
      <c r="AE181" s="24">
        <f>i_R_rate*AE158*(AE179+(1-AE179)*(1+AE180))</f>
        <v/>
      </c>
      <c r="AF181" s="24">
        <f>i_R_rate*AF158*(AF179+(1-AF179)*(1+AF180))</f>
        <v/>
      </c>
      <c r="AG181" s="24">
        <f>i_R_rate*AG158*(AG179+(1-AG179)*(1+AG180))</f>
        <v/>
      </c>
      <c r="AH181" s="24">
        <f>i_R_rate*AH158*(AH179+(1-AH179)*(1+AH180))</f>
        <v/>
      </c>
      <c r="AI181" s="24">
        <f>i_R_rate*AI158*(AI179+(1-AI179)*(1+AI180))</f>
        <v/>
      </c>
    </row>
    <row r="182">
      <c r="B182" s="2" t="inlineStr">
        <is>
          <t xml:space="preserve">  Occupancy after the transition decline and floor</t>
        </is>
      </c>
      <c r="D182" s="21">
        <f>IF(D$3&gt;i_trans_start,MAX(i_R_floor,i_R_occ-i_R_dec*(D$3-i_trans_start)),i_R_occ)</f>
        <v/>
      </c>
      <c r="E182" s="21">
        <f>IF(E$3&gt;i_trans_start,MAX(i_R_floor,i_R_occ-i_R_dec*(E$3-i_trans_start)),i_R_occ)</f>
        <v/>
      </c>
      <c r="F182" s="21">
        <f>IF(F$3&gt;i_trans_start,MAX(i_R_floor,i_R_occ-i_R_dec*(F$3-i_trans_start)),i_R_occ)</f>
        <v/>
      </c>
      <c r="G182" s="21">
        <f>IF(G$3&gt;i_trans_start,MAX(i_R_floor,i_R_occ-i_R_dec*(G$3-i_trans_start)),i_R_occ)</f>
        <v/>
      </c>
      <c r="H182" s="21">
        <f>IF(H$3&gt;i_trans_start,MAX(i_R_floor,i_R_occ-i_R_dec*(H$3-i_trans_start)),i_R_occ)</f>
        <v/>
      </c>
      <c r="I182" s="21">
        <f>IF(I$3&gt;i_trans_start,MAX(i_R_floor,i_R_occ-i_R_dec*(I$3-i_trans_start)),i_R_occ)</f>
        <v/>
      </c>
      <c r="J182" s="21">
        <f>IF(J$3&gt;i_trans_start,MAX(i_R_floor,i_R_occ-i_R_dec*(J$3-i_trans_start)),i_R_occ)</f>
        <v/>
      </c>
      <c r="K182" s="21">
        <f>IF(K$3&gt;i_trans_start,MAX(i_R_floor,i_R_occ-i_R_dec*(K$3-i_trans_start)),i_R_occ)</f>
        <v/>
      </c>
      <c r="L182" s="21">
        <f>IF(L$3&gt;i_trans_start,MAX(i_R_floor,i_R_occ-i_R_dec*(L$3-i_trans_start)),i_R_occ)</f>
        <v/>
      </c>
      <c r="M182" s="21">
        <f>IF(M$3&gt;i_trans_start,MAX(i_R_floor,i_R_occ-i_R_dec*(M$3-i_trans_start)),i_R_occ)</f>
        <v/>
      </c>
      <c r="N182" s="21">
        <f>IF(N$3&gt;i_trans_start,MAX(i_R_floor,i_R_occ-i_R_dec*(N$3-i_trans_start)),i_R_occ)</f>
        <v/>
      </c>
      <c r="O182" s="21">
        <f>IF(O$3&gt;i_trans_start,MAX(i_R_floor,i_R_occ-i_R_dec*(O$3-i_trans_start)),i_R_occ)</f>
        <v/>
      </c>
      <c r="P182" s="21">
        <f>IF(P$3&gt;i_trans_start,MAX(i_R_floor,i_R_occ-i_R_dec*(P$3-i_trans_start)),i_R_occ)</f>
        <v/>
      </c>
      <c r="Q182" s="21">
        <f>IF(Q$3&gt;i_trans_start,MAX(i_R_floor,i_R_occ-i_R_dec*(Q$3-i_trans_start)),i_R_occ)</f>
        <v/>
      </c>
      <c r="R182" s="21">
        <f>IF(R$3&gt;i_trans_start,MAX(i_R_floor,i_R_occ-i_R_dec*(R$3-i_trans_start)),i_R_occ)</f>
        <v/>
      </c>
      <c r="S182" s="21">
        <f>IF(S$3&gt;i_trans_start,MAX(i_R_floor,i_R_occ-i_R_dec*(S$3-i_trans_start)),i_R_occ)</f>
        <v/>
      </c>
      <c r="T182" s="21">
        <f>IF(T$3&gt;i_trans_start,MAX(i_R_floor,i_R_occ-i_R_dec*(T$3-i_trans_start)),i_R_occ)</f>
        <v/>
      </c>
      <c r="U182" s="21">
        <f>IF(U$3&gt;i_trans_start,MAX(i_R_floor,i_R_occ-i_R_dec*(U$3-i_trans_start)),i_R_occ)</f>
        <v/>
      </c>
      <c r="V182" s="21">
        <f>IF(V$3&gt;i_trans_start,MAX(i_R_floor,i_R_occ-i_R_dec*(V$3-i_trans_start)),i_R_occ)</f>
        <v/>
      </c>
      <c r="W182" s="21">
        <f>IF(W$3&gt;i_trans_start,MAX(i_R_floor,i_R_occ-i_R_dec*(W$3-i_trans_start)),i_R_occ)</f>
        <v/>
      </c>
      <c r="X182" s="21">
        <f>IF(X$3&gt;i_trans_start,MAX(i_R_floor,i_R_occ-i_R_dec*(X$3-i_trans_start)),i_R_occ)</f>
        <v/>
      </c>
      <c r="Y182" s="21">
        <f>IF(Y$3&gt;i_trans_start,MAX(i_R_floor,i_R_occ-i_R_dec*(Y$3-i_trans_start)),i_R_occ)</f>
        <v/>
      </c>
      <c r="Z182" s="21">
        <f>IF(Z$3&gt;i_trans_start,MAX(i_R_floor,i_R_occ-i_R_dec*(Z$3-i_trans_start)),i_R_occ)</f>
        <v/>
      </c>
      <c r="AA182" s="21">
        <f>IF(AA$3&gt;i_trans_start,MAX(i_R_floor,i_R_occ-i_R_dec*(AA$3-i_trans_start)),i_R_occ)</f>
        <v/>
      </c>
      <c r="AB182" s="21">
        <f>IF(AB$3&gt;i_trans_start,MAX(i_R_floor,i_R_occ-i_R_dec*(AB$3-i_trans_start)),i_R_occ)</f>
        <v/>
      </c>
      <c r="AC182" s="21">
        <f>IF(AC$3&gt;i_trans_start,MAX(i_R_floor,i_R_occ-i_R_dec*(AC$3-i_trans_start)),i_R_occ)</f>
        <v/>
      </c>
      <c r="AD182" s="21">
        <f>IF(AD$3&gt;i_trans_start,MAX(i_R_floor,i_R_occ-i_R_dec*(AD$3-i_trans_start)),i_R_occ)</f>
        <v/>
      </c>
      <c r="AE182" s="21">
        <f>IF(AE$3&gt;i_trans_start,MAX(i_R_floor,i_R_occ-i_R_dec*(AE$3-i_trans_start)),i_R_occ)</f>
        <v/>
      </c>
      <c r="AF182" s="21">
        <f>IF(AF$3&gt;i_trans_start,MAX(i_R_floor,i_R_occ-i_R_dec*(AF$3-i_trans_start)),i_R_occ)</f>
        <v/>
      </c>
      <c r="AG182" s="21">
        <f>IF(AG$3&gt;i_trans_start,MAX(i_R_floor,i_R_occ-i_R_dec*(AG$3-i_trans_start)),i_R_occ)</f>
        <v/>
      </c>
      <c r="AH182" s="21">
        <f>IF(AH$3&gt;i_trans_start,MAX(i_R_floor,i_R_occ-i_R_dec*(AH$3-i_trans_start)),i_R_occ)</f>
        <v/>
      </c>
      <c r="AI182" s="21">
        <f>IF(AI$3&gt;i_trans_start,MAX(i_R_floor,i_R_occ-i_R_dec*(AI$3-i_trans_start)),i_R_occ)</f>
        <v/>
      </c>
    </row>
    <row r="183">
      <c r="B183" s="2" t="inlineStr">
        <is>
          <t xml:space="preserve">  Occupancy (with the shift switch from 2027)</t>
        </is>
      </c>
      <c r="D183" s="21">
        <f>IF(D$4&gt;0,MIN(1,D182+DCF!$C$152),D182)</f>
        <v/>
      </c>
      <c r="E183" s="21">
        <f>IF(E$4&gt;0,MIN(1,E182+DCF!$C$152),E182)</f>
        <v/>
      </c>
      <c r="F183" s="21">
        <f>IF(F$4&gt;0,MIN(1,F182+DCF!$C$152),F182)</f>
        <v/>
      </c>
      <c r="G183" s="21">
        <f>IF(G$4&gt;0,MIN(1,G182+DCF!$C$152),G182)</f>
        <v/>
      </c>
      <c r="H183" s="21">
        <f>IF(H$4&gt;0,MIN(1,H182+DCF!$C$152),H182)</f>
        <v/>
      </c>
      <c r="I183" s="21">
        <f>IF(I$4&gt;0,MIN(1,I182+DCF!$C$152),I182)</f>
        <v/>
      </c>
      <c r="J183" s="21">
        <f>IF(J$4&gt;0,MIN(1,J182+DCF!$C$152),J182)</f>
        <v/>
      </c>
      <c r="K183" s="21">
        <f>IF(K$4&gt;0,MIN(1,K182+DCF!$C$152),K182)</f>
        <v/>
      </c>
      <c r="L183" s="21">
        <f>IF(L$4&gt;0,MIN(1,L182+DCF!$C$152),L182)</f>
        <v/>
      </c>
      <c r="M183" s="21">
        <f>IF(M$4&gt;0,MIN(1,M182+DCF!$C$152),M182)</f>
        <v/>
      </c>
      <c r="N183" s="21">
        <f>IF(N$4&gt;0,MIN(1,N182+DCF!$C$152),N182)</f>
        <v/>
      </c>
      <c r="O183" s="21">
        <f>IF(O$4&gt;0,MIN(1,O182+DCF!$C$152),O182)</f>
        <v/>
      </c>
      <c r="P183" s="21">
        <f>IF(P$4&gt;0,MIN(1,P182+DCF!$C$152),P182)</f>
        <v/>
      </c>
      <c r="Q183" s="21">
        <f>IF(Q$4&gt;0,MIN(1,Q182+DCF!$C$152),Q182)</f>
        <v/>
      </c>
      <c r="R183" s="21">
        <f>IF(R$4&gt;0,MIN(1,R182+DCF!$C$152),R182)</f>
        <v/>
      </c>
      <c r="S183" s="21">
        <f>IF(S$4&gt;0,MIN(1,S182+DCF!$C$152),S182)</f>
        <v/>
      </c>
      <c r="T183" s="21">
        <f>IF(T$4&gt;0,MIN(1,T182+DCF!$C$152),T182)</f>
        <v/>
      </c>
      <c r="U183" s="21">
        <f>IF(U$4&gt;0,MIN(1,U182+DCF!$C$152),U182)</f>
        <v/>
      </c>
      <c r="V183" s="21">
        <f>IF(V$4&gt;0,MIN(1,V182+DCF!$C$152),V182)</f>
        <v/>
      </c>
      <c r="W183" s="21">
        <f>IF(W$4&gt;0,MIN(1,W182+DCF!$C$152),W182)</f>
        <v/>
      </c>
      <c r="X183" s="21">
        <f>IF(X$4&gt;0,MIN(1,X182+DCF!$C$152),X182)</f>
        <v/>
      </c>
      <c r="Y183" s="21">
        <f>IF(Y$4&gt;0,MIN(1,Y182+DCF!$C$152),Y182)</f>
        <v/>
      </c>
      <c r="Z183" s="21">
        <f>IF(Z$4&gt;0,MIN(1,Z182+DCF!$C$152),Z182)</f>
        <v/>
      </c>
      <c r="AA183" s="21">
        <f>IF(AA$4&gt;0,MIN(1,AA182+DCF!$C$152),AA182)</f>
        <v/>
      </c>
      <c r="AB183" s="21">
        <f>IF(AB$4&gt;0,MIN(1,AB182+DCF!$C$152),AB182)</f>
        <v/>
      </c>
      <c r="AC183" s="21">
        <f>IF(AC$4&gt;0,MIN(1,AC182+DCF!$C$152),AC182)</f>
        <v/>
      </c>
      <c r="AD183" s="21">
        <f>IF(AD$4&gt;0,MIN(1,AD182+DCF!$C$152),AD182)</f>
        <v/>
      </c>
      <c r="AE183" s="21">
        <f>IF(AE$4&gt;0,MIN(1,AE182+DCF!$C$152),AE182)</f>
        <v/>
      </c>
      <c r="AF183" s="21">
        <f>IF(AF$4&gt;0,MIN(1,AF182+DCF!$C$152),AF182)</f>
        <v/>
      </c>
      <c r="AG183" s="21">
        <f>IF(AG$4&gt;0,MIN(1,AG182+DCF!$C$152),AG182)</f>
        <v/>
      </c>
      <c r="AH183" s="21">
        <f>IF(AH$4&gt;0,MIN(1,AH182+DCF!$C$152),AH182)</f>
        <v/>
      </c>
      <c r="AI183" s="21">
        <f>IF(AI$4&gt;0,MIN(1,AI182+DCF!$C$152),AI182)</f>
        <v/>
      </c>
    </row>
    <row r="184">
      <c r="B184" s="2" t="inlineStr">
        <is>
          <t xml:space="preserve">  Storage revenue</t>
        </is>
      </c>
      <c r="D184" s="19">
        <f>D178*D181*12*D183</f>
        <v/>
      </c>
      <c r="E184" s="19">
        <f>E178*E181*12*E183</f>
        <v/>
      </c>
      <c r="F184" s="19">
        <f>F178*F181*12*F183</f>
        <v/>
      </c>
      <c r="G184" s="19">
        <f>G178*G181*12*G183</f>
        <v/>
      </c>
      <c r="H184" s="19">
        <f>H178*H181*12*H183</f>
        <v/>
      </c>
      <c r="I184" s="19">
        <f>I178*I181*12*I183</f>
        <v/>
      </c>
      <c r="J184" s="19">
        <f>J178*J181*12*J183</f>
        <v/>
      </c>
      <c r="K184" s="19">
        <f>K178*K181*12*K183</f>
        <v/>
      </c>
      <c r="L184" s="19">
        <f>L178*L181*12*L183</f>
        <v/>
      </c>
      <c r="M184" s="19">
        <f>M178*M181*12*M183</f>
        <v/>
      </c>
      <c r="N184" s="19">
        <f>N178*N181*12*N183</f>
        <v/>
      </c>
      <c r="O184" s="19">
        <f>O178*O181*12*O183</f>
        <v/>
      </c>
      <c r="P184" s="19">
        <f>P178*P181*12*P183</f>
        <v/>
      </c>
      <c r="Q184" s="19">
        <f>Q178*Q181*12*Q183</f>
        <v/>
      </c>
      <c r="R184" s="19">
        <f>R178*R181*12*R183</f>
        <v/>
      </c>
      <c r="S184" s="19">
        <f>S178*S181*12*S183</f>
        <v/>
      </c>
      <c r="T184" s="19">
        <f>T178*T181*12*T183</f>
        <v/>
      </c>
      <c r="U184" s="19">
        <f>U178*U181*12*U183</f>
        <v/>
      </c>
      <c r="V184" s="19">
        <f>V178*V181*12*V183</f>
        <v/>
      </c>
      <c r="W184" s="19">
        <f>W178*W181*12*W183</f>
        <v/>
      </c>
      <c r="X184" s="19">
        <f>X178*X181*12*X183</f>
        <v/>
      </c>
      <c r="Y184" s="19">
        <f>Y178*Y181*12*Y183</f>
        <v/>
      </c>
      <c r="Z184" s="19">
        <f>Z178*Z181*12*Z183</f>
        <v/>
      </c>
      <c r="AA184" s="19">
        <f>AA178*AA181*12*AA183</f>
        <v/>
      </c>
      <c r="AB184" s="19">
        <f>AB178*AB181*12*AB183</f>
        <v/>
      </c>
      <c r="AC184" s="19">
        <f>AC178*AC181*12*AC183</f>
        <v/>
      </c>
      <c r="AD184" s="19">
        <f>AD178*AD181*12*AD183</f>
        <v/>
      </c>
      <c r="AE184" s="19">
        <f>AE178*AE181*12*AE183</f>
        <v/>
      </c>
      <c r="AF184" s="19">
        <f>AF178*AF181*12*AF183</f>
        <v/>
      </c>
      <c r="AG184" s="19">
        <f>AG178*AG181*12*AG183</f>
        <v/>
      </c>
      <c r="AH184" s="19">
        <f>AH178*AH181*12*AH183</f>
        <v/>
      </c>
      <c r="AI184" s="19">
        <f>AI178*AI181*12*AI183</f>
        <v/>
      </c>
    </row>
    <row r="185">
      <c r="B185" s="2" t="inlineStr">
        <is>
          <t xml:space="preserve">  Ancillary and throughput revenue</t>
        </is>
      </c>
      <c r="D185" s="19">
        <f>D184*i_R_anc</f>
        <v/>
      </c>
      <c r="E185" s="19">
        <f>E184*i_R_anc</f>
        <v/>
      </c>
      <c r="F185" s="19">
        <f>F184*i_R_anc</f>
        <v/>
      </c>
      <c r="G185" s="19">
        <f>G184*i_R_anc</f>
        <v/>
      </c>
      <c r="H185" s="19">
        <f>H184*i_R_anc</f>
        <v/>
      </c>
      <c r="I185" s="19">
        <f>I184*i_R_anc</f>
        <v/>
      </c>
      <c r="J185" s="19">
        <f>J184*i_R_anc</f>
        <v/>
      </c>
      <c r="K185" s="19">
        <f>K184*i_R_anc</f>
        <v/>
      </c>
      <c r="L185" s="19">
        <f>L184*i_R_anc</f>
        <v/>
      </c>
      <c r="M185" s="19">
        <f>M184*i_R_anc</f>
        <v/>
      </c>
      <c r="N185" s="19">
        <f>N184*i_R_anc</f>
        <v/>
      </c>
      <c r="O185" s="19">
        <f>O184*i_R_anc</f>
        <v/>
      </c>
      <c r="P185" s="19">
        <f>P184*i_R_anc</f>
        <v/>
      </c>
      <c r="Q185" s="19">
        <f>Q184*i_R_anc</f>
        <v/>
      </c>
      <c r="R185" s="19">
        <f>R184*i_R_anc</f>
        <v/>
      </c>
      <c r="S185" s="19">
        <f>S184*i_R_anc</f>
        <v/>
      </c>
      <c r="T185" s="19">
        <f>T184*i_R_anc</f>
        <v/>
      </c>
      <c r="U185" s="19">
        <f>U184*i_R_anc</f>
        <v/>
      </c>
      <c r="V185" s="19">
        <f>V184*i_R_anc</f>
        <v/>
      </c>
      <c r="W185" s="19">
        <f>W184*i_R_anc</f>
        <v/>
      </c>
      <c r="X185" s="19">
        <f>X184*i_R_anc</f>
        <v/>
      </c>
      <c r="Y185" s="19">
        <f>Y184*i_R_anc</f>
        <v/>
      </c>
      <c r="Z185" s="19">
        <f>Z184*i_R_anc</f>
        <v/>
      </c>
      <c r="AA185" s="19">
        <f>AA184*i_R_anc</f>
        <v/>
      </c>
      <c r="AB185" s="19">
        <f>AB184*i_R_anc</f>
        <v/>
      </c>
      <c r="AC185" s="19">
        <f>AC184*i_R_anc</f>
        <v/>
      </c>
      <c r="AD185" s="19">
        <f>AD184*i_R_anc</f>
        <v/>
      </c>
      <c r="AE185" s="19">
        <f>AE184*i_R_anc</f>
        <v/>
      </c>
      <c r="AF185" s="19">
        <f>AF184*i_R_anc</f>
        <v/>
      </c>
      <c r="AG185" s="19">
        <f>AG184*i_R_anc</f>
        <v/>
      </c>
      <c r="AH185" s="19">
        <f>AH184*i_R_anc</f>
        <v/>
      </c>
      <c r="AI185" s="19">
        <f>AI184*i_R_anc</f>
        <v/>
      </c>
    </row>
    <row r="186">
      <c r="B186" s="3" t="inlineStr">
        <is>
          <t xml:space="preserve">  Revenue</t>
        </is>
      </c>
      <c r="D186" s="31">
        <f>D184+D185</f>
        <v/>
      </c>
      <c r="E186" s="31">
        <f>E184+E185</f>
        <v/>
      </c>
      <c r="F186" s="31">
        <f>F184+F185</f>
        <v/>
      </c>
      <c r="G186" s="31">
        <f>G184+G185</f>
        <v/>
      </c>
      <c r="H186" s="31">
        <f>H184+H185</f>
        <v/>
      </c>
      <c r="I186" s="31">
        <f>I184+I185</f>
        <v/>
      </c>
      <c r="J186" s="31">
        <f>J184+J185</f>
        <v/>
      </c>
      <c r="K186" s="31">
        <f>K184+K185</f>
        <v/>
      </c>
      <c r="L186" s="31">
        <f>L184+L185</f>
        <v/>
      </c>
      <c r="M186" s="31">
        <f>M184+M185</f>
        <v/>
      </c>
      <c r="N186" s="31">
        <f>N184+N185</f>
        <v/>
      </c>
      <c r="O186" s="31">
        <f>O184+O185</f>
        <v/>
      </c>
      <c r="P186" s="31">
        <f>P184+P185</f>
        <v/>
      </c>
      <c r="Q186" s="31">
        <f>Q184+Q185</f>
        <v/>
      </c>
      <c r="R186" s="31">
        <f>R184+R185</f>
        <v/>
      </c>
      <c r="S186" s="31">
        <f>S184+S185</f>
        <v/>
      </c>
      <c r="T186" s="31">
        <f>T184+T185</f>
        <v/>
      </c>
      <c r="U186" s="31">
        <f>U184+U185</f>
        <v/>
      </c>
      <c r="V186" s="31">
        <f>V184+V185</f>
        <v/>
      </c>
      <c r="W186" s="31">
        <f>W184+W185</f>
        <v/>
      </c>
      <c r="X186" s="31">
        <f>X184+X185</f>
        <v/>
      </c>
      <c r="Y186" s="31">
        <f>Y184+Y185</f>
        <v/>
      </c>
      <c r="Z186" s="31">
        <f>Z184+Z185</f>
        <v/>
      </c>
      <c r="AA186" s="31">
        <f>AA184+AA185</f>
        <v/>
      </c>
      <c r="AB186" s="31">
        <f>AB184+AB185</f>
        <v/>
      </c>
      <c r="AC186" s="31">
        <f>AC184+AC185</f>
        <v/>
      </c>
      <c r="AD186" s="31">
        <f>AD184+AD185</f>
        <v/>
      </c>
      <c r="AE186" s="31">
        <f>AE184+AE185</f>
        <v/>
      </c>
      <c r="AF186" s="31">
        <f>AF184+AF185</f>
        <v/>
      </c>
      <c r="AG186" s="31">
        <f>AG184+AG185</f>
        <v/>
      </c>
      <c r="AH186" s="31">
        <f>AH184+AH185</f>
        <v/>
      </c>
      <c r="AI186" s="31">
        <f>AI184+AI185</f>
        <v/>
      </c>
    </row>
    <row r="187">
      <c r="B187" s="2" t="inlineStr">
        <is>
          <t xml:space="preserve">  Fixed cost</t>
        </is>
      </c>
      <c r="D187" s="19">
        <f>D178*i_R_fix*D157</f>
        <v/>
      </c>
      <c r="E187" s="19">
        <f>E178*i_R_fix*E157</f>
        <v/>
      </c>
      <c r="F187" s="19">
        <f>F178*i_R_fix*F157</f>
        <v/>
      </c>
      <c r="G187" s="19">
        <f>G178*i_R_fix*G157</f>
        <v/>
      </c>
      <c r="H187" s="19">
        <f>H178*i_R_fix*H157</f>
        <v/>
      </c>
      <c r="I187" s="19">
        <f>I178*i_R_fix*I157</f>
        <v/>
      </c>
      <c r="J187" s="19">
        <f>J178*i_R_fix*J157</f>
        <v/>
      </c>
      <c r="K187" s="19">
        <f>K178*i_R_fix*K157</f>
        <v/>
      </c>
      <c r="L187" s="19">
        <f>L178*i_R_fix*L157</f>
        <v/>
      </c>
      <c r="M187" s="19">
        <f>M178*i_R_fix*M157</f>
        <v/>
      </c>
      <c r="N187" s="19">
        <f>N178*i_R_fix*N157</f>
        <v/>
      </c>
      <c r="O187" s="19">
        <f>O178*i_R_fix*O157</f>
        <v/>
      </c>
      <c r="P187" s="19">
        <f>P178*i_R_fix*P157</f>
        <v/>
      </c>
      <c r="Q187" s="19">
        <f>Q178*i_R_fix*Q157</f>
        <v/>
      </c>
      <c r="R187" s="19">
        <f>R178*i_R_fix*R157</f>
        <v/>
      </c>
      <c r="S187" s="19">
        <f>S178*i_R_fix*S157</f>
        <v/>
      </c>
      <c r="T187" s="19">
        <f>T178*i_R_fix*T157</f>
        <v/>
      </c>
      <c r="U187" s="19">
        <f>U178*i_R_fix*U157</f>
        <v/>
      </c>
      <c r="V187" s="19">
        <f>V178*i_R_fix*V157</f>
        <v/>
      </c>
      <c r="W187" s="19">
        <f>W178*i_R_fix*W157</f>
        <v/>
      </c>
      <c r="X187" s="19">
        <f>X178*i_R_fix*X157</f>
        <v/>
      </c>
      <c r="Y187" s="19">
        <f>Y178*i_R_fix*Y157</f>
        <v/>
      </c>
      <c r="Z187" s="19">
        <f>Z178*i_R_fix*Z157</f>
        <v/>
      </c>
      <c r="AA187" s="19">
        <f>AA178*i_R_fix*AA157</f>
        <v/>
      </c>
      <c r="AB187" s="19">
        <f>AB178*i_R_fix*AB157</f>
        <v/>
      </c>
      <c r="AC187" s="19">
        <f>AC178*i_R_fix*AC157</f>
        <v/>
      </c>
      <c r="AD187" s="19">
        <f>AD178*i_R_fix*AD157</f>
        <v/>
      </c>
      <c r="AE187" s="19">
        <f>AE178*i_R_fix*AE157</f>
        <v/>
      </c>
      <c r="AF187" s="19">
        <f>AF178*i_R_fix*AF157</f>
        <v/>
      </c>
      <c r="AG187" s="19">
        <f>AG178*i_R_fix*AG157</f>
        <v/>
      </c>
      <c r="AH187" s="19">
        <f>AH178*i_R_fix*AH157</f>
        <v/>
      </c>
      <c r="AI187" s="19">
        <f>AI178*i_R_fix*AI157</f>
        <v/>
      </c>
    </row>
    <row r="188">
      <c r="B188" s="2" t="inlineStr">
        <is>
          <t xml:space="preserve">  Variable cost</t>
        </is>
      </c>
      <c r="D188" s="19">
        <f>i_R_var*D186</f>
        <v/>
      </c>
      <c r="E188" s="19">
        <f>i_R_var*E186</f>
        <v/>
      </c>
      <c r="F188" s="19">
        <f>i_R_var*F186</f>
        <v/>
      </c>
      <c r="G188" s="19">
        <f>i_R_var*G186</f>
        <v/>
      </c>
      <c r="H188" s="19">
        <f>i_R_var*H186</f>
        <v/>
      </c>
      <c r="I188" s="19">
        <f>i_R_var*I186</f>
        <v/>
      </c>
      <c r="J188" s="19">
        <f>i_R_var*J186</f>
        <v/>
      </c>
      <c r="K188" s="19">
        <f>i_R_var*K186</f>
        <v/>
      </c>
      <c r="L188" s="19">
        <f>i_R_var*L186</f>
        <v/>
      </c>
      <c r="M188" s="19">
        <f>i_R_var*M186</f>
        <v/>
      </c>
      <c r="N188" s="19">
        <f>i_R_var*N186</f>
        <v/>
      </c>
      <c r="O188" s="19">
        <f>i_R_var*O186</f>
        <v/>
      </c>
      <c r="P188" s="19">
        <f>i_R_var*P186</f>
        <v/>
      </c>
      <c r="Q188" s="19">
        <f>i_R_var*Q186</f>
        <v/>
      </c>
      <c r="R188" s="19">
        <f>i_R_var*R186</f>
        <v/>
      </c>
      <c r="S188" s="19">
        <f>i_R_var*S186</f>
        <v/>
      </c>
      <c r="T188" s="19">
        <f>i_R_var*T186</f>
        <v/>
      </c>
      <c r="U188" s="19">
        <f>i_R_var*U186</f>
        <v/>
      </c>
      <c r="V188" s="19">
        <f>i_R_var*V186</f>
        <v/>
      </c>
      <c r="W188" s="19">
        <f>i_R_var*W186</f>
        <v/>
      </c>
      <c r="X188" s="19">
        <f>i_R_var*X186</f>
        <v/>
      </c>
      <c r="Y188" s="19">
        <f>i_R_var*Y186</f>
        <v/>
      </c>
      <c r="Z188" s="19">
        <f>i_R_var*Z186</f>
        <v/>
      </c>
      <c r="AA188" s="19">
        <f>i_R_var*AA186</f>
        <v/>
      </c>
      <c r="AB188" s="19">
        <f>i_R_var*AB186</f>
        <v/>
      </c>
      <c r="AC188" s="19">
        <f>i_R_var*AC186</f>
        <v/>
      </c>
      <c r="AD188" s="19">
        <f>i_R_var*AD186</f>
        <v/>
      </c>
      <c r="AE188" s="19">
        <f>i_R_var*AE186</f>
        <v/>
      </c>
      <c r="AF188" s="19">
        <f>i_R_var*AF186</f>
        <v/>
      </c>
      <c r="AG188" s="19">
        <f>i_R_var*AG186</f>
        <v/>
      </c>
      <c r="AH188" s="19">
        <f>i_R_var*AH186</f>
        <v/>
      </c>
      <c r="AI188" s="19">
        <f>i_R_var*AI186</f>
        <v/>
      </c>
    </row>
    <row r="189">
      <c r="B189" s="2" t="inlineStr">
        <is>
          <t xml:space="preserve">  Operating cost</t>
        </is>
      </c>
      <c r="D189" s="19">
        <f>D187+D188</f>
        <v/>
      </c>
      <c r="E189" s="19">
        <f>E187+E188</f>
        <v/>
      </c>
      <c r="F189" s="19">
        <f>F187+F188</f>
        <v/>
      </c>
      <c r="G189" s="19">
        <f>G187+G188</f>
        <v/>
      </c>
      <c r="H189" s="19">
        <f>H187+H188</f>
        <v/>
      </c>
      <c r="I189" s="19">
        <f>I187+I188</f>
        <v/>
      </c>
      <c r="J189" s="19">
        <f>J187+J188</f>
        <v/>
      </c>
      <c r="K189" s="19">
        <f>K187+K188</f>
        <v/>
      </c>
      <c r="L189" s="19">
        <f>L187+L188</f>
        <v/>
      </c>
      <c r="M189" s="19">
        <f>M187+M188</f>
        <v/>
      </c>
      <c r="N189" s="19">
        <f>N187+N188</f>
        <v/>
      </c>
      <c r="O189" s="19">
        <f>O187+O188</f>
        <v/>
      </c>
      <c r="P189" s="19">
        <f>P187+P188</f>
        <v/>
      </c>
      <c r="Q189" s="19">
        <f>Q187+Q188</f>
        <v/>
      </c>
      <c r="R189" s="19">
        <f>R187+R188</f>
        <v/>
      </c>
      <c r="S189" s="19">
        <f>S187+S188</f>
        <v/>
      </c>
      <c r="T189" s="19">
        <f>T187+T188</f>
        <v/>
      </c>
      <c r="U189" s="19">
        <f>U187+U188</f>
        <v/>
      </c>
      <c r="V189" s="19">
        <f>V187+V188</f>
        <v/>
      </c>
      <c r="W189" s="19">
        <f>W187+W188</f>
        <v/>
      </c>
      <c r="X189" s="19">
        <f>X187+X188</f>
        <v/>
      </c>
      <c r="Y189" s="19">
        <f>Y187+Y188</f>
        <v/>
      </c>
      <c r="Z189" s="19">
        <f>Z187+Z188</f>
        <v/>
      </c>
      <c r="AA189" s="19">
        <f>AA187+AA188</f>
        <v/>
      </c>
      <c r="AB189" s="19">
        <f>AB187+AB188</f>
        <v/>
      </c>
      <c r="AC189" s="19">
        <f>AC187+AC188</f>
        <v/>
      </c>
      <c r="AD189" s="19">
        <f>AD187+AD188</f>
        <v/>
      </c>
      <c r="AE189" s="19">
        <f>AE187+AE188</f>
        <v/>
      </c>
      <c r="AF189" s="19">
        <f>AF187+AF188</f>
        <v/>
      </c>
      <c r="AG189" s="19">
        <f>AG187+AG188</f>
        <v/>
      </c>
      <c r="AH189" s="19">
        <f>AH187+AH188</f>
        <v/>
      </c>
      <c r="AI189" s="19">
        <f>AI187+AI188</f>
        <v/>
      </c>
    </row>
    <row r="190">
      <c r="B190" s="3" t="inlineStr">
        <is>
          <t xml:space="preserve">  EBITDA</t>
        </is>
      </c>
      <c r="D190" s="31">
        <f>D186-D189</f>
        <v/>
      </c>
      <c r="E190" s="31">
        <f>E186-E189</f>
        <v/>
      </c>
      <c r="F190" s="31">
        <f>F186-F189</f>
        <v/>
      </c>
      <c r="G190" s="31">
        <f>G186-G189</f>
        <v/>
      </c>
      <c r="H190" s="31">
        <f>H186-H189</f>
        <v/>
      </c>
      <c r="I190" s="31">
        <f>I186-I189</f>
        <v/>
      </c>
      <c r="J190" s="31">
        <f>J186-J189</f>
        <v/>
      </c>
      <c r="K190" s="31">
        <f>K186-K189</f>
        <v/>
      </c>
      <c r="L190" s="31">
        <f>L186-L189</f>
        <v/>
      </c>
      <c r="M190" s="31">
        <f>M186-M189</f>
        <v/>
      </c>
      <c r="N190" s="31">
        <f>N186-N189</f>
        <v/>
      </c>
      <c r="O190" s="31">
        <f>O186-O189</f>
        <v/>
      </c>
      <c r="P190" s="31">
        <f>P186-P189</f>
        <v/>
      </c>
      <c r="Q190" s="31">
        <f>Q186-Q189</f>
        <v/>
      </c>
      <c r="R190" s="31">
        <f>R186-R189</f>
        <v/>
      </c>
      <c r="S190" s="31">
        <f>S186-S189</f>
        <v/>
      </c>
      <c r="T190" s="31">
        <f>T186-T189</f>
        <v/>
      </c>
      <c r="U190" s="31">
        <f>U186-U189</f>
        <v/>
      </c>
      <c r="V190" s="31">
        <f>V186-V189</f>
        <v/>
      </c>
      <c r="W190" s="31">
        <f>W186-W189</f>
        <v/>
      </c>
      <c r="X190" s="31">
        <f>X186-X189</f>
        <v/>
      </c>
      <c r="Y190" s="31">
        <f>Y186-Y189</f>
        <v/>
      </c>
      <c r="Z190" s="31">
        <f>Z186-Z189</f>
        <v/>
      </c>
      <c r="AA190" s="31">
        <f>AA186-AA189</f>
        <v/>
      </c>
      <c r="AB190" s="31">
        <f>AB186-AB189</f>
        <v/>
      </c>
      <c r="AC190" s="31">
        <f>AC186-AC189</f>
        <v/>
      </c>
      <c r="AD190" s="31">
        <f>AD186-AD189</f>
        <v/>
      </c>
      <c r="AE190" s="31">
        <f>AE186-AE189</f>
        <v/>
      </c>
      <c r="AF190" s="31">
        <f>AF186-AF189</f>
        <v/>
      </c>
      <c r="AG190" s="31">
        <f>AG186-AG189</f>
        <v/>
      </c>
      <c r="AH190" s="31">
        <f>AH186-AH189</f>
        <v/>
      </c>
      <c r="AI190" s="31">
        <f>AI186-AI189</f>
        <v/>
      </c>
    </row>
    <row r="191">
      <c r="B191" s="2" t="inlineStr">
        <is>
          <t xml:space="preserve">  Maintenance capex</t>
        </is>
      </c>
      <c r="D191" s="19">
        <f>D178*i_R_mc*D157</f>
        <v/>
      </c>
      <c r="E191" s="19">
        <f>E178*i_R_mc*E157</f>
        <v/>
      </c>
      <c r="F191" s="19">
        <f>F178*i_R_mc*F157</f>
        <v/>
      </c>
      <c r="G191" s="19">
        <f>G178*i_R_mc*G157</f>
        <v/>
      </c>
      <c r="H191" s="19">
        <f>H178*i_R_mc*H157</f>
        <v/>
      </c>
      <c r="I191" s="19">
        <f>I178*i_R_mc*I157</f>
        <v/>
      </c>
      <c r="J191" s="19">
        <f>J178*i_R_mc*J157</f>
        <v/>
      </c>
      <c r="K191" s="19">
        <f>K178*i_R_mc*K157</f>
        <v/>
      </c>
      <c r="L191" s="19">
        <f>L178*i_R_mc*L157</f>
        <v/>
      </c>
      <c r="M191" s="19">
        <f>M178*i_R_mc*M157</f>
        <v/>
      </c>
      <c r="N191" s="19">
        <f>N178*i_R_mc*N157</f>
        <v/>
      </c>
      <c r="O191" s="19">
        <f>O178*i_R_mc*O157</f>
        <v/>
      </c>
      <c r="P191" s="19">
        <f>P178*i_R_mc*P157</f>
        <v/>
      </c>
      <c r="Q191" s="19">
        <f>Q178*i_R_mc*Q157</f>
        <v/>
      </c>
      <c r="R191" s="19">
        <f>R178*i_R_mc*R157</f>
        <v/>
      </c>
      <c r="S191" s="19">
        <f>S178*i_R_mc*S157</f>
        <v/>
      </c>
      <c r="T191" s="19">
        <f>T178*i_R_mc*T157</f>
        <v/>
      </c>
      <c r="U191" s="19">
        <f>U178*i_R_mc*U157</f>
        <v/>
      </c>
      <c r="V191" s="19">
        <f>V178*i_R_mc*V157</f>
        <v/>
      </c>
      <c r="W191" s="19">
        <f>W178*i_R_mc*W157</f>
        <v/>
      </c>
      <c r="X191" s="19">
        <f>X178*i_R_mc*X157</f>
        <v/>
      </c>
      <c r="Y191" s="19">
        <f>Y178*i_R_mc*Y157</f>
        <v/>
      </c>
      <c r="Z191" s="19">
        <f>Z178*i_R_mc*Z157</f>
        <v/>
      </c>
      <c r="AA191" s="19">
        <f>AA178*i_R_mc*AA157</f>
        <v/>
      </c>
      <c r="AB191" s="19">
        <f>AB178*i_R_mc*AB157</f>
        <v/>
      </c>
      <c r="AC191" s="19">
        <f>AC178*i_R_mc*AC157</f>
        <v/>
      </c>
      <c r="AD191" s="19">
        <f>AD178*i_R_mc*AD157</f>
        <v/>
      </c>
      <c r="AE191" s="19">
        <f>AE178*i_R_mc*AE157</f>
        <v/>
      </c>
      <c r="AF191" s="19">
        <f>AF178*i_R_mc*AF157</f>
        <v/>
      </c>
      <c r="AG191" s="19">
        <f>AG178*i_R_mc*AG157</f>
        <v/>
      </c>
      <c r="AH191" s="19">
        <f>AH178*i_R_mc*AH157</f>
        <v/>
      </c>
      <c r="AI191" s="19">
        <f>AI178*i_R_mc*AI157</f>
        <v/>
      </c>
    </row>
    <row r="192">
      <c r="B192" s="3" t="inlineStr">
        <is>
          <t>Thamesbridge</t>
        </is>
      </c>
    </row>
    <row r="193">
      <c r="B193" s="2" t="inlineStr">
        <is>
          <t xml:space="preserve">  Capacity in service (million m3)</t>
        </is>
      </c>
      <c r="D193" s="24">
        <f>i_T_cap</f>
        <v/>
      </c>
      <c r="E193" s="24">
        <f>i_T_cap</f>
        <v/>
      </c>
      <c r="F193" s="24">
        <f>i_T_cap</f>
        <v/>
      </c>
      <c r="G193" s="24">
        <f>i_T_cap</f>
        <v/>
      </c>
      <c r="H193" s="24">
        <f>i_T_cap</f>
        <v/>
      </c>
      <c r="I193" s="24">
        <f>i_T_cap</f>
        <v/>
      </c>
      <c r="J193" s="24">
        <f>i_T_cap</f>
        <v/>
      </c>
      <c r="K193" s="24">
        <f>i_T_cap</f>
        <v/>
      </c>
      <c r="L193" s="24">
        <f>i_T_cap</f>
        <v/>
      </c>
      <c r="M193" s="24">
        <f>i_T_cap</f>
        <v/>
      </c>
      <c r="N193" s="24">
        <f>i_T_cap</f>
        <v/>
      </c>
      <c r="O193" s="24">
        <f>i_T_cap</f>
        <v/>
      </c>
      <c r="P193" s="24">
        <f>i_T_cap</f>
        <v/>
      </c>
      <c r="Q193" s="24">
        <f>i_T_cap</f>
        <v/>
      </c>
      <c r="R193" s="24">
        <f>i_T_cap</f>
        <v/>
      </c>
      <c r="S193" s="24">
        <f>i_T_cap</f>
        <v/>
      </c>
      <c r="T193" s="24">
        <f>i_T_cap</f>
        <v/>
      </c>
      <c r="U193" s="24">
        <f>i_T_cap</f>
        <v/>
      </c>
      <c r="V193" s="24">
        <f>i_T_cap</f>
        <v/>
      </c>
      <c r="W193" s="24">
        <f>i_T_cap</f>
        <v/>
      </c>
      <c r="X193" s="24">
        <f>i_T_cap</f>
        <v/>
      </c>
      <c r="Y193" s="24">
        <f>i_T_cap</f>
        <v/>
      </c>
      <c r="Z193" s="24">
        <f>i_T_cap</f>
        <v/>
      </c>
      <c r="AA193" s="24">
        <f>i_T_cap</f>
        <v/>
      </c>
      <c r="AB193" s="24">
        <f>i_T_cap</f>
        <v/>
      </c>
      <c r="AC193" s="24">
        <f>i_T_cap</f>
        <v/>
      </c>
      <c r="AD193" s="24">
        <f>i_T_cap</f>
        <v/>
      </c>
      <c r="AE193" s="24">
        <f>i_T_cap</f>
        <v/>
      </c>
      <c r="AF193" s="24">
        <f>i_T_cap</f>
        <v/>
      </c>
      <c r="AG193" s="24">
        <f>i_T_cap</f>
        <v/>
      </c>
      <c r="AH193" s="24">
        <f>i_T_cap</f>
        <v/>
      </c>
      <c r="AI193" s="24">
        <f>i_T_cap</f>
        <v/>
      </c>
    </row>
    <row r="194">
      <c r="B194" s="2" t="inlineStr">
        <is>
          <t xml:space="preserve">  Share on contracts signed before 2027</t>
        </is>
      </c>
      <c r="D194" s="21">
        <f>SUMIF(i_book_years,D$3,i_T_book)</f>
        <v/>
      </c>
      <c r="E194" s="21">
        <f>SUMIF(i_book_years,E$3,i_T_book)</f>
        <v/>
      </c>
      <c r="F194" s="21">
        <f>SUMIF(i_book_years,F$3,i_T_book)</f>
        <v/>
      </c>
      <c r="G194" s="21">
        <f>SUMIF(i_book_years,G$3,i_T_book)</f>
        <v/>
      </c>
      <c r="H194" s="21">
        <f>SUMIF(i_book_years,H$3,i_T_book)</f>
        <v/>
      </c>
      <c r="I194" s="21">
        <f>SUMIF(i_book_years,I$3,i_T_book)</f>
        <v/>
      </c>
      <c r="J194" s="21">
        <f>SUMIF(i_book_years,J$3,i_T_book)</f>
        <v/>
      </c>
      <c r="K194" s="21">
        <f>SUMIF(i_book_years,K$3,i_T_book)</f>
        <v/>
      </c>
      <c r="L194" s="21">
        <f>SUMIF(i_book_years,L$3,i_T_book)</f>
        <v/>
      </c>
      <c r="M194" s="21">
        <f>SUMIF(i_book_years,M$3,i_T_book)</f>
        <v/>
      </c>
      <c r="N194" s="21">
        <f>SUMIF(i_book_years,N$3,i_T_book)</f>
        <v/>
      </c>
      <c r="O194" s="21">
        <f>SUMIF(i_book_years,O$3,i_T_book)</f>
        <v/>
      </c>
      <c r="P194" s="21">
        <f>SUMIF(i_book_years,P$3,i_T_book)</f>
        <v/>
      </c>
      <c r="Q194" s="21">
        <f>SUMIF(i_book_years,Q$3,i_T_book)</f>
        <v/>
      </c>
      <c r="R194" s="21">
        <f>SUMIF(i_book_years,R$3,i_T_book)</f>
        <v/>
      </c>
      <c r="S194" s="21">
        <f>SUMIF(i_book_years,S$3,i_T_book)</f>
        <v/>
      </c>
      <c r="T194" s="21">
        <f>SUMIF(i_book_years,T$3,i_T_book)</f>
        <v/>
      </c>
      <c r="U194" s="21">
        <f>SUMIF(i_book_years,U$3,i_T_book)</f>
        <v/>
      </c>
      <c r="V194" s="21">
        <f>SUMIF(i_book_years,V$3,i_T_book)</f>
        <v/>
      </c>
      <c r="W194" s="21">
        <f>SUMIF(i_book_years,W$3,i_T_book)</f>
        <v/>
      </c>
      <c r="X194" s="21">
        <f>SUMIF(i_book_years,X$3,i_T_book)</f>
        <v/>
      </c>
      <c r="Y194" s="21">
        <f>SUMIF(i_book_years,Y$3,i_T_book)</f>
        <v/>
      </c>
      <c r="Z194" s="21">
        <f>SUMIF(i_book_years,Z$3,i_T_book)</f>
        <v/>
      </c>
      <c r="AA194" s="21">
        <f>SUMIF(i_book_years,AA$3,i_T_book)</f>
        <v/>
      </c>
      <c r="AB194" s="21">
        <f>SUMIF(i_book_years,AB$3,i_T_book)</f>
        <v/>
      </c>
      <c r="AC194" s="21">
        <f>SUMIF(i_book_years,AC$3,i_T_book)</f>
        <v/>
      </c>
      <c r="AD194" s="21">
        <f>SUMIF(i_book_years,AD$3,i_T_book)</f>
        <v/>
      </c>
      <c r="AE194" s="21">
        <f>SUMIF(i_book_years,AE$3,i_T_book)</f>
        <v/>
      </c>
      <c r="AF194" s="21">
        <f>SUMIF(i_book_years,AF$3,i_T_book)</f>
        <v/>
      </c>
      <c r="AG194" s="21">
        <f>SUMIF(i_book_years,AG$3,i_T_book)</f>
        <v/>
      </c>
      <c r="AH194" s="21">
        <f>SUMIF(i_book_years,AH$3,i_T_book)</f>
        <v/>
      </c>
      <c r="AI194" s="21">
        <f>SUMIF(i_book_years,AI$3,i_T_book)</f>
        <v/>
      </c>
    </row>
    <row r="195">
      <c r="B195" s="2" t="inlineStr">
        <is>
          <t xml:space="preserve">  Recontracting factor against current rates</t>
        </is>
      </c>
      <c r="D195" s="21">
        <f>IF(D$4=0,0,IF(DCF!$C$147=1,i_T_mtm,i_T_mtm_plan)+DCF!$C$153)</f>
        <v/>
      </c>
      <c r="E195" s="21">
        <f>IF(E$4=0,0,IF(DCF!$C$147=1,i_T_mtm,i_T_mtm_plan)+DCF!$C$153)</f>
        <v/>
      </c>
      <c r="F195" s="21">
        <f>IF(F$4=0,0,IF(DCF!$C$147=1,i_T_mtm,i_T_mtm_plan)+DCF!$C$153)</f>
        <v/>
      </c>
      <c r="G195" s="21">
        <f>IF(G$4=0,0,IF(DCF!$C$147=1,i_T_mtm,i_T_mtm_plan)+DCF!$C$153)</f>
        <v/>
      </c>
      <c r="H195" s="21">
        <f>IF(H$4=0,0,IF(DCF!$C$147=1,i_T_mtm,i_T_mtm_plan)+DCF!$C$153)</f>
        <v/>
      </c>
      <c r="I195" s="21">
        <f>IF(I$4=0,0,IF(DCF!$C$147=1,i_T_mtm,i_T_mtm_plan)+DCF!$C$153)</f>
        <v/>
      </c>
      <c r="J195" s="21">
        <f>IF(J$4=0,0,IF(DCF!$C$147=1,i_T_mtm,i_T_mtm_plan)+DCF!$C$153)</f>
        <v/>
      </c>
      <c r="K195" s="21">
        <f>IF(K$4=0,0,IF(DCF!$C$147=1,i_T_mtm,i_T_mtm_plan)+DCF!$C$153)</f>
        <v/>
      </c>
      <c r="L195" s="21">
        <f>IF(L$4=0,0,IF(DCF!$C$147=1,i_T_mtm,i_T_mtm_plan)+DCF!$C$153)</f>
        <v/>
      </c>
      <c r="M195" s="21">
        <f>IF(M$4=0,0,IF(DCF!$C$147=1,i_T_mtm,i_T_mtm_plan)+DCF!$C$153)</f>
        <v/>
      </c>
      <c r="N195" s="21">
        <f>IF(N$4=0,0,IF(DCF!$C$147=1,i_T_mtm,i_T_mtm_plan)+DCF!$C$153)</f>
        <v/>
      </c>
      <c r="O195" s="21">
        <f>IF(O$4=0,0,IF(DCF!$C$147=1,i_T_mtm,i_T_mtm_plan)+DCF!$C$153)</f>
        <v/>
      </c>
      <c r="P195" s="21">
        <f>IF(P$4=0,0,IF(DCF!$C$147=1,i_T_mtm,i_T_mtm_plan)+DCF!$C$153)</f>
        <v/>
      </c>
      <c r="Q195" s="21">
        <f>IF(Q$4=0,0,IF(DCF!$C$147=1,i_T_mtm,i_T_mtm_plan)+DCF!$C$153)</f>
        <v/>
      </c>
      <c r="R195" s="21">
        <f>IF(R$4=0,0,IF(DCF!$C$147=1,i_T_mtm,i_T_mtm_plan)+DCF!$C$153)</f>
        <v/>
      </c>
      <c r="S195" s="21">
        <f>IF(S$4=0,0,IF(DCF!$C$147=1,i_T_mtm,i_T_mtm_plan)+DCF!$C$153)</f>
        <v/>
      </c>
      <c r="T195" s="21">
        <f>IF(T$4=0,0,IF(DCF!$C$147=1,i_T_mtm,i_T_mtm_plan)+DCF!$C$153)</f>
        <v/>
      </c>
      <c r="U195" s="21">
        <f>IF(U$4=0,0,IF(DCF!$C$147=1,i_T_mtm,i_T_mtm_plan)+DCF!$C$153)</f>
        <v/>
      </c>
      <c r="V195" s="21">
        <f>IF(V$4=0,0,IF(DCF!$C$147=1,i_T_mtm,i_T_mtm_plan)+DCF!$C$153)</f>
        <v/>
      </c>
      <c r="W195" s="21">
        <f>IF(W$4=0,0,IF(DCF!$C$147=1,i_T_mtm,i_T_mtm_plan)+DCF!$C$153)</f>
        <v/>
      </c>
      <c r="X195" s="21">
        <f>IF(X$4=0,0,IF(DCF!$C$147=1,i_T_mtm,i_T_mtm_plan)+DCF!$C$153)</f>
        <v/>
      </c>
      <c r="Y195" s="21">
        <f>IF(Y$4=0,0,IF(DCF!$C$147=1,i_T_mtm,i_T_mtm_plan)+DCF!$C$153)</f>
        <v/>
      </c>
      <c r="Z195" s="21">
        <f>IF(Z$4=0,0,IF(DCF!$C$147=1,i_T_mtm,i_T_mtm_plan)+DCF!$C$153)</f>
        <v/>
      </c>
      <c r="AA195" s="21">
        <f>IF(AA$4=0,0,IF(DCF!$C$147=1,i_T_mtm,i_T_mtm_plan)+DCF!$C$153)</f>
        <v/>
      </c>
      <c r="AB195" s="21">
        <f>IF(AB$4=0,0,IF(DCF!$C$147=1,i_T_mtm,i_T_mtm_plan)+DCF!$C$153)</f>
        <v/>
      </c>
      <c r="AC195" s="21">
        <f>IF(AC$4=0,0,IF(DCF!$C$147=1,i_T_mtm,i_T_mtm_plan)+DCF!$C$153)</f>
        <v/>
      </c>
      <c r="AD195" s="21">
        <f>IF(AD$4=0,0,IF(DCF!$C$147=1,i_T_mtm,i_T_mtm_plan)+DCF!$C$153)</f>
        <v/>
      </c>
      <c r="AE195" s="21">
        <f>IF(AE$4=0,0,IF(DCF!$C$147=1,i_T_mtm,i_T_mtm_plan)+DCF!$C$153)</f>
        <v/>
      </c>
      <c r="AF195" s="21">
        <f>IF(AF$4=0,0,IF(DCF!$C$147=1,i_T_mtm,i_T_mtm_plan)+DCF!$C$153)</f>
        <v/>
      </c>
      <c r="AG195" s="21">
        <f>IF(AG$4=0,0,IF(DCF!$C$147=1,i_T_mtm,i_T_mtm_plan)+DCF!$C$153)</f>
        <v/>
      </c>
      <c r="AH195" s="21">
        <f>IF(AH$4=0,0,IF(DCF!$C$147=1,i_T_mtm,i_T_mtm_plan)+DCF!$C$153)</f>
        <v/>
      </c>
      <c r="AI195" s="21">
        <f>IF(AI$4=0,0,IF(DCF!$C$147=1,i_T_mtm,i_T_mtm_plan)+DCF!$C$153)</f>
        <v/>
      </c>
    </row>
    <row r="196">
      <c r="B196" s="2" t="inlineStr">
        <is>
          <t xml:space="preserve">  Average rate ($ per m3 per month)</t>
        </is>
      </c>
      <c r="D196" s="24">
        <f>i_T_rate*D158*(D194+(1-D194)*(1+D195))</f>
        <v/>
      </c>
      <c r="E196" s="24">
        <f>i_T_rate*E158*(E194+(1-E194)*(1+E195))</f>
        <v/>
      </c>
      <c r="F196" s="24">
        <f>i_T_rate*F158*(F194+(1-F194)*(1+F195))</f>
        <v/>
      </c>
      <c r="G196" s="24">
        <f>i_T_rate*G158*(G194+(1-G194)*(1+G195))</f>
        <v/>
      </c>
      <c r="H196" s="24">
        <f>i_T_rate*H158*(H194+(1-H194)*(1+H195))</f>
        <v/>
      </c>
      <c r="I196" s="24">
        <f>i_T_rate*I158*(I194+(1-I194)*(1+I195))</f>
        <v/>
      </c>
      <c r="J196" s="24">
        <f>i_T_rate*J158*(J194+(1-J194)*(1+J195))</f>
        <v/>
      </c>
      <c r="K196" s="24">
        <f>i_T_rate*K158*(K194+(1-K194)*(1+K195))</f>
        <v/>
      </c>
      <c r="L196" s="24">
        <f>i_T_rate*L158*(L194+(1-L194)*(1+L195))</f>
        <v/>
      </c>
      <c r="M196" s="24">
        <f>i_T_rate*M158*(M194+(1-M194)*(1+M195))</f>
        <v/>
      </c>
      <c r="N196" s="24">
        <f>i_T_rate*N158*(N194+(1-N194)*(1+N195))</f>
        <v/>
      </c>
      <c r="O196" s="24">
        <f>i_T_rate*O158*(O194+(1-O194)*(1+O195))</f>
        <v/>
      </c>
      <c r="P196" s="24">
        <f>i_T_rate*P158*(P194+(1-P194)*(1+P195))</f>
        <v/>
      </c>
      <c r="Q196" s="24">
        <f>i_T_rate*Q158*(Q194+(1-Q194)*(1+Q195))</f>
        <v/>
      </c>
      <c r="R196" s="24">
        <f>i_T_rate*R158*(R194+(1-R194)*(1+R195))</f>
        <v/>
      </c>
      <c r="S196" s="24">
        <f>i_T_rate*S158*(S194+(1-S194)*(1+S195))</f>
        <v/>
      </c>
      <c r="T196" s="24">
        <f>i_T_rate*T158*(T194+(1-T194)*(1+T195))</f>
        <v/>
      </c>
      <c r="U196" s="24">
        <f>i_T_rate*U158*(U194+(1-U194)*(1+U195))</f>
        <v/>
      </c>
      <c r="V196" s="24">
        <f>i_T_rate*V158*(V194+(1-V194)*(1+V195))</f>
        <v/>
      </c>
      <c r="W196" s="24">
        <f>i_T_rate*W158*(W194+(1-W194)*(1+W195))</f>
        <v/>
      </c>
      <c r="X196" s="24">
        <f>i_T_rate*X158*(X194+(1-X194)*(1+X195))</f>
        <v/>
      </c>
      <c r="Y196" s="24">
        <f>i_T_rate*Y158*(Y194+(1-Y194)*(1+Y195))</f>
        <v/>
      </c>
      <c r="Z196" s="24">
        <f>i_T_rate*Z158*(Z194+(1-Z194)*(1+Z195))</f>
        <v/>
      </c>
      <c r="AA196" s="24">
        <f>i_T_rate*AA158*(AA194+(1-AA194)*(1+AA195))</f>
        <v/>
      </c>
      <c r="AB196" s="24">
        <f>i_T_rate*AB158*(AB194+(1-AB194)*(1+AB195))</f>
        <v/>
      </c>
      <c r="AC196" s="24">
        <f>i_T_rate*AC158*(AC194+(1-AC194)*(1+AC195))</f>
        <v/>
      </c>
      <c r="AD196" s="24">
        <f>i_T_rate*AD158*(AD194+(1-AD194)*(1+AD195))</f>
        <v/>
      </c>
      <c r="AE196" s="24">
        <f>i_T_rate*AE158*(AE194+(1-AE194)*(1+AE195))</f>
        <v/>
      </c>
      <c r="AF196" s="24">
        <f>i_T_rate*AF158*(AF194+(1-AF194)*(1+AF195))</f>
        <v/>
      </c>
      <c r="AG196" s="24">
        <f>i_T_rate*AG158*(AG194+(1-AG194)*(1+AG195))</f>
        <v/>
      </c>
      <c r="AH196" s="24">
        <f>i_T_rate*AH158*(AH194+(1-AH194)*(1+AH195))</f>
        <v/>
      </c>
      <c r="AI196" s="24">
        <f>i_T_rate*AI158*(AI194+(1-AI194)*(1+AI195))</f>
        <v/>
      </c>
    </row>
    <row r="197">
      <c r="B197" s="2" t="inlineStr">
        <is>
          <t xml:space="preserve">  Occupancy after the transition decline and floor</t>
        </is>
      </c>
      <c r="D197" s="21">
        <f>IF(D$3&gt;i_trans_start,MAX(i_T_floor,i_T_occ-i_T_dec*(D$3-i_trans_start)),i_T_occ)</f>
        <v/>
      </c>
      <c r="E197" s="21">
        <f>IF(E$3&gt;i_trans_start,MAX(i_T_floor,i_T_occ-i_T_dec*(E$3-i_trans_start)),i_T_occ)</f>
        <v/>
      </c>
      <c r="F197" s="21">
        <f>IF(F$3&gt;i_trans_start,MAX(i_T_floor,i_T_occ-i_T_dec*(F$3-i_trans_start)),i_T_occ)</f>
        <v/>
      </c>
      <c r="G197" s="21">
        <f>IF(G$3&gt;i_trans_start,MAX(i_T_floor,i_T_occ-i_T_dec*(G$3-i_trans_start)),i_T_occ)</f>
        <v/>
      </c>
      <c r="H197" s="21">
        <f>IF(H$3&gt;i_trans_start,MAX(i_T_floor,i_T_occ-i_T_dec*(H$3-i_trans_start)),i_T_occ)</f>
        <v/>
      </c>
      <c r="I197" s="21">
        <f>IF(I$3&gt;i_trans_start,MAX(i_T_floor,i_T_occ-i_T_dec*(I$3-i_trans_start)),i_T_occ)</f>
        <v/>
      </c>
      <c r="J197" s="21">
        <f>IF(J$3&gt;i_trans_start,MAX(i_T_floor,i_T_occ-i_T_dec*(J$3-i_trans_start)),i_T_occ)</f>
        <v/>
      </c>
      <c r="K197" s="21">
        <f>IF(K$3&gt;i_trans_start,MAX(i_T_floor,i_T_occ-i_T_dec*(K$3-i_trans_start)),i_T_occ)</f>
        <v/>
      </c>
      <c r="L197" s="21">
        <f>IF(L$3&gt;i_trans_start,MAX(i_T_floor,i_T_occ-i_T_dec*(L$3-i_trans_start)),i_T_occ)</f>
        <v/>
      </c>
      <c r="M197" s="21">
        <f>IF(M$3&gt;i_trans_start,MAX(i_T_floor,i_T_occ-i_T_dec*(M$3-i_trans_start)),i_T_occ)</f>
        <v/>
      </c>
      <c r="N197" s="21">
        <f>IF(N$3&gt;i_trans_start,MAX(i_T_floor,i_T_occ-i_T_dec*(N$3-i_trans_start)),i_T_occ)</f>
        <v/>
      </c>
      <c r="O197" s="21">
        <f>IF(O$3&gt;i_trans_start,MAX(i_T_floor,i_T_occ-i_T_dec*(O$3-i_trans_start)),i_T_occ)</f>
        <v/>
      </c>
      <c r="P197" s="21">
        <f>IF(P$3&gt;i_trans_start,MAX(i_T_floor,i_T_occ-i_T_dec*(P$3-i_trans_start)),i_T_occ)</f>
        <v/>
      </c>
      <c r="Q197" s="21">
        <f>IF(Q$3&gt;i_trans_start,MAX(i_T_floor,i_T_occ-i_T_dec*(Q$3-i_trans_start)),i_T_occ)</f>
        <v/>
      </c>
      <c r="R197" s="21">
        <f>IF(R$3&gt;i_trans_start,MAX(i_T_floor,i_T_occ-i_T_dec*(R$3-i_trans_start)),i_T_occ)</f>
        <v/>
      </c>
      <c r="S197" s="21">
        <f>IF(S$3&gt;i_trans_start,MAX(i_T_floor,i_T_occ-i_T_dec*(S$3-i_trans_start)),i_T_occ)</f>
        <v/>
      </c>
      <c r="T197" s="21">
        <f>IF(T$3&gt;i_trans_start,MAX(i_T_floor,i_T_occ-i_T_dec*(T$3-i_trans_start)),i_T_occ)</f>
        <v/>
      </c>
      <c r="U197" s="21">
        <f>IF(U$3&gt;i_trans_start,MAX(i_T_floor,i_T_occ-i_T_dec*(U$3-i_trans_start)),i_T_occ)</f>
        <v/>
      </c>
      <c r="V197" s="21">
        <f>IF(V$3&gt;i_trans_start,MAX(i_T_floor,i_T_occ-i_T_dec*(V$3-i_trans_start)),i_T_occ)</f>
        <v/>
      </c>
      <c r="W197" s="21">
        <f>IF(W$3&gt;i_trans_start,MAX(i_T_floor,i_T_occ-i_T_dec*(W$3-i_trans_start)),i_T_occ)</f>
        <v/>
      </c>
      <c r="X197" s="21">
        <f>IF(X$3&gt;i_trans_start,MAX(i_T_floor,i_T_occ-i_T_dec*(X$3-i_trans_start)),i_T_occ)</f>
        <v/>
      </c>
      <c r="Y197" s="21">
        <f>IF(Y$3&gt;i_trans_start,MAX(i_T_floor,i_T_occ-i_T_dec*(Y$3-i_trans_start)),i_T_occ)</f>
        <v/>
      </c>
      <c r="Z197" s="21">
        <f>IF(Z$3&gt;i_trans_start,MAX(i_T_floor,i_T_occ-i_T_dec*(Z$3-i_trans_start)),i_T_occ)</f>
        <v/>
      </c>
      <c r="AA197" s="21">
        <f>IF(AA$3&gt;i_trans_start,MAX(i_T_floor,i_T_occ-i_T_dec*(AA$3-i_trans_start)),i_T_occ)</f>
        <v/>
      </c>
      <c r="AB197" s="21">
        <f>IF(AB$3&gt;i_trans_start,MAX(i_T_floor,i_T_occ-i_T_dec*(AB$3-i_trans_start)),i_T_occ)</f>
        <v/>
      </c>
      <c r="AC197" s="21">
        <f>IF(AC$3&gt;i_trans_start,MAX(i_T_floor,i_T_occ-i_T_dec*(AC$3-i_trans_start)),i_T_occ)</f>
        <v/>
      </c>
      <c r="AD197" s="21">
        <f>IF(AD$3&gt;i_trans_start,MAX(i_T_floor,i_T_occ-i_T_dec*(AD$3-i_trans_start)),i_T_occ)</f>
        <v/>
      </c>
      <c r="AE197" s="21">
        <f>IF(AE$3&gt;i_trans_start,MAX(i_T_floor,i_T_occ-i_T_dec*(AE$3-i_trans_start)),i_T_occ)</f>
        <v/>
      </c>
      <c r="AF197" s="21">
        <f>IF(AF$3&gt;i_trans_start,MAX(i_T_floor,i_T_occ-i_T_dec*(AF$3-i_trans_start)),i_T_occ)</f>
        <v/>
      </c>
      <c r="AG197" s="21">
        <f>IF(AG$3&gt;i_trans_start,MAX(i_T_floor,i_T_occ-i_T_dec*(AG$3-i_trans_start)),i_T_occ)</f>
        <v/>
      </c>
      <c r="AH197" s="21">
        <f>IF(AH$3&gt;i_trans_start,MAX(i_T_floor,i_T_occ-i_T_dec*(AH$3-i_trans_start)),i_T_occ)</f>
        <v/>
      </c>
      <c r="AI197" s="21">
        <f>IF(AI$3&gt;i_trans_start,MAX(i_T_floor,i_T_occ-i_T_dec*(AI$3-i_trans_start)),i_T_occ)</f>
        <v/>
      </c>
    </row>
    <row r="198">
      <c r="B198" s="2" t="inlineStr">
        <is>
          <t xml:space="preserve">  Occupancy (with the shift switch from 2027)</t>
        </is>
      </c>
      <c r="D198" s="21">
        <f>IF(D$4&gt;0,MIN(1,D197+DCF!$C$152),D197)</f>
        <v/>
      </c>
      <c r="E198" s="21">
        <f>IF(E$4&gt;0,MIN(1,E197+DCF!$C$152),E197)</f>
        <v/>
      </c>
      <c r="F198" s="21">
        <f>IF(F$4&gt;0,MIN(1,F197+DCF!$C$152),F197)</f>
        <v/>
      </c>
      <c r="G198" s="21">
        <f>IF(G$4&gt;0,MIN(1,G197+DCF!$C$152),G197)</f>
        <v/>
      </c>
      <c r="H198" s="21">
        <f>IF(H$4&gt;0,MIN(1,H197+DCF!$C$152),H197)</f>
        <v/>
      </c>
      <c r="I198" s="21">
        <f>IF(I$4&gt;0,MIN(1,I197+DCF!$C$152),I197)</f>
        <v/>
      </c>
      <c r="J198" s="21">
        <f>IF(J$4&gt;0,MIN(1,J197+DCF!$C$152),J197)</f>
        <v/>
      </c>
      <c r="K198" s="21">
        <f>IF(K$4&gt;0,MIN(1,K197+DCF!$C$152),K197)</f>
        <v/>
      </c>
      <c r="L198" s="21">
        <f>IF(L$4&gt;0,MIN(1,L197+DCF!$C$152),L197)</f>
        <v/>
      </c>
      <c r="M198" s="21">
        <f>IF(M$4&gt;0,MIN(1,M197+DCF!$C$152),M197)</f>
        <v/>
      </c>
      <c r="N198" s="21">
        <f>IF(N$4&gt;0,MIN(1,N197+DCF!$C$152),N197)</f>
        <v/>
      </c>
      <c r="O198" s="21">
        <f>IF(O$4&gt;0,MIN(1,O197+DCF!$C$152),O197)</f>
        <v/>
      </c>
      <c r="P198" s="21">
        <f>IF(P$4&gt;0,MIN(1,P197+DCF!$C$152),P197)</f>
        <v/>
      </c>
      <c r="Q198" s="21">
        <f>IF(Q$4&gt;0,MIN(1,Q197+DCF!$C$152),Q197)</f>
        <v/>
      </c>
      <c r="R198" s="21">
        <f>IF(R$4&gt;0,MIN(1,R197+DCF!$C$152),R197)</f>
        <v/>
      </c>
      <c r="S198" s="21">
        <f>IF(S$4&gt;0,MIN(1,S197+DCF!$C$152),S197)</f>
        <v/>
      </c>
      <c r="T198" s="21">
        <f>IF(T$4&gt;0,MIN(1,T197+DCF!$C$152),T197)</f>
        <v/>
      </c>
      <c r="U198" s="21">
        <f>IF(U$4&gt;0,MIN(1,U197+DCF!$C$152),U197)</f>
        <v/>
      </c>
      <c r="V198" s="21">
        <f>IF(V$4&gt;0,MIN(1,V197+DCF!$C$152),V197)</f>
        <v/>
      </c>
      <c r="W198" s="21">
        <f>IF(W$4&gt;0,MIN(1,W197+DCF!$C$152),W197)</f>
        <v/>
      </c>
      <c r="X198" s="21">
        <f>IF(X$4&gt;0,MIN(1,X197+DCF!$C$152),X197)</f>
        <v/>
      </c>
      <c r="Y198" s="21">
        <f>IF(Y$4&gt;0,MIN(1,Y197+DCF!$C$152),Y197)</f>
        <v/>
      </c>
      <c r="Z198" s="21">
        <f>IF(Z$4&gt;0,MIN(1,Z197+DCF!$C$152),Z197)</f>
        <v/>
      </c>
      <c r="AA198" s="21">
        <f>IF(AA$4&gt;0,MIN(1,AA197+DCF!$C$152),AA197)</f>
        <v/>
      </c>
      <c r="AB198" s="21">
        <f>IF(AB$4&gt;0,MIN(1,AB197+DCF!$C$152),AB197)</f>
        <v/>
      </c>
      <c r="AC198" s="21">
        <f>IF(AC$4&gt;0,MIN(1,AC197+DCF!$C$152),AC197)</f>
        <v/>
      </c>
      <c r="AD198" s="21">
        <f>IF(AD$4&gt;0,MIN(1,AD197+DCF!$C$152),AD197)</f>
        <v/>
      </c>
      <c r="AE198" s="21">
        <f>IF(AE$4&gt;0,MIN(1,AE197+DCF!$C$152),AE197)</f>
        <v/>
      </c>
      <c r="AF198" s="21">
        <f>IF(AF$4&gt;0,MIN(1,AF197+DCF!$C$152),AF197)</f>
        <v/>
      </c>
      <c r="AG198" s="21">
        <f>IF(AG$4&gt;0,MIN(1,AG197+DCF!$C$152),AG197)</f>
        <v/>
      </c>
      <c r="AH198" s="21">
        <f>IF(AH$4&gt;0,MIN(1,AH197+DCF!$C$152),AH197)</f>
        <v/>
      </c>
      <c r="AI198" s="21">
        <f>IF(AI$4&gt;0,MIN(1,AI197+DCF!$C$152),AI197)</f>
        <v/>
      </c>
    </row>
    <row r="199">
      <c r="B199" s="2" t="inlineStr">
        <is>
          <t xml:space="preserve">  Storage revenue</t>
        </is>
      </c>
      <c r="D199" s="19">
        <f>D193*D196*12*D198</f>
        <v/>
      </c>
      <c r="E199" s="19">
        <f>E193*E196*12*E198</f>
        <v/>
      </c>
      <c r="F199" s="19">
        <f>F193*F196*12*F198</f>
        <v/>
      </c>
      <c r="G199" s="19">
        <f>G193*G196*12*G198</f>
        <v/>
      </c>
      <c r="H199" s="19">
        <f>H193*H196*12*H198</f>
        <v/>
      </c>
      <c r="I199" s="19">
        <f>I193*I196*12*I198</f>
        <v/>
      </c>
      <c r="J199" s="19">
        <f>J193*J196*12*J198</f>
        <v/>
      </c>
      <c r="K199" s="19">
        <f>K193*K196*12*K198</f>
        <v/>
      </c>
      <c r="L199" s="19">
        <f>L193*L196*12*L198</f>
        <v/>
      </c>
      <c r="M199" s="19">
        <f>M193*M196*12*M198</f>
        <v/>
      </c>
      <c r="N199" s="19">
        <f>N193*N196*12*N198</f>
        <v/>
      </c>
      <c r="O199" s="19">
        <f>O193*O196*12*O198</f>
        <v/>
      </c>
      <c r="P199" s="19">
        <f>P193*P196*12*P198</f>
        <v/>
      </c>
      <c r="Q199" s="19">
        <f>Q193*Q196*12*Q198</f>
        <v/>
      </c>
      <c r="R199" s="19">
        <f>R193*R196*12*R198</f>
        <v/>
      </c>
      <c r="S199" s="19">
        <f>S193*S196*12*S198</f>
        <v/>
      </c>
      <c r="T199" s="19">
        <f>T193*T196*12*T198</f>
        <v/>
      </c>
      <c r="U199" s="19">
        <f>U193*U196*12*U198</f>
        <v/>
      </c>
      <c r="V199" s="19">
        <f>V193*V196*12*V198</f>
        <v/>
      </c>
      <c r="W199" s="19">
        <f>W193*W196*12*W198</f>
        <v/>
      </c>
      <c r="X199" s="19">
        <f>X193*X196*12*X198</f>
        <v/>
      </c>
      <c r="Y199" s="19">
        <f>Y193*Y196*12*Y198</f>
        <v/>
      </c>
      <c r="Z199" s="19">
        <f>Z193*Z196*12*Z198</f>
        <v/>
      </c>
      <c r="AA199" s="19">
        <f>AA193*AA196*12*AA198</f>
        <v/>
      </c>
      <c r="AB199" s="19">
        <f>AB193*AB196*12*AB198</f>
        <v/>
      </c>
      <c r="AC199" s="19">
        <f>AC193*AC196*12*AC198</f>
        <v/>
      </c>
      <c r="AD199" s="19">
        <f>AD193*AD196*12*AD198</f>
        <v/>
      </c>
      <c r="AE199" s="19">
        <f>AE193*AE196*12*AE198</f>
        <v/>
      </c>
      <c r="AF199" s="19">
        <f>AF193*AF196*12*AF198</f>
        <v/>
      </c>
      <c r="AG199" s="19">
        <f>AG193*AG196*12*AG198</f>
        <v/>
      </c>
      <c r="AH199" s="19">
        <f>AH193*AH196*12*AH198</f>
        <v/>
      </c>
      <c r="AI199" s="19">
        <f>AI193*AI196*12*AI198</f>
        <v/>
      </c>
    </row>
    <row r="200">
      <c r="B200" s="2" t="inlineStr">
        <is>
          <t xml:space="preserve">  Ancillary and throughput revenue</t>
        </is>
      </c>
      <c r="D200" s="19">
        <f>D199*i_T_anc</f>
        <v/>
      </c>
      <c r="E200" s="19">
        <f>E199*i_T_anc</f>
        <v/>
      </c>
      <c r="F200" s="19">
        <f>F199*i_T_anc</f>
        <v/>
      </c>
      <c r="G200" s="19">
        <f>G199*i_T_anc</f>
        <v/>
      </c>
      <c r="H200" s="19">
        <f>H199*i_T_anc</f>
        <v/>
      </c>
      <c r="I200" s="19">
        <f>I199*i_T_anc</f>
        <v/>
      </c>
      <c r="J200" s="19">
        <f>J199*i_T_anc</f>
        <v/>
      </c>
      <c r="K200" s="19">
        <f>K199*i_T_anc</f>
        <v/>
      </c>
      <c r="L200" s="19">
        <f>L199*i_T_anc</f>
        <v/>
      </c>
      <c r="M200" s="19">
        <f>M199*i_T_anc</f>
        <v/>
      </c>
      <c r="N200" s="19">
        <f>N199*i_T_anc</f>
        <v/>
      </c>
      <c r="O200" s="19">
        <f>O199*i_T_anc</f>
        <v/>
      </c>
      <c r="P200" s="19">
        <f>P199*i_T_anc</f>
        <v/>
      </c>
      <c r="Q200" s="19">
        <f>Q199*i_T_anc</f>
        <v/>
      </c>
      <c r="R200" s="19">
        <f>R199*i_T_anc</f>
        <v/>
      </c>
      <c r="S200" s="19">
        <f>S199*i_T_anc</f>
        <v/>
      </c>
      <c r="T200" s="19">
        <f>T199*i_T_anc</f>
        <v/>
      </c>
      <c r="U200" s="19">
        <f>U199*i_T_anc</f>
        <v/>
      </c>
      <c r="V200" s="19">
        <f>V199*i_T_anc</f>
        <v/>
      </c>
      <c r="W200" s="19">
        <f>W199*i_T_anc</f>
        <v/>
      </c>
      <c r="X200" s="19">
        <f>X199*i_T_anc</f>
        <v/>
      </c>
      <c r="Y200" s="19">
        <f>Y199*i_T_anc</f>
        <v/>
      </c>
      <c r="Z200" s="19">
        <f>Z199*i_T_anc</f>
        <v/>
      </c>
      <c r="AA200" s="19">
        <f>AA199*i_T_anc</f>
        <v/>
      </c>
      <c r="AB200" s="19">
        <f>AB199*i_T_anc</f>
        <v/>
      </c>
      <c r="AC200" s="19">
        <f>AC199*i_T_anc</f>
        <v/>
      </c>
      <c r="AD200" s="19">
        <f>AD199*i_T_anc</f>
        <v/>
      </c>
      <c r="AE200" s="19">
        <f>AE199*i_T_anc</f>
        <v/>
      </c>
      <c r="AF200" s="19">
        <f>AF199*i_T_anc</f>
        <v/>
      </c>
      <c r="AG200" s="19">
        <f>AG199*i_T_anc</f>
        <v/>
      </c>
      <c r="AH200" s="19">
        <f>AH199*i_T_anc</f>
        <v/>
      </c>
      <c r="AI200" s="19">
        <f>AI199*i_T_anc</f>
        <v/>
      </c>
    </row>
    <row r="201">
      <c r="B201" s="3" t="inlineStr">
        <is>
          <t xml:space="preserve">  Revenue</t>
        </is>
      </c>
      <c r="D201" s="31">
        <f>D199+D200</f>
        <v/>
      </c>
      <c r="E201" s="31">
        <f>E199+E200</f>
        <v/>
      </c>
      <c r="F201" s="31">
        <f>F199+F200</f>
        <v/>
      </c>
      <c r="G201" s="31">
        <f>G199+G200</f>
        <v/>
      </c>
      <c r="H201" s="31">
        <f>H199+H200</f>
        <v/>
      </c>
      <c r="I201" s="31">
        <f>I199+I200</f>
        <v/>
      </c>
      <c r="J201" s="31">
        <f>J199+J200</f>
        <v/>
      </c>
      <c r="K201" s="31">
        <f>K199+K200</f>
        <v/>
      </c>
      <c r="L201" s="31">
        <f>L199+L200</f>
        <v/>
      </c>
      <c r="M201" s="31">
        <f>M199+M200</f>
        <v/>
      </c>
      <c r="N201" s="31">
        <f>N199+N200</f>
        <v/>
      </c>
      <c r="O201" s="31">
        <f>O199+O200</f>
        <v/>
      </c>
      <c r="P201" s="31">
        <f>P199+P200</f>
        <v/>
      </c>
      <c r="Q201" s="31">
        <f>Q199+Q200</f>
        <v/>
      </c>
      <c r="R201" s="31">
        <f>R199+R200</f>
        <v/>
      </c>
      <c r="S201" s="31">
        <f>S199+S200</f>
        <v/>
      </c>
      <c r="T201" s="31">
        <f>T199+T200</f>
        <v/>
      </c>
      <c r="U201" s="31">
        <f>U199+U200</f>
        <v/>
      </c>
      <c r="V201" s="31">
        <f>V199+V200</f>
        <v/>
      </c>
      <c r="W201" s="31">
        <f>W199+W200</f>
        <v/>
      </c>
      <c r="X201" s="31">
        <f>X199+X200</f>
        <v/>
      </c>
      <c r="Y201" s="31">
        <f>Y199+Y200</f>
        <v/>
      </c>
      <c r="Z201" s="31">
        <f>Z199+Z200</f>
        <v/>
      </c>
      <c r="AA201" s="31">
        <f>AA199+AA200</f>
        <v/>
      </c>
      <c r="AB201" s="31">
        <f>AB199+AB200</f>
        <v/>
      </c>
      <c r="AC201" s="31">
        <f>AC199+AC200</f>
        <v/>
      </c>
      <c r="AD201" s="31">
        <f>AD199+AD200</f>
        <v/>
      </c>
      <c r="AE201" s="31">
        <f>AE199+AE200</f>
        <v/>
      </c>
      <c r="AF201" s="31">
        <f>AF199+AF200</f>
        <v/>
      </c>
      <c r="AG201" s="31">
        <f>AG199+AG200</f>
        <v/>
      </c>
      <c r="AH201" s="31">
        <f>AH199+AH200</f>
        <v/>
      </c>
      <c r="AI201" s="31">
        <f>AI199+AI200</f>
        <v/>
      </c>
    </row>
    <row r="202">
      <c r="B202" s="2" t="inlineStr">
        <is>
          <t xml:space="preserve">  Fixed cost</t>
        </is>
      </c>
      <c r="D202" s="19">
        <f>D193*i_T_fix*D157</f>
        <v/>
      </c>
      <c r="E202" s="19">
        <f>E193*i_T_fix*E157</f>
        <v/>
      </c>
      <c r="F202" s="19">
        <f>F193*i_T_fix*F157</f>
        <v/>
      </c>
      <c r="G202" s="19">
        <f>G193*i_T_fix*G157</f>
        <v/>
      </c>
      <c r="H202" s="19">
        <f>H193*i_T_fix*H157</f>
        <v/>
      </c>
      <c r="I202" s="19">
        <f>I193*i_T_fix*I157</f>
        <v/>
      </c>
      <c r="J202" s="19">
        <f>J193*i_T_fix*J157</f>
        <v/>
      </c>
      <c r="K202" s="19">
        <f>K193*i_T_fix*K157</f>
        <v/>
      </c>
      <c r="L202" s="19">
        <f>L193*i_T_fix*L157</f>
        <v/>
      </c>
      <c r="M202" s="19">
        <f>M193*i_T_fix*M157</f>
        <v/>
      </c>
      <c r="N202" s="19">
        <f>N193*i_T_fix*N157</f>
        <v/>
      </c>
      <c r="O202" s="19">
        <f>O193*i_T_fix*O157</f>
        <v/>
      </c>
      <c r="P202" s="19">
        <f>P193*i_T_fix*P157</f>
        <v/>
      </c>
      <c r="Q202" s="19">
        <f>Q193*i_T_fix*Q157</f>
        <v/>
      </c>
      <c r="R202" s="19">
        <f>R193*i_T_fix*R157</f>
        <v/>
      </c>
      <c r="S202" s="19">
        <f>S193*i_T_fix*S157</f>
        <v/>
      </c>
      <c r="T202" s="19">
        <f>T193*i_T_fix*T157</f>
        <v/>
      </c>
      <c r="U202" s="19">
        <f>U193*i_T_fix*U157</f>
        <v/>
      </c>
      <c r="V202" s="19">
        <f>V193*i_T_fix*V157</f>
        <v/>
      </c>
      <c r="W202" s="19">
        <f>W193*i_T_fix*W157</f>
        <v/>
      </c>
      <c r="X202" s="19">
        <f>X193*i_T_fix*X157</f>
        <v/>
      </c>
      <c r="Y202" s="19">
        <f>Y193*i_T_fix*Y157</f>
        <v/>
      </c>
      <c r="Z202" s="19">
        <f>Z193*i_T_fix*Z157</f>
        <v/>
      </c>
      <c r="AA202" s="19">
        <f>AA193*i_T_fix*AA157</f>
        <v/>
      </c>
      <c r="AB202" s="19">
        <f>AB193*i_T_fix*AB157</f>
        <v/>
      </c>
      <c r="AC202" s="19">
        <f>AC193*i_T_fix*AC157</f>
        <v/>
      </c>
      <c r="AD202" s="19">
        <f>AD193*i_T_fix*AD157</f>
        <v/>
      </c>
      <c r="AE202" s="19">
        <f>AE193*i_T_fix*AE157</f>
        <v/>
      </c>
      <c r="AF202" s="19">
        <f>AF193*i_T_fix*AF157</f>
        <v/>
      </c>
      <c r="AG202" s="19">
        <f>AG193*i_T_fix*AG157</f>
        <v/>
      </c>
      <c r="AH202" s="19">
        <f>AH193*i_T_fix*AH157</f>
        <v/>
      </c>
      <c r="AI202" s="19">
        <f>AI193*i_T_fix*AI157</f>
        <v/>
      </c>
    </row>
    <row r="203">
      <c r="B203" s="2" t="inlineStr">
        <is>
          <t xml:space="preserve">  Variable cost</t>
        </is>
      </c>
      <c r="D203" s="19">
        <f>i_T_var*D201</f>
        <v/>
      </c>
      <c r="E203" s="19">
        <f>i_T_var*E201</f>
        <v/>
      </c>
      <c r="F203" s="19">
        <f>i_T_var*F201</f>
        <v/>
      </c>
      <c r="G203" s="19">
        <f>i_T_var*G201</f>
        <v/>
      </c>
      <c r="H203" s="19">
        <f>i_T_var*H201</f>
        <v/>
      </c>
      <c r="I203" s="19">
        <f>i_T_var*I201</f>
        <v/>
      </c>
      <c r="J203" s="19">
        <f>i_T_var*J201</f>
        <v/>
      </c>
      <c r="K203" s="19">
        <f>i_T_var*K201</f>
        <v/>
      </c>
      <c r="L203" s="19">
        <f>i_T_var*L201</f>
        <v/>
      </c>
      <c r="M203" s="19">
        <f>i_T_var*M201</f>
        <v/>
      </c>
      <c r="N203" s="19">
        <f>i_T_var*N201</f>
        <v/>
      </c>
      <c r="O203" s="19">
        <f>i_T_var*O201</f>
        <v/>
      </c>
      <c r="P203" s="19">
        <f>i_T_var*P201</f>
        <v/>
      </c>
      <c r="Q203" s="19">
        <f>i_T_var*Q201</f>
        <v/>
      </c>
      <c r="R203" s="19">
        <f>i_T_var*R201</f>
        <v/>
      </c>
      <c r="S203" s="19">
        <f>i_T_var*S201</f>
        <v/>
      </c>
      <c r="T203" s="19">
        <f>i_T_var*T201</f>
        <v/>
      </c>
      <c r="U203" s="19">
        <f>i_T_var*U201</f>
        <v/>
      </c>
      <c r="V203" s="19">
        <f>i_T_var*V201</f>
        <v/>
      </c>
      <c r="W203" s="19">
        <f>i_T_var*W201</f>
        <v/>
      </c>
      <c r="X203" s="19">
        <f>i_T_var*X201</f>
        <v/>
      </c>
      <c r="Y203" s="19">
        <f>i_T_var*Y201</f>
        <v/>
      </c>
      <c r="Z203" s="19">
        <f>i_T_var*Z201</f>
        <v/>
      </c>
      <c r="AA203" s="19">
        <f>i_T_var*AA201</f>
        <v/>
      </c>
      <c r="AB203" s="19">
        <f>i_T_var*AB201</f>
        <v/>
      </c>
      <c r="AC203" s="19">
        <f>i_T_var*AC201</f>
        <v/>
      </c>
      <c r="AD203" s="19">
        <f>i_T_var*AD201</f>
        <v/>
      </c>
      <c r="AE203" s="19">
        <f>i_T_var*AE201</f>
        <v/>
      </c>
      <c r="AF203" s="19">
        <f>i_T_var*AF201</f>
        <v/>
      </c>
      <c r="AG203" s="19">
        <f>i_T_var*AG201</f>
        <v/>
      </c>
      <c r="AH203" s="19">
        <f>i_T_var*AH201</f>
        <v/>
      </c>
      <c r="AI203" s="19">
        <f>i_T_var*AI201</f>
        <v/>
      </c>
    </row>
    <row r="204">
      <c r="B204" s="2" t="inlineStr">
        <is>
          <t xml:space="preserve">  Operating cost</t>
        </is>
      </c>
      <c r="D204" s="19">
        <f>D202+D203</f>
        <v/>
      </c>
      <c r="E204" s="19">
        <f>E202+E203</f>
        <v/>
      </c>
      <c r="F204" s="19">
        <f>F202+F203</f>
        <v/>
      </c>
      <c r="G204" s="19">
        <f>G202+G203</f>
        <v/>
      </c>
      <c r="H204" s="19">
        <f>H202+H203</f>
        <v/>
      </c>
      <c r="I204" s="19">
        <f>I202+I203</f>
        <v/>
      </c>
      <c r="J204" s="19">
        <f>J202+J203</f>
        <v/>
      </c>
      <c r="K204" s="19">
        <f>K202+K203</f>
        <v/>
      </c>
      <c r="L204" s="19">
        <f>L202+L203</f>
        <v/>
      </c>
      <c r="M204" s="19">
        <f>M202+M203</f>
        <v/>
      </c>
      <c r="N204" s="19">
        <f>N202+N203</f>
        <v/>
      </c>
      <c r="O204" s="19">
        <f>O202+O203</f>
        <v/>
      </c>
      <c r="P204" s="19">
        <f>P202+P203</f>
        <v/>
      </c>
      <c r="Q204" s="19">
        <f>Q202+Q203</f>
        <v/>
      </c>
      <c r="R204" s="19">
        <f>R202+R203</f>
        <v/>
      </c>
      <c r="S204" s="19">
        <f>S202+S203</f>
        <v/>
      </c>
      <c r="T204" s="19">
        <f>T202+T203</f>
        <v/>
      </c>
      <c r="U204" s="19">
        <f>U202+U203</f>
        <v/>
      </c>
      <c r="V204" s="19">
        <f>V202+V203</f>
        <v/>
      </c>
      <c r="W204" s="19">
        <f>W202+W203</f>
        <v/>
      </c>
      <c r="X204" s="19">
        <f>X202+X203</f>
        <v/>
      </c>
      <c r="Y204" s="19">
        <f>Y202+Y203</f>
        <v/>
      </c>
      <c r="Z204" s="19">
        <f>Z202+Z203</f>
        <v/>
      </c>
      <c r="AA204" s="19">
        <f>AA202+AA203</f>
        <v/>
      </c>
      <c r="AB204" s="19">
        <f>AB202+AB203</f>
        <v/>
      </c>
      <c r="AC204" s="19">
        <f>AC202+AC203</f>
        <v/>
      </c>
      <c r="AD204" s="19">
        <f>AD202+AD203</f>
        <v/>
      </c>
      <c r="AE204" s="19">
        <f>AE202+AE203</f>
        <v/>
      </c>
      <c r="AF204" s="19">
        <f>AF202+AF203</f>
        <v/>
      </c>
      <c r="AG204" s="19">
        <f>AG202+AG203</f>
        <v/>
      </c>
      <c r="AH204" s="19">
        <f>AH202+AH203</f>
        <v/>
      </c>
      <c r="AI204" s="19">
        <f>AI202+AI203</f>
        <v/>
      </c>
    </row>
    <row r="205">
      <c r="B205" s="3" t="inlineStr">
        <is>
          <t xml:space="preserve">  EBITDA</t>
        </is>
      </c>
      <c r="D205" s="31">
        <f>D201-D204</f>
        <v/>
      </c>
      <c r="E205" s="31">
        <f>E201-E204</f>
        <v/>
      </c>
      <c r="F205" s="31">
        <f>F201-F204</f>
        <v/>
      </c>
      <c r="G205" s="31">
        <f>G201-G204</f>
        <v/>
      </c>
      <c r="H205" s="31">
        <f>H201-H204</f>
        <v/>
      </c>
      <c r="I205" s="31">
        <f>I201-I204</f>
        <v/>
      </c>
      <c r="J205" s="31">
        <f>J201-J204</f>
        <v/>
      </c>
      <c r="K205" s="31">
        <f>K201-K204</f>
        <v/>
      </c>
      <c r="L205" s="31">
        <f>L201-L204</f>
        <v/>
      </c>
      <c r="M205" s="31">
        <f>M201-M204</f>
        <v/>
      </c>
      <c r="N205" s="31">
        <f>N201-N204</f>
        <v/>
      </c>
      <c r="O205" s="31">
        <f>O201-O204</f>
        <v/>
      </c>
      <c r="P205" s="31">
        <f>P201-P204</f>
        <v/>
      </c>
      <c r="Q205" s="31">
        <f>Q201-Q204</f>
        <v/>
      </c>
      <c r="R205" s="31">
        <f>R201-R204</f>
        <v/>
      </c>
      <c r="S205" s="31">
        <f>S201-S204</f>
        <v/>
      </c>
      <c r="T205" s="31">
        <f>T201-T204</f>
        <v/>
      </c>
      <c r="U205" s="31">
        <f>U201-U204</f>
        <v/>
      </c>
      <c r="V205" s="31">
        <f>V201-V204</f>
        <v/>
      </c>
      <c r="W205" s="31">
        <f>W201-W204</f>
        <v/>
      </c>
      <c r="X205" s="31">
        <f>X201-X204</f>
        <v/>
      </c>
      <c r="Y205" s="31">
        <f>Y201-Y204</f>
        <v/>
      </c>
      <c r="Z205" s="31">
        <f>Z201-Z204</f>
        <v/>
      </c>
      <c r="AA205" s="31">
        <f>AA201-AA204</f>
        <v/>
      </c>
      <c r="AB205" s="31">
        <f>AB201-AB204</f>
        <v/>
      </c>
      <c r="AC205" s="31">
        <f>AC201-AC204</f>
        <v/>
      </c>
      <c r="AD205" s="31">
        <f>AD201-AD204</f>
        <v/>
      </c>
      <c r="AE205" s="31">
        <f>AE201-AE204</f>
        <v/>
      </c>
      <c r="AF205" s="31">
        <f>AF201-AF204</f>
        <v/>
      </c>
      <c r="AG205" s="31">
        <f>AG201-AG204</f>
        <v/>
      </c>
      <c r="AH205" s="31">
        <f>AH201-AH204</f>
        <v/>
      </c>
      <c r="AI205" s="31">
        <f>AI201-AI204</f>
        <v/>
      </c>
    </row>
    <row r="206">
      <c r="B206" s="2" t="inlineStr">
        <is>
          <t xml:space="preserve">  Maintenance capex</t>
        </is>
      </c>
      <c r="D206" s="19">
        <f>D193*i_T_mc*D157</f>
        <v/>
      </c>
      <c r="E206" s="19">
        <f>E193*i_T_mc*E157</f>
        <v/>
      </c>
      <c r="F206" s="19">
        <f>F193*i_T_mc*F157</f>
        <v/>
      </c>
      <c r="G206" s="19">
        <f>G193*i_T_mc*G157</f>
        <v/>
      </c>
      <c r="H206" s="19">
        <f>H193*i_T_mc*H157</f>
        <v/>
      </c>
      <c r="I206" s="19">
        <f>I193*i_T_mc*I157</f>
        <v/>
      </c>
      <c r="J206" s="19">
        <f>J193*i_T_mc*J157</f>
        <v/>
      </c>
      <c r="K206" s="19">
        <f>K193*i_T_mc*K157</f>
        <v/>
      </c>
      <c r="L206" s="19">
        <f>L193*i_T_mc*L157</f>
        <v/>
      </c>
      <c r="M206" s="19">
        <f>M193*i_T_mc*M157</f>
        <v/>
      </c>
      <c r="N206" s="19">
        <f>N193*i_T_mc*N157</f>
        <v/>
      </c>
      <c r="O206" s="19">
        <f>O193*i_T_mc*O157</f>
        <v/>
      </c>
      <c r="P206" s="19">
        <f>P193*i_T_mc*P157</f>
        <v/>
      </c>
      <c r="Q206" s="19">
        <f>Q193*i_T_mc*Q157</f>
        <v/>
      </c>
      <c r="R206" s="19">
        <f>R193*i_T_mc*R157</f>
        <v/>
      </c>
      <c r="S206" s="19">
        <f>S193*i_T_mc*S157</f>
        <v/>
      </c>
      <c r="T206" s="19">
        <f>T193*i_T_mc*T157</f>
        <v/>
      </c>
      <c r="U206" s="19">
        <f>U193*i_T_mc*U157</f>
        <v/>
      </c>
      <c r="V206" s="19">
        <f>V193*i_T_mc*V157</f>
        <v/>
      </c>
      <c r="W206" s="19">
        <f>W193*i_T_mc*W157</f>
        <v/>
      </c>
      <c r="X206" s="19">
        <f>X193*i_T_mc*X157</f>
        <v/>
      </c>
      <c r="Y206" s="19">
        <f>Y193*i_T_mc*Y157</f>
        <v/>
      </c>
      <c r="Z206" s="19">
        <f>Z193*i_T_mc*Z157</f>
        <v/>
      </c>
      <c r="AA206" s="19">
        <f>AA193*i_T_mc*AA157</f>
        <v/>
      </c>
      <c r="AB206" s="19">
        <f>AB193*i_T_mc*AB157</f>
        <v/>
      </c>
      <c r="AC206" s="19">
        <f>AC193*i_T_mc*AC157</f>
        <v/>
      </c>
      <c r="AD206" s="19">
        <f>AD193*i_T_mc*AD157</f>
        <v/>
      </c>
      <c r="AE206" s="19">
        <f>AE193*i_T_mc*AE157</f>
        <v/>
      </c>
      <c r="AF206" s="19">
        <f>AF193*i_T_mc*AF157</f>
        <v/>
      </c>
      <c r="AG206" s="19">
        <f>AG193*i_T_mc*AG157</f>
        <v/>
      </c>
      <c r="AH206" s="19">
        <f>AH193*i_T_mc*AH157</f>
        <v/>
      </c>
      <c r="AI206" s="19">
        <f>AI193*i_T_mc*AI157</f>
        <v/>
      </c>
    </row>
    <row r="207">
      <c r="B207" s="3" t="inlineStr">
        <is>
          <t>Sabine Bend</t>
        </is>
      </c>
    </row>
    <row r="208">
      <c r="B208" s="2" t="inlineStr">
        <is>
          <t xml:space="preserve">  Capacity in service (million m3)</t>
        </is>
      </c>
      <c r="D208" s="24">
        <f>i_G_cap</f>
        <v/>
      </c>
      <c r="E208" s="24">
        <f>i_G_cap</f>
        <v/>
      </c>
      <c r="F208" s="24">
        <f>i_G_cap</f>
        <v/>
      </c>
      <c r="G208" s="24">
        <f>i_G_cap</f>
        <v/>
      </c>
      <c r="H208" s="24">
        <f>i_G_cap</f>
        <v/>
      </c>
      <c r="I208" s="24">
        <f>i_G_cap</f>
        <v/>
      </c>
      <c r="J208" s="24">
        <f>i_G_cap</f>
        <v/>
      </c>
      <c r="K208" s="24">
        <f>i_G_cap</f>
        <v/>
      </c>
      <c r="L208" s="24">
        <f>i_G_cap</f>
        <v/>
      </c>
      <c r="M208" s="24">
        <f>i_G_cap</f>
        <v/>
      </c>
      <c r="N208" s="24">
        <f>i_G_cap</f>
        <v/>
      </c>
      <c r="O208" s="24">
        <f>i_G_cap</f>
        <v/>
      </c>
      <c r="P208" s="24">
        <f>i_G_cap</f>
        <v/>
      </c>
      <c r="Q208" s="24">
        <f>i_G_cap</f>
        <v/>
      </c>
      <c r="R208" s="24">
        <f>i_G_cap</f>
        <v/>
      </c>
      <c r="S208" s="24">
        <f>i_G_cap</f>
        <v/>
      </c>
      <c r="T208" s="24">
        <f>i_G_cap</f>
        <v/>
      </c>
      <c r="U208" s="24">
        <f>i_G_cap</f>
        <v/>
      </c>
      <c r="V208" s="24">
        <f>i_G_cap</f>
        <v/>
      </c>
      <c r="W208" s="24">
        <f>i_G_cap</f>
        <v/>
      </c>
      <c r="X208" s="24">
        <f>i_G_cap</f>
        <v/>
      </c>
      <c r="Y208" s="24">
        <f>i_G_cap</f>
        <v/>
      </c>
      <c r="Z208" s="24">
        <f>i_G_cap</f>
        <v/>
      </c>
      <c r="AA208" s="24">
        <f>i_G_cap</f>
        <v/>
      </c>
      <c r="AB208" s="24">
        <f>i_G_cap</f>
        <v/>
      </c>
      <c r="AC208" s="24">
        <f>i_G_cap</f>
        <v/>
      </c>
      <c r="AD208" s="24">
        <f>i_G_cap</f>
        <v/>
      </c>
      <c r="AE208" s="24">
        <f>i_G_cap</f>
        <v/>
      </c>
      <c r="AF208" s="24">
        <f>i_G_cap</f>
        <v/>
      </c>
      <c r="AG208" s="24">
        <f>i_G_cap</f>
        <v/>
      </c>
      <c r="AH208" s="24">
        <f>i_G_cap</f>
        <v/>
      </c>
      <c r="AI208" s="24">
        <f>i_G_cap</f>
        <v/>
      </c>
    </row>
    <row r="209">
      <c r="B209" s="2" t="inlineStr">
        <is>
          <t xml:space="preserve">  Share on contracts signed before 2027</t>
        </is>
      </c>
      <c r="D209" s="21">
        <f>SUMIF(i_book_years,D$3,i_G_book)</f>
        <v/>
      </c>
      <c r="E209" s="21">
        <f>SUMIF(i_book_years,E$3,i_G_book)</f>
        <v/>
      </c>
      <c r="F209" s="21">
        <f>SUMIF(i_book_years,F$3,i_G_book)</f>
        <v/>
      </c>
      <c r="G209" s="21">
        <f>SUMIF(i_book_years,G$3,i_G_book)</f>
        <v/>
      </c>
      <c r="H209" s="21">
        <f>SUMIF(i_book_years,H$3,i_G_book)</f>
        <v/>
      </c>
      <c r="I209" s="21">
        <f>SUMIF(i_book_years,I$3,i_G_book)</f>
        <v/>
      </c>
      <c r="J209" s="21">
        <f>SUMIF(i_book_years,J$3,i_G_book)</f>
        <v/>
      </c>
      <c r="K209" s="21">
        <f>SUMIF(i_book_years,K$3,i_G_book)</f>
        <v/>
      </c>
      <c r="L209" s="21">
        <f>SUMIF(i_book_years,L$3,i_G_book)</f>
        <v/>
      </c>
      <c r="M209" s="21">
        <f>SUMIF(i_book_years,M$3,i_G_book)</f>
        <v/>
      </c>
      <c r="N209" s="21">
        <f>SUMIF(i_book_years,N$3,i_G_book)</f>
        <v/>
      </c>
      <c r="O209" s="21">
        <f>SUMIF(i_book_years,O$3,i_G_book)</f>
        <v/>
      </c>
      <c r="P209" s="21">
        <f>SUMIF(i_book_years,P$3,i_G_book)</f>
        <v/>
      </c>
      <c r="Q209" s="21">
        <f>SUMIF(i_book_years,Q$3,i_G_book)</f>
        <v/>
      </c>
      <c r="R209" s="21">
        <f>SUMIF(i_book_years,R$3,i_G_book)</f>
        <v/>
      </c>
      <c r="S209" s="21">
        <f>SUMIF(i_book_years,S$3,i_G_book)</f>
        <v/>
      </c>
      <c r="T209" s="21">
        <f>SUMIF(i_book_years,T$3,i_G_book)</f>
        <v/>
      </c>
      <c r="U209" s="21">
        <f>SUMIF(i_book_years,U$3,i_G_book)</f>
        <v/>
      </c>
      <c r="V209" s="21">
        <f>SUMIF(i_book_years,V$3,i_G_book)</f>
        <v/>
      </c>
      <c r="W209" s="21">
        <f>SUMIF(i_book_years,W$3,i_G_book)</f>
        <v/>
      </c>
      <c r="X209" s="21">
        <f>SUMIF(i_book_years,X$3,i_G_book)</f>
        <v/>
      </c>
      <c r="Y209" s="21">
        <f>SUMIF(i_book_years,Y$3,i_G_book)</f>
        <v/>
      </c>
      <c r="Z209" s="21">
        <f>SUMIF(i_book_years,Z$3,i_G_book)</f>
        <v/>
      </c>
      <c r="AA209" s="21">
        <f>SUMIF(i_book_years,AA$3,i_G_book)</f>
        <v/>
      </c>
      <c r="AB209" s="21">
        <f>SUMIF(i_book_years,AB$3,i_G_book)</f>
        <v/>
      </c>
      <c r="AC209" s="21">
        <f>SUMIF(i_book_years,AC$3,i_G_book)</f>
        <v/>
      </c>
      <c r="AD209" s="21">
        <f>SUMIF(i_book_years,AD$3,i_G_book)</f>
        <v/>
      </c>
      <c r="AE209" s="21">
        <f>SUMIF(i_book_years,AE$3,i_G_book)</f>
        <v/>
      </c>
      <c r="AF209" s="21">
        <f>SUMIF(i_book_years,AF$3,i_G_book)</f>
        <v/>
      </c>
      <c r="AG209" s="21">
        <f>SUMIF(i_book_years,AG$3,i_G_book)</f>
        <v/>
      </c>
      <c r="AH209" s="21">
        <f>SUMIF(i_book_years,AH$3,i_G_book)</f>
        <v/>
      </c>
      <c r="AI209" s="21">
        <f>SUMIF(i_book_years,AI$3,i_G_book)</f>
        <v/>
      </c>
    </row>
    <row r="210">
      <c r="B210" s="2" t="inlineStr">
        <is>
          <t xml:space="preserve">  Recontracting factor against current rates</t>
        </is>
      </c>
      <c r="D210" s="21">
        <f>IF(D$4=0,0,IF(DCF!$C$147=1,i_G_mtm,i_G_mtm_plan)+DCF!$C$153)</f>
        <v/>
      </c>
      <c r="E210" s="21">
        <f>IF(E$4=0,0,IF(DCF!$C$147=1,i_G_mtm,i_G_mtm_plan)+DCF!$C$153)</f>
        <v/>
      </c>
      <c r="F210" s="21">
        <f>IF(F$4=0,0,IF(DCF!$C$147=1,i_G_mtm,i_G_mtm_plan)+DCF!$C$153)</f>
        <v/>
      </c>
      <c r="G210" s="21">
        <f>IF(G$4=0,0,IF(DCF!$C$147=1,i_G_mtm,i_G_mtm_plan)+DCF!$C$153)</f>
        <v/>
      </c>
      <c r="H210" s="21">
        <f>IF(H$4=0,0,IF(DCF!$C$147=1,i_G_mtm,i_G_mtm_plan)+DCF!$C$153)</f>
        <v/>
      </c>
      <c r="I210" s="21">
        <f>IF(I$4=0,0,IF(DCF!$C$147=1,i_G_mtm,i_G_mtm_plan)+DCF!$C$153)</f>
        <v/>
      </c>
      <c r="J210" s="21">
        <f>IF(J$4=0,0,IF(DCF!$C$147=1,i_G_mtm,i_G_mtm_plan)+DCF!$C$153)</f>
        <v/>
      </c>
      <c r="K210" s="21">
        <f>IF(K$4=0,0,IF(DCF!$C$147=1,i_G_mtm,i_G_mtm_plan)+DCF!$C$153)</f>
        <v/>
      </c>
      <c r="L210" s="21">
        <f>IF(L$4=0,0,IF(DCF!$C$147=1,i_G_mtm,i_G_mtm_plan)+DCF!$C$153)</f>
        <v/>
      </c>
      <c r="M210" s="21">
        <f>IF(M$4=0,0,IF(DCF!$C$147=1,i_G_mtm,i_G_mtm_plan)+DCF!$C$153)</f>
        <v/>
      </c>
      <c r="N210" s="21">
        <f>IF(N$4=0,0,IF(DCF!$C$147=1,i_G_mtm,i_G_mtm_plan)+DCF!$C$153)</f>
        <v/>
      </c>
      <c r="O210" s="21">
        <f>IF(O$4=0,0,IF(DCF!$C$147=1,i_G_mtm,i_G_mtm_plan)+DCF!$C$153)</f>
        <v/>
      </c>
      <c r="P210" s="21">
        <f>IF(P$4=0,0,IF(DCF!$C$147=1,i_G_mtm,i_G_mtm_plan)+DCF!$C$153)</f>
        <v/>
      </c>
      <c r="Q210" s="21">
        <f>IF(Q$4=0,0,IF(DCF!$C$147=1,i_G_mtm,i_G_mtm_plan)+DCF!$C$153)</f>
        <v/>
      </c>
      <c r="R210" s="21">
        <f>IF(R$4=0,0,IF(DCF!$C$147=1,i_G_mtm,i_G_mtm_plan)+DCF!$C$153)</f>
        <v/>
      </c>
      <c r="S210" s="21">
        <f>IF(S$4=0,0,IF(DCF!$C$147=1,i_G_mtm,i_G_mtm_plan)+DCF!$C$153)</f>
        <v/>
      </c>
      <c r="T210" s="21">
        <f>IF(T$4=0,0,IF(DCF!$C$147=1,i_G_mtm,i_G_mtm_plan)+DCF!$C$153)</f>
        <v/>
      </c>
      <c r="U210" s="21">
        <f>IF(U$4=0,0,IF(DCF!$C$147=1,i_G_mtm,i_G_mtm_plan)+DCF!$C$153)</f>
        <v/>
      </c>
      <c r="V210" s="21">
        <f>IF(V$4=0,0,IF(DCF!$C$147=1,i_G_mtm,i_G_mtm_plan)+DCF!$C$153)</f>
        <v/>
      </c>
      <c r="W210" s="21">
        <f>IF(W$4=0,0,IF(DCF!$C$147=1,i_G_mtm,i_G_mtm_plan)+DCF!$C$153)</f>
        <v/>
      </c>
      <c r="X210" s="21">
        <f>IF(X$4=0,0,IF(DCF!$C$147=1,i_G_mtm,i_G_mtm_plan)+DCF!$C$153)</f>
        <v/>
      </c>
      <c r="Y210" s="21">
        <f>IF(Y$4=0,0,IF(DCF!$C$147=1,i_G_mtm,i_G_mtm_plan)+DCF!$C$153)</f>
        <v/>
      </c>
      <c r="Z210" s="21">
        <f>IF(Z$4=0,0,IF(DCF!$C$147=1,i_G_mtm,i_G_mtm_plan)+DCF!$C$153)</f>
        <v/>
      </c>
      <c r="AA210" s="21">
        <f>IF(AA$4=0,0,IF(DCF!$C$147=1,i_G_mtm,i_G_mtm_plan)+DCF!$C$153)</f>
        <v/>
      </c>
      <c r="AB210" s="21">
        <f>IF(AB$4=0,0,IF(DCF!$C$147=1,i_G_mtm,i_G_mtm_plan)+DCF!$C$153)</f>
        <v/>
      </c>
      <c r="AC210" s="21">
        <f>IF(AC$4=0,0,IF(DCF!$C$147=1,i_G_mtm,i_G_mtm_plan)+DCF!$C$153)</f>
        <v/>
      </c>
      <c r="AD210" s="21">
        <f>IF(AD$4=0,0,IF(DCF!$C$147=1,i_G_mtm,i_G_mtm_plan)+DCF!$C$153)</f>
        <v/>
      </c>
      <c r="AE210" s="21">
        <f>IF(AE$4=0,0,IF(DCF!$C$147=1,i_G_mtm,i_G_mtm_plan)+DCF!$C$153)</f>
        <v/>
      </c>
      <c r="AF210" s="21">
        <f>IF(AF$4=0,0,IF(DCF!$C$147=1,i_G_mtm,i_G_mtm_plan)+DCF!$C$153)</f>
        <v/>
      </c>
      <c r="AG210" s="21">
        <f>IF(AG$4=0,0,IF(DCF!$C$147=1,i_G_mtm,i_G_mtm_plan)+DCF!$C$153)</f>
        <v/>
      </c>
      <c r="AH210" s="21">
        <f>IF(AH$4=0,0,IF(DCF!$C$147=1,i_G_mtm,i_G_mtm_plan)+DCF!$C$153)</f>
        <v/>
      </c>
      <c r="AI210" s="21">
        <f>IF(AI$4=0,0,IF(DCF!$C$147=1,i_G_mtm,i_G_mtm_plan)+DCF!$C$153)</f>
        <v/>
      </c>
    </row>
    <row r="211">
      <c r="B211" s="2" t="inlineStr">
        <is>
          <t xml:space="preserve">  Average rate ($ per m3 per month)</t>
        </is>
      </c>
      <c r="D211" s="24">
        <f>i_G_rate*D158*(D209+(1-D209)*(1+D210))</f>
        <v/>
      </c>
      <c r="E211" s="24">
        <f>i_G_rate*E158*(E209+(1-E209)*(1+E210))</f>
        <v/>
      </c>
      <c r="F211" s="24">
        <f>i_G_rate*F158*(F209+(1-F209)*(1+F210))</f>
        <v/>
      </c>
      <c r="G211" s="24">
        <f>i_G_rate*G158*(G209+(1-G209)*(1+G210))</f>
        <v/>
      </c>
      <c r="H211" s="24">
        <f>i_G_rate*H158*(H209+(1-H209)*(1+H210))</f>
        <v/>
      </c>
      <c r="I211" s="24">
        <f>i_G_rate*I158*(I209+(1-I209)*(1+I210))</f>
        <v/>
      </c>
      <c r="J211" s="24">
        <f>i_G_rate*J158*(J209+(1-J209)*(1+J210))</f>
        <v/>
      </c>
      <c r="K211" s="24">
        <f>i_G_rate*K158*(K209+(1-K209)*(1+K210))</f>
        <v/>
      </c>
      <c r="L211" s="24">
        <f>i_G_rate*L158*(L209+(1-L209)*(1+L210))</f>
        <v/>
      </c>
      <c r="M211" s="24">
        <f>i_G_rate*M158*(M209+(1-M209)*(1+M210))</f>
        <v/>
      </c>
      <c r="N211" s="24">
        <f>i_G_rate*N158*(N209+(1-N209)*(1+N210))</f>
        <v/>
      </c>
      <c r="O211" s="24">
        <f>i_G_rate*O158*(O209+(1-O209)*(1+O210))</f>
        <v/>
      </c>
      <c r="P211" s="24">
        <f>i_G_rate*P158*(P209+(1-P209)*(1+P210))</f>
        <v/>
      </c>
      <c r="Q211" s="24">
        <f>i_G_rate*Q158*(Q209+(1-Q209)*(1+Q210))</f>
        <v/>
      </c>
      <c r="R211" s="24">
        <f>i_G_rate*R158*(R209+(1-R209)*(1+R210))</f>
        <v/>
      </c>
      <c r="S211" s="24">
        <f>i_G_rate*S158*(S209+(1-S209)*(1+S210))</f>
        <v/>
      </c>
      <c r="T211" s="24">
        <f>i_G_rate*T158*(T209+(1-T209)*(1+T210))</f>
        <v/>
      </c>
      <c r="U211" s="24">
        <f>i_G_rate*U158*(U209+(1-U209)*(1+U210))</f>
        <v/>
      </c>
      <c r="V211" s="24">
        <f>i_G_rate*V158*(V209+(1-V209)*(1+V210))</f>
        <v/>
      </c>
      <c r="W211" s="24">
        <f>i_G_rate*W158*(W209+(1-W209)*(1+W210))</f>
        <v/>
      </c>
      <c r="X211" s="24">
        <f>i_G_rate*X158*(X209+(1-X209)*(1+X210))</f>
        <v/>
      </c>
      <c r="Y211" s="24">
        <f>i_G_rate*Y158*(Y209+(1-Y209)*(1+Y210))</f>
        <v/>
      </c>
      <c r="Z211" s="24">
        <f>i_G_rate*Z158*(Z209+(1-Z209)*(1+Z210))</f>
        <v/>
      </c>
      <c r="AA211" s="24">
        <f>i_G_rate*AA158*(AA209+(1-AA209)*(1+AA210))</f>
        <v/>
      </c>
      <c r="AB211" s="24">
        <f>i_G_rate*AB158*(AB209+(1-AB209)*(1+AB210))</f>
        <v/>
      </c>
      <c r="AC211" s="24">
        <f>i_G_rate*AC158*(AC209+(1-AC209)*(1+AC210))</f>
        <v/>
      </c>
      <c r="AD211" s="24">
        <f>i_G_rate*AD158*(AD209+(1-AD209)*(1+AD210))</f>
        <v/>
      </c>
      <c r="AE211" s="24">
        <f>i_G_rate*AE158*(AE209+(1-AE209)*(1+AE210))</f>
        <v/>
      </c>
      <c r="AF211" s="24">
        <f>i_G_rate*AF158*(AF209+(1-AF209)*(1+AF210))</f>
        <v/>
      </c>
      <c r="AG211" s="24">
        <f>i_G_rate*AG158*(AG209+(1-AG209)*(1+AG210))</f>
        <v/>
      </c>
      <c r="AH211" s="24">
        <f>i_G_rate*AH158*(AH209+(1-AH209)*(1+AH210))</f>
        <v/>
      </c>
      <c r="AI211" s="24">
        <f>i_G_rate*AI158*(AI209+(1-AI209)*(1+AI210))</f>
        <v/>
      </c>
    </row>
    <row r="212">
      <c r="B212" s="2" t="inlineStr">
        <is>
          <t xml:space="preserve">  Occupancy after the transition decline and floor</t>
        </is>
      </c>
      <c r="D212" s="21">
        <f>IF(D$3&gt;i_trans_start,MAX(i_G_floor,i_G_occ-i_G_dec*(D$3-i_trans_start)),i_G_occ)</f>
        <v/>
      </c>
      <c r="E212" s="21">
        <f>IF(E$3&gt;i_trans_start,MAX(i_G_floor,i_G_occ-i_G_dec*(E$3-i_trans_start)),i_G_occ)</f>
        <v/>
      </c>
      <c r="F212" s="21">
        <f>IF(F$3&gt;i_trans_start,MAX(i_G_floor,i_G_occ-i_G_dec*(F$3-i_trans_start)),i_G_occ)</f>
        <v/>
      </c>
      <c r="G212" s="21">
        <f>IF(G$3&gt;i_trans_start,MAX(i_G_floor,i_G_occ-i_G_dec*(G$3-i_trans_start)),i_G_occ)</f>
        <v/>
      </c>
      <c r="H212" s="21">
        <f>IF(H$3&gt;i_trans_start,MAX(i_G_floor,i_G_occ-i_G_dec*(H$3-i_trans_start)),i_G_occ)</f>
        <v/>
      </c>
      <c r="I212" s="21">
        <f>IF(I$3&gt;i_trans_start,MAX(i_G_floor,i_G_occ-i_G_dec*(I$3-i_trans_start)),i_G_occ)</f>
        <v/>
      </c>
      <c r="J212" s="21">
        <f>IF(J$3&gt;i_trans_start,MAX(i_G_floor,i_G_occ-i_G_dec*(J$3-i_trans_start)),i_G_occ)</f>
        <v/>
      </c>
      <c r="K212" s="21">
        <f>IF(K$3&gt;i_trans_start,MAX(i_G_floor,i_G_occ-i_G_dec*(K$3-i_trans_start)),i_G_occ)</f>
        <v/>
      </c>
      <c r="L212" s="21">
        <f>IF(L$3&gt;i_trans_start,MAX(i_G_floor,i_G_occ-i_G_dec*(L$3-i_trans_start)),i_G_occ)</f>
        <v/>
      </c>
      <c r="M212" s="21">
        <f>IF(M$3&gt;i_trans_start,MAX(i_G_floor,i_G_occ-i_G_dec*(M$3-i_trans_start)),i_G_occ)</f>
        <v/>
      </c>
      <c r="N212" s="21">
        <f>IF(N$3&gt;i_trans_start,MAX(i_G_floor,i_G_occ-i_G_dec*(N$3-i_trans_start)),i_G_occ)</f>
        <v/>
      </c>
      <c r="O212" s="21">
        <f>IF(O$3&gt;i_trans_start,MAX(i_G_floor,i_G_occ-i_G_dec*(O$3-i_trans_start)),i_G_occ)</f>
        <v/>
      </c>
      <c r="P212" s="21">
        <f>IF(P$3&gt;i_trans_start,MAX(i_G_floor,i_G_occ-i_G_dec*(P$3-i_trans_start)),i_G_occ)</f>
        <v/>
      </c>
      <c r="Q212" s="21">
        <f>IF(Q$3&gt;i_trans_start,MAX(i_G_floor,i_G_occ-i_G_dec*(Q$3-i_trans_start)),i_G_occ)</f>
        <v/>
      </c>
      <c r="R212" s="21">
        <f>IF(R$3&gt;i_trans_start,MAX(i_G_floor,i_G_occ-i_G_dec*(R$3-i_trans_start)),i_G_occ)</f>
        <v/>
      </c>
      <c r="S212" s="21">
        <f>IF(S$3&gt;i_trans_start,MAX(i_G_floor,i_G_occ-i_G_dec*(S$3-i_trans_start)),i_G_occ)</f>
        <v/>
      </c>
      <c r="T212" s="21">
        <f>IF(T$3&gt;i_trans_start,MAX(i_G_floor,i_G_occ-i_G_dec*(T$3-i_trans_start)),i_G_occ)</f>
        <v/>
      </c>
      <c r="U212" s="21">
        <f>IF(U$3&gt;i_trans_start,MAX(i_G_floor,i_G_occ-i_G_dec*(U$3-i_trans_start)),i_G_occ)</f>
        <v/>
      </c>
      <c r="V212" s="21">
        <f>IF(V$3&gt;i_trans_start,MAX(i_G_floor,i_G_occ-i_G_dec*(V$3-i_trans_start)),i_G_occ)</f>
        <v/>
      </c>
      <c r="W212" s="21">
        <f>IF(W$3&gt;i_trans_start,MAX(i_G_floor,i_G_occ-i_G_dec*(W$3-i_trans_start)),i_G_occ)</f>
        <v/>
      </c>
      <c r="X212" s="21">
        <f>IF(X$3&gt;i_trans_start,MAX(i_G_floor,i_G_occ-i_G_dec*(X$3-i_trans_start)),i_G_occ)</f>
        <v/>
      </c>
      <c r="Y212" s="21">
        <f>IF(Y$3&gt;i_trans_start,MAX(i_G_floor,i_G_occ-i_G_dec*(Y$3-i_trans_start)),i_G_occ)</f>
        <v/>
      </c>
      <c r="Z212" s="21">
        <f>IF(Z$3&gt;i_trans_start,MAX(i_G_floor,i_G_occ-i_G_dec*(Z$3-i_trans_start)),i_G_occ)</f>
        <v/>
      </c>
      <c r="AA212" s="21">
        <f>IF(AA$3&gt;i_trans_start,MAX(i_G_floor,i_G_occ-i_G_dec*(AA$3-i_trans_start)),i_G_occ)</f>
        <v/>
      </c>
      <c r="AB212" s="21">
        <f>IF(AB$3&gt;i_trans_start,MAX(i_G_floor,i_G_occ-i_G_dec*(AB$3-i_trans_start)),i_G_occ)</f>
        <v/>
      </c>
      <c r="AC212" s="21">
        <f>IF(AC$3&gt;i_trans_start,MAX(i_G_floor,i_G_occ-i_G_dec*(AC$3-i_trans_start)),i_G_occ)</f>
        <v/>
      </c>
      <c r="AD212" s="21">
        <f>IF(AD$3&gt;i_trans_start,MAX(i_G_floor,i_G_occ-i_G_dec*(AD$3-i_trans_start)),i_G_occ)</f>
        <v/>
      </c>
      <c r="AE212" s="21">
        <f>IF(AE$3&gt;i_trans_start,MAX(i_G_floor,i_G_occ-i_G_dec*(AE$3-i_trans_start)),i_G_occ)</f>
        <v/>
      </c>
      <c r="AF212" s="21">
        <f>IF(AF$3&gt;i_trans_start,MAX(i_G_floor,i_G_occ-i_G_dec*(AF$3-i_trans_start)),i_G_occ)</f>
        <v/>
      </c>
      <c r="AG212" s="21">
        <f>IF(AG$3&gt;i_trans_start,MAX(i_G_floor,i_G_occ-i_G_dec*(AG$3-i_trans_start)),i_G_occ)</f>
        <v/>
      </c>
      <c r="AH212" s="21">
        <f>IF(AH$3&gt;i_trans_start,MAX(i_G_floor,i_G_occ-i_G_dec*(AH$3-i_trans_start)),i_G_occ)</f>
        <v/>
      </c>
      <c r="AI212" s="21">
        <f>IF(AI$3&gt;i_trans_start,MAX(i_G_floor,i_G_occ-i_G_dec*(AI$3-i_trans_start)),i_G_occ)</f>
        <v/>
      </c>
    </row>
    <row r="213">
      <c r="B213" s="2" t="inlineStr">
        <is>
          <t xml:space="preserve">  Occupancy (with the shift switch from 2027)</t>
        </is>
      </c>
      <c r="D213" s="21">
        <f>IF(D$4&gt;0,MIN(1,D212+DCF!$C$152),D212)</f>
        <v/>
      </c>
      <c r="E213" s="21">
        <f>IF(E$4&gt;0,MIN(1,E212+DCF!$C$152),E212)</f>
        <v/>
      </c>
      <c r="F213" s="21">
        <f>IF(F$4&gt;0,MIN(1,F212+DCF!$C$152),F212)</f>
        <v/>
      </c>
      <c r="G213" s="21">
        <f>IF(G$4&gt;0,MIN(1,G212+DCF!$C$152),G212)</f>
        <v/>
      </c>
      <c r="H213" s="21">
        <f>IF(H$4&gt;0,MIN(1,H212+DCF!$C$152),H212)</f>
        <v/>
      </c>
      <c r="I213" s="21">
        <f>IF(I$4&gt;0,MIN(1,I212+DCF!$C$152),I212)</f>
        <v/>
      </c>
      <c r="J213" s="21">
        <f>IF(J$4&gt;0,MIN(1,J212+DCF!$C$152),J212)</f>
        <v/>
      </c>
      <c r="K213" s="21">
        <f>IF(K$4&gt;0,MIN(1,K212+DCF!$C$152),K212)</f>
        <v/>
      </c>
      <c r="L213" s="21">
        <f>IF(L$4&gt;0,MIN(1,L212+DCF!$C$152),L212)</f>
        <v/>
      </c>
      <c r="M213" s="21">
        <f>IF(M$4&gt;0,MIN(1,M212+DCF!$C$152),M212)</f>
        <v/>
      </c>
      <c r="N213" s="21">
        <f>IF(N$4&gt;0,MIN(1,N212+DCF!$C$152),N212)</f>
        <v/>
      </c>
      <c r="O213" s="21">
        <f>IF(O$4&gt;0,MIN(1,O212+DCF!$C$152),O212)</f>
        <v/>
      </c>
      <c r="P213" s="21">
        <f>IF(P$4&gt;0,MIN(1,P212+DCF!$C$152),P212)</f>
        <v/>
      </c>
      <c r="Q213" s="21">
        <f>IF(Q$4&gt;0,MIN(1,Q212+DCF!$C$152),Q212)</f>
        <v/>
      </c>
      <c r="R213" s="21">
        <f>IF(R$4&gt;0,MIN(1,R212+DCF!$C$152),R212)</f>
        <v/>
      </c>
      <c r="S213" s="21">
        <f>IF(S$4&gt;0,MIN(1,S212+DCF!$C$152),S212)</f>
        <v/>
      </c>
      <c r="T213" s="21">
        <f>IF(T$4&gt;0,MIN(1,T212+DCF!$C$152),T212)</f>
        <v/>
      </c>
      <c r="U213" s="21">
        <f>IF(U$4&gt;0,MIN(1,U212+DCF!$C$152),U212)</f>
        <v/>
      </c>
      <c r="V213" s="21">
        <f>IF(V$4&gt;0,MIN(1,V212+DCF!$C$152),V212)</f>
        <v/>
      </c>
      <c r="W213" s="21">
        <f>IF(W$4&gt;0,MIN(1,W212+DCF!$C$152),W212)</f>
        <v/>
      </c>
      <c r="X213" s="21">
        <f>IF(X$4&gt;0,MIN(1,X212+DCF!$C$152),X212)</f>
        <v/>
      </c>
      <c r="Y213" s="21">
        <f>IF(Y$4&gt;0,MIN(1,Y212+DCF!$C$152),Y212)</f>
        <v/>
      </c>
      <c r="Z213" s="21">
        <f>IF(Z$4&gt;0,MIN(1,Z212+DCF!$C$152),Z212)</f>
        <v/>
      </c>
      <c r="AA213" s="21">
        <f>IF(AA$4&gt;0,MIN(1,AA212+DCF!$C$152),AA212)</f>
        <v/>
      </c>
      <c r="AB213" s="21">
        <f>IF(AB$4&gt;0,MIN(1,AB212+DCF!$C$152),AB212)</f>
        <v/>
      </c>
      <c r="AC213" s="21">
        <f>IF(AC$4&gt;0,MIN(1,AC212+DCF!$C$152),AC212)</f>
        <v/>
      </c>
      <c r="AD213" s="21">
        <f>IF(AD$4&gt;0,MIN(1,AD212+DCF!$C$152),AD212)</f>
        <v/>
      </c>
      <c r="AE213" s="21">
        <f>IF(AE$4&gt;0,MIN(1,AE212+DCF!$C$152),AE212)</f>
        <v/>
      </c>
      <c r="AF213" s="21">
        <f>IF(AF$4&gt;0,MIN(1,AF212+DCF!$C$152),AF212)</f>
        <v/>
      </c>
      <c r="AG213" s="21">
        <f>IF(AG$4&gt;0,MIN(1,AG212+DCF!$C$152),AG212)</f>
        <v/>
      </c>
      <c r="AH213" s="21">
        <f>IF(AH$4&gt;0,MIN(1,AH212+DCF!$C$152),AH212)</f>
        <v/>
      </c>
      <c r="AI213" s="21">
        <f>IF(AI$4&gt;0,MIN(1,AI212+DCF!$C$152),AI212)</f>
        <v/>
      </c>
    </row>
    <row r="214">
      <c r="B214" s="2" t="inlineStr">
        <is>
          <t xml:space="preserve">  Storage revenue</t>
        </is>
      </c>
      <c r="D214" s="19">
        <f>D208*D211*12*D213</f>
        <v/>
      </c>
      <c r="E214" s="19">
        <f>E208*E211*12*E213</f>
        <v/>
      </c>
      <c r="F214" s="19">
        <f>F208*F211*12*F213</f>
        <v/>
      </c>
      <c r="G214" s="19">
        <f>G208*G211*12*G213</f>
        <v/>
      </c>
      <c r="H214" s="19">
        <f>H208*H211*12*H213</f>
        <v/>
      </c>
      <c r="I214" s="19">
        <f>I208*I211*12*I213</f>
        <v/>
      </c>
      <c r="J214" s="19">
        <f>J208*J211*12*J213</f>
        <v/>
      </c>
      <c r="K214" s="19">
        <f>K208*K211*12*K213</f>
        <v/>
      </c>
      <c r="L214" s="19">
        <f>L208*L211*12*L213</f>
        <v/>
      </c>
      <c r="M214" s="19">
        <f>M208*M211*12*M213</f>
        <v/>
      </c>
      <c r="N214" s="19">
        <f>N208*N211*12*N213</f>
        <v/>
      </c>
      <c r="O214" s="19">
        <f>O208*O211*12*O213</f>
        <v/>
      </c>
      <c r="P214" s="19">
        <f>P208*P211*12*P213</f>
        <v/>
      </c>
      <c r="Q214" s="19">
        <f>Q208*Q211*12*Q213</f>
        <v/>
      </c>
      <c r="R214" s="19">
        <f>R208*R211*12*R213</f>
        <v/>
      </c>
      <c r="S214" s="19">
        <f>S208*S211*12*S213</f>
        <v/>
      </c>
      <c r="T214" s="19">
        <f>T208*T211*12*T213</f>
        <v/>
      </c>
      <c r="U214" s="19">
        <f>U208*U211*12*U213</f>
        <v/>
      </c>
      <c r="V214" s="19">
        <f>V208*V211*12*V213</f>
        <v/>
      </c>
      <c r="W214" s="19">
        <f>W208*W211*12*W213</f>
        <v/>
      </c>
      <c r="X214" s="19">
        <f>X208*X211*12*X213</f>
        <v/>
      </c>
      <c r="Y214" s="19">
        <f>Y208*Y211*12*Y213</f>
        <v/>
      </c>
      <c r="Z214" s="19">
        <f>Z208*Z211*12*Z213</f>
        <v/>
      </c>
      <c r="AA214" s="19">
        <f>AA208*AA211*12*AA213</f>
        <v/>
      </c>
      <c r="AB214" s="19">
        <f>AB208*AB211*12*AB213</f>
        <v/>
      </c>
      <c r="AC214" s="19">
        <f>AC208*AC211*12*AC213</f>
        <v/>
      </c>
      <c r="AD214" s="19">
        <f>AD208*AD211*12*AD213</f>
        <v/>
      </c>
      <c r="AE214" s="19">
        <f>AE208*AE211*12*AE213</f>
        <v/>
      </c>
      <c r="AF214" s="19">
        <f>AF208*AF211*12*AF213</f>
        <v/>
      </c>
      <c r="AG214" s="19">
        <f>AG208*AG211*12*AG213</f>
        <v/>
      </c>
      <c r="AH214" s="19">
        <f>AH208*AH211*12*AH213</f>
        <v/>
      </c>
      <c r="AI214" s="19">
        <f>AI208*AI211*12*AI213</f>
        <v/>
      </c>
    </row>
    <row r="215">
      <c r="B215" s="2" t="inlineStr">
        <is>
          <t xml:space="preserve">  Ancillary and throughput revenue</t>
        </is>
      </c>
      <c r="D215" s="19">
        <f>D214*i_G_anc</f>
        <v/>
      </c>
      <c r="E215" s="19">
        <f>E214*i_G_anc</f>
        <v/>
      </c>
      <c r="F215" s="19">
        <f>F214*i_G_anc</f>
        <v/>
      </c>
      <c r="G215" s="19">
        <f>G214*i_G_anc</f>
        <v/>
      </c>
      <c r="H215" s="19">
        <f>H214*i_G_anc</f>
        <v/>
      </c>
      <c r="I215" s="19">
        <f>I214*i_G_anc</f>
        <v/>
      </c>
      <c r="J215" s="19">
        <f>J214*i_G_anc</f>
        <v/>
      </c>
      <c r="K215" s="19">
        <f>K214*i_G_anc</f>
        <v/>
      </c>
      <c r="L215" s="19">
        <f>L214*i_G_anc</f>
        <v/>
      </c>
      <c r="M215" s="19">
        <f>M214*i_G_anc</f>
        <v/>
      </c>
      <c r="N215" s="19">
        <f>N214*i_G_anc</f>
        <v/>
      </c>
      <c r="O215" s="19">
        <f>O214*i_G_anc</f>
        <v/>
      </c>
      <c r="P215" s="19">
        <f>P214*i_G_anc</f>
        <v/>
      </c>
      <c r="Q215" s="19">
        <f>Q214*i_G_anc</f>
        <v/>
      </c>
      <c r="R215" s="19">
        <f>R214*i_G_anc</f>
        <v/>
      </c>
      <c r="S215" s="19">
        <f>S214*i_G_anc</f>
        <v/>
      </c>
      <c r="T215" s="19">
        <f>T214*i_G_anc</f>
        <v/>
      </c>
      <c r="U215" s="19">
        <f>U214*i_G_anc</f>
        <v/>
      </c>
      <c r="V215" s="19">
        <f>V214*i_G_anc</f>
        <v/>
      </c>
      <c r="W215" s="19">
        <f>W214*i_G_anc</f>
        <v/>
      </c>
      <c r="X215" s="19">
        <f>X214*i_G_anc</f>
        <v/>
      </c>
      <c r="Y215" s="19">
        <f>Y214*i_G_anc</f>
        <v/>
      </c>
      <c r="Z215" s="19">
        <f>Z214*i_G_anc</f>
        <v/>
      </c>
      <c r="AA215" s="19">
        <f>AA214*i_G_anc</f>
        <v/>
      </c>
      <c r="AB215" s="19">
        <f>AB214*i_G_anc</f>
        <v/>
      </c>
      <c r="AC215" s="19">
        <f>AC214*i_G_anc</f>
        <v/>
      </c>
      <c r="AD215" s="19">
        <f>AD214*i_G_anc</f>
        <v/>
      </c>
      <c r="AE215" s="19">
        <f>AE214*i_G_anc</f>
        <v/>
      </c>
      <c r="AF215" s="19">
        <f>AF214*i_G_anc</f>
        <v/>
      </c>
      <c r="AG215" s="19">
        <f>AG214*i_G_anc</f>
        <v/>
      </c>
      <c r="AH215" s="19">
        <f>AH214*i_G_anc</f>
        <v/>
      </c>
      <c r="AI215" s="19">
        <f>AI214*i_G_anc</f>
        <v/>
      </c>
    </row>
    <row r="216">
      <c r="B216" s="3" t="inlineStr">
        <is>
          <t xml:space="preserve">  Revenue</t>
        </is>
      </c>
      <c r="D216" s="31">
        <f>D214+D215</f>
        <v/>
      </c>
      <c r="E216" s="31">
        <f>E214+E215</f>
        <v/>
      </c>
      <c r="F216" s="31">
        <f>F214+F215</f>
        <v/>
      </c>
      <c r="G216" s="31">
        <f>G214+G215</f>
        <v/>
      </c>
      <c r="H216" s="31">
        <f>H214+H215</f>
        <v/>
      </c>
      <c r="I216" s="31">
        <f>I214+I215</f>
        <v/>
      </c>
      <c r="J216" s="31">
        <f>J214+J215</f>
        <v/>
      </c>
      <c r="K216" s="31">
        <f>K214+K215</f>
        <v/>
      </c>
      <c r="L216" s="31">
        <f>L214+L215</f>
        <v/>
      </c>
      <c r="M216" s="31">
        <f>M214+M215</f>
        <v/>
      </c>
      <c r="N216" s="31">
        <f>N214+N215</f>
        <v/>
      </c>
      <c r="O216" s="31">
        <f>O214+O215</f>
        <v/>
      </c>
      <c r="P216" s="31">
        <f>P214+P215</f>
        <v/>
      </c>
      <c r="Q216" s="31">
        <f>Q214+Q215</f>
        <v/>
      </c>
      <c r="R216" s="31">
        <f>R214+R215</f>
        <v/>
      </c>
      <c r="S216" s="31">
        <f>S214+S215</f>
        <v/>
      </c>
      <c r="T216" s="31">
        <f>T214+T215</f>
        <v/>
      </c>
      <c r="U216" s="31">
        <f>U214+U215</f>
        <v/>
      </c>
      <c r="V216" s="31">
        <f>V214+V215</f>
        <v/>
      </c>
      <c r="W216" s="31">
        <f>W214+W215</f>
        <v/>
      </c>
      <c r="X216" s="31">
        <f>X214+X215</f>
        <v/>
      </c>
      <c r="Y216" s="31">
        <f>Y214+Y215</f>
        <v/>
      </c>
      <c r="Z216" s="31">
        <f>Z214+Z215</f>
        <v/>
      </c>
      <c r="AA216" s="31">
        <f>AA214+AA215</f>
        <v/>
      </c>
      <c r="AB216" s="31">
        <f>AB214+AB215</f>
        <v/>
      </c>
      <c r="AC216" s="31">
        <f>AC214+AC215</f>
        <v/>
      </c>
      <c r="AD216" s="31">
        <f>AD214+AD215</f>
        <v/>
      </c>
      <c r="AE216" s="31">
        <f>AE214+AE215</f>
        <v/>
      </c>
      <c r="AF216" s="31">
        <f>AF214+AF215</f>
        <v/>
      </c>
      <c r="AG216" s="31">
        <f>AG214+AG215</f>
        <v/>
      </c>
      <c r="AH216" s="31">
        <f>AH214+AH215</f>
        <v/>
      </c>
      <c r="AI216" s="31">
        <f>AI214+AI215</f>
        <v/>
      </c>
    </row>
    <row r="217">
      <c r="B217" s="2" t="inlineStr">
        <is>
          <t xml:space="preserve">  Fixed cost</t>
        </is>
      </c>
      <c r="D217" s="19">
        <f>D208*i_G_fix*D157</f>
        <v/>
      </c>
      <c r="E217" s="19">
        <f>E208*i_G_fix*E157</f>
        <v/>
      </c>
      <c r="F217" s="19">
        <f>F208*i_G_fix*F157</f>
        <v/>
      </c>
      <c r="G217" s="19">
        <f>G208*i_G_fix*G157</f>
        <v/>
      </c>
      <c r="H217" s="19">
        <f>H208*i_G_fix*H157</f>
        <v/>
      </c>
      <c r="I217" s="19">
        <f>I208*i_G_fix*I157</f>
        <v/>
      </c>
      <c r="J217" s="19">
        <f>J208*i_G_fix*J157</f>
        <v/>
      </c>
      <c r="K217" s="19">
        <f>K208*i_G_fix*K157</f>
        <v/>
      </c>
      <c r="L217" s="19">
        <f>L208*i_G_fix*L157</f>
        <v/>
      </c>
      <c r="M217" s="19">
        <f>M208*i_G_fix*M157</f>
        <v/>
      </c>
      <c r="N217" s="19">
        <f>N208*i_G_fix*N157</f>
        <v/>
      </c>
      <c r="O217" s="19">
        <f>O208*i_G_fix*O157</f>
        <v/>
      </c>
      <c r="P217" s="19">
        <f>P208*i_G_fix*P157</f>
        <v/>
      </c>
      <c r="Q217" s="19">
        <f>Q208*i_G_fix*Q157</f>
        <v/>
      </c>
      <c r="R217" s="19">
        <f>R208*i_G_fix*R157</f>
        <v/>
      </c>
      <c r="S217" s="19">
        <f>S208*i_G_fix*S157</f>
        <v/>
      </c>
      <c r="T217" s="19">
        <f>T208*i_G_fix*T157</f>
        <v/>
      </c>
      <c r="U217" s="19">
        <f>U208*i_G_fix*U157</f>
        <v/>
      </c>
      <c r="V217" s="19">
        <f>V208*i_G_fix*V157</f>
        <v/>
      </c>
      <c r="W217" s="19">
        <f>W208*i_G_fix*W157</f>
        <v/>
      </c>
      <c r="X217" s="19">
        <f>X208*i_G_fix*X157</f>
        <v/>
      </c>
      <c r="Y217" s="19">
        <f>Y208*i_G_fix*Y157</f>
        <v/>
      </c>
      <c r="Z217" s="19">
        <f>Z208*i_G_fix*Z157</f>
        <v/>
      </c>
      <c r="AA217" s="19">
        <f>AA208*i_G_fix*AA157</f>
        <v/>
      </c>
      <c r="AB217" s="19">
        <f>AB208*i_G_fix*AB157</f>
        <v/>
      </c>
      <c r="AC217" s="19">
        <f>AC208*i_G_fix*AC157</f>
        <v/>
      </c>
      <c r="AD217" s="19">
        <f>AD208*i_G_fix*AD157</f>
        <v/>
      </c>
      <c r="AE217" s="19">
        <f>AE208*i_G_fix*AE157</f>
        <v/>
      </c>
      <c r="AF217" s="19">
        <f>AF208*i_G_fix*AF157</f>
        <v/>
      </c>
      <c r="AG217" s="19">
        <f>AG208*i_G_fix*AG157</f>
        <v/>
      </c>
      <c r="AH217" s="19">
        <f>AH208*i_G_fix*AH157</f>
        <v/>
      </c>
      <c r="AI217" s="19">
        <f>AI208*i_G_fix*AI157</f>
        <v/>
      </c>
    </row>
    <row r="218">
      <c r="B218" s="2" t="inlineStr">
        <is>
          <t xml:space="preserve">  Variable cost</t>
        </is>
      </c>
      <c r="D218" s="19">
        <f>i_G_var*D216</f>
        <v/>
      </c>
      <c r="E218" s="19">
        <f>i_G_var*E216</f>
        <v/>
      </c>
      <c r="F218" s="19">
        <f>i_G_var*F216</f>
        <v/>
      </c>
      <c r="G218" s="19">
        <f>i_G_var*G216</f>
        <v/>
      </c>
      <c r="H218" s="19">
        <f>i_G_var*H216</f>
        <v/>
      </c>
      <c r="I218" s="19">
        <f>i_G_var*I216</f>
        <v/>
      </c>
      <c r="J218" s="19">
        <f>i_G_var*J216</f>
        <v/>
      </c>
      <c r="K218" s="19">
        <f>i_G_var*K216</f>
        <v/>
      </c>
      <c r="L218" s="19">
        <f>i_G_var*L216</f>
        <v/>
      </c>
      <c r="M218" s="19">
        <f>i_G_var*M216</f>
        <v/>
      </c>
      <c r="N218" s="19">
        <f>i_G_var*N216</f>
        <v/>
      </c>
      <c r="O218" s="19">
        <f>i_G_var*O216</f>
        <v/>
      </c>
      <c r="P218" s="19">
        <f>i_G_var*P216</f>
        <v/>
      </c>
      <c r="Q218" s="19">
        <f>i_G_var*Q216</f>
        <v/>
      </c>
      <c r="R218" s="19">
        <f>i_G_var*R216</f>
        <v/>
      </c>
      <c r="S218" s="19">
        <f>i_G_var*S216</f>
        <v/>
      </c>
      <c r="T218" s="19">
        <f>i_G_var*T216</f>
        <v/>
      </c>
      <c r="U218" s="19">
        <f>i_G_var*U216</f>
        <v/>
      </c>
      <c r="V218" s="19">
        <f>i_G_var*V216</f>
        <v/>
      </c>
      <c r="W218" s="19">
        <f>i_G_var*W216</f>
        <v/>
      </c>
      <c r="X218" s="19">
        <f>i_G_var*X216</f>
        <v/>
      </c>
      <c r="Y218" s="19">
        <f>i_G_var*Y216</f>
        <v/>
      </c>
      <c r="Z218" s="19">
        <f>i_G_var*Z216</f>
        <v/>
      </c>
      <c r="AA218" s="19">
        <f>i_G_var*AA216</f>
        <v/>
      </c>
      <c r="AB218" s="19">
        <f>i_G_var*AB216</f>
        <v/>
      </c>
      <c r="AC218" s="19">
        <f>i_G_var*AC216</f>
        <v/>
      </c>
      <c r="AD218" s="19">
        <f>i_G_var*AD216</f>
        <v/>
      </c>
      <c r="AE218" s="19">
        <f>i_G_var*AE216</f>
        <v/>
      </c>
      <c r="AF218" s="19">
        <f>i_G_var*AF216</f>
        <v/>
      </c>
      <c r="AG218" s="19">
        <f>i_G_var*AG216</f>
        <v/>
      </c>
      <c r="AH218" s="19">
        <f>i_G_var*AH216</f>
        <v/>
      </c>
      <c r="AI218" s="19">
        <f>i_G_var*AI216</f>
        <v/>
      </c>
    </row>
    <row r="219">
      <c r="B219" s="2" t="inlineStr">
        <is>
          <t xml:space="preserve">  Extra windstorm insurance</t>
        </is>
      </c>
      <c r="D219" s="19">
        <f>IF(D$4&gt;0,DCF!$C$150*i_g_ins*D157,0)</f>
        <v/>
      </c>
      <c r="E219" s="19">
        <f>IF(E$4&gt;0,DCF!$C$150*i_g_ins*E157,0)</f>
        <v/>
      </c>
      <c r="F219" s="19">
        <f>IF(F$4&gt;0,DCF!$C$150*i_g_ins*F157,0)</f>
        <v/>
      </c>
      <c r="G219" s="19">
        <f>IF(G$4&gt;0,DCF!$C$150*i_g_ins*G157,0)</f>
        <v/>
      </c>
      <c r="H219" s="19">
        <f>IF(H$4&gt;0,DCF!$C$150*i_g_ins*H157,0)</f>
        <v/>
      </c>
      <c r="I219" s="19">
        <f>IF(I$4&gt;0,DCF!$C$150*i_g_ins*I157,0)</f>
        <v/>
      </c>
      <c r="J219" s="19">
        <f>IF(J$4&gt;0,DCF!$C$150*i_g_ins*J157,0)</f>
        <v/>
      </c>
      <c r="K219" s="19">
        <f>IF(K$4&gt;0,DCF!$C$150*i_g_ins*K157,0)</f>
        <v/>
      </c>
      <c r="L219" s="19">
        <f>IF(L$4&gt;0,DCF!$C$150*i_g_ins*L157,0)</f>
        <v/>
      </c>
      <c r="M219" s="19">
        <f>IF(M$4&gt;0,DCF!$C$150*i_g_ins*M157,0)</f>
        <v/>
      </c>
      <c r="N219" s="19">
        <f>IF(N$4&gt;0,DCF!$C$150*i_g_ins*N157,0)</f>
        <v/>
      </c>
      <c r="O219" s="19">
        <f>IF(O$4&gt;0,DCF!$C$150*i_g_ins*O157,0)</f>
        <v/>
      </c>
      <c r="P219" s="19">
        <f>IF(P$4&gt;0,DCF!$C$150*i_g_ins*P157,0)</f>
        <v/>
      </c>
      <c r="Q219" s="19">
        <f>IF(Q$4&gt;0,DCF!$C$150*i_g_ins*Q157,0)</f>
        <v/>
      </c>
      <c r="R219" s="19">
        <f>IF(R$4&gt;0,DCF!$C$150*i_g_ins*R157,0)</f>
        <v/>
      </c>
      <c r="S219" s="19">
        <f>IF(S$4&gt;0,DCF!$C$150*i_g_ins*S157,0)</f>
        <v/>
      </c>
      <c r="T219" s="19">
        <f>IF(T$4&gt;0,DCF!$C$150*i_g_ins*T157,0)</f>
        <v/>
      </c>
      <c r="U219" s="19">
        <f>IF(U$4&gt;0,DCF!$C$150*i_g_ins*U157,0)</f>
        <v/>
      </c>
      <c r="V219" s="19">
        <f>IF(V$4&gt;0,DCF!$C$150*i_g_ins*V157,0)</f>
        <v/>
      </c>
      <c r="W219" s="19">
        <f>IF(W$4&gt;0,DCF!$C$150*i_g_ins*W157,0)</f>
        <v/>
      </c>
      <c r="X219" s="19">
        <f>IF(X$4&gt;0,DCF!$C$150*i_g_ins*X157,0)</f>
        <v/>
      </c>
      <c r="Y219" s="19">
        <f>IF(Y$4&gt;0,DCF!$C$150*i_g_ins*Y157,0)</f>
        <v/>
      </c>
      <c r="Z219" s="19">
        <f>IF(Z$4&gt;0,DCF!$C$150*i_g_ins*Z157,0)</f>
        <v/>
      </c>
      <c r="AA219" s="19">
        <f>IF(AA$4&gt;0,DCF!$C$150*i_g_ins*AA157,0)</f>
        <v/>
      </c>
      <c r="AB219" s="19">
        <f>IF(AB$4&gt;0,DCF!$C$150*i_g_ins*AB157,0)</f>
        <v/>
      </c>
      <c r="AC219" s="19">
        <f>IF(AC$4&gt;0,DCF!$C$150*i_g_ins*AC157,0)</f>
        <v/>
      </c>
      <c r="AD219" s="19">
        <f>IF(AD$4&gt;0,DCF!$C$150*i_g_ins*AD157,0)</f>
        <v/>
      </c>
      <c r="AE219" s="19">
        <f>IF(AE$4&gt;0,DCF!$C$150*i_g_ins*AE157,0)</f>
        <v/>
      </c>
      <c r="AF219" s="19">
        <f>IF(AF$4&gt;0,DCF!$C$150*i_g_ins*AF157,0)</f>
        <v/>
      </c>
      <c r="AG219" s="19">
        <f>IF(AG$4&gt;0,DCF!$C$150*i_g_ins*AG157,0)</f>
        <v/>
      </c>
      <c r="AH219" s="19">
        <f>IF(AH$4&gt;0,DCF!$C$150*i_g_ins*AH157,0)</f>
        <v/>
      </c>
      <c r="AI219" s="19">
        <f>IF(AI$4&gt;0,DCF!$C$150*i_g_ins*AI157,0)</f>
        <v/>
      </c>
    </row>
    <row r="220">
      <c r="B220" s="2" t="inlineStr">
        <is>
          <t xml:space="preserve">  Operating cost</t>
        </is>
      </c>
      <c r="D220" s="19">
        <f>D217+D218+D219</f>
        <v/>
      </c>
      <c r="E220" s="19">
        <f>E217+E218+E219</f>
        <v/>
      </c>
      <c r="F220" s="19">
        <f>F217+F218+F219</f>
        <v/>
      </c>
      <c r="G220" s="19">
        <f>G217+G218+G219</f>
        <v/>
      </c>
      <c r="H220" s="19">
        <f>H217+H218+H219</f>
        <v/>
      </c>
      <c r="I220" s="19">
        <f>I217+I218+I219</f>
        <v/>
      </c>
      <c r="J220" s="19">
        <f>J217+J218+J219</f>
        <v/>
      </c>
      <c r="K220" s="19">
        <f>K217+K218+K219</f>
        <v/>
      </c>
      <c r="L220" s="19">
        <f>L217+L218+L219</f>
        <v/>
      </c>
      <c r="M220" s="19">
        <f>M217+M218+M219</f>
        <v/>
      </c>
      <c r="N220" s="19">
        <f>N217+N218+N219</f>
        <v/>
      </c>
      <c r="O220" s="19">
        <f>O217+O218+O219</f>
        <v/>
      </c>
      <c r="P220" s="19">
        <f>P217+P218+P219</f>
        <v/>
      </c>
      <c r="Q220" s="19">
        <f>Q217+Q218+Q219</f>
        <v/>
      </c>
      <c r="R220" s="19">
        <f>R217+R218+R219</f>
        <v/>
      </c>
      <c r="S220" s="19">
        <f>S217+S218+S219</f>
        <v/>
      </c>
      <c r="T220" s="19">
        <f>T217+T218+T219</f>
        <v/>
      </c>
      <c r="U220" s="19">
        <f>U217+U218+U219</f>
        <v/>
      </c>
      <c r="V220" s="19">
        <f>V217+V218+V219</f>
        <v/>
      </c>
      <c r="W220" s="19">
        <f>W217+W218+W219</f>
        <v/>
      </c>
      <c r="X220" s="19">
        <f>X217+X218+X219</f>
        <v/>
      </c>
      <c r="Y220" s="19">
        <f>Y217+Y218+Y219</f>
        <v/>
      </c>
      <c r="Z220" s="19">
        <f>Z217+Z218+Z219</f>
        <v/>
      </c>
      <c r="AA220" s="19">
        <f>AA217+AA218+AA219</f>
        <v/>
      </c>
      <c r="AB220" s="19">
        <f>AB217+AB218+AB219</f>
        <v/>
      </c>
      <c r="AC220" s="19">
        <f>AC217+AC218+AC219</f>
        <v/>
      </c>
      <c r="AD220" s="19">
        <f>AD217+AD218+AD219</f>
        <v/>
      </c>
      <c r="AE220" s="19">
        <f>AE217+AE218+AE219</f>
        <v/>
      </c>
      <c r="AF220" s="19">
        <f>AF217+AF218+AF219</f>
        <v/>
      </c>
      <c r="AG220" s="19">
        <f>AG217+AG218+AG219</f>
        <v/>
      </c>
      <c r="AH220" s="19">
        <f>AH217+AH218+AH219</f>
        <v/>
      </c>
      <c r="AI220" s="19">
        <f>AI217+AI218+AI219</f>
        <v/>
      </c>
    </row>
    <row r="221">
      <c r="B221" s="3" t="inlineStr">
        <is>
          <t xml:space="preserve">  EBITDA</t>
        </is>
      </c>
      <c r="D221" s="31">
        <f>D216-D220</f>
        <v/>
      </c>
      <c r="E221" s="31">
        <f>E216-E220</f>
        <v/>
      </c>
      <c r="F221" s="31">
        <f>F216-F220</f>
        <v/>
      </c>
      <c r="G221" s="31">
        <f>G216-G220</f>
        <v/>
      </c>
      <c r="H221" s="31">
        <f>H216-H220</f>
        <v/>
      </c>
      <c r="I221" s="31">
        <f>I216-I220</f>
        <v/>
      </c>
      <c r="J221" s="31">
        <f>J216-J220</f>
        <v/>
      </c>
      <c r="K221" s="31">
        <f>K216-K220</f>
        <v/>
      </c>
      <c r="L221" s="31">
        <f>L216-L220</f>
        <v/>
      </c>
      <c r="M221" s="31">
        <f>M216-M220</f>
        <v/>
      </c>
      <c r="N221" s="31">
        <f>N216-N220</f>
        <v/>
      </c>
      <c r="O221" s="31">
        <f>O216-O220</f>
        <v/>
      </c>
      <c r="P221" s="31">
        <f>P216-P220</f>
        <v/>
      </c>
      <c r="Q221" s="31">
        <f>Q216-Q220</f>
        <v/>
      </c>
      <c r="R221" s="31">
        <f>R216-R220</f>
        <v/>
      </c>
      <c r="S221" s="31">
        <f>S216-S220</f>
        <v/>
      </c>
      <c r="T221" s="31">
        <f>T216-T220</f>
        <v/>
      </c>
      <c r="U221" s="31">
        <f>U216-U220</f>
        <v/>
      </c>
      <c r="V221" s="31">
        <f>V216-V220</f>
        <v/>
      </c>
      <c r="W221" s="31">
        <f>W216-W220</f>
        <v/>
      </c>
      <c r="X221" s="31">
        <f>X216-X220</f>
        <v/>
      </c>
      <c r="Y221" s="31">
        <f>Y216-Y220</f>
        <v/>
      </c>
      <c r="Z221" s="31">
        <f>Z216-Z220</f>
        <v/>
      </c>
      <c r="AA221" s="31">
        <f>AA216-AA220</f>
        <v/>
      </c>
      <c r="AB221" s="31">
        <f>AB216-AB220</f>
        <v/>
      </c>
      <c r="AC221" s="31">
        <f>AC216-AC220</f>
        <v/>
      </c>
      <c r="AD221" s="31">
        <f>AD216-AD220</f>
        <v/>
      </c>
      <c r="AE221" s="31">
        <f>AE216-AE220</f>
        <v/>
      </c>
      <c r="AF221" s="31">
        <f>AF216-AF220</f>
        <v/>
      </c>
      <c r="AG221" s="31">
        <f>AG216-AG220</f>
        <v/>
      </c>
      <c r="AH221" s="31">
        <f>AH216-AH220</f>
        <v/>
      </c>
      <c r="AI221" s="31">
        <f>AI216-AI220</f>
        <v/>
      </c>
    </row>
    <row r="222">
      <c r="B222" s="2" t="inlineStr">
        <is>
          <t xml:space="preserve">  Maintenance capex</t>
        </is>
      </c>
      <c r="D222" s="19">
        <f>D208*i_G_mc*D157</f>
        <v/>
      </c>
      <c r="E222" s="19">
        <f>E208*i_G_mc*E157</f>
        <v/>
      </c>
      <c r="F222" s="19">
        <f>F208*i_G_mc*F157</f>
        <v/>
      </c>
      <c r="G222" s="19">
        <f>G208*i_G_mc*G157</f>
        <v/>
      </c>
      <c r="H222" s="19">
        <f>H208*i_G_mc*H157</f>
        <v/>
      </c>
      <c r="I222" s="19">
        <f>I208*i_G_mc*I157</f>
        <v/>
      </c>
      <c r="J222" s="19">
        <f>J208*i_G_mc*J157</f>
        <v/>
      </c>
      <c r="K222" s="19">
        <f>K208*i_G_mc*K157</f>
        <v/>
      </c>
      <c r="L222" s="19">
        <f>L208*i_G_mc*L157</f>
        <v/>
      </c>
      <c r="M222" s="19">
        <f>M208*i_G_mc*M157</f>
        <v/>
      </c>
      <c r="N222" s="19">
        <f>N208*i_G_mc*N157</f>
        <v/>
      </c>
      <c r="O222" s="19">
        <f>O208*i_G_mc*O157</f>
        <v/>
      </c>
      <c r="P222" s="19">
        <f>P208*i_G_mc*P157</f>
        <v/>
      </c>
      <c r="Q222" s="19">
        <f>Q208*i_G_mc*Q157</f>
        <v/>
      </c>
      <c r="R222" s="19">
        <f>R208*i_G_mc*R157</f>
        <v/>
      </c>
      <c r="S222" s="19">
        <f>S208*i_G_mc*S157</f>
        <v/>
      </c>
      <c r="T222" s="19">
        <f>T208*i_G_mc*T157</f>
        <v/>
      </c>
      <c r="U222" s="19">
        <f>U208*i_G_mc*U157</f>
        <v/>
      </c>
      <c r="V222" s="19">
        <f>V208*i_G_mc*V157</f>
        <v/>
      </c>
      <c r="W222" s="19">
        <f>W208*i_G_mc*W157</f>
        <v/>
      </c>
      <c r="X222" s="19">
        <f>X208*i_G_mc*X157</f>
        <v/>
      </c>
      <c r="Y222" s="19">
        <f>Y208*i_G_mc*Y157</f>
        <v/>
      </c>
      <c r="Z222" s="19">
        <f>Z208*i_G_mc*Z157</f>
        <v/>
      </c>
      <c r="AA222" s="19">
        <f>AA208*i_G_mc*AA157</f>
        <v/>
      </c>
      <c r="AB222" s="19">
        <f>AB208*i_G_mc*AB157</f>
        <v/>
      </c>
      <c r="AC222" s="19">
        <f>AC208*i_G_mc*AC157</f>
        <v/>
      </c>
      <c r="AD222" s="19">
        <f>AD208*i_G_mc*AD157</f>
        <v/>
      </c>
      <c r="AE222" s="19">
        <f>AE208*i_G_mc*AE157</f>
        <v/>
      </c>
      <c r="AF222" s="19">
        <f>AF208*i_G_mc*AF157</f>
        <v/>
      </c>
      <c r="AG222" s="19">
        <f>AG208*i_G_mc*AG157</f>
        <v/>
      </c>
      <c r="AH222" s="19">
        <f>AH208*i_G_mc*AH157</f>
        <v/>
      </c>
      <c r="AI222" s="19">
        <f>AI208*i_G_mc*AI157</f>
        <v/>
      </c>
    </row>
    <row r="223">
      <c r="B223" s="3" t="inlineStr">
        <is>
          <t>Sabine Bend expansion (renewable fuels)</t>
        </is>
      </c>
    </row>
    <row r="224">
      <c r="B224" s="2" t="inlineStr">
        <is>
          <t xml:space="preserve">  Growth capex</t>
        </is>
      </c>
      <c r="D224" s="19">
        <f>DCF!$C$151*SUMIF(i_exp_capex_years,D$3,i_exp_capex_vals)*D157</f>
        <v/>
      </c>
      <c r="E224" s="19">
        <f>DCF!$C$151*SUMIF(i_exp_capex_years,E$3,i_exp_capex_vals)*E157</f>
        <v/>
      </c>
      <c r="F224" s="19">
        <f>DCF!$C$151*SUMIF(i_exp_capex_years,F$3,i_exp_capex_vals)*F157</f>
        <v/>
      </c>
      <c r="G224" s="19">
        <f>DCF!$C$151*SUMIF(i_exp_capex_years,G$3,i_exp_capex_vals)*G157</f>
        <v/>
      </c>
      <c r="H224" s="19">
        <f>DCF!$C$151*SUMIF(i_exp_capex_years,H$3,i_exp_capex_vals)*H157</f>
        <v/>
      </c>
      <c r="I224" s="19">
        <f>DCF!$C$151*SUMIF(i_exp_capex_years,I$3,i_exp_capex_vals)*I157</f>
        <v/>
      </c>
      <c r="J224" s="19">
        <f>DCF!$C$151*SUMIF(i_exp_capex_years,J$3,i_exp_capex_vals)*J157</f>
        <v/>
      </c>
      <c r="K224" s="19">
        <f>DCF!$C$151*SUMIF(i_exp_capex_years,K$3,i_exp_capex_vals)*K157</f>
        <v/>
      </c>
      <c r="L224" s="19">
        <f>DCF!$C$151*SUMIF(i_exp_capex_years,L$3,i_exp_capex_vals)*L157</f>
        <v/>
      </c>
      <c r="M224" s="19">
        <f>DCF!$C$151*SUMIF(i_exp_capex_years,M$3,i_exp_capex_vals)*M157</f>
        <v/>
      </c>
      <c r="N224" s="19">
        <f>DCF!$C$151*SUMIF(i_exp_capex_years,N$3,i_exp_capex_vals)*N157</f>
        <v/>
      </c>
      <c r="O224" s="19">
        <f>DCF!$C$151*SUMIF(i_exp_capex_years,O$3,i_exp_capex_vals)*O157</f>
        <v/>
      </c>
      <c r="P224" s="19">
        <f>DCF!$C$151*SUMIF(i_exp_capex_years,P$3,i_exp_capex_vals)*P157</f>
        <v/>
      </c>
      <c r="Q224" s="19">
        <f>DCF!$C$151*SUMIF(i_exp_capex_years,Q$3,i_exp_capex_vals)*Q157</f>
        <v/>
      </c>
      <c r="R224" s="19">
        <f>DCF!$C$151*SUMIF(i_exp_capex_years,R$3,i_exp_capex_vals)*R157</f>
        <v/>
      </c>
      <c r="S224" s="19">
        <f>DCF!$C$151*SUMIF(i_exp_capex_years,S$3,i_exp_capex_vals)*S157</f>
        <v/>
      </c>
      <c r="T224" s="19">
        <f>DCF!$C$151*SUMIF(i_exp_capex_years,T$3,i_exp_capex_vals)*T157</f>
        <v/>
      </c>
      <c r="U224" s="19">
        <f>DCF!$C$151*SUMIF(i_exp_capex_years,U$3,i_exp_capex_vals)*U157</f>
        <v/>
      </c>
      <c r="V224" s="19">
        <f>DCF!$C$151*SUMIF(i_exp_capex_years,V$3,i_exp_capex_vals)*V157</f>
        <v/>
      </c>
      <c r="W224" s="19">
        <f>DCF!$C$151*SUMIF(i_exp_capex_years,W$3,i_exp_capex_vals)*W157</f>
        <v/>
      </c>
      <c r="X224" s="19">
        <f>DCF!$C$151*SUMIF(i_exp_capex_years,X$3,i_exp_capex_vals)*X157</f>
        <v/>
      </c>
      <c r="Y224" s="19">
        <f>DCF!$C$151*SUMIF(i_exp_capex_years,Y$3,i_exp_capex_vals)*Y157</f>
        <v/>
      </c>
      <c r="Z224" s="19">
        <f>DCF!$C$151*SUMIF(i_exp_capex_years,Z$3,i_exp_capex_vals)*Z157</f>
        <v/>
      </c>
      <c r="AA224" s="19">
        <f>DCF!$C$151*SUMIF(i_exp_capex_years,AA$3,i_exp_capex_vals)*AA157</f>
        <v/>
      </c>
      <c r="AB224" s="19">
        <f>DCF!$C$151*SUMIF(i_exp_capex_years,AB$3,i_exp_capex_vals)*AB157</f>
        <v/>
      </c>
      <c r="AC224" s="19">
        <f>DCF!$C$151*SUMIF(i_exp_capex_years,AC$3,i_exp_capex_vals)*AC157</f>
        <v/>
      </c>
      <c r="AD224" s="19">
        <f>DCF!$C$151*SUMIF(i_exp_capex_years,AD$3,i_exp_capex_vals)*AD157</f>
        <v/>
      </c>
      <c r="AE224" s="19">
        <f>DCF!$C$151*SUMIF(i_exp_capex_years,AE$3,i_exp_capex_vals)*AE157</f>
        <v/>
      </c>
      <c r="AF224" s="19">
        <f>DCF!$C$151*SUMIF(i_exp_capex_years,AF$3,i_exp_capex_vals)*AF157</f>
        <v/>
      </c>
      <c r="AG224" s="19">
        <f>DCF!$C$151*SUMIF(i_exp_capex_years,AG$3,i_exp_capex_vals)*AG157</f>
        <v/>
      </c>
      <c r="AH224" s="19">
        <f>DCF!$C$151*SUMIF(i_exp_capex_years,AH$3,i_exp_capex_vals)*AH157</f>
        <v/>
      </c>
      <c r="AI224" s="19">
        <f>DCF!$C$151*SUMIF(i_exp_capex_years,AI$3,i_exp_capex_vals)*AI157</f>
        <v/>
      </c>
    </row>
    <row r="225">
      <c r="B225" s="2" t="inlineStr">
        <is>
          <t xml:space="preserve">  Operating (1/0)</t>
        </is>
      </c>
      <c r="D225" s="22">
        <f>IF(D$3&gt;=i_exp_start,DCF!$C$151,0)</f>
        <v/>
      </c>
      <c r="E225" s="22">
        <f>IF(E$3&gt;=i_exp_start,DCF!$C$151,0)</f>
        <v/>
      </c>
      <c r="F225" s="22">
        <f>IF(F$3&gt;=i_exp_start,DCF!$C$151,0)</f>
        <v/>
      </c>
      <c r="G225" s="22">
        <f>IF(G$3&gt;=i_exp_start,DCF!$C$151,0)</f>
        <v/>
      </c>
      <c r="H225" s="22">
        <f>IF(H$3&gt;=i_exp_start,DCF!$C$151,0)</f>
        <v/>
      </c>
      <c r="I225" s="22">
        <f>IF(I$3&gt;=i_exp_start,DCF!$C$151,0)</f>
        <v/>
      </c>
      <c r="J225" s="22">
        <f>IF(J$3&gt;=i_exp_start,DCF!$C$151,0)</f>
        <v/>
      </c>
      <c r="K225" s="22">
        <f>IF(K$3&gt;=i_exp_start,DCF!$C$151,0)</f>
        <v/>
      </c>
      <c r="L225" s="22">
        <f>IF(L$3&gt;=i_exp_start,DCF!$C$151,0)</f>
        <v/>
      </c>
      <c r="M225" s="22">
        <f>IF(M$3&gt;=i_exp_start,DCF!$C$151,0)</f>
        <v/>
      </c>
      <c r="N225" s="22">
        <f>IF(N$3&gt;=i_exp_start,DCF!$C$151,0)</f>
        <v/>
      </c>
      <c r="O225" s="22">
        <f>IF(O$3&gt;=i_exp_start,DCF!$C$151,0)</f>
        <v/>
      </c>
      <c r="P225" s="22">
        <f>IF(P$3&gt;=i_exp_start,DCF!$C$151,0)</f>
        <v/>
      </c>
      <c r="Q225" s="22">
        <f>IF(Q$3&gt;=i_exp_start,DCF!$C$151,0)</f>
        <v/>
      </c>
      <c r="R225" s="22">
        <f>IF(R$3&gt;=i_exp_start,DCF!$C$151,0)</f>
        <v/>
      </c>
      <c r="S225" s="22">
        <f>IF(S$3&gt;=i_exp_start,DCF!$C$151,0)</f>
        <v/>
      </c>
      <c r="T225" s="22">
        <f>IF(T$3&gt;=i_exp_start,DCF!$C$151,0)</f>
        <v/>
      </c>
      <c r="U225" s="22">
        <f>IF(U$3&gt;=i_exp_start,DCF!$C$151,0)</f>
        <v/>
      </c>
      <c r="V225" s="22">
        <f>IF(V$3&gt;=i_exp_start,DCF!$C$151,0)</f>
        <v/>
      </c>
      <c r="W225" s="22">
        <f>IF(W$3&gt;=i_exp_start,DCF!$C$151,0)</f>
        <v/>
      </c>
      <c r="X225" s="22">
        <f>IF(X$3&gt;=i_exp_start,DCF!$C$151,0)</f>
        <v/>
      </c>
      <c r="Y225" s="22">
        <f>IF(Y$3&gt;=i_exp_start,DCF!$C$151,0)</f>
        <v/>
      </c>
      <c r="Z225" s="22">
        <f>IF(Z$3&gt;=i_exp_start,DCF!$C$151,0)</f>
        <v/>
      </c>
      <c r="AA225" s="22">
        <f>IF(AA$3&gt;=i_exp_start,DCF!$C$151,0)</f>
        <v/>
      </c>
      <c r="AB225" s="22">
        <f>IF(AB$3&gt;=i_exp_start,DCF!$C$151,0)</f>
        <v/>
      </c>
      <c r="AC225" s="22">
        <f>IF(AC$3&gt;=i_exp_start,DCF!$C$151,0)</f>
        <v/>
      </c>
      <c r="AD225" s="22">
        <f>IF(AD$3&gt;=i_exp_start,DCF!$C$151,0)</f>
        <v/>
      </c>
      <c r="AE225" s="22">
        <f>IF(AE$3&gt;=i_exp_start,DCF!$C$151,0)</f>
        <v/>
      </c>
      <c r="AF225" s="22">
        <f>IF(AF$3&gt;=i_exp_start,DCF!$C$151,0)</f>
        <v/>
      </c>
      <c r="AG225" s="22">
        <f>IF(AG$3&gt;=i_exp_start,DCF!$C$151,0)</f>
        <v/>
      </c>
      <c r="AH225" s="22">
        <f>IF(AH$3&gt;=i_exp_start,DCF!$C$151,0)</f>
        <v/>
      </c>
      <c r="AI225" s="22">
        <f>IF(AI$3&gt;=i_exp_start,DCF!$C$151,0)</f>
        <v/>
      </c>
    </row>
    <row r="226">
      <c r="B226" s="2" t="inlineStr">
        <is>
          <t xml:space="preserve">  Under the anchor contract (1/0)</t>
        </is>
      </c>
      <c r="D226" s="22">
        <f>IF(D$3&lt;i_exp_start+i_exp_years,1,0)</f>
        <v/>
      </c>
      <c r="E226" s="22">
        <f>IF(E$3&lt;i_exp_start+i_exp_years,1,0)</f>
        <v/>
      </c>
      <c r="F226" s="22">
        <f>IF(F$3&lt;i_exp_start+i_exp_years,1,0)</f>
        <v/>
      </c>
      <c r="G226" s="22">
        <f>IF(G$3&lt;i_exp_start+i_exp_years,1,0)</f>
        <v/>
      </c>
      <c r="H226" s="22">
        <f>IF(H$3&lt;i_exp_start+i_exp_years,1,0)</f>
        <v/>
      </c>
      <c r="I226" s="22">
        <f>IF(I$3&lt;i_exp_start+i_exp_years,1,0)</f>
        <v/>
      </c>
      <c r="J226" s="22">
        <f>IF(J$3&lt;i_exp_start+i_exp_years,1,0)</f>
        <v/>
      </c>
      <c r="K226" s="22">
        <f>IF(K$3&lt;i_exp_start+i_exp_years,1,0)</f>
        <v/>
      </c>
      <c r="L226" s="22">
        <f>IF(L$3&lt;i_exp_start+i_exp_years,1,0)</f>
        <v/>
      </c>
      <c r="M226" s="22">
        <f>IF(M$3&lt;i_exp_start+i_exp_years,1,0)</f>
        <v/>
      </c>
      <c r="N226" s="22">
        <f>IF(N$3&lt;i_exp_start+i_exp_years,1,0)</f>
        <v/>
      </c>
      <c r="O226" s="22">
        <f>IF(O$3&lt;i_exp_start+i_exp_years,1,0)</f>
        <v/>
      </c>
      <c r="P226" s="22">
        <f>IF(P$3&lt;i_exp_start+i_exp_years,1,0)</f>
        <v/>
      </c>
      <c r="Q226" s="22">
        <f>IF(Q$3&lt;i_exp_start+i_exp_years,1,0)</f>
        <v/>
      </c>
      <c r="R226" s="22">
        <f>IF(R$3&lt;i_exp_start+i_exp_years,1,0)</f>
        <v/>
      </c>
      <c r="S226" s="22">
        <f>IF(S$3&lt;i_exp_start+i_exp_years,1,0)</f>
        <v/>
      </c>
      <c r="T226" s="22">
        <f>IF(T$3&lt;i_exp_start+i_exp_years,1,0)</f>
        <v/>
      </c>
      <c r="U226" s="22">
        <f>IF(U$3&lt;i_exp_start+i_exp_years,1,0)</f>
        <v/>
      </c>
      <c r="V226" s="22">
        <f>IF(V$3&lt;i_exp_start+i_exp_years,1,0)</f>
        <v/>
      </c>
      <c r="W226" s="22">
        <f>IF(W$3&lt;i_exp_start+i_exp_years,1,0)</f>
        <v/>
      </c>
      <c r="X226" s="22">
        <f>IF(X$3&lt;i_exp_start+i_exp_years,1,0)</f>
        <v/>
      </c>
      <c r="Y226" s="22">
        <f>IF(Y$3&lt;i_exp_start+i_exp_years,1,0)</f>
        <v/>
      </c>
      <c r="Z226" s="22">
        <f>IF(Z$3&lt;i_exp_start+i_exp_years,1,0)</f>
        <v/>
      </c>
      <c r="AA226" s="22">
        <f>IF(AA$3&lt;i_exp_start+i_exp_years,1,0)</f>
        <v/>
      </c>
      <c r="AB226" s="22">
        <f>IF(AB$3&lt;i_exp_start+i_exp_years,1,0)</f>
        <v/>
      </c>
      <c r="AC226" s="22">
        <f>IF(AC$3&lt;i_exp_start+i_exp_years,1,0)</f>
        <v/>
      </c>
      <c r="AD226" s="22">
        <f>IF(AD$3&lt;i_exp_start+i_exp_years,1,0)</f>
        <v/>
      </c>
      <c r="AE226" s="22">
        <f>IF(AE$3&lt;i_exp_start+i_exp_years,1,0)</f>
        <v/>
      </c>
      <c r="AF226" s="22">
        <f>IF(AF$3&lt;i_exp_start+i_exp_years,1,0)</f>
        <v/>
      </c>
      <c r="AG226" s="22">
        <f>IF(AG$3&lt;i_exp_start+i_exp_years,1,0)</f>
        <v/>
      </c>
      <c r="AH226" s="22">
        <f>IF(AH$3&lt;i_exp_start+i_exp_years,1,0)</f>
        <v/>
      </c>
      <c r="AI226" s="22">
        <f>IF(AI$3&lt;i_exp_start+i_exp_years,1,0)</f>
        <v/>
      </c>
    </row>
    <row r="227">
      <c r="B227" s="2" t="inlineStr">
        <is>
          <t xml:space="preserve">  Rate ($ per m3 per month)</t>
        </is>
      </c>
      <c r="D227" s="24">
        <f>i_exp_rate*D158*IF(D226=1,1,1+i_exp_mtm)</f>
        <v/>
      </c>
      <c r="E227" s="24">
        <f>i_exp_rate*E158*IF(E226=1,1,1+i_exp_mtm)</f>
        <v/>
      </c>
      <c r="F227" s="24">
        <f>i_exp_rate*F158*IF(F226=1,1,1+i_exp_mtm)</f>
        <v/>
      </c>
      <c r="G227" s="24">
        <f>i_exp_rate*G158*IF(G226=1,1,1+i_exp_mtm)</f>
        <v/>
      </c>
      <c r="H227" s="24">
        <f>i_exp_rate*H158*IF(H226=1,1,1+i_exp_mtm)</f>
        <v/>
      </c>
      <c r="I227" s="24">
        <f>i_exp_rate*I158*IF(I226=1,1,1+i_exp_mtm)</f>
        <v/>
      </c>
      <c r="J227" s="24">
        <f>i_exp_rate*J158*IF(J226=1,1,1+i_exp_mtm)</f>
        <v/>
      </c>
      <c r="K227" s="24">
        <f>i_exp_rate*K158*IF(K226=1,1,1+i_exp_mtm)</f>
        <v/>
      </c>
      <c r="L227" s="24">
        <f>i_exp_rate*L158*IF(L226=1,1,1+i_exp_mtm)</f>
        <v/>
      </c>
      <c r="M227" s="24">
        <f>i_exp_rate*M158*IF(M226=1,1,1+i_exp_mtm)</f>
        <v/>
      </c>
      <c r="N227" s="24">
        <f>i_exp_rate*N158*IF(N226=1,1,1+i_exp_mtm)</f>
        <v/>
      </c>
      <c r="O227" s="24">
        <f>i_exp_rate*O158*IF(O226=1,1,1+i_exp_mtm)</f>
        <v/>
      </c>
      <c r="P227" s="24">
        <f>i_exp_rate*P158*IF(P226=1,1,1+i_exp_mtm)</f>
        <v/>
      </c>
      <c r="Q227" s="24">
        <f>i_exp_rate*Q158*IF(Q226=1,1,1+i_exp_mtm)</f>
        <v/>
      </c>
      <c r="R227" s="24">
        <f>i_exp_rate*R158*IF(R226=1,1,1+i_exp_mtm)</f>
        <v/>
      </c>
      <c r="S227" s="24">
        <f>i_exp_rate*S158*IF(S226=1,1,1+i_exp_mtm)</f>
        <v/>
      </c>
      <c r="T227" s="24">
        <f>i_exp_rate*T158*IF(T226=1,1,1+i_exp_mtm)</f>
        <v/>
      </c>
      <c r="U227" s="24">
        <f>i_exp_rate*U158*IF(U226=1,1,1+i_exp_mtm)</f>
        <v/>
      </c>
      <c r="V227" s="24">
        <f>i_exp_rate*V158*IF(V226=1,1,1+i_exp_mtm)</f>
        <v/>
      </c>
      <c r="W227" s="24">
        <f>i_exp_rate*W158*IF(W226=1,1,1+i_exp_mtm)</f>
        <v/>
      </c>
      <c r="X227" s="24">
        <f>i_exp_rate*X158*IF(X226=1,1,1+i_exp_mtm)</f>
        <v/>
      </c>
      <c r="Y227" s="24">
        <f>i_exp_rate*Y158*IF(Y226=1,1,1+i_exp_mtm)</f>
        <v/>
      </c>
      <c r="Z227" s="24">
        <f>i_exp_rate*Z158*IF(Z226=1,1,1+i_exp_mtm)</f>
        <v/>
      </c>
      <c r="AA227" s="24">
        <f>i_exp_rate*AA158*IF(AA226=1,1,1+i_exp_mtm)</f>
        <v/>
      </c>
      <c r="AB227" s="24">
        <f>i_exp_rate*AB158*IF(AB226=1,1,1+i_exp_mtm)</f>
        <v/>
      </c>
      <c r="AC227" s="24">
        <f>i_exp_rate*AC158*IF(AC226=1,1,1+i_exp_mtm)</f>
        <v/>
      </c>
      <c r="AD227" s="24">
        <f>i_exp_rate*AD158*IF(AD226=1,1,1+i_exp_mtm)</f>
        <v/>
      </c>
      <c r="AE227" s="24">
        <f>i_exp_rate*AE158*IF(AE226=1,1,1+i_exp_mtm)</f>
        <v/>
      </c>
      <c r="AF227" s="24">
        <f>i_exp_rate*AF158*IF(AF226=1,1,1+i_exp_mtm)</f>
        <v/>
      </c>
      <c r="AG227" s="24">
        <f>i_exp_rate*AG158*IF(AG226=1,1,1+i_exp_mtm)</f>
        <v/>
      </c>
      <c r="AH227" s="24">
        <f>i_exp_rate*AH158*IF(AH226=1,1,1+i_exp_mtm)</f>
        <v/>
      </c>
      <c r="AI227" s="24">
        <f>i_exp_rate*AI158*IF(AI226=1,1,1+i_exp_mtm)</f>
        <v/>
      </c>
    </row>
    <row r="228">
      <c r="B228" s="2" t="inlineStr">
        <is>
          <t xml:space="preserve">  Occupancy</t>
        </is>
      </c>
      <c r="D228" s="21">
        <f>IF(D226=1,i_exp_occ_c,i_exp_occ_m)</f>
        <v/>
      </c>
      <c r="E228" s="21">
        <f>IF(E226=1,i_exp_occ_c,i_exp_occ_m)</f>
        <v/>
      </c>
      <c r="F228" s="21">
        <f>IF(F226=1,i_exp_occ_c,i_exp_occ_m)</f>
        <v/>
      </c>
      <c r="G228" s="21">
        <f>IF(G226=1,i_exp_occ_c,i_exp_occ_m)</f>
        <v/>
      </c>
      <c r="H228" s="21">
        <f>IF(H226=1,i_exp_occ_c,i_exp_occ_m)</f>
        <v/>
      </c>
      <c r="I228" s="21">
        <f>IF(I226=1,i_exp_occ_c,i_exp_occ_m)</f>
        <v/>
      </c>
      <c r="J228" s="21">
        <f>IF(J226=1,i_exp_occ_c,i_exp_occ_m)</f>
        <v/>
      </c>
      <c r="K228" s="21">
        <f>IF(K226=1,i_exp_occ_c,i_exp_occ_m)</f>
        <v/>
      </c>
      <c r="L228" s="21">
        <f>IF(L226=1,i_exp_occ_c,i_exp_occ_m)</f>
        <v/>
      </c>
      <c r="M228" s="21">
        <f>IF(M226=1,i_exp_occ_c,i_exp_occ_m)</f>
        <v/>
      </c>
      <c r="N228" s="21">
        <f>IF(N226=1,i_exp_occ_c,i_exp_occ_m)</f>
        <v/>
      </c>
      <c r="O228" s="21">
        <f>IF(O226=1,i_exp_occ_c,i_exp_occ_m)</f>
        <v/>
      </c>
      <c r="P228" s="21">
        <f>IF(P226=1,i_exp_occ_c,i_exp_occ_m)</f>
        <v/>
      </c>
      <c r="Q228" s="21">
        <f>IF(Q226=1,i_exp_occ_c,i_exp_occ_m)</f>
        <v/>
      </c>
      <c r="R228" s="21">
        <f>IF(R226=1,i_exp_occ_c,i_exp_occ_m)</f>
        <v/>
      </c>
      <c r="S228" s="21">
        <f>IF(S226=1,i_exp_occ_c,i_exp_occ_m)</f>
        <v/>
      </c>
      <c r="T228" s="21">
        <f>IF(T226=1,i_exp_occ_c,i_exp_occ_m)</f>
        <v/>
      </c>
      <c r="U228" s="21">
        <f>IF(U226=1,i_exp_occ_c,i_exp_occ_m)</f>
        <v/>
      </c>
      <c r="V228" s="21">
        <f>IF(V226=1,i_exp_occ_c,i_exp_occ_m)</f>
        <v/>
      </c>
      <c r="W228" s="21">
        <f>IF(W226=1,i_exp_occ_c,i_exp_occ_m)</f>
        <v/>
      </c>
      <c r="X228" s="21">
        <f>IF(X226=1,i_exp_occ_c,i_exp_occ_m)</f>
        <v/>
      </c>
      <c r="Y228" s="21">
        <f>IF(Y226=1,i_exp_occ_c,i_exp_occ_m)</f>
        <v/>
      </c>
      <c r="Z228" s="21">
        <f>IF(Z226=1,i_exp_occ_c,i_exp_occ_m)</f>
        <v/>
      </c>
      <c r="AA228" s="21">
        <f>IF(AA226=1,i_exp_occ_c,i_exp_occ_m)</f>
        <v/>
      </c>
      <c r="AB228" s="21">
        <f>IF(AB226=1,i_exp_occ_c,i_exp_occ_m)</f>
        <v/>
      </c>
      <c r="AC228" s="21">
        <f>IF(AC226=1,i_exp_occ_c,i_exp_occ_m)</f>
        <v/>
      </c>
      <c r="AD228" s="21">
        <f>IF(AD226=1,i_exp_occ_c,i_exp_occ_m)</f>
        <v/>
      </c>
      <c r="AE228" s="21">
        <f>IF(AE226=1,i_exp_occ_c,i_exp_occ_m)</f>
        <v/>
      </c>
      <c r="AF228" s="21">
        <f>IF(AF226=1,i_exp_occ_c,i_exp_occ_m)</f>
        <v/>
      </c>
      <c r="AG228" s="21">
        <f>IF(AG226=1,i_exp_occ_c,i_exp_occ_m)</f>
        <v/>
      </c>
      <c r="AH228" s="21">
        <f>IF(AH226=1,i_exp_occ_c,i_exp_occ_m)</f>
        <v/>
      </c>
      <c r="AI228" s="21">
        <f>IF(AI226=1,i_exp_occ_c,i_exp_occ_m)</f>
        <v/>
      </c>
    </row>
    <row r="229">
      <c r="B229" s="2" t="inlineStr">
        <is>
          <t xml:space="preserve">  Storage revenue</t>
        </is>
      </c>
      <c r="D229" s="19">
        <f>D225*i_exp_cap*D227*12*D228</f>
        <v/>
      </c>
      <c r="E229" s="19">
        <f>E225*i_exp_cap*E227*12*E228</f>
        <v/>
      </c>
      <c r="F229" s="19">
        <f>F225*i_exp_cap*F227*12*F228</f>
        <v/>
      </c>
      <c r="G229" s="19">
        <f>G225*i_exp_cap*G227*12*G228</f>
        <v/>
      </c>
      <c r="H229" s="19">
        <f>H225*i_exp_cap*H227*12*H228</f>
        <v/>
      </c>
      <c r="I229" s="19">
        <f>I225*i_exp_cap*I227*12*I228</f>
        <v/>
      </c>
      <c r="J229" s="19">
        <f>J225*i_exp_cap*J227*12*J228</f>
        <v/>
      </c>
      <c r="K229" s="19">
        <f>K225*i_exp_cap*K227*12*K228</f>
        <v/>
      </c>
      <c r="L229" s="19">
        <f>L225*i_exp_cap*L227*12*L228</f>
        <v/>
      </c>
      <c r="M229" s="19">
        <f>M225*i_exp_cap*M227*12*M228</f>
        <v/>
      </c>
      <c r="N229" s="19">
        <f>N225*i_exp_cap*N227*12*N228</f>
        <v/>
      </c>
      <c r="O229" s="19">
        <f>O225*i_exp_cap*O227*12*O228</f>
        <v/>
      </c>
      <c r="P229" s="19">
        <f>P225*i_exp_cap*P227*12*P228</f>
        <v/>
      </c>
      <c r="Q229" s="19">
        <f>Q225*i_exp_cap*Q227*12*Q228</f>
        <v/>
      </c>
      <c r="R229" s="19">
        <f>R225*i_exp_cap*R227*12*R228</f>
        <v/>
      </c>
      <c r="S229" s="19">
        <f>S225*i_exp_cap*S227*12*S228</f>
        <v/>
      </c>
      <c r="T229" s="19">
        <f>T225*i_exp_cap*T227*12*T228</f>
        <v/>
      </c>
      <c r="U229" s="19">
        <f>U225*i_exp_cap*U227*12*U228</f>
        <v/>
      </c>
      <c r="V229" s="19">
        <f>V225*i_exp_cap*V227*12*V228</f>
        <v/>
      </c>
      <c r="W229" s="19">
        <f>W225*i_exp_cap*W227*12*W228</f>
        <v/>
      </c>
      <c r="X229" s="19">
        <f>X225*i_exp_cap*X227*12*X228</f>
        <v/>
      </c>
      <c r="Y229" s="19">
        <f>Y225*i_exp_cap*Y227*12*Y228</f>
        <v/>
      </c>
      <c r="Z229" s="19">
        <f>Z225*i_exp_cap*Z227*12*Z228</f>
        <v/>
      </c>
      <c r="AA229" s="19">
        <f>AA225*i_exp_cap*AA227*12*AA228</f>
        <v/>
      </c>
      <c r="AB229" s="19">
        <f>AB225*i_exp_cap*AB227*12*AB228</f>
        <v/>
      </c>
      <c r="AC229" s="19">
        <f>AC225*i_exp_cap*AC227*12*AC228</f>
        <v/>
      </c>
      <c r="AD229" s="19">
        <f>AD225*i_exp_cap*AD227*12*AD228</f>
        <v/>
      </c>
      <c r="AE229" s="19">
        <f>AE225*i_exp_cap*AE227*12*AE228</f>
        <v/>
      </c>
      <c r="AF229" s="19">
        <f>AF225*i_exp_cap*AF227*12*AF228</f>
        <v/>
      </c>
      <c r="AG229" s="19">
        <f>AG225*i_exp_cap*AG227*12*AG228</f>
        <v/>
      </c>
      <c r="AH229" s="19">
        <f>AH225*i_exp_cap*AH227*12*AH228</f>
        <v/>
      </c>
      <c r="AI229" s="19">
        <f>AI225*i_exp_cap*AI227*12*AI228</f>
        <v/>
      </c>
    </row>
    <row r="230">
      <c r="B230" s="3" t="inlineStr">
        <is>
          <t xml:space="preserve">  Revenue</t>
        </is>
      </c>
      <c r="D230" s="31">
        <f>D229*(1+i_exp_anc)</f>
        <v/>
      </c>
      <c r="E230" s="31">
        <f>E229*(1+i_exp_anc)</f>
        <v/>
      </c>
      <c r="F230" s="31">
        <f>F229*(1+i_exp_anc)</f>
        <v/>
      </c>
      <c r="G230" s="31">
        <f>G229*(1+i_exp_anc)</f>
        <v/>
      </c>
      <c r="H230" s="31">
        <f>H229*(1+i_exp_anc)</f>
        <v/>
      </c>
      <c r="I230" s="31">
        <f>I229*(1+i_exp_anc)</f>
        <v/>
      </c>
      <c r="J230" s="31">
        <f>J229*(1+i_exp_anc)</f>
        <v/>
      </c>
      <c r="K230" s="31">
        <f>K229*(1+i_exp_anc)</f>
        <v/>
      </c>
      <c r="L230" s="31">
        <f>L229*(1+i_exp_anc)</f>
        <v/>
      </c>
      <c r="M230" s="31">
        <f>M229*(1+i_exp_anc)</f>
        <v/>
      </c>
      <c r="N230" s="31">
        <f>N229*(1+i_exp_anc)</f>
        <v/>
      </c>
      <c r="O230" s="31">
        <f>O229*(1+i_exp_anc)</f>
        <v/>
      </c>
      <c r="P230" s="31">
        <f>P229*(1+i_exp_anc)</f>
        <v/>
      </c>
      <c r="Q230" s="31">
        <f>Q229*(1+i_exp_anc)</f>
        <v/>
      </c>
      <c r="R230" s="31">
        <f>R229*(1+i_exp_anc)</f>
        <v/>
      </c>
      <c r="S230" s="31">
        <f>S229*(1+i_exp_anc)</f>
        <v/>
      </c>
      <c r="T230" s="31">
        <f>T229*(1+i_exp_anc)</f>
        <v/>
      </c>
      <c r="U230" s="31">
        <f>U229*(1+i_exp_anc)</f>
        <v/>
      </c>
      <c r="V230" s="31">
        <f>V229*(1+i_exp_anc)</f>
        <v/>
      </c>
      <c r="W230" s="31">
        <f>W229*(1+i_exp_anc)</f>
        <v/>
      </c>
      <c r="X230" s="31">
        <f>X229*(1+i_exp_anc)</f>
        <v/>
      </c>
      <c r="Y230" s="31">
        <f>Y229*(1+i_exp_anc)</f>
        <v/>
      </c>
      <c r="Z230" s="31">
        <f>Z229*(1+i_exp_anc)</f>
        <v/>
      </c>
      <c r="AA230" s="31">
        <f>AA229*(1+i_exp_anc)</f>
        <v/>
      </c>
      <c r="AB230" s="31">
        <f>AB229*(1+i_exp_anc)</f>
        <v/>
      </c>
      <c r="AC230" s="31">
        <f>AC229*(1+i_exp_anc)</f>
        <v/>
      </c>
      <c r="AD230" s="31">
        <f>AD229*(1+i_exp_anc)</f>
        <v/>
      </c>
      <c r="AE230" s="31">
        <f>AE229*(1+i_exp_anc)</f>
        <v/>
      </c>
      <c r="AF230" s="31">
        <f>AF229*(1+i_exp_anc)</f>
        <v/>
      </c>
      <c r="AG230" s="31">
        <f>AG229*(1+i_exp_anc)</f>
        <v/>
      </c>
      <c r="AH230" s="31">
        <f>AH229*(1+i_exp_anc)</f>
        <v/>
      </c>
      <c r="AI230" s="31">
        <f>AI229*(1+i_exp_anc)</f>
        <v/>
      </c>
    </row>
    <row r="231">
      <c r="B231" s="2" t="inlineStr">
        <is>
          <t xml:space="preserve">  Operating cost</t>
        </is>
      </c>
      <c r="D231" s="19">
        <f>D225*i_exp_fix*i_exp_cap*D157+i_exp_var*D230</f>
        <v/>
      </c>
      <c r="E231" s="19">
        <f>E225*i_exp_fix*i_exp_cap*E157+i_exp_var*E230</f>
        <v/>
      </c>
      <c r="F231" s="19">
        <f>F225*i_exp_fix*i_exp_cap*F157+i_exp_var*F230</f>
        <v/>
      </c>
      <c r="G231" s="19">
        <f>G225*i_exp_fix*i_exp_cap*G157+i_exp_var*G230</f>
        <v/>
      </c>
      <c r="H231" s="19">
        <f>H225*i_exp_fix*i_exp_cap*H157+i_exp_var*H230</f>
        <v/>
      </c>
      <c r="I231" s="19">
        <f>I225*i_exp_fix*i_exp_cap*I157+i_exp_var*I230</f>
        <v/>
      </c>
      <c r="J231" s="19">
        <f>J225*i_exp_fix*i_exp_cap*J157+i_exp_var*J230</f>
        <v/>
      </c>
      <c r="K231" s="19">
        <f>K225*i_exp_fix*i_exp_cap*K157+i_exp_var*K230</f>
        <v/>
      </c>
      <c r="L231" s="19">
        <f>L225*i_exp_fix*i_exp_cap*L157+i_exp_var*L230</f>
        <v/>
      </c>
      <c r="M231" s="19">
        <f>M225*i_exp_fix*i_exp_cap*M157+i_exp_var*M230</f>
        <v/>
      </c>
      <c r="N231" s="19">
        <f>N225*i_exp_fix*i_exp_cap*N157+i_exp_var*N230</f>
        <v/>
      </c>
      <c r="O231" s="19">
        <f>O225*i_exp_fix*i_exp_cap*O157+i_exp_var*O230</f>
        <v/>
      </c>
      <c r="P231" s="19">
        <f>P225*i_exp_fix*i_exp_cap*P157+i_exp_var*P230</f>
        <v/>
      </c>
      <c r="Q231" s="19">
        <f>Q225*i_exp_fix*i_exp_cap*Q157+i_exp_var*Q230</f>
        <v/>
      </c>
      <c r="R231" s="19">
        <f>R225*i_exp_fix*i_exp_cap*R157+i_exp_var*R230</f>
        <v/>
      </c>
      <c r="S231" s="19">
        <f>S225*i_exp_fix*i_exp_cap*S157+i_exp_var*S230</f>
        <v/>
      </c>
      <c r="T231" s="19">
        <f>T225*i_exp_fix*i_exp_cap*T157+i_exp_var*T230</f>
        <v/>
      </c>
      <c r="U231" s="19">
        <f>U225*i_exp_fix*i_exp_cap*U157+i_exp_var*U230</f>
        <v/>
      </c>
      <c r="V231" s="19">
        <f>V225*i_exp_fix*i_exp_cap*V157+i_exp_var*V230</f>
        <v/>
      </c>
      <c r="W231" s="19">
        <f>W225*i_exp_fix*i_exp_cap*W157+i_exp_var*W230</f>
        <v/>
      </c>
      <c r="X231" s="19">
        <f>X225*i_exp_fix*i_exp_cap*X157+i_exp_var*X230</f>
        <v/>
      </c>
      <c r="Y231" s="19">
        <f>Y225*i_exp_fix*i_exp_cap*Y157+i_exp_var*Y230</f>
        <v/>
      </c>
      <c r="Z231" s="19">
        <f>Z225*i_exp_fix*i_exp_cap*Z157+i_exp_var*Z230</f>
        <v/>
      </c>
      <c r="AA231" s="19">
        <f>AA225*i_exp_fix*i_exp_cap*AA157+i_exp_var*AA230</f>
        <v/>
      </c>
      <c r="AB231" s="19">
        <f>AB225*i_exp_fix*i_exp_cap*AB157+i_exp_var*AB230</f>
        <v/>
      </c>
      <c r="AC231" s="19">
        <f>AC225*i_exp_fix*i_exp_cap*AC157+i_exp_var*AC230</f>
        <v/>
      </c>
      <c r="AD231" s="19">
        <f>AD225*i_exp_fix*i_exp_cap*AD157+i_exp_var*AD230</f>
        <v/>
      </c>
      <c r="AE231" s="19">
        <f>AE225*i_exp_fix*i_exp_cap*AE157+i_exp_var*AE230</f>
        <v/>
      </c>
      <c r="AF231" s="19">
        <f>AF225*i_exp_fix*i_exp_cap*AF157+i_exp_var*AF230</f>
        <v/>
      </c>
      <c r="AG231" s="19">
        <f>AG225*i_exp_fix*i_exp_cap*AG157+i_exp_var*AG230</f>
        <v/>
      </c>
      <c r="AH231" s="19">
        <f>AH225*i_exp_fix*i_exp_cap*AH157+i_exp_var*AH230</f>
        <v/>
      </c>
      <c r="AI231" s="19">
        <f>AI225*i_exp_fix*i_exp_cap*AI157+i_exp_var*AI230</f>
        <v/>
      </c>
    </row>
    <row r="232">
      <c r="B232" s="3" t="inlineStr">
        <is>
          <t xml:space="preserve">  EBITDA</t>
        </is>
      </c>
      <c r="D232" s="31">
        <f>D230-D231</f>
        <v/>
      </c>
      <c r="E232" s="31">
        <f>E230-E231</f>
        <v/>
      </c>
      <c r="F232" s="31">
        <f>F230-F231</f>
        <v/>
      </c>
      <c r="G232" s="31">
        <f>G230-G231</f>
        <v/>
      </c>
      <c r="H232" s="31">
        <f>H230-H231</f>
        <v/>
      </c>
      <c r="I232" s="31">
        <f>I230-I231</f>
        <v/>
      </c>
      <c r="J232" s="31">
        <f>J230-J231</f>
        <v/>
      </c>
      <c r="K232" s="31">
        <f>K230-K231</f>
        <v/>
      </c>
      <c r="L232" s="31">
        <f>L230-L231</f>
        <v/>
      </c>
      <c r="M232" s="31">
        <f>M230-M231</f>
        <v/>
      </c>
      <c r="N232" s="31">
        <f>N230-N231</f>
        <v/>
      </c>
      <c r="O232" s="31">
        <f>O230-O231</f>
        <v/>
      </c>
      <c r="P232" s="31">
        <f>P230-P231</f>
        <v/>
      </c>
      <c r="Q232" s="31">
        <f>Q230-Q231</f>
        <v/>
      </c>
      <c r="R232" s="31">
        <f>R230-R231</f>
        <v/>
      </c>
      <c r="S232" s="31">
        <f>S230-S231</f>
        <v/>
      </c>
      <c r="T232" s="31">
        <f>T230-T231</f>
        <v/>
      </c>
      <c r="U232" s="31">
        <f>U230-U231</f>
        <v/>
      </c>
      <c r="V232" s="31">
        <f>V230-V231</f>
        <v/>
      </c>
      <c r="W232" s="31">
        <f>W230-W231</f>
        <v/>
      </c>
      <c r="X232" s="31">
        <f>X230-X231</f>
        <v/>
      </c>
      <c r="Y232" s="31">
        <f>Y230-Y231</f>
        <v/>
      </c>
      <c r="Z232" s="31">
        <f>Z230-Z231</f>
        <v/>
      </c>
      <c r="AA232" s="31">
        <f>AA230-AA231</f>
        <v/>
      </c>
      <c r="AB232" s="31">
        <f>AB230-AB231</f>
        <v/>
      </c>
      <c r="AC232" s="31">
        <f>AC230-AC231</f>
        <v/>
      </c>
      <c r="AD232" s="31">
        <f>AD230-AD231</f>
        <v/>
      </c>
      <c r="AE232" s="31">
        <f>AE230-AE231</f>
        <v/>
      </c>
      <c r="AF232" s="31">
        <f>AF230-AF231</f>
        <v/>
      </c>
      <c r="AG232" s="31">
        <f>AG230-AG231</f>
        <v/>
      </c>
      <c r="AH232" s="31">
        <f>AH230-AH231</f>
        <v/>
      </c>
      <c r="AI232" s="31">
        <f>AI230-AI231</f>
        <v/>
      </c>
    </row>
    <row r="233">
      <c r="B233" s="2" t="inlineStr">
        <is>
          <t xml:space="preserve">  Maintenance capex</t>
        </is>
      </c>
      <c r="D233" s="19">
        <f>D225*i_exp_mc*i_exp_cap*D157</f>
        <v/>
      </c>
      <c r="E233" s="19">
        <f>E225*i_exp_mc*i_exp_cap*E157</f>
        <v/>
      </c>
      <c r="F233" s="19">
        <f>F225*i_exp_mc*i_exp_cap*F157</f>
        <v/>
      </c>
      <c r="G233" s="19">
        <f>G225*i_exp_mc*i_exp_cap*G157</f>
        <v/>
      </c>
      <c r="H233" s="19">
        <f>H225*i_exp_mc*i_exp_cap*H157</f>
        <v/>
      </c>
      <c r="I233" s="19">
        <f>I225*i_exp_mc*i_exp_cap*I157</f>
        <v/>
      </c>
      <c r="J233" s="19">
        <f>J225*i_exp_mc*i_exp_cap*J157</f>
        <v/>
      </c>
      <c r="K233" s="19">
        <f>K225*i_exp_mc*i_exp_cap*K157</f>
        <v/>
      </c>
      <c r="L233" s="19">
        <f>L225*i_exp_mc*i_exp_cap*L157</f>
        <v/>
      </c>
      <c r="M233" s="19">
        <f>M225*i_exp_mc*i_exp_cap*M157</f>
        <v/>
      </c>
      <c r="N233" s="19">
        <f>N225*i_exp_mc*i_exp_cap*N157</f>
        <v/>
      </c>
      <c r="O233" s="19">
        <f>O225*i_exp_mc*i_exp_cap*O157</f>
        <v/>
      </c>
      <c r="P233" s="19">
        <f>P225*i_exp_mc*i_exp_cap*P157</f>
        <v/>
      </c>
      <c r="Q233" s="19">
        <f>Q225*i_exp_mc*i_exp_cap*Q157</f>
        <v/>
      </c>
      <c r="R233" s="19">
        <f>R225*i_exp_mc*i_exp_cap*R157</f>
        <v/>
      </c>
      <c r="S233" s="19">
        <f>S225*i_exp_mc*i_exp_cap*S157</f>
        <v/>
      </c>
      <c r="T233" s="19">
        <f>T225*i_exp_mc*i_exp_cap*T157</f>
        <v/>
      </c>
      <c r="U233" s="19">
        <f>U225*i_exp_mc*i_exp_cap*U157</f>
        <v/>
      </c>
      <c r="V233" s="19">
        <f>V225*i_exp_mc*i_exp_cap*V157</f>
        <v/>
      </c>
      <c r="W233" s="19">
        <f>W225*i_exp_mc*i_exp_cap*W157</f>
        <v/>
      </c>
      <c r="X233" s="19">
        <f>X225*i_exp_mc*i_exp_cap*X157</f>
        <v/>
      </c>
      <c r="Y233" s="19">
        <f>Y225*i_exp_mc*i_exp_cap*Y157</f>
        <v/>
      </c>
      <c r="Z233" s="19">
        <f>Z225*i_exp_mc*i_exp_cap*Z157</f>
        <v/>
      </c>
      <c r="AA233" s="19">
        <f>AA225*i_exp_mc*i_exp_cap*AA157</f>
        <v/>
      </c>
      <c r="AB233" s="19">
        <f>AB225*i_exp_mc*i_exp_cap*AB157</f>
        <v/>
      </c>
      <c r="AC233" s="19">
        <f>AC225*i_exp_mc*i_exp_cap*AC157</f>
        <v/>
      </c>
      <c r="AD233" s="19">
        <f>AD225*i_exp_mc*i_exp_cap*AD157</f>
        <v/>
      </c>
      <c r="AE233" s="19">
        <f>AE225*i_exp_mc*i_exp_cap*AE157</f>
        <v/>
      </c>
      <c r="AF233" s="19">
        <f>AF225*i_exp_mc*i_exp_cap*AF157</f>
        <v/>
      </c>
      <c r="AG233" s="19">
        <f>AG225*i_exp_mc*i_exp_cap*AG157</f>
        <v/>
      </c>
      <c r="AH233" s="19">
        <f>AH225*i_exp_mc*i_exp_cap*AH157</f>
        <v/>
      </c>
      <c r="AI233" s="19">
        <f>AI225*i_exp_mc*i_exp_cap*AI157</f>
        <v/>
      </c>
    </row>
    <row r="235">
      <c r="B235" s="5" t="inlineStr">
        <is>
          <t>Consolidated</t>
        </is>
      </c>
    </row>
    <row r="236">
      <c r="B236" s="2" t="inlineStr">
        <is>
          <t>Revenue</t>
        </is>
      </c>
      <c r="D236" s="19">
        <f>D170+D186+D201+D216+D230</f>
        <v/>
      </c>
      <c r="E236" s="19">
        <f>E170+E186+E201+E216+E230</f>
        <v/>
      </c>
      <c r="F236" s="19">
        <f>F170+F186+F201+F216+F230</f>
        <v/>
      </c>
      <c r="G236" s="19">
        <f>G170+G186+G201+G216+G230</f>
        <v/>
      </c>
      <c r="H236" s="19">
        <f>H170+H186+H201+H216+H230</f>
        <v/>
      </c>
      <c r="I236" s="19">
        <f>I170+I186+I201+I216+I230</f>
        <v/>
      </c>
      <c r="J236" s="19">
        <f>J170+J186+J201+J216+J230</f>
        <v/>
      </c>
      <c r="K236" s="19">
        <f>K170+K186+K201+K216+K230</f>
        <v/>
      </c>
      <c r="L236" s="19">
        <f>L170+L186+L201+L216+L230</f>
        <v/>
      </c>
      <c r="M236" s="19">
        <f>M170+M186+M201+M216+M230</f>
        <v/>
      </c>
      <c r="N236" s="19">
        <f>N170+N186+N201+N216+N230</f>
        <v/>
      </c>
      <c r="O236" s="19">
        <f>O170+O186+O201+O216+O230</f>
        <v/>
      </c>
      <c r="P236" s="19">
        <f>P170+P186+P201+P216+P230</f>
        <v/>
      </c>
      <c r="Q236" s="19">
        <f>Q170+Q186+Q201+Q216+Q230</f>
        <v/>
      </c>
      <c r="R236" s="19">
        <f>R170+R186+R201+R216+R230</f>
        <v/>
      </c>
      <c r="S236" s="19">
        <f>S170+S186+S201+S216+S230</f>
        <v/>
      </c>
      <c r="T236" s="19">
        <f>T170+T186+T201+T216+T230</f>
        <v/>
      </c>
      <c r="U236" s="19">
        <f>U170+U186+U201+U216+U230</f>
        <v/>
      </c>
      <c r="V236" s="19">
        <f>V170+V186+V201+V216+V230</f>
        <v/>
      </c>
      <c r="W236" s="19">
        <f>W170+W186+W201+W216+W230</f>
        <v/>
      </c>
      <c r="X236" s="19">
        <f>X170+X186+X201+X216+X230</f>
        <v/>
      </c>
      <c r="Y236" s="19">
        <f>Y170+Y186+Y201+Y216+Y230</f>
        <v/>
      </c>
      <c r="Z236" s="19">
        <f>Z170+Z186+Z201+Z216+Z230</f>
        <v/>
      </c>
      <c r="AA236" s="19">
        <f>AA170+AA186+AA201+AA216+AA230</f>
        <v/>
      </c>
      <c r="AB236" s="19">
        <f>AB170+AB186+AB201+AB216+AB230</f>
        <v/>
      </c>
      <c r="AC236" s="19">
        <f>AC170+AC186+AC201+AC216+AC230</f>
        <v/>
      </c>
      <c r="AD236" s="19">
        <f>AD170+AD186+AD201+AD216+AD230</f>
        <v/>
      </c>
      <c r="AE236" s="19">
        <f>AE170+AE186+AE201+AE216+AE230</f>
        <v/>
      </c>
      <c r="AF236" s="19">
        <f>AF170+AF186+AF201+AF216+AF230</f>
        <v/>
      </c>
      <c r="AG236" s="19">
        <f>AG170+AG186+AG201+AG216+AG230</f>
        <v/>
      </c>
      <c r="AH236" s="19">
        <f>AH170+AH186+AH201+AH216+AH230</f>
        <v/>
      </c>
      <c r="AI236" s="19">
        <f>AI170+AI186+AI201+AI216+AI230</f>
        <v/>
      </c>
    </row>
    <row r="237">
      <c r="B237" s="2" t="inlineStr">
        <is>
          <t>Business unit EBITDA (with the expansion)</t>
        </is>
      </c>
      <c r="D237" s="19">
        <f>D175+D190+D205+D221+D232</f>
        <v/>
      </c>
      <c r="E237" s="19">
        <f>E175+E190+E205+E221+E232</f>
        <v/>
      </c>
      <c r="F237" s="19">
        <f>F175+F190+F205+F221+F232</f>
        <v/>
      </c>
      <c r="G237" s="19">
        <f>G175+G190+G205+G221+G232</f>
        <v/>
      </c>
      <c r="H237" s="19">
        <f>H175+H190+H205+H221+H232</f>
        <v/>
      </c>
      <c r="I237" s="19">
        <f>I175+I190+I205+I221+I232</f>
        <v/>
      </c>
      <c r="J237" s="19">
        <f>J175+J190+J205+J221+J232</f>
        <v/>
      </c>
      <c r="K237" s="19">
        <f>K175+K190+K205+K221+K232</f>
        <v/>
      </c>
      <c r="L237" s="19">
        <f>L175+L190+L205+L221+L232</f>
        <v/>
      </c>
      <c r="M237" s="19">
        <f>M175+M190+M205+M221+M232</f>
        <v/>
      </c>
      <c r="N237" s="19">
        <f>N175+N190+N205+N221+N232</f>
        <v/>
      </c>
      <c r="O237" s="19">
        <f>O175+O190+O205+O221+O232</f>
        <v/>
      </c>
      <c r="P237" s="19">
        <f>P175+P190+P205+P221+P232</f>
        <v/>
      </c>
      <c r="Q237" s="19">
        <f>Q175+Q190+Q205+Q221+Q232</f>
        <v/>
      </c>
      <c r="R237" s="19">
        <f>R175+R190+R205+R221+R232</f>
        <v/>
      </c>
      <c r="S237" s="19">
        <f>S175+S190+S205+S221+S232</f>
        <v/>
      </c>
      <c r="T237" s="19">
        <f>T175+T190+T205+T221+T232</f>
        <v/>
      </c>
      <c r="U237" s="19">
        <f>U175+U190+U205+U221+U232</f>
        <v/>
      </c>
      <c r="V237" s="19">
        <f>V175+V190+V205+V221+V232</f>
        <v/>
      </c>
      <c r="W237" s="19">
        <f>W175+W190+W205+W221+W232</f>
        <v/>
      </c>
      <c r="X237" s="19">
        <f>X175+X190+X205+X221+X232</f>
        <v/>
      </c>
      <c r="Y237" s="19">
        <f>Y175+Y190+Y205+Y221+Y232</f>
        <v/>
      </c>
      <c r="Z237" s="19">
        <f>Z175+Z190+Z205+Z221+Z232</f>
        <v/>
      </c>
      <c r="AA237" s="19">
        <f>AA175+AA190+AA205+AA221+AA232</f>
        <v/>
      </c>
      <c r="AB237" s="19">
        <f>AB175+AB190+AB205+AB221+AB232</f>
        <v/>
      </c>
      <c r="AC237" s="19">
        <f>AC175+AC190+AC205+AC221+AC232</f>
        <v/>
      </c>
      <c r="AD237" s="19">
        <f>AD175+AD190+AD205+AD221+AD232</f>
        <v/>
      </c>
      <c r="AE237" s="19">
        <f>AE175+AE190+AE205+AE221+AE232</f>
        <v/>
      </c>
      <c r="AF237" s="19">
        <f>AF175+AF190+AF205+AF221+AF232</f>
        <v/>
      </c>
      <c r="AG237" s="19">
        <f>AG175+AG190+AG205+AG221+AG232</f>
        <v/>
      </c>
      <c r="AH237" s="19">
        <f>AH175+AH190+AH205+AH221+AH232</f>
        <v/>
      </c>
      <c r="AI237" s="19">
        <f>AI175+AI190+AI205+AI221+AI232</f>
        <v/>
      </c>
    </row>
    <row r="238">
      <c r="B238" s="2" t="inlineStr">
        <is>
          <t>Corporate costs</t>
        </is>
      </c>
      <c r="D238" s="19">
        <f>i_corp*D157*IF(OR(DCF!$C$154=1,D$3&lt;=i_conc_end),1,i_corp_after_w)+IF(D$3&gt;=i_mitig_start,DCF!$C$156*D157,0)</f>
        <v/>
      </c>
      <c r="E238" s="19">
        <f>i_corp*E157*IF(OR(DCF!$C$154=1,E$3&lt;=i_conc_end),1,i_corp_after_w)+IF(E$3&gt;=i_mitig_start,DCF!$C$156*E157,0)</f>
        <v/>
      </c>
      <c r="F238" s="19">
        <f>i_corp*F157*IF(OR(DCF!$C$154=1,F$3&lt;=i_conc_end),1,i_corp_after_w)+IF(F$3&gt;=i_mitig_start,DCF!$C$156*F157,0)</f>
        <v/>
      </c>
      <c r="G238" s="19">
        <f>i_corp*G157*IF(OR(DCF!$C$154=1,G$3&lt;=i_conc_end),1,i_corp_after_w)+IF(G$3&gt;=i_mitig_start,DCF!$C$156*G157,0)</f>
        <v/>
      </c>
      <c r="H238" s="19">
        <f>i_corp*H157*IF(OR(DCF!$C$154=1,H$3&lt;=i_conc_end),1,i_corp_after_w)+IF(H$3&gt;=i_mitig_start,DCF!$C$156*H157,0)</f>
        <v/>
      </c>
      <c r="I238" s="19">
        <f>i_corp*I157*IF(OR(DCF!$C$154=1,I$3&lt;=i_conc_end),1,i_corp_after_w)+IF(I$3&gt;=i_mitig_start,DCF!$C$156*I157,0)</f>
        <v/>
      </c>
      <c r="J238" s="19">
        <f>i_corp*J157*IF(OR(DCF!$C$154=1,J$3&lt;=i_conc_end),1,i_corp_after_w)+IF(J$3&gt;=i_mitig_start,DCF!$C$156*J157,0)</f>
        <v/>
      </c>
      <c r="K238" s="19">
        <f>i_corp*K157*IF(OR(DCF!$C$154=1,K$3&lt;=i_conc_end),1,i_corp_after_w)+IF(K$3&gt;=i_mitig_start,DCF!$C$156*K157,0)</f>
        <v/>
      </c>
      <c r="L238" s="19">
        <f>i_corp*L157*IF(OR(DCF!$C$154=1,L$3&lt;=i_conc_end),1,i_corp_after_w)+IF(L$3&gt;=i_mitig_start,DCF!$C$156*L157,0)</f>
        <v/>
      </c>
      <c r="M238" s="19">
        <f>i_corp*M157*IF(OR(DCF!$C$154=1,M$3&lt;=i_conc_end),1,i_corp_after_w)+IF(M$3&gt;=i_mitig_start,DCF!$C$156*M157,0)</f>
        <v/>
      </c>
      <c r="N238" s="19">
        <f>i_corp*N157*IF(OR(DCF!$C$154=1,N$3&lt;=i_conc_end),1,i_corp_after_w)+IF(N$3&gt;=i_mitig_start,DCF!$C$156*N157,0)</f>
        <v/>
      </c>
      <c r="O238" s="19">
        <f>i_corp*O157*IF(OR(DCF!$C$154=1,O$3&lt;=i_conc_end),1,i_corp_after_w)+IF(O$3&gt;=i_mitig_start,DCF!$C$156*O157,0)</f>
        <v/>
      </c>
      <c r="P238" s="19">
        <f>i_corp*P157*IF(OR(DCF!$C$154=1,P$3&lt;=i_conc_end),1,i_corp_after_w)+IF(P$3&gt;=i_mitig_start,DCF!$C$156*P157,0)</f>
        <v/>
      </c>
      <c r="Q238" s="19">
        <f>i_corp*Q157*IF(OR(DCF!$C$154=1,Q$3&lt;=i_conc_end),1,i_corp_after_w)+IF(Q$3&gt;=i_mitig_start,DCF!$C$156*Q157,0)</f>
        <v/>
      </c>
      <c r="R238" s="19">
        <f>i_corp*R157*IF(OR(DCF!$C$154=1,R$3&lt;=i_conc_end),1,i_corp_after_w)+IF(R$3&gt;=i_mitig_start,DCF!$C$156*R157,0)</f>
        <v/>
      </c>
      <c r="S238" s="19">
        <f>i_corp*S157*IF(OR(DCF!$C$154=1,S$3&lt;=i_conc_end),1,i_corp_after_w)+IF(S$3&gt;=i_mitig_start,DCF!$C$156*S157,0)</f>
        <v/>
      </c>
      <c r="T238" s="19">
        <f>i_corp*T157*IF(OR(DCF!$C$154=1,T$3&lt;=i_conc_end),1,i_corp_after_w)+IF(T$3&gt;=i_mitig_start,DCF!$C$156*T157,0)</f>
        <v/>
      </c>
      <c r="U238" s="19">
        <f>i_corp*U157*IF(OR(DCF!$C$154=1,U$3&lt;=i_conc_end),1,i_corp_after_w)+IF(U$3&gt;=i_mitig_start,DCF!$C$156*U157,0)</f>
        <v/>
      </c>
      <c r="V238" s="19">
        <f>i_corp*V157*IF(OR(DCF!$C$154=1,V$3&lt;=i_conc_end),1,i_corp_after_w)+IF(V$3&gt;=i_mitig_start,DCF!$C$156*V157,0)</f>
        <v/>
      </c>
      <c r="W238" s="19">
        <f>i_corp*W157*IF(OR(DCF!$C$154=1,W$3&lt;=i_conc_end),1,i_corp_after_w)+IF(W$3&gt;=i_mitig_start,DCF!$C$156*W157,0)</f>
        <v/>
      </c>
      <c r="X238" s="19">
        <f>i_corp*X157*IF(OR(DCF!$C$154=1,X$3&lt;=i_conc_end),1,i_corp_after_w)+IF(X$3&gt;=i_mitig_start,DCF!$C$156*X157,0)</f>
        <v/>
      </c>
      <c r="Y238" s="19">
        <f>i_corp*Y157*IF(OR(DCF!$C$154=1,Y$3&lt;=i_conc_end),1,i_corp_after_w)+IF(Y$3&gt;=i_mitig_start,DCF!$C$156*Y157,0)</f>
        <v/>
      </c>
      <c r="Z238" s="19">
        <f>i_corp*Z157*IF(OR(DCF!$C$154=1,Z$3&lt;=i_conc_end),1,i_corp_after_w)+IF(Z$3&gt;=i_mitig_start,DCF!$C$156*Z157,0)</f>
        <v/>
      </c>
      <c r="AA238" s="19">
        <f>i_corp*AA157*IF(OR(DCF!$C$154=1,AA$3&lt;=i_conc_end),1,i_corp_after_w)+IF(AA$3&gt;=i_mitig_start,DCF!$C$156*AA157,0)</f>
        <v/>
      </c>
      <c r="AB238" s="19">
        <f>i_corp*AB157*IF(OR(DCF!$C$154=1,AB$3&lt;=i_conc_end),1,i_corp_after_w)+IF(AB$3&gt;=i_mitig_start,DCF!$C$156*AB157,0)</f>
        <v/>
      </c>
      <c r="AC238" s="19">
        <f>i_corp*AC157*IF(OR(DCF!$C$154=1,AC$3&lt;=i_conc_end),1,i_corp_after_w)+IF(AC$3&gt;=i_mitig_start,DCF!$C$156*AC157,0)</f>
        <v/>
      </c>
      <c r="AD238" s="19">
        <f>i_corp*AD157*IF(OR(DCF!$C$154=1,AD$3&lt;=i_conc_end),1,i_corp_after_w)+IF(AD$3&gt;=i_mitig_start,DCF!$C$156*AD157,0)</f>
        <v/>
      </c>
      <c r="AE238" s="19">
        <f>i_corp*AE157*IF(OR(DCF!$C$154=1,AE$3&lt;=i_conc_end),1,i_corp_after_w)+IF(AE$3&gt;=i_mitig_start,DCF!$C$156*AE157,0)</f>
        <v/>
      </c>
      <c r="AF238" s="19">
        <f>i_corp*AF157*IF(OR(DCF!$C$154=1,AF$3&lt;=i_conc_end),1,i_corp_after_w)+IF(AF$3&gt;=i_mitig_start,DCF!$C$156*AF157,0)</f>
        <v/>
      </c>
      <c r="AG238" s="19">
        <f>i_corp*AG157*IF(OR(DCF!$C$154=1,AG$3&lt;=i_conc_end),1,i_corp_after_w)+IF(AG$3&gt;=i_mitig_start,DCF!$C$156*AG157,0)</f>
        <v/>
      </c>
      <c r="AH238" s="19">
        <f>i_corp*AH157*IF(OR(DCF!$C$154=1,AH$3&lt;=i_conc_end),1,i_corp_after_w)+IF(AH$3&gt;=i_mitig_start,DCF!$C$156*AH157,0)</f>
        <v/>
      </c>
      <c r="AI238" s="19">
        <f>i_corp*AI157*IF(OR(DCF!$C$154=1,AI$3&lt;=i_conc_end),1,i_corp_after_w)+IF(AI$3&gt;=i_mitig_start,DCF!$C$156*AI157,0)</f>
        <v/>
      </c>
    </row>
    <row r="239">
      <c r="B239" s="3" t="inlineStr">
        <is>
          <t>EBITDA</t>
        </is>
      </c>
      <c r="D239" s="31">
        <f>D237-D238</f>
        <v/>
      </c>
      <c r="E239" s="31">
        <f>E237-E238</f>
        <v/>
      </c>
      <c r="F239" s="31">
        <f>F237-F238</f>
        <v/>
      </c>
      <c r="G239" s="31">
        <f>G237-G238</f>
        <v/>
      </c>
      <c r="H239" s="31">
        <f>H237-H238</f>
        <v/>
      </c>
      <c r="I239" s="31">
        <f>I237-I238</f>
        <v/>
      </c>
      <c r="J239" s="31">
        <f>J237-J238</f>
        <v/>
      </c>
      <c r="K239" s="31">
        <f>K237-K238</f>
        <v/>
      </c>
      <c r="L239" s="31">
        <f>L237-L238</f>
        <v/>
      </c>
      <c r="M239" s="31">
        <f>M237-M238</f>
        <v/>
      </c>
      <c r="N239" s="31">
        <f>N237-N238</f>
        <v/>
      </c>
      <c r="O239" s="31">
        <f>O237-O238</f>
        <v/>
      </c>
      <c r="P239" s="31">
        <f>P237-P238</f>
        <v/>
      </c>
      <c r="Q239" s="31">
        <f>Q237-Q238</f>
        <v/>
      </c>
      <c r="R239" s="31">
        <f>R237-R238</f>
        <v/>
      </c>
      <c r="S239" s="31">
        <f>S237-S238</f>
        <v/>
      </c>
      <c r="T239" s="31">
        <f>T237-T238</f>
        <v/>
      </c>
      <c r="U239" s="31">
        <f>U237-U238</f>
        <v/>
      </c>
      <c r="V239" s="31">
        <f>V237-V238</f>
        <v/>
      </c>
      <c r="W239" s="31">
        <f>W237-W238</f>
        <v/>
      </c>
      <c r="X239" s="31">
        <f>X237-X238</f>
        <v/>
      </c>
      <c r="Y239" s="31">
        <f>Y237-Y238</f>
        <v/>
      </c>
      <c r="Z239" s="31">
        <f>Z237-Z238</f>
        <v/>
      </c>
      <c r="AA239" s="31">
        <f>AA237-AA238</f>
        <v/>
      </c>
      <c r="AB239" s="31">
        <f>AB237-AB238</f>
        <v/>
      </c>
      <c r="AC239" s="31">
        <f>AC237-AC238</f>
        <v/>
      </c>
      <c r="AD239" s="31">
        <f>AD237-AD238</f>
        <v/>
      </c>
      <c r="AE239" s="31">
        <f>AE237-AE238</f>
        <v/>
      </c>
      <c r="AF239" s="31">
        <f>AF237-AF238</f>
        <v/>
      </c>
      <c r="AG239" s="31">
        <f>AG237-AG238</f>
        <v/>
      </c>
      <c r="AH239" s="31">
        <f>AH237-AH238</f>
        <v/>
      </c>
      <c r="AI239" s="31">
        <f>AI237-AI238</f>
        <v/>
      </c>
    </row>
    <row r="240">
      <c r="B240" s="2" t="inlineStr">
        <is>
          <t>Maintenance capex</t>
        </is>
      </c>
      <c r="D240" s="19">
        <f>D176+D191+D206+D222+D233</f>
        <v/>
      </c>
      <c r="E240" s="19">
        <f>E176+E191+E206+E222+E233</f>
        <v/>
      </c>
      <c r="F240" s="19">
        <f>F176+F191+F206+F222+F233</f>
        <v/>
      </c>
      <c r="G240" s="19">
        <f>G176+G191+G206+G222+G233</f>
        <v/>
      </c>
      <c r="H240" s="19">
        <f>H176+H191+H206+H222+H233</f>
        <v/>
      </c>
      <c r="I240" s="19">
        <f>I176+I191+I206+I222+I233</f>
        <v/>
      </c>
      <c r="J240" s="19">
        <f>J176+J191+J206+J222+J233</f>
        <v/>
      </c>
      <c r="K240" s="19">
        <f>K176+K191+K206+K222+K233</f>
        <v/>
      </c>
      <c r="L240" s="19">
        <f>L176+L191+L206+L222+L233</f>
        <v/>
      </c>
      <c r="M240" s="19">
        <f>M176+M191+M206+M222+M233</f>
        <v/>
      </c>
      <c r="N240" s="19">
        <f>N176+N191+N206+N222+N233</f>
        <v/>
      </c>
      <c r="O240" s="19">
        <f>O176+O191+O206+O222+O233</f>
        <v/>
      </c>
      <c r="P240" s="19">
        <f>P176+P191+P206+P222+P233</f>
        <v/>
      </c>
      <c r="Q240" s="19">
        <f>Q176+Q191+Q206+Q222+Q233</f>
        <v/>
      </c>
      <c r="R240" s="19">
        <f>R176+R191+R206+R222+R233</f>
        <v/>
      </c>
      <c r="S240" s="19">
        <f>S176+S191+S206+S222+S233</f>
        <v/>
      </c>
      <c r="T240" s="19">
        <f>T176+T191+T206+T222+T233</f>
        <v/>
      </c>
      <c r="U240" s="19">
        <f>U176+U191+U206+U222+U233</f>
        <v/>
      </c>
      <c r="V240" s="19">
        <f>V176+V191+V206+V222+V233</f>
        <v/>
      </c>
      <c r="W240" s="19">
        <f>W176+W191+W206+W222+W233</f>
        <v/>
      </c>
      <c r="X240" s="19">
        <f>X176+X191+X206+X222+X233</f>
        <v/>
      </c>
      <c r="Y240" s="19">
        <f>Y176+Y191+Y206+Y222+Y233</f>
        <v/>
      </c>
      <c r="Z240" s="19">
        <f>Z176+Z191+Z206+Z222+Z233</f>
        <v/>
      </c>
      <c r="AA240" s="19">
        <f>AA176+AA191+AA206+AA222+AA233</f>
        <v/>
      </c>
      <c r="AB240" s="19">
        <f>AB176+AB191+AB206+AB222+AB233</f>
        <v/>
      </c>
      <c r="AC240" s="19">
        <f>AC176+AC191+AC206+AC222+AC233</f>
        <v/>
      </c>
      <c r="AD240" s="19">
        <f>AD176+AD191+AD206+AD222+AD233</f>
        <v/>
      </c>
      <c r="AE240" s="19">
        <f>AE176+AE191+AE206+AE222+AE233</f>
        <v/>
      </c>
      <c r="AF240" s="19">
        <f>AF176+AF191+AF206+AF222+AF233</f>
        <v/>
      </c>
      <c r="AG240" s="19">
        <f>AG176+AG191+AG206+AG222+AG233</f>
        <v/>
      </c>
      <c r="AH240" s="19">
        <f>AH176+AH191+AH206+AH222+AH233</f>
        <v/>
      </c>
      <c r="AI240" s="19">
        <f>AI176+AI191+AI206+AI222+AI233</f>
        <v/>
      </c>
    </row>
    <row r="241">
      <c r="B241" s="2" t="inlineStr">
        <is>
          <t>Growth capex</t>
        </is>
      </c>
      <c r="D241" s="19">
        <f>D224</f>
        <v/>
      </c>
      <c r="E241" s="19">
        <f>E224</f>
        <v/>
      </c>
      <c r="F241" s="19">
        <f>F224</f>
        <v/>
      </c>
      <c r="G241" s="19">
        <f>G224</f>
        <v/>
      </c>
      <c r="H241" s="19">
        <f>H224</f>
        <v/>
      </c>
      <c r="I241" s="19">
        <f>I224</f>
        <v/>
      </c>
      <c r="J241" s="19">
        <f>J224</f>
        <v/>
      </c>
      <c r="K241" s="19">
        <f>K224</f>
        <v/>
      </c>
      <c r="L241" s="19">
        <f>L224</f>
        <v/>
      </c>
      <c r="M241" s="19">
        <f>M224</f>
        <v/>
      </c>
      <c r="N241" s="19">
        <f>N224</f>
        <v/>
      </c>
      <c r="O241" s="19">
        <f>O224</f>
        <v/>
      </c>
      <c r="P241" s="19">
        <f>P224</f>
        <v/>
      </c>
      <c r="Q241" s="19">
        <f>Q224</f>
        <v/>
      </c>
      <c r="R241" s="19">
        <f>R224</f>
        <v/>
      </c>
      <c r="S241" s="19">
        <f>S224</f>
        <v/>
      </c>
      <c r="T241" s="19">
        <f>T224</f>
        <v/>
      </c>
      <c r="U241" s="19">
        <f>U224</f>
        <v/>
      </c>
      <c r="V241" s="19">
        <f>V224</f>
        <v/>
      </c>
      <c r="W241" s="19">
        <f>W224</f>
        <v/>
      </c>
      <c r="X241" s="19">
        <f>X224</f>
        <v/>
      </c>
      <c r="Y241" s="19">
        <f>Y224</f>
        <v/>
      </c>
      <c r="Z241" s="19">
        <f>Z224</f>
        <v/>
      </c>
      <c r="AA241" s="19">
        <f>AA224</f>
        <v/>
      </c>
      <c r="AB241" s="19">
        <f>AB224</f>
        <v/>
      </c>
      <c r="AC241" s="19">
        <f>AC224</f>
        <v/>
      </c>
      <c r="AD241" s="19">
        <f>AD224</f>
        <v/>
      </c>
      <c r="AE241" s="19">
        <f>AE224</f>
        <v/>
      </c>
      <c r="AF241" s="19">
        <f>AF224</f>
        <v/>
      </c>
      <c r="AG241" s="19">
        <f>AG224</f>
        <v/>
      </c>
      <c r="AH241" s="19">
        <f>AH224</f>
        <v/>
      </c>
      <c r="AI241" s="19">
        <f>AI224</f>
        <v/>
      </c>
    </row>
    <row r="242">
      <c r="B242" s="2" t="inlineStr">
        <is>
          <t>Tax depreciation</t>
        </is>
      </c>
      <c r="D242" s="19">
        <f>D240+IF(D$3&lt;=i_tax_dep_end,i_tax_dep_extra,0)</f>
        <v/>
      </c>
      <c r="E242" s="19">
        <f>E240+IF(E$3&lt;=i_tax_dep_end,i_tax_dep_extra,0)</f>
        <v/>
      </c>
      <c r="F242" s="19">
        <f>F240+IF(F$3&lt;=i_tax_dep_end,i_tax_dep_extra,0)</f>
        <v/>
      </c>
      <c r="G242" s="19">
        <f>G240+IF(G$3&lt;=i_tax_dep_end,i_tax_dep_extra,0)</f>
        <v/>
      </c>
      <c r="H242" s="19">
        <f>H240+IF(H$3&lt;=i_tax_dep_end,i_tax_dep_extra,0)</f>
        <v/>
      </c>
      <c r="I242" s="19">
        <f>I240+IF(I$3&lt;=i_tax_dep_end,i_tax_dep_extra,0)</f>
        <v/>
      </c>
      <c r="J242" s="19">
        <f>J240+IF(J$3&lt;=i_tax_dep_end,i_tax_dep_extra,0)</f>
        <v/>
      </c>
      <c r="K242" s="19">
        <f>K240+IF(K$3&lt;=i_tax_dep_end,i_tax_dep_extra,0)</f>
        <v/>
      </c>
      <c r="L242" s="19">
        <f>L240+IF(L$3&lt;=i_tax_dep_end,i_tax_dep_extra,0)</f>
        <v/>
      </c>
      <c r="M242" s="19">
        <f>M240+IF(M$3&lt;=i_tax_dep_end,i_tax_dep_extra,0)</f>
        <v/>
      </c>
      <c r="N242" s="19">
        <f>N240+IF(N$3&lt;=i_tax_dep_end,i_tax_dep_extra,0)</f>
        <v/>
      </c>
      <c r="O242" s="19">
        <f>O240+IF(O$3&lt;=i_tax_dep_end,i_tax_dep_extra,0)</f>
        <v/>
      </c>
      <c r="P242" s="19">
        <f>P240+IF(P$3&lt;=i_tax_dep_end,i_tax_dep_extra,0)</f>
        <v/>
      </c>
      <c r="Q242" s="19">
        <f>Q240+IF(Q$3&lt;=i_tax_dep_end,i_tax_dep_extra,0)</f>
        <v/>
      </c>
      <c r="R242" s="19">
        <f>R240+IF(R$3&lt;=i_tax_dep_end,i_tax_dep_extra,0)</f>
        <v/>
      </c>
      <c r="S242" s="19">
        <f>S240+IF(S$3&lt;=i_tax_dep_end,i_tax_dep_extra,0)</f>
        <v/>
      </c>
      <c r="T242" s="19">
        <f>T240+IF(T$3&lt;=i_tax_dep_end,i_tax_dep_extra,0)</f>
        <v/>
      </c>
      <c r="U242" s="19">
        <f>U240+IF(U$3&lt;=i_tax_dep_end,i_tax_dep_extra,0)</f>
        <v/>
      </c>
      <c r="V242" s="19">
        <f>V240+IF(V$3&lt;=i_tax_dep_end,i_tax_dep_extra,0)</f>
        <v/>
      </c>
      <c r="W242" s="19">
        <f>W240+IF(W$3&lt;=i_tax_dep_end,i_tax_dep_extra,0)</f>
        <v/>
      </c>
      <c r="X242" s="19">
        <f>X240+IF(X$3&lt;=i_tax_dep_end,i_tax_dep_extra,0)</f>
        <v/>
      </c>
      <c r="Y242" s="19">
        <f>Y240+IF(Y$3&lt;=i_tax_dep_end,i_tax_dep_extra,0)</f>
        <v/>
      </c>
      <c r="Z242" s="19">
        <f>Z240+IF(Z$3&lt;=i_tax_dep_end,i_tax_dep_extra,0)</f>
        <v/>
      </c>
      <c r="AA242" s="19">
        <f>AA240+IF(AA$3&lt;=i_tax_dep_end,i_tax_dep_extra,0)</f>
        <v/>
      </c>
      <c r="AB242" s="19">
        <f>AB240+IF(AB$3&lt;=i_tax_dep_end,i_tax_dep_extra,0)</f>
        <v/>
      </c>
      <c r="AC242" s="19">
        <f>AC240+IF(AC$3&lt;=i_tax_dep_end,i_tax_dep_extra,0)</f>
        <v/>
      </c>
      <c r="AD242" s="19">
        <f>AD240+IF(AD$3&lt;=i_tax_dep_end,i_tax_dep_extra,0)</f>
        <v/>
      </c>
      <c r="AE242" s="19">
        <f>AE240+IF(AE$3&lt;=i_tax_dep_end,i_tax_dep_extra,0)</f>
        <v/>
      </c>
      <c r="AF242" s="19">
        <f>AF240+IF(AF$3&lt;=i_tax_dep_end,i_tax_dep_extra,0)</f>
        <v/>
      </c>
      <c r="AG242" s="19">
        <f>AG240+IF(AG$3&lt;=i_tax_dep_end,i_tax_dep_extra,0)</f>
        <v/>
      </c>
      <c r="AH242" s="19">
        <f>AH240+IF(AH$3&lt;=i_tax_dep_end,i_tax_dep_extra,0)</f>
        <v/>
      </c>
      <c r="AI242" s="19">
        <f>AI240+IF(AI$3&lt;=i_tax_dep_end,i_tax_dep_extra,0)</f>
        <v/>
      </c>
    </row>
    <row r="243">
      <c r="B243" s="2" t="inlineStr">
        <is>
          <t>Unlevered cash tax</t>
        </is>
      </c>
      <c r="D243" s="19">
        <f>i_tax*MAX(0,D239-D242)</f>
        <v/>
      </c>
      <c r="E243" s="19">
        <f>i_tax*MAX(0,E239-E242)</f>
        <v/>
      </c>
      <c r="F243" s="19">
        <f>i_tax*MAX(0,F239-F242)</f>
        <v/>
      </c>
      <c r="G243" s="19">
        <f>i_tax*MAX(0,G239-G242)</f>
        <v/>
      </c>
      <c r="H243" s="19">
        <f>i_tax*MAX(0,H239-H242)</f>
        <v/>
      </c>
      <c r="I243" s="19">
        <f>i_tax*MAX(0,I239-I242)</f>
        <v/>
      </c>
      <c r="J243" s="19">
        <f>i_tax*MAX(0,J239-J242)</f>
        <v/>
      </c>
      <c r="K243" s="19">
        <f>i_tax*MAX(0,K239-K242)</f>
        <v/>
      </c>
      <c r="L243" s="19">
        <f>i_tax*MAX(0,L239-L242)</f>
        <v/>
      </c>
      <c r="M243" s="19">
        <f>i_tax*MAX(0,M239-M242)</f>
        <v/>
      </c>
      <c r="N243" s="19">
        <f>i_tax*MAX(0,N239-N242)</f>
        <v/>
      </c>
      <c r="O243" s="19">
        <f>i_tax*MAX(0,O239-O242)</f>
        <v/>
      </c>
      <c r="P243" s="19">
        <f>i_tax*MAX(0,P239-P242)</f>
        <v/>
      </c>
      <c r="Q243" s="19">
        <f>i_tax*MAX(0,Q239-Q242)</f>
        <v/>
      </c>
      <c r="R243" s="19">
        <f>i_tax*MAX(0,R239-R242)</f>
        <v/>
      </c>
      <c r="S243" s="19">
        <f>i_tax*MAX(0,S239-S242)</f>
        <v/>
      </c>
      <c r="T243" s="19">
        <f>i_tax*MAX(0,T239-T242)</f>
        <v/>
      </c>
      <c r="U243" s="19">
        <f>i_tax*MAX(0,U239-U242)</f>
        <v/>
      </c>
      <c r="V243" s="19">
        <f>i_tax*MAX(0,V239-V242)</f>
        <v/>
      </c>
      <c r="W243" s="19">
        <f>i_tax*MAX(0,W239-W242)</f>
        <v/>
      </c>
      <c r="X243" s="19">
        <f>i_tax*MAX(0,X239-X242)</f>
        <v/>
      </c>
      <c r="Y243" s="19">
        <f>i_tax*MAX(0,Y239-Y242)</f>
        <v/>
      </c>
      <c r="Z243" s="19">
        <f>i_tax*MAX(0,Z239-Z242)</f>
        <v/>
      </c>
      <c r="AA243" s="19">
        <f>i_tax*MAX(0,AA239-AA242)</f>
        <v/>
      </c>
      <c r="AB243" s="19">
        <f>i_tax*MAX(0,AB239-AB242)</f>
        <v/>
      </c>
      <c r="AC243" s="19">
        <f>i_tax*MAX(0,AC239-AC242)</f>
        <v/>
      </c>
      <c r="AD243" s="19">
        <f>i_tax*MAX(0,AD239-AD242)</f>
        <v/>
      </c>
      <c r="AE243" s="19">
        <f>i_tax*MAX(0,AE239-AE242)</f>
        <v/>
      </c>
      <c r="AF243" s="19">
        <f>i_tax*MAX(0,AF239-AF242)</f>
        <v/>
      </c>
      <c r="AG243" s="19">
        <f>i_tax*MAX(0,AG239-AG242)</f>
        <v/>
      </c>
      <c r="AH243" s="19">
        <f>i_tax*MAX(0,AH239-AH242)</f>
        <v/>
      </c>
      <c r="AI243" s="19">
        <f>i_tax*MAX(0,AI239-AI242)</f>
        <v/>
      </c>
    </row>
    <row r="244">
      <c r="B244" s="2" t="inlineStr">
        <is>
          <t>Westerhaven handback works</t>
        </is>
      </c>
      <c r="D244" s="19">
        <f>IF(AND(DCF!$C$154=0,D$3=i_conc_end),i_handback*D157,0)</f>
        <v/>
      </c>
      <c r="E244" s="19">
        <f>IF(AND(DCF!$C$154=0,E$3=i_conc_end),i_handback*E157,0)</f>
        <v/>
      </c>
      <c r="F244" s="19">
        <f>IF(AND(DCF!$C$154=0,F$3=i_conc_end),i_handback*F157,0)</f>
        <v/>
      </c>
      <c r="G244" s="19">
        <f>IF(AND(DCF!$C$154=0,G$3=i_conc_end),i_handback*G157,0)</f>
        <v/>
      </c>
      <c r="H244" s="19">
        <f>IF(AND(DCF!$C$154=0,H$3=i_conc_end),i_handback*H157,0)</f>
        <v/>
      </c>
      <c r="I244" s="19">
        <f>IF(AND(DCF!$C$154=0,I$3=i_conc_end),i_handback*I157,0)</f>
        <v/>
      </c>
      <c r="J244" s="19">
        <f>IF(AND(DCF!$C$154=0,J$3=i_conc_end),i_handback*J157,0)</f>
        <v/>
      </c>
      <c r="K244" s="19">
        <f>IF(AND(DCF!$C$154=0,K$3=i_conc_end),i_handback*K157,0)</f>
        <v/>
      </c>
      <c r="L244" s="19">
        <f>IF(AND(DCF!$C$154=0,L$3=i_conc_end),i_handback*L157,0)</f>
        <v/>
      </c>
      <c r="M244" s="19">
        <f>IF(AND(DCF!$C$154=0,M$3=i_conc_end),i_handback*M157,0)</f>
        <v/>
      </c>
      <c r="N244" s="19">
        <f>IF(AND(DCF!$C$154=0,N$3=i_conc_end),i_handback*N157,0)</f>
        <v/>
      </c>
      <c r="O244" s="19">
        <f>IF(AND(DCF!$C$154=0,O$3=i_conc_end),i_handback*O157,0)</f>
        <v/>
      </c>
      <c r="P244" s="19">
        <f>IF(AND(DCF!$C$154=0,P$3=i_conc_end),i_handback*P157,0)</f>
        <v/>
      </c>
      <c r="Q244" s="19">
        <f>IF(AND(DCF!$C$154=0,Q$3=i_conc_end),i_handback*Q157,0)</f>
        <v/>
      </c>
      <c r="R244" s="19">
        <f>IF(AND(DCF!$C$154=0,R$3=i_conc_end),i_handback*R157,0)</f>
        <v/>
      </c>
      <c r="S244" s="19">
        <f>IF(AND(DCF!$C$154=0,S$3=i_conc_end),i_handback*S157,0)</f>
        <v/>
      </c>
      <c r="T244" s="19">
        <f>IF(AND(DCF!$C$154=0,T$3=i_conc_end),i_handback*T157,0)</f>
        <v/>
      </c>
      <c r="U244" s="19">
        <f>IF(AND(DCF!$C$154=0,U$3=i_conc_end),i_handback*U157,0)</f>
        <v/>
      </c>
      <c r="V244" s="19">
        <f>IF(AND(DCF!$C$154=0,V$3=i_conc_end),i_handback*V157,0)</f>
        <v/>
      </c>
      <c r="W244" s="19">
        <f>IF(AND(DCF!$C$154=0,W$3=i_conc_end),i_handback*W157,0)</f>
        <v/>
      </c>
      <c r="X244" s="19">
        <f>IF(AND(DCF!$C$154=0,X$3=i_conc_end),i_handback*X157,0)</f>
        <v/>
      </c>
      <c r="Y244" s="19">
        <f>IF(AND(DCF!$C$154=0,Y$3=i_conc_end),i_handback*Y157,0)</f>
        <v/>
      </c>
      <c r="Z244" s="19">
        <f>IF(AND(DCF!$C$154=0,Z$3=i_conc_end),i_handback*Z157,0)</f>
        <v/>
      </c>
      <c r="AA244" s="19">
        <f>IF(AND(DCF!$C$154=0,AA$3=i_conc_end),i_handback*AA157,0)</f>
        <v/>
      </c>
      <c r="AB244" s="19">
        <f>IF(AND(DCF!$C$154=0,AB$3=i_conc_end),i_handback*AB157,0)</f>
        <v/>
      </c>
      <c r="AC244" s="19">
        <f>IF(AND(DCF!$C$154=0,AC$3=i_conc_end),i_handback*AC157,0)</f>
        <v/>
      </c>
      <c r="AD244" s="19">
        <f>IF(AND(DCF!$C$154=0,AD$3=i_conc_end),i_handback*AD157,0)</f>
        <v/>
      </c>
      <c r="AE244" s="19">
        <f>IF(AND(DCF!$C$154=0,AE$3=i_conc_end),i_handback*AE157,0)</f>
        <v/>
      </c>
      <c r="AF244" s="19">
        <f>IF(AND(DCF!$C$154=0,AF$3=i_conc_end),i_handback*AF157,0)</f>
        <v/>
      </c>
      <c r="AG244" s="19">
        <f>IF(AND(DCF!$C$154=0,AG$3=i_conc_end),i_handback*AG157,0)</f>
        <v/>
      </c>
      <c r="AH244" s="19">
        <f>IF(AND(DCF!$C$154=0,AH$3=i_conc_end),i_handback*AH157,0)</f>
        <v/>
      </c>
      <c r="AI244" s="19">
        <f>IF(AND(DCF!$C$154=0,AI$3=i_conc_end),i_handback*AI157,0)</f>
        <v/>
      </c>
    </row>
    <row r="245">
      <c r="B245" s="3" t="inlineStr">
        <is>
          <t>Free cash flow (unlevered)</t>
        </is>
      </c>
      <c r="D245" s="31">
        <f>D239-D240-D241-D243-D244</f>
        <v/>
      </c>
      <c r="E245" s="31">
        <f>E239-E240-E241-E243-E244</f>
        <v/>
      </c>
      <c r="F245" s="31">
        <f>F239-F240-F241-F243-F244</f>
        <v/>
      </c>
      <c r="G245" s="31">
        <f>G239-G240-G241-G243-G244</f>
        <v/>
      </c>
      <c r="H245" s="31">
        <f>H239-H240-H241-H243-H244</f>
        <v/>
      </c>
      <c r="I245" s="31">
        <f>I239-I240-I241-I243-I244</f>
        <v/>
      </c>
      <c r="J245" s="31">
        <f>J239-J240-J241-J243-J244</f>
        <v/>
      </c>
      <c r="K245" s="31">
        <f>K239-K240-K241-K243-K244</f>
        <v/>
      </c>
      <c r="L245" s="31">
        <f>L239-L240-L241-L243-L244</f>
        <v/>
      </c>
      <c r="M245" s="31">
        <f>M239-M240-M241-M243-M244</f>
        <v/>
      </c>
      <c r="N245" s="31">
        <f>N239-N240-N241-N243-N244</f>
        <v/>
      </c>
      <c r="O245" s="31">
        <f>O239-O240-O241-O243-O244</f>
        <v/>
      </c>
      <c r="P245" s="31">
        <f>P239-P240-P241-P243-P244</f>
        <v/>
      </c>
      <c r="Q245" s="31">
        <f>Q239-Q240-Q241-Q243-Q244</f>
        <v/>
      </c>
      <c r="R245" s="31">
        <f>R239-R240-R241-R243-R244</f>
        <v/>
      </c>
      <c r="S245" s="31">
        <f>S239-S240-S241-S243-S244</f>
        <v/>
      </c>
      <c r="T245" s="31">
        <f>T239-T240-T241-T243-T244</f>
        <v/>
      </c>
      <c r="U245" s="31">
        <f>U239-U240-U241-U243-U244</f>
        <v/>
      </c>
      <c r="V245" s="31">
        <f>V239-V240-V241-V243-V244</f>
        <v/>
      </c>
      <c r="W245" s="31">
        <f>W239-W240-W241-W243-W244</f>
        <v/>
      </c>
      <c r="X245" s="31">
        <f>X239-X240-X241-X243-X244</f>
        <v/>
      </c>
      <c r="Y245" s="31">
        <f>Y239-Y240-Y241-Y243-Y244</f>
        <v/>
      </c>
      <c r="Z245" s="31">
        <f>Z239-Z240-Z241-Z243-Z244</f>
        <v/>
      </c>
      <c r="AA245" s="31">
        <f>AA239-AA240-AA241-AA243-AA244</f>
        <v/>
      </c>
      <c r="AB245" s="31">
        <f>AB239-AB240-AB241-AB243-AB244</f>
        <v/>
      </c>
      <c r="AC245" s="31">
        <f>AC239-AC240-AC241-AC243-AC244</f>
        <v/>
      </c>
      <c r="AD245" s="31">
        <f>AD239-AD240-AD241-AD243-AD244</f>
        <v/>
      </c>
      <c r="AE245" s="31">
        <f>AE239-AE240-AE241-AE243-AE244</f>
        <v/>
      </c>
      <c r="AF245" s="31">
        <f>AF239-AF240-AF241-AF243-AF244</f>
        <v/>
      </c>
      <c r="AG245" s="31">
        <f>AG239-AG240-AG241-AG243-AG244</f>
        <v/>
      </c>
      <c r="AH245" s="31">
        <f>AH239-AH240-AH241-AH243-AH244</f>
        <v/>
      </c>
      <c r="AI245" s="31">
        <f>AI239-AI240-AI241-AI243-AI244</f>
        <v/>
      </c>
    </row>
    <row r="246">
      <c r="B246" s="2" t="inlineStr">
        <is>
          <t>Present value at the discount rate (2027 to 2056)</t>
        </is>
      </c>
      <c r="D246" s="19">
        <f>IF(AND(D$3&gt;i_base_year,D$3&lt;=i_last),D245/(1+i_r)^D$4,0)</f>
        <v/>
      </c>
      <c r="E246" s="19">
        <f>IF(AND(E$3&gt;i_base_year,E$3&lt;=i_last),E245/(1+i_r)^E$4,0)</f>
        <v/>
      </c>
      <c r="F246" s="19">
        <f>IF(AND(F$3&gt;i_base_year,F$3&lt;=i_last),F245/(1+i_r)^F$4,0)</f>
        <v/>
      </c>
      <c r="G246" s="19">
        <f>IF(AND(G$3&gt;i_base_year,G$3&lt;=i_last),G245/(1+i_r)^G$4,0)</f>
        <v/>
      </c>
      <c r="H246" s="19">
        <f>IF(AND(H$3&gt;i_base_year,H$3&lt;=i_last),H245/(1+i_r)^H$4,0)</f>
        <v/>
      </c>
      <c r="I246" s="19">
        <f>IF(AND(I$3&gt;i_base_year,I$3&lt;=i_last),I245/(1+i_r)^I$4,0)</f>
        <v/>
      </c>
      <c r="J246" s="19">
        <f>IF(AND(J$3&gt;i_base_year,J$3&lt;=i_last),J245/(1+i_r)^J$4,0)</f>
        <v/>
      </c>
      <c r="K246" s="19">
        <f>IF(AND(K$3&gt;i_base_year,K$3&lt;=i_last),K245/(1+i_r)^K$4,0)</f>
        <v/>
      </c>
      <c r="L246" s="19">
        <f>IF(AND(L$3&gt;i_base_year,L$3&lt;=i_last),L245/(1+i_r)^L$4,0)</f>
        <v/>
      </c>
      <c r="M246" s="19">
        <f>IF(AND(M$3&gt;i_base_year,M$3&lt;=i_last),M245/(1+i_r)^M$4,0)</f>
        <v/>
      </c>
      <c r="N246" s="19">
        <f>IF(AND(N$3&gt;i_base_year,N$3&lt;=i_last),N245/(1+i_r)^N$4,0)</f>
        <v/>
      </c>
      <c r="O246" s="19">
        <f>IF(AND(O$3&gt;i_base_year,O$3&lt;=i_last),O245/(1+i_r)^O$4,0)</f>
        <v/>
      </c>
      <c r="P246" s="19">
        <f>IF(AND(P$3&gt;i_base_year,P$3&lt;=i_last),P245/(1+i_r)^P$4,0)</f>
        <v/>
      </c>
      <c r="Q246" s="19">
        <f>IF(AND(Q$3&gt;i_base_year,Q$3&lt;=i_last),Q245/(1+i_r)^Q$4,0)</f>
        <v/>
      </c>
      <c r="R246" s="19">
        <f>IF(AND(R$3&gt;i_base_year,R$3&lt;=i_last),R245/(1+i_r)^R$4,0)</f>
        <v/>
      </c>
      <c r="S246" s="19">
        <f>IF(AND(S$3&gt;i_base_year,S$3&lt;=i_last),S245/(1+i_r)^S$4,0)</f>
        <v/>
      </c>
      <c r="T246" s="19">
        <f>IF(AND(T$3&gt;i_base_year,T$3&lt;=i_last),T245/(1+i_r)^T$4,0)</f>
        <v/>
      </c>
      <c r="U246" s="19">
        <f>IF(AND(U$3&gt;i_base_year,U$3&lt;=i_last),U245/(1+i_r)^U$4,0)</f>
        <v/>
      </c>
      <c r="V246" s="19">
        <f>IF(AND(V$3&gt;i_base_year,V$3&lt;=i_last),V245/(1+i_r)^V$4,0)</f>
        <v/>
      </c>
      <c r="W246" s="19">
        <f>IF(AND(W$3&gt;i_base_year,W$3&lt;=i_last),W245/(1+i_r)^W$4,0)</f>
        <v/>
      </c>
      <c r="X246" s="19">
        <f>IF(AND(X$3&gt;i_base_year,X$3&lt;=i_last),X245/(1+i_r)^X$4,0)</f>
        <v/>
      </c>
      <c r="Y246" s="19">
        <f>IF(AND(Y$3&gt;i_base_year,Y$3&lt;=i_last),Y245/(1+i_r)^Y$4,0)</f>
        <v/>
      </c>
      <c r="Z246" s="19">
        <f>IF(AND(Z$3&gt;i_base_year,Z$3&lt;=i_last),Z245/(1+i_r)^Z$4,0)</f>
        <v/>
      </c>
      <c r="AA246" s="19">
        <f>IF(AND(AA$3&gt;i_base_year,AA$3&lt;=i_last),AA245/(1+i_r)^AA$4,0)</f>
        <v/>
      </c>
      <c r="AB246" s="19">
        <f>IF(AND(AB$3&gt;i_base_year,AB$3&lt;=i_last),AB245/(1+i_r)^AB$4,0)</f>
        <v/>
      </c>
      <c r="AC246" s="19">
        <f>IF(AND(AC$3&gt;i_base_year,AC$3&lt;=i_last),AC245/(1+i_r)^AC$4,0)</f>
        <v/>
      </c>
      <c r="AD246" s="19">
        <f>IF(AND(AD$3&gt;i_base_year,AD$3&lt;=i_last),AD245/(1+i_r)^AD$4,0)</f>
        <v/>
      </c>
      <c r="AE246" s="19">
        <f>IF(AND(AE$3&gt;i_base_year,AE$3&lt;=i_last),AE245/(1+i_r)^AE$4,0)</f>
        <v/>
      </c>
      <c r="AF246" s="19">
        <f>IF(AND(AF$3&gt;i_base_year,AF$3&lt;=i_last),AF245/(1+i_r)^AF$4,0)</f>
        <v/>
      </c>
      <c r="AG246" s="19">
        <f>IF(AND(AG$3&gt;i_base_year,AG$3&lt;=i_last),AG245/(1+i_r)^AG$4,0)</f>
        <v/>
      </c>
      <c r="AH246" s="19">
        <f>IF(AND(AH$3&gt;i_base_year,AH$3&lt;=i_last),AH245/(1+i_r)^AH$4,0)</f>
        <v/>
      </c>
      <c r="AI246" s="19">
        <f>IF(AND(AI$3&gt;i_base_year,AI$3&lt;=i_last),AI245/(1+i_r)^AI$4,0)</f>
        <v/>
      </c>
    </row>
    <row r="247">
      <c r="B247" s="2" t="inlineStr">
        <is>
          <t>Present value of 2027 to 2056 free cash flow</t>
        </is>
      </c>
      <c r="C247" s="19">
        <f>SUM(D246:AI246)</f>
        <v/>
      </c>
    </row>
    <row r="248">
      <c r="B248" s="2" t="inlineStr">
        <is>
          <t>Terminal value at the end of 2056 (on 2057 free cash flow)</t>
        </is>
      </c>
      <c r="C248" s="19">
        <f>AI245/(i_r-i_g)</f>
        <v/>
      </c>
    </row>
    <row r="249">
      <c r="B249" s="2" t="inlineStr">
        <is>
          <t>Present value of the terminal value</t>
        </is>
      </c>
      <c r="C249" s="19">
        <f>C248/(1+i_r)^(i_last-i_base_year)</f>
        <v/>
      </c>
    </row>
    <row r="250">
      <c r="B250" s="3" t="inlineStr">
        <is>
          <t>Enterprise value at 31 December 2026</t>
        </is>
      </c>
      <c r="C250" s="31">
        <f>C247+C249</f>
        <v/>
      </c>
    </row>
  </sheetData>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B1:AI582"/>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s>
  <sheetData>
    <row r="1">
      <c r="B1" s="1" t="inlineStr">
        <is>
          <t>Diligence: from the seller's plan to the buyer's base case (chapters 5, 6)</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Value bridge at the 6.5 percent discount rate</t>
        </is>
      </c>
      <c r="C6" s="5" t="inlineStr">
        <is>
          <t>EV</t>
        </is>
      </c>
      <c r="D6" s="5" t="inlineStr">
        <is>
          <t>Change</t>
        </is>
      </c>
    </row>
    <row r="7">
      <c r="B7" s="2" t="inlineStr">
        <is>
          <t>Seller's plan, without the expansion</t>
        </is>
      </c>
      <c r="C7" s="19">
        <f>Platform!$C$129</f>
        <v/>
      </c>
    </row>
    <row r="8">
      <c r="B8" s="2" t="inlineStr">
        <is>
          <t>Westerhaven recontracting 4 percent below current rates</t>
        </is>
      </c>
      <c r="C8" s="19">
        <f>Diligence!$C$258</f>
        <v/>
      </c>
      <c r="D8" s="19">
        <f>C8-C7</f>
        <v/>
      </c>
    </row>
    <row r="9">
      <c r="B9" s="2" t="inlineStr">
        <is>
          <t>Largest Westerhaven customer leaves at the end of 2028</t>
        </is>
      </c>
      <c r="C9" s="19">
        <f>Diligence!$C$366</f>
        <v/>
      </c>
      <c r="D9" s="19">
        <f>C9-C8</f>
        <v/>
      </c>
    </row>
    <row r="10">
      <c r="B10" s="2" t="inlineStr">
        <is>
          <t>Westerhaven jetty 3 refurbishment, 2028 and 2029</t>
        </is>
      </c>
      <c r="C10" s="19">
        <f>Diligence!$C$474</f>
        <v/>
      </c>
      <c r="D10" s="19">
        <f>C10-C9</f>
        <v/>
      </c>
    </row>
    <row r="11">
      <c r="B11" s="2" t="inlineStr">
        <is>
          <t>Sabine Bend windstorm insurance: buyer's base case</t>
        </is>
      </c>
      <c r="C11" s="19">
        <f>Diligence!$C$150</f>
        <v/>
      </c>
      <c r="D11" s="19">
        <f>C11-C10</f>
        <v/>
      </c>
    </row>
    <row r="12">
      <c r="B12" s="3" t="inlineStr">
        <is>
          <t>Total cut from the diligence findings</t>
        </is>
      </c>
      <c r="C12" s="31">
        <f>C7-C11</f>
        <v/>
      </c>
    </row>
    <row r="13">
      <c r="B13" s="2" t="inlineStr">
        <is>
          <t>Total cut, share of the seller's plan</t>
        </is>
      </c>
      <c r="C13" s="21">
        <f>C12/C7</f>
        <v/>
      </c>
    </row>
    <row r="14">
      <c r="B14" s="2" t="inlineStr">
        <is>
          <t>Seller's plan EV / 2026 EBITDA</t>
        </is>
      </c>
      <c r="C14" s="32">
        <f>C7/Platform!$D$10</f>
        <v/>
      </c>
    </row>
    <row r="15">
      <c r="B15" s="2" t="inlineStr">
        <is>
          <t>Seller's plan with the expansion, EV</t>
        </is>
      </c>
      <c r="C15" s="19">
        <f>Diligence!$C$582</f>
        <v/>
      </c>
    </row>
    <row r="16">
      <c r="B16" s="2" t="inlineStr">
        <is>
          <t>Seller's plan at the adviser's 6.0 percent rate, EV</t>
        </is>
      </c>
      <c r="C16" s="19">
        <f>SUMPRODUCT(($D$3:$AI$3&gt;i_base_year)*($D$3:$AI$3&lt;=i_last)*Platform!$D$124:$AI$124/(1+i_r_adviser)^$D$4:$AI$4)+Platform!$AI$124/(i_r_adviser-i_g)/(1+i_r_adviser)^(i_last-i_base_year)</f>
        <v/>
      </c>
    </row>
    <row r="18">
      <c r="B18" s="5" t="inlineStr">
        <is>
          <t>First round and the price chip</t>
        </is>
      </c>
    </row>
    <row r="19">
      <c r="B19" s="2" t="inlineStr">
        <is>
          <t>First-round low / 2026 EBITDA</t>
        </is>
      </c>
      <c r="C19" s="32">
        <f>i_first_lo/Platform!$D$10</f>
        <v/>
      </c>
    </row>
    <row r="20">
      <c r="B20" s="2" t="inlineStr">
        <is>
          <t>First-round high / 2026 EBITDA</t>
        </is>
      </c>
      <c r="C20" s="32">
        <f>i_first_hi/Platform!$D$10</f>
        <v/>
      </c>
    </row>
    <row r="21">
      <c r="B21" s="2" t="inlineStr">
        <is>
          <t>Midpoint of the first-round range</t>
        </is>
      </c>
      <c r="C21" s="19">
        <f>(i_first_lo+i_first_hi)/2</f>
        <v/>
      </c>
    </row>
    <row r="22">
      <c r="B22" s="2" t="inlineStr">
        <is>
          <t>Price chip: midpoint less the binding bid</t>
        </is>
      </c>
      <c r="C22" s="19">
        <f>C21-i_bid_ev</f>
        <v/>
      </c>
    </row>
    <row r="23">
      <c r="B23" s="2" t="inlineStr">
        <is>
          <t>Price chip, share of the midpoint</t>
        </is>
      </c>
      <c r="C23" s="21">
        <f>1-i_bid_ev/C21</f>
        <v/>
      </c>
    </row>
    <row r="24">
      <c r="B24" s="2" t="inlineStr">
        <is>
          <t>Chip, piece 1: diligence findings (plan less buyer's base DCF)</t>
        </is>
      </c>
      <c r="C24" s="19">
        <f>Diligence!$C$12</f>
        <v/>
      </c>
    </row>
    <row r="25">
      <c r="B25" s="2" t="inlineStr">
        <is>
          <t>Chip, piece 2 (deducted): first-round midpoint already below the plan</t>
        </is>
      </c>
      <c r="C25" s="19">
        <f>C7-Diligence!$C$21</f>
        <v/>
      </c>
    </row>
    <row r="26">
      <c r="B26" s="2" t="inlineStr">
        <is>
          <t>Chip, piece 3: buyer's base DCF less the binding bid (price for the target return)</t>
        </is>
      </c>
      <c r="C26" s="19">
        <f>C11-i_bid_ev</f>
        <v/>
      </c>
    </row>
    <row r="27">
      <c r="B27" s="2" t="inlineStr">
        <is>
          <t>Check: piece 1 less piece 2 plus piece 3 less the chip (zero)</t>
        </is>
      </c>
      <c r="C27" s="35">
        <f>Diligence!$C$24-Diligence!$C$25+Diligence!$C$26-Diligence!$C$22</f>
        <v/>
      </c>
    </row>
    <row r="45">
      <c r="B45" s="5" t="inlineStr">
        <is>
          <t>Platform case: buyer's base case (fixed; all four findings)</t>
        </is>
      </c>
    </row>
    <row r="46">
      <c r="B46" s="4" t="inlineStr">
        <is>
          <t>Inflation</t>
        </is>
      </c>
      <c r="C46" s="27">
        <f>Inputs!$D$219</f>
        <v/>
      </c>
    </row>
    <row r="47">
      <c r="B47" s="4" t="inlineStr">
        <is>
          <t>Buyer's recontracting rates (1) or seller's plan rates (0)</t>
        </is>
      </c>
      <c r="C47" s="26">
        <f>Inputs!$D$220</f>
        <v/>
      </c>
    </row>
    <row r="48">
      <c r="B48" s="4" t="inlineStr">
        <is>
          <t>Largest Westerhaven customer leaves (1/0)</t>
        </is>
      </c>
      <c r="C48" s="26">
        <f>Inputs!$D$221</f>
        <v/>
      </c>
    </row>
    <row r="49">
      <c r="B49" s="4" t="inlineStr">
        <is>
          <t>Jetty 3 refurbishment (1/0)</t>
        </is>
      </c>
      <c r="C49" s="26">
        <f>Inputs!$D$222</f>
        <v/>
      </c>
    </row>
    <row r="50">
      <c r="B50" s="4" t="inlineStr">
        <is>
          <t>Sabine Bend extra insurance (1/0)</t>
        </is>
      </c>
      <c r="C50" s="26">
        <f>Inputs!$D$223</f>
        <v/>
      </c>
    </row>
    <row r="51">
      <c r="B51" s="4" t="inlineStr">
        <is>
          <t>Expansion built (1/0)</t>
        </is>
      </c>
      <c r="C51" s="26">
        <f>Inputs!$D$224</f>
        <v/>
      </c>
    </row>
    <row r="52">
      <c r="B52" s="4" t="inlineStr">
        <is>
          <t>Occupancy shift from 2027</t>
        </is>
      </c>
      <c r="C52" s="27">
        <f>Inputs!$D$225</f>
        <v/>
      </c>
    </row>
    <row r="53">
      <c r="B53" s="4" t="inlineStr">
        <is>
          <t>Recontracting shift</t>
        </is>
      </c>
      <c r="C53" s="27">
        <f>Inputs!$D$226</f>
        <v/>
      </c>
    </row>
    <row r="54">
      <c r="B54" s="4" t="inlineStr">
        <is>
          <t>Concession renewed (1/0)</t>
        </is>
      </c>
      <c r="C54" s="26">
        <f>Inputs!$D$227</f>
        <v/>
      </c>
    </row>
    <row r="55">
      <c r="B55" s="4" t="inlineStr">
        <is>
          <t>Westerhaven capacity multiplier</t>
        </is>
      </c>
      <c r="C55" s="28">
        <f>Inputs!$D$228</f>
        <v/>
      </c>
    </row>
    <row r="56">
      <c r="B56" s="4" t="inlineStr">
        <is>
          <t>Extra yearly cost from 2028 ($m, 2026 dollars)</t>
        </is>
      </c>
      <c r="C56" s="29">
        <f>Inputs!$D$229</f>
        <v/>
      </c>
    </row>
    <row r="57">
      <c r="B57" s="2" t="inlineStr">
        <is>
          <t>Cost index (inflation)</t>
        </is>
      </c>
      <c r="D57" s="30">
        <f>(1+Diligence!$C$46)^D$4</f>
        <v/>
      </c>
      <c r="E57" s="30">
        <f>(1+Diligence!$C$46)^E$4</f>
        <v/>
      </c>
      <c r="F57" s="30">
        <f>(1+Diligence!$C$46)^F$4</f>
        <v/>
      </c>
      <c r="G57" s="30">
        <f>(1+Diligence!$C$46)^G$4</f>
        <v/>
      </c>
      <c r="H57" s="30">
        <f>(1+Diligence!$C$46)^H$4</f>
        <v/>
      </c>
      <c r="I57" s="30">
        <f>(1+Diligence!$C$46)^I$4</f>
        <v/>
      </c>
      <c r="J57" s="30">
        <f>(1+Diligence!$C$46)^J$4</f>
        <v/>
      </c>
      <c r="K57" s="30">
        <f>(1+Diligence!$C$46)^K$4</f>
        <v/>
      </c>
      <c r="L57" s="30">
        <f>(1+Diligence!$C$46)^L$4</f>
        <v/>
      </c>
      <c r="M57" s="30">
        <f>(1+Diligence!$C$46)^M$4</f>
        <v/>
      </c>
      <c r="N57" s="30">
        <f>(1+Diligence!$C$46)^N$4</f>
        <v/>
      </c>
      <c r="O57" s="30">
        <f>(1+Diligence!$C$46)^O$4</f>
        <v/>
      </c>
      <c r="P57" s="30">
        <f>(1+Diligence!$C$46)^P$4</f>
        <v/>
      </c>
      <c r="Q57" s="30">
        <f>(1+Diligence!$C$46)^Q$4</f>
        <v/>
      </c>
      <c r="R57" s="30">
        <f>(1+Diligence!$C$46)^R$4</f>
        <v/>
      </c>
      <c r="S57" s="30">
        <f>(1+Diligence!$C$46)^S$4</f>
        <v/>
      </c>
      <c r="T57" s="30">
        <f>(1+Diligence!$C$46)^T$4</f>
        <v/>
      </c>
      <c r="U57" s="30">
        <f>(1+Diligence!$C$46)^U$4</f>
        <v/>
      </c>
      <c r="V57" s="30">
        <f>(1+Diligence!$C$46)^V$4</f>
        <v/>
      </c>
      <c r="W57" s="30">
        <f>(1+Diligence!$C$46)^W$4</f>
        <v/>
      </c>
      <c r="X57" s="30">
        <f>(1+Diligence!$C$46)^X$4</f>
        <v/>
      </c>
      <c r="Y57" s="30">
        <f>(1+Diligence!$C$46)^Y$4</f>
        <v/>
      </c>
      <c r="Z57" s="30">
        <f>(1+Diligence!$C$46)^Z$4</f>
        <v/>
      </c>
      <c r="AA57" s="30">
        <f>(1+Diligence!$C$46)^AA$4</f>
        <v/>
      </c>
      <c r="AB57" s="30">
        <f>(1+Diligence!$C$46)^AB$4</f>
        <v/>
      </c>
      <c r="AC57" s="30">
        <f>(1+Diligence!$C$46)^AC$4</f>
        <v/>
      </c>
      <c r="AD57" s="30">
        <f>(1+Diligence!$C$46)^AD$4</f>
        <v/>
      </c>
      <c r="AE57" s="30">
        <f>(1+Diligence!$C$46)^AE$4</f>
        <v/>
      </c>
      <c r="AF57" s="30">
        <f>(1+Diligence!$C$46)^AF$4</f>
        <v/>
      </c>
      <c r="AG57" s="30">
        <f>(1+Diligence!$C$46)^AG$4</f>
        <v/>
      </c>
      <c r="AH57" s="30">
        <f>(1+Diligence!$C$46)^AH$4</f>
        <v/>
      </c>
      <c r="AI57" s="30">
        <f>(1+Diligence!$C$46)^AI$4</f>
        <v/>
      </c>
    </row>
    <row r="58">
      <c r="B58" s="2" t="inlineStr">
        <is>
          <t>Rate index (inflation x pass-through)</t>
        </is>
      </c>
      <c r="D58" s="30">
        <f>(1+Diligence!$C$46*i_index_share)^D$4</f>
        <v/>
      </c>
      <c r="E58" s="30">
        <f>(1+Diligence!$C$46*i_index_share)^E$4</f>
        <v/>
      </c>
      <c r="F58" s="30">
        <f>(1+Diligence!$C$46*i_index_share)^F$4</f>
        <v/>
      </c>
      <c r="G58" s="30">
        <f>(1+Diligence!$C$46*i_index_share)^G$4</f>
        <v/>
      </c>
      <c r="H58" s="30">
        <f>(1+Diligence!$C$46*i_index_share)^H$4</f>
        <v/>
      </c>
      <c r="I58" s="30">
        <f>(1+Diligence!$C$46*i_index_share)^I$4</f>
        <v/>
      </c>
      <c r="J58" s="30">
        <f>(1+Diligence!$C$46*i_index_share)^J$4</f>
        <v/>
      </c>
      <c r="K58" s="30">
        <f>(1+Diligence!$C$46*i_index_share)^K$4</f>
        <v/>
      </c>
      <c r="L58" s="30">
        <f>(1+Diligence!$C$46*i_index_share)^L$4</f>
        <v/>
      </c>
      <c r="M58" s="30">
        <f>(1+Diligence!$C$46*i_index_share)^M$4</f>
        <v/>
      </c>
      <c r="N58" s="30">
        <f>(1+Diligence!$C$46*i_index_share)^N$4</f>
        <v/>
      </c>
      <c r="O58" s="30">
        <f>(1+Diligence!$C$46*i_index_share)^O$4</f>
        <v/>
      </c>
      <c r="P58" s="30">
        <f>(1+Diligence!$C$46*i_index_share)^P$4</f>
        <v/>
      </c>
      <c r="Q58" s="30">
        <f>(1+Diligence!$C$46*i_index_share)^Q$4</f>
        <v/>
      </c>
      <c r="R58" s="30">
        <f>(1+Diligence!$C$46*i_index_share)^R$4</f>
        <v/>
      </c>
      <c r="S58" s="30">
        <f>(1+Diligence!$C$46*i_index_share)^S$4</f>
        <v/>
      </c>
      <c r="T58" s="30">
        <f>(1+Diligence!$C$46*i_index_share)^T$4</f>
        <v/>
      </c>
      <c r="U58" s="30">
        <f>(1+Diligence!$C$46*i_index_share)^U$4</f>
        <v/>
      </c>
      <c r="V58" s="30">
        <f>(1+Diligence!$C$46*i_index_share)^V$4</f>
        <v/>
      </c>
      <c r="W58" s="30">
        <f>(1+Diligence!$C$46*i_index_share)^W$4</f>
        <v/>
      </c>
      <c r="X58" s="30">
        <f>(1+Diligence!$C$46*i_index_share)^X$4</f>
        <v/>
      </c>
      <c r="Y58" s="30">
        <f>(1+Diligence!$C$46*i_index_share)^Y$4</f>
        <v/>
      </c>
      <c r="Z58" s="30">
        <f>(1+Diligence!$C$46*i_index_share)^Z$4</f>
        <v/>
      </c>
      <c r="AA58" s="30">
        <f>(1+Diligence!$C$46*i_index_share)^AA$4</f>
        <v/>
      </c>
      <c r="AB58" s="30">
        <f>(1+Diligence!$C$46*i_index_share)^AB$4</f>
        <v/>
      </c>
      <c r="AC58" s="30">
        <f>(1+Diligence!$C$46*i_index_share)^AC$4</f>
        <v/>
      </c>
      <c r="AD58" s="30">
        <f>(1+Diligence!$C$46*i_index_share)^AD$4</f>
        <v/>
      </c>
      <c r="AE58" s="30">
        <f>(1+Diligence!$C$46*i_index_share)^AE$4</f>
        <v/>
      </c>
      <c r="AF58" s="30">
        <f>(1+Diligence!$C$46*i_index_share)^AF$4</f>
        <v/>
      </c>
      <c r="AG58" s="30">
        <f>(1+Diligence!$C$46*i_index_share)^AG$4</f>
        <v/>
      </c>
      <c r="AH58" s="30">
        <f>(1+Diligence!$C$46*i_index_share)^AH$4</f>
        <v/>
      </c>
      <c r="AI58" s="30">
        <f>(1+Diligence!$C$46*i_index_share)^AI$4</f>
        <v/>
      </c>
    </row>
    <row r="59">
      <c r="B59" s="3" t="inlineStr">
        <is>
          <t>Westerhaven</t>
        </is>
      </c>
    </row>
    <row r="60">
      <c r="B60" s="2" t="inlineStr">
        <is>
          <t xml:space="preserve">  Concession in force (1/0)</t>
        </is>
      </c>
      <c r="D60" s="22">
        <f>IF(Diligence!$C$54=1,1,IF(D$3&lt;=i_conc_end,1,0))</f>
        <v/>
      </c>
      <c r="E60" s="22">
        <f>IF(Diligence!$C$54=1,1,IF(E$3&lt;=i_conc_end,1,0))</f>
        <v/>
      </c>
      <c r="F60" s="22">
        <f>IF(Diligence!$C$54=1,1,IF(F$3&lt;=i_conc_end,1,0))</f>
        <v/>
      </c>
      <c r="G60" s="22">
        <f>IF(Diligence!$C$54=1,1,IF(G$3&lt;=i_conc_end,1,0))</f>
        <v/>
      </c>
      <c r="H60" s="22">
        <f>IF(Diligence!$C$54=1,1,IF(H$3&lt;=i_conc_end,1,0))</f>
        <v/>
      </c>
      <c r="I60" s="22">
        <f>IF(Diligence!$C$54=1,1,IF(I$3&lt;=i_conc_end,1,0))</f>
        <v/>
      </c>
      <c r="J60" s="22">
        <f>IF(Diligence!$C$54=1,1,IF(J$3&lt;=i_conc_end,1,0))</f>
        <v/>
      </c>
      <c r="K60" s="22">
        <f>IF(Diligence!$C$54=1,1,IF(K$3&lt;=i_conc_end,1,0))</f>
        <v/>
      </c>
      <c r="L60" s="22">
        <f>IF(Diligence!$C$54=1,1,IF(L$3&lt;=i_conc_end,1,0))</f>
        <v/>
      </c>
      <c r="M60" s="22">
        <f>IF(Diligence!$C$54=1,1,IF(M$3&lt;=i_conc_end,1,0))</f>
        <v/>
      </c>
      <c r="N60" s="22">
        <f>IF(Diligence!$C$54=1,1,IF(N$3&lt;=i_conc_end,1,0))</f>
        <v/>
      </c>
      <c r="O60" s="22">
        <f>IF(Diligence!$C$54=1,1,IF(O$3&lt;=i_conc_end,1,0))</f>
        <v/>
      </c>
      <c r="P60" s="22">
        <f>IF(Diligence!$C$54=1,1,IF(P$3&lt;=i_conc_end,1,0))</f>
        <v/>
      </c>
      <c r="Q60" s="22">
        <f>IF(Diligence!$C$54=1,1,IF(Q$3&lt;=i_conc_end,1,0))</f>
        <v/>
      </c>
      <c r="R60" s="22">
        <f>IF(Diligence!$C$54=1,1,IF(R$3&lt;=i_conc_end,1,0))</f>
        <v/>
      </c>
      <c r="S60" s="22">
        <f>IF(Diligence!$C$54=1,1,IF(S$3&lt;=i_conc_end,1,0))</f>
        <v/>
      </c>
      <c r="T60" s="22">
        <f>IF(Diligence!$C$54=1,1,IF(T$3&lt;=i_conc_end,1,0))</f>
        <v/>
      </c>
      <c r="U60" s="22">
        <f>IF(Diligence!$C$54=1,1,IF(U$3&lt;=i_conc_end,1,0))</f>
        <v/>
      </c>
      <c r="V60" s="22">
        <f>IF(Diligence!$C$54=1,1,IF(V$3&lt;=i_conc_end,1,0))</f>
        <v/>
      </c>
      <c r="W60" s="22">
        <f>IF(Diligence!$C$54=1,1,IF(W$3&lt;=i_conc_end,1,0))</f>
        <v/>
      </c>
      <c r="X60" s="22">
        <f>IF(Diligence!$C$54=1,1,IF(X$3&lt;=i_conc_end,1,0))</f>
        <v/>
      </c>
      <c r="Y60" s="22">
        <f>IF(Diligence!$C$54=1,1,IF(Y$3&lt;=i_conc_end,1,0))</f>
        <v/>
      </c>
      <c r="Z60" s="22">
        <f>IF(Diligence!$C$54=1,1,IF(Z$3&lt;=i_conc_end,1,0))</f>
        <v/>
      </c>
      <c r="AA60" s="22">
        <f>IF(Diligence!$C$54=1,1,IF(AA$3&lt;=i_conc_end,1,0))</f>
        <v/>
      </c>
      <c r="AB60" s="22">
        <f>IF(Diligence!$C$54=1,1,IF(AB$3&lt;=i_conc_end,1,0))</f>
        <v/>
      </c>
      <c r="AC60" s="22">
        <f>IF(Diligence!$C$54=1,1,IF(AC$3&lt;=i_conc_end,1,0))</f>
        <v/>
      </c>
      <c r="AD60" s="22">
        <f>IF(Diligence!$C$54=1,1,IF(AD$3&lt;=i_conc_end,1,0))</f>
        <v/>
      </c>
      <c r="AE60" s="22">
        <f>IF(Diligence!$C$54=1,1,IF(AE$3&lt;=i_conc_end,1,0))</f>
        <v/>
      </c>
      <c r="AF60" s="22">
        <f>IF(Diligence!$C$54=1,1,IF(AF$3&lt;=i_conc_end,1,0))</f>
        <v/>
      </c>
      <c r="AG60" s="22">
        <f>IF(Diligence!$C$54=1,1,IF(AG$3&lt;=i_conc_end,1,0))</f>
        <v/>
      </c>
      <c r="AH60" s="22">
        <f>IF(Diligence!$C$54=1,1,IF(AH$3&lt;=i_conc_end,1,0))</f>
        <v/>
      </c>
      <c r="AI60" s="22">
        <f>IF(Diligence!$C$54=1,1,IF(AI$3&lt;=i_conc_end,1,0))</f>
        <v/>
      </c>
    </row>
    <row r="61">
      <c r="B61" s="2" t="inlineStr">
        <is>
          <t xml:space="preserve">  Capacity in service (million m3)</t>
        </is>
      </c>
      <c r="D61" s="24">
        <f>i_W_cap*Diligence!$C$55*D60</f>
        <v/>
      </c>
      <c r="E61" s="24">
        <f>i_W_cap*Diligence!$C$55*E60</f>
        <v/>
      </c>
      <c r="F61" s="24">
        <f>i_W_cap*Diligence!$C$55*F60</f>
        <v/>
      </c>
      <c r="G61" s="24">
        <f>i_W_cap*Diligence!$C$55*G60</f>
        <v/>
      </c>
      <c r="H61" s="24">
        <f>i_W_cap*Diligence!$C$55*H60</f>
        <v/>
      </c>
      <c r="I61" s="24">
        <f>i_W_cap*Diligence!$C$55*I60</f>
        <v/>
      </c>
      <c r="J61" s="24">
        <f>i_W_cap*Diligence!$C$55*J60</f>
        <v/>
      </c>
      <c r="K61" s="24">
        <f>i_W_cap*Diligence!$C$55*K60</f>
        <v/>
      </c>
      <c r="L61" s="24">
        <f>i_W_cap*Diligence!$C$55*L60</f>
        <v/>
      </c>
      <c r="M61" s="24">
        <f>i_W_cap*Diligence!$C$55*M60</f>
        <v/>
      </c>
      <c r="N61" s="24">
        <f>i_W_cap*Diligence!$C$55*N60</f>
        <v/>
      </c>
      <c r="O61" s="24">
        <f>i_W_cap*Diligence!$C$55*O60</f>
        <v/>
      </c>
      <c r="P61" s="24">
        <f>i_W_cap*Diligence!$C$55*P60</f>
        <v/>
      </c>
      <c r="Q61" s="24">
        <f>i_W_cap*Diligence!$C$55*Q60</f>
        <v/>
      </c>
      <c r="R61" s="24">
        <f>i_W_cap*Diligence!$C$55*R60</f>
        <v/>
      </c>
      <c r="S61" s="24">
        <f>i_W_cap*Diligence!$C$55*S60</f>
        <v/>
      </c>
      <c r="T61" s="24">
        <f>i_W_cap*Diligence!$C$55*T60</f>
        <v/>
      </c>
      <c r="U61" s="24">
        <f>i_W_cap*Diligence!$C$55*U60</f>
        <v/>
      </c>
      <c r="V61" s="24">
        <f>i_W_cap*Diligence!$C$55*V60</f>
        <v/>
      </c>
      <c r="W61" s="24">
        <f>i_W_cap*Diligence!$C$55*W60</f>
        <v/>
      </c>
      <c r="X61" s="24">
        <f>i_W_cap*Diligence!$C$55*X60</f>
        <v/>
      </c>
      <c r="Y61" s="24">
        <f>i_W_cap*Diligence!$C$55*Y60</f>
        <v/>
      </c>
      <c r="Z61" s="24">
        <f>i_W_cap*Diligence!$C$55*Z60</f>
        <v/>
      </c>
      <c r="AA61" s="24">
        <f>i_W_cap*Diligence!$C$55*AA60</f>
        <v/>
      </c>
      <c r="AB61" s="24">
        <f>i_W_cap*Diligence!$C$55*AB60</f>
        <v/>
      </c>
      <c r="AC61" s="24">
        <f>i_W_cap*Diligence!$C$55*AC60</f>
        <v/>
      </c>
      <c r="AD61" s="24">
        <f>i_W_cap*Diligence!$C$55*AD60</f>
        <v/>
      </c>
      <c r="AE61" s="24">
        <f>i_W_cap*Diligence!$C$55*AE60</f>
        <v/>
      </c>
      <c r="AF61" s="24">
        <f>i_W_cap*Diligence!$C$55*AF60</f>
        <v/>
      </c>
      <c r="AG61" s="24">
        <f>i_W_cap*Diligence!$C$55*AG60</f>
        <v/>
      </c>
      <c r="AH61" s="24">
        <f>i_W_cap*Diligence!$C$55*AH60</f>
        <v/>
      </c>
      <c r="AI61" s="24">
        <f>i_W_cap*Diligence!$C$55*AI60</f>
        <v/>
      </c>
    </row>
    <row r="62">
      <c r="B62" s="2" t="inlineStr">
        <is>
          <t xml:space="preserve">  Share on contracts signed before 2027</t>
        </is>
      </c>
      <c r="D62" s="21">
        <f>SUMIF(i_book_years,D$3,i_W_book)</f>
        <v/>
      </c>
      <c r="E62" s="21">
        <f>SUMIF(i_book_years,E$3,i_W_book)</f>
        <v/>
      </c>
      <c r="F62" s="21">
        <f>SUMIF(i_book_years,F$3,i_W_book)</f>
        <v/>
      </c>
      <c r="G62" s="21">
        <f>SUMIF(i_book_years,G$3,i_W_book)</f>
        <v/>
      </c>
      <c r="H62" s="21">
        <f>SUMIF(i_book_years,H$3,i_W_book)</f>
        <v/>
      </c>
      <c r="I62" s="21">
        <f>SUMIF(i_book_years,I$3,i_W_book)</f>
        <v/>
      </c>
      <c r="J62" s="21">
        <f>SUMIF(i_book_years,J$3,i_W_book)</f>
        <v/>
      </c>
      <c r="K62" s="21">
        <f>SUMIF(i_book_years,K$3,i_W_book)</f>
        <v/>
      </c>
      <c r="L62" s="21">
        <f>SUMIF(i_book_years,L$3,i_W_book)</f>
        <v/>
      </c>
      <c r="M62" s="21">
        <f>SUMIF(i_book_years,M$3,i_W_book)</f>
        <v/>
      </c>
      <c r="N62" s="21">
        <f>SUMIF(i_book_years,N$3,i_W_book)</f>
        <v/>
      </c>
      <c r="O62" s="21">
        <f>SUMIF(i_book_years,O$3,i_W_book)</f>
        <v/>
      </c>
      <c r="P62" s="21">
        <f>SUMIF(i_book_years,P$3,i_W_book)</f>
        <v/>
      </c>
      <c r="Q62" s="21">
        <f>SUMIF(i_book_years,Q$3,i_W_book)</f>
        <v/>
      </c>
      <c r="R62" s="21">
        <f>SUMIF(i_book_years,R$3,i_W_book)</f>
        <v/>
      </c>
      <c r="S62" s="21">
        <f>SUMIF(i_book_years,S$3,i_W_book)</f>
        <v/>
      </c>
      <c r="T62" s="21">
        <f>SUMIF(i_book_years,T$3,i_W_book)</f>
        <v/>
      </c>
      <c r="U62" s="21">
        <f>SUMIF(i_book_years,U$3,i_W_book)</f>
        <v/>
      </c>
      <c r="V62" s="21">
        <f>SUMIF(i_book_years,V$3,i_W_book)</f>
        <v/>
      </c>
      <c r="W62" s="21">
        <f>SUMIF(i_book_years,W$3,i_W_book)</f>
        <v/>
      </c>
      <c r="X62" s="21">
        <f>SUMIF(i_book_years,X$3,i_W_book)</f>
        <v/>
      </c>
      <c r="Y62" s="21">
        <f>SUMIF(i_book_years,Y$3,i_W_book)</f>
        <v/>
      </c>
      <c r="Z62" s="21">
        <f>SUMIF(i_book_years,Z$3,i_W_book)</f>
        <v/>
      </c>
      <c r="AA62" s="21">
        <f>SUMIF(i_book_years,AA$3,i_W_book)</f>
        <v/>
      </c>
      <c r="AB62" s="21">
        <f>SUMIF(i_book_years,AB$3,i_W_book)</f>
        <v/>
      </c>
      <c r="AC62" s="21">
        <f>SUMIF(i_book_years,AC$3,i_W_book)</f>
        <v/>
      </c>
      <c r="AD62" s="21">
        <f>SUMIF(i_book_years,AD$3,i_W_book)</f>
        <v/>
      </c>
      <c r="AE62" s="21">
        <f>SUMIF(i_book_years,AE$3,i_W_book)</f>
        <v/>
      </c>
      <c r="AF62" s="21">
        <f>SUMIF(i_book_years,AF$3,i_W_book)</f>
        <v/>
      </c>
      <c r="AG62" s="21">
        <f>SUMIF(i_book_years,AG$3,i_W_book)</f>
        <v/>
      </c>
      <c r="AH62" s="21">
        <f>SUMIF(i_book_years,AH$3,i_W_book)</f>
        <v/>
      </c>
      <c r="AI62" s="21">
        <f>SUMIF(i_book_years,AI$3,i_W_book)</f>
        <v/>
      </c>
    </row>
    <row r="63">
      <c r="B63" s="2" t="inlineStr">
        <is>
          <t xml:space="preserve">  Recontracting factor against current rates</t>
        </is>
      </c>
      <c r="D63" s="21">
        <f>IF(D$4=0,0,IF(Diligence!$C$47=1,i_W_mtm,i_W_mtm_plan)+Diligence!$C$53)</f>
        <v/>
      </c>
      <c r="E63" s="21">
        <f>IF(E$4=0,0,IF(Diligence!$C$47=1,i_W_mtm,i_W_mtm_plan)+Diligence!$C$53)</f>
        <v/>
      </c>
      <c r="F63" s="21">
        <f>IF(F$4=0,0,IF(Diligence!$C$47=1,i_W_mtm,i_W_mtm_plan)+Diligence!$C$53)</f>
        <v/>
      </c>
      <c r="G63" s="21">
        <f>IF(G$4=0,0,IF(Diligence!$C$47=1,i_W_mtm,i_W_mtm_plan)+Diligence!$C$53)</f>
        <v/>
      </c>
      <c r="H63" s="21">
        <f>IF(H$4=0,0,IF(Diligence!$C$47=1,i_W_mtm,i_W_mtm_plan)+Diligence!$C$53)</f>
        <v/>
      </c>
      <c r="I63" s="21">
        <f>IF(I$4=0,0,IF(Diligence!$C$47=1,i_W_mtm,i_W_mtm_plan)+Diligence!$C$53)</f>
        <v/>
      </c>
      <c r="J63" s="21">
        <f>IF(J$4=0,0,IF(Diligence!$C$47=1,i_W_mtm,i_W_mtm_plan)+Diligence!$C$53)</f>
        <v/>
      </c>
      <c r="K63" s="21">
        <f>IF(K$4=0,0,IF(Diligence!$C$47=1,i_W_mtm,i_W_mtm_plan)+Diligence!$C$53)</f>
        <v/>
      </c>
      <c r="L63" s="21">
        <f>IF(L$4=0,0,IF(Diligence!$C$47=1,i_W_mtm,i_W_mtm_plan)+Diligence!$C$53)</f>
        <v/>
      </c>
      <c r="M63" s="21">
        <f>IF(M$4=0,0,IF(Diligence!$C$47=1,i_W_mtm,i_W_mtm_plan)+Diligence!$C$53)</f>
        <v/>
      </c>
      <c r="N63" s="21">
        <f>IF(N$4=0,0,IF(Diligence!$C$47=1,i_W_mtm,i_W_mtm_plan)+Diligence!$C$53)</f>
        <v/>
      </c>
      <c r="O63" s="21">
        <f>IF(O$4=0,0,IF(Diligence!$C$47=1,i_W_mtm,i_W_mtm_plan)+Diligence!$C$53)</f>
        <v/>
      </c>
      <c r="P63" s="21">
        <f>IF(P$4=0,0,IF(Diligence!$C$47=1,i_W_mtm,i_W_mtm_plan)+Diligence!$C$53)</f>
        <v/>
      </c>
      <c r="Q63" s="21">
        <f>IF(Q$4=0,0,IF(Diligence!$C$47=1,i_W_mtm,i_W_mtm_plan)+Diligence!$C$53)</f>
        <v/>
      </c>
      <c r="R63" s="21">
        <f>IF(R$4=0,0,IF(Diligence!$C$47=1,i_W_mtm,i_W_mtm_plan)+Diligence!$C$53)</f>
        <v/>
      </c>
      <c r="S63" s="21">
        <f>IF(S$4=0,0,IF(Diligence!$C$47=1,i_W_mtm,i_W_mtm_plan)+Diligence!$C$53)</f>
        <v/>
      </c>
      <c r="T63" s="21">
        <f>IF(T$4=0,0,IF(Diligence!$C$47=1,i_W_mtm,i_W_mtm_plan)+Diligence!$C$53)</f>
        <v/>
      </c>
      <c r="U63" s="21">
        <f>IF(U$4=0,0,IF(Diligence!$C$47=1,i_W_mtm,i_W_mtm_plan)+Diligence!$C$53)</f>
        <v/>
      </c>
      <c r="V63" s="21">
        <f>IF(V$4=0,0,IF(Diligence!$C$47=1,i_W_mtm,i_W_mtm_plan)+Diligence!$C$53)</f>
        <v/>
      </c>
      <c r="W63" s="21">
        <f>IF(W$4=0,0,IF(Diligence!$C$47=1,i_W_mtm,i_W_mtm_plan)+Diligence!$C$53)</f>
        <v/>
      </c>
      <c r="X63" s="21">
        <f>IF(X$4=0,0,IF(Diligence!$C$47=1,i_W_mtm,i_W_mtm_plan)+Diligence!$C$53)</f>
        <v/>
      </c>
      <c r="Y63" s="21">
        <f>IF(Y$4=0,0,IF(Diligence!$C$47=1,i_W_mtm,i_W_mtm_plan)+Diligence!$C$53)</f>
        <v/>
      </c>
      <c r="Z63" s="21">
        <f>IF(Z$4=0,0,IF(Diligence!$C$47=1,i_W_mtm,i_W_mtm_plan)+Diligence!$C$53)</f>
        <v/>
      </c>
      <c r="AA63" s="21">
        <f>IF(AA$4=0,0,IF(Diligence!$C$47=1,i_W_mtm,i_W_mtm_plan)+Diligence!$C$53)</f>
        <v/>
      </c>
      <c r="AB63" s="21">
        <f>IF(AB$4=0,0,IF(Diligence!$C$47=1,i_W_mtm,i_W_mtm_plan)+Diligence!$C$53)</f>
        <v/>
      </c>
      <c r="AC63" s="21">
        <f>IF(AC$4=0,0,IF(Diligence!$C$47=1,i_W_mtm,i_W_mtm_plan)+Diligence!$C$53)</f>
        <v/>
      </c>
      <c r="AD63" s="21">
        <f>IF(AD$4=0,0,IF(Diligence!$C$47=1,i_W_mtm,i_W_mtm_plan)+Diligence!$C$53)</f>
        <v/>
      </c>
      <c r="AE63" s="21">
        <f>IF(AE$4=0,0,IF(Diligence!$C$47=1,i_W_mtm,i_W_mtm_plan)+Diligence!$C$53)</f>
        <v/>
      </c>
      <c r="AF63" s="21">
        <f>IF(AF$4=0,0,IF(Diligence!$C$47=1,i_W_mtm,i_W_mtm_plan)+Diligence!$C$53)</f>
        <v/>
      </c>
      <c r="AG63" s="21">
        <f>IF(AG$4=0,0,IF(Diligence!$C$47=1,i_W_mtm,i_W_mtm_plan)+Diligence!$C$53)</f>
        <v/>
      </c>
      <c r="AH63" s="21">
        <f>IF(AH$4=0,0,IF(Diligence!$C$47=1,i_W_mtm,i_W_mtm_plan)+Diligence!$C$53)</f>
        <v/>
      </c>
      <c r="AI63" s="21">
        <f>IF(AI$4=0,0,IF(Diligence!$C$47=1,i_W_mtm,i_W_mtm_plan)+Diligence!$C$53)</f>
        <v/>
      </c>
    </row>
    <row r="64">
      <c r="B64" s="2" t="inlineStr">
        <is>
          <t xml:space="preserve">  Average rate ($ per m3 per month)</t>
        </is>
      </c>
      <c r="D64" s="24">
        <f>i_W_rate*D58*(D62+(1-D62)*(1+D63))</f>
        <v/>
      </c>
      <c r="E64" s="24">
        <f>i_W_rate*E58*(E62+(1-E62)*(1+E63))</f>
        <v/>
      </c>
      <c r="F64" s="24">
        <f>i_W_rate*F58*(F62+(1-F62)*(1+F63))</f>
        <v/>
      </c>
      <c r="G64" s="24">
        <f>i_W_rate*G58*(G62+(1-G62)*(1+G63))</f>
        <v/>
      </c>
      <c r="H64" s="24">
        <f>i_W_rate*H58*(H62+(1-H62)*(1+H63))</f>
        <v/>
      </c>
      <c r="I64" s="24">
        <f>i_W_rate*I58*(I62+(1-I62)*(1+I63))</f>
        <v/>
      </c>
      <c r="J64" s="24">
        <f>i_W_rate*J58*(J62+(1-J62)*(1+J63))</f>
        <v/>
      </c>
      <c r="K64" s="24">
        <f>i_W_rate*K58*(K62+(1-K62)*(1+K63))</f>
        <v/>
      </c>
      <c r="L64" s="24">
        <f>i_W_rate*L58*(L62+(1-L62)*(1+L63))</f>
        <v/>
      </c>
      <c r="M64" s="24">
        <f>i_W_rate*M58*(M62+(1-M62)*(1+M63))</f>
        <v/>
      </c>
      <c r="N64" s="24">
        <f>i_W_rate*N58*(N62+(1-N62)*(1+N63))</f>
        <v/>
      </c>
      <c r="O64" s="24">
        <f>i_W_rate*O58*(O62+(1-O62)*(1+O63))</f>
        <v/>
      </c>
      <c r="P64" s="24">
        <f>i_W_rate*P58*(P62+(1-P62)*(1+P63))</f>
        <v/>
      </c>
      <c r="Q64" s="24">
        <f>i_W_rate*Q58*(Q62+(1-Q62)*(1+Q63))</f>
        <v/>
      </c>
      <c r="R64" s="24">
        <f>i_W_rate*R58*(R62+(1-R62)*(1+R63))</f>
        <v/>
      </c>
      <c r="S64" s="24">
        <f>i_W_rate*S58*(S62+(1-S62)*(1+S63))</f>
        <v/>
      </c>
      <c r="T64" s="24">
        <f>i_W_rate*T58*(T62+(1-T62)*(1+T63))</f>
        <v/>
      </c>
      <c r="U64" s="24">
        <f>i_W_rate*U58*(U62+(1-U62)*(1+U63))</f>
        <v/>
      </c>
      <c r="V64" s="24">
        <f>i_W_rate*V58*(V62+(1-V62)*(1+V63))</f>
        <v/>
      </c>
      <c r="W64" s="24">
        <f>i_W_rate*W58*(W62+(1-W62)*(1+W63))</f>
        <v/>
      </c>
      <c r="X64" s="24">
        <f>i_W_rate*X58*(X62+(1-X62)*(1+X63))</f>
        <v/>
      </c>
      <c r="Y64" s="24">
        <f>i_W_rate*Y58*(Y62+(1-Y62)*(1+Y63))</f>
        <v/>
      </c>
      <c r="Z64" s="24">
        <f>i_W_rate*Z58*(Z62+(1-Z62)*(1+Z63))</f>
        <v/>
      </c>
      <c r="AA64" s="24">
        <f>i_W_rate*AA58*(AA62+(1-AA62)*(1+AA63))</f>
        <v/>
      </c>
      <c r="AB64" s="24">
        <f>i_W_rate*AB58*(AB62+(1-AB62)*(1+AB63))</f>
        <v/>
      </c>
      <c r="AC64" s="24">
        <f>i_W_rate*AC58*(AC62+(1-AC62)*(1+AC63))</f>
        <v/>
      </c>
      <c r="AD64" s="24">
        <f>i_W_rate*AD58*(AD62+(1-AD62)*(1+AD63))</f>
        <v/>
      </c>
      <c r="AE64" s="24">
        <f>i_W_rate*AE58*(AE62+(1-AE62)*(1+AE63))</f>
        <v/>
      </c>
      <c r="AF64" s="24">
        <f>i_W_rate*AF58*(AF62+(1-AF62)*(1+AF63))</f>
        <v/>
      </c>
      <c r="AG64" s="24">
        <f>i_W_rate*AG58*(AG62+(1-AG62)*(1+AG63))</f>
        <v/>
      </c>
      <c r="AH64" s="24">
        <f>i_W_rate*AH58*(AH62+(1-AH62)*(1+AH63))</f>
        <v/>
      </c>
      <c r="AI64" s="24">
        <f>i_W_rate*AI58*(AI62+(1-AI62)*(1+AI63))</f>
        <v/>
      </c>
    </row>
    <row r="65">
      <c r="B65" s="2" t="inlineStr">
        <is>
          <t xml:space="preserve">  Occupancy after the transition decline and floor</t>
        </is>
      </c>
      <c r="D65" s="21">
        <f>IF(D$3&gt;i_trans_start,MAX(i_W_floor,i_W_occ-i_W_dec*(D$3-i_trans_start)),i_W_occ)</f>
        <v/>
      </c>
      <c r="E65" s="21">
        <f>IF(E$3&gt;i_trans_start,MAX(i_W_floor,i_W_occ-i_W_dec*(E$3-i_trans_start)),i_W_occ)</f>
        <v/>
      </c>
      <c r="F65" s="21">
        <f>IF(F$3&gt;i_trans_start,MAX(i_W_floor,i_W_occ-i_W_dec*(F$3-i_trans_start)),i_W_occ)</f>
        <v/>
      </c>
      <c r="G65" s="21">
        <f>IF(G$3&gt;i_trans_start,MAX(i_W_floor,i_W_occ-i_W_dec*(G$3-i_trans_start)),i_W_occ)</f>
        <v/>
      </c>
      <c r="H65" s="21">
        <f>IF(H$3&gt;i_trans_start,MAX(i_W_floor,i_W_occ-i_W_dec*(H$3-i_trans_start)),i_W_occ)</f>
        <v/>
      </c>
      <c r="I65" s="21">
        <f>IF(I$3&gt;i_trans_start,MAX(i_W_floor,i_W_occ-i_W_dec*(I$3-i_trans_start)),i_W_occ)</f>
        <v/>
      </c>
      <c r="J65" s="21">
        <f>IF(J$3&gt;i_trans_start,MAX(i_W_floor,i_W_occ-i_W_dec*(J$3-i_trans_start)),i_W_occ)</f>
        <v/>
      </c>
      <c r="K65" s="21">
        <f>IF(K$3&gt;i_trans_start,MAX(i_W_floor,i_W_occ-i_W_dec*(K$3-i_trans_start)),i_W_occ)</f>
        <v/>
      </c>
      <c r="L65" s="21">
        <f>IF(L$3&gt;i_trans_start,MAX(i_W_floor,i_W_occ-i_W_dec*(L$3-i_trans_start)),i_W_occ)</f>
        <v/>
      </c>
      <c r="M65" s="21">
        <f>IF(M$3&gt;i_trans_start,MAX(i_W_floor,i_W_occ-i_W_dec*(M$3-i_trans_start)),i_W_occ)</f>
        <v/>
      </c>
      <c r="N65" s="21">
        <f>IF(N$3&gt;i_trans_start,MAX(i_W_floor,i_W_occ-i_W_dec*(N$3-i_trans_start)),i_W_occ)</f>
        <v/>
      </c>
      <c r="O65" s="21">
        <f>IF(O$3&gt;i_trans_start,MAX(i_W_floor,i_W_occ-i_W_dec*(O$3-i_trans_start)),i_W_occ)</f>
        <v/>
      </c>
      <c r="P65" s="21">
        <f>IF(P$3&gt;i_trans_start,MAX(i_W_floor,i_W_occ-i_W_dec*(P$3-i_trans_start)),i_W_occ)</f>
        <v/>
      </c>
      <c r="Q65" s="21">
        <f>IF(Q$3&gt;i_trans_start,MAX(i_W_floor,i_W_occ-i_W_dec*(Q$3-i_trans_start)),i_W_occ)</f>
        <v/>
      </c>
      <c r="R65" s="21">
        <f>IF(R$3&gt;i_trans_start,MAX(i_W_floor,i_W_occ-i_W_dec*(R$3-i_trans_start)),i_W_occ)</f>
        <v/>
      </c>
      <c r="S65" s="21">
        <f>IF(S$3&gt;i_trans_start,MAX(i_W_floor,i_W_occ-i_W_dec*(S$3-i_trans_start)),i_W_occ)</f>
        <v/>
      </c>
      <c r="T65" s="21">
        <f>IF(T$3&gt;i_trans_start,MAX(i_W_floor,i_W_occ-i_W_dec*(T$3-i_trans_start)),i_W_occ)</f>
        <v/>
      </c>
      <c r="U65" s="21">
        <f>IF(U$3&gt;i_trans_start,MAX(i_W_floor,i_W_occ-i_W_dec*(U$3-i_trans_start)),i_W_occ)</f>
        <v/>
      </c>
      <c r="V65" s="21">
        <f>IF(V$3&gt;i_trans_start,MAX(i_W_floor,i_W_occ-i_W_dec*(V$3-i_trans_start)),i_W_occ)</f>
        <v/>
      </c>
      <c r="W65" s="21">
        <f>IF(W$3&gt;i_trans_start,MAX(i_W_floor,i_W_occ-i_W_dec*(W$3-i_trans_start)),i_W_occ)</f>
        <v/>
      </c>
      <c r="X65" s="21">
        <f>IF(X$3&gt;i_trans_start,MAX(i_W_floor,i_W_occ-i_W_dec*(X$3-i_trans_start)),i_W_occ)</f>
        <v/>
      </c>
      <c r="Y65" s="21">
        <f>IF(Y$3&gt;i_trans_start,MAX(i_W_floor,i_W_occ-i_W_dec*(Y$3-i_trans_start)),i_W_occ)</f>
        <v/>
      </c>
      <c r="Z65" s="21">
        <f>IF(Z$3&gt;i_trans_start,MAX(i_W_floor,i_W_occ-i_W_dec*(Z$3-i_trans_start)),i_W_occ)</f>
        <v/>
      </c>
      <c r="AA65" s="21">
        <f>IF(AA$3&gt;i_trans_start,MAX(i_W_floor,i_W_occ-i_W_dec*(AA$3-i_trans_start)),i_W_occ)</f>
        <v/>
      </c>
      <c r="AB65" s="21">
        <f>IF(AB$3&gt;i_trans_start,MAX(i_W_floor,i_W_occ-i_W_dec*(AB$3-i_trans_start)),i_W_occ)</f>
        <v/>
      </c>
      <c r="AC65" s="21">
        <f>IF(AC$3&gt;i_trans_start,MAX(i_W_floor,i_W_occ-i_W_dec*(AC$3-i_trans_start)),i_W_occ)</f>
        <v/>
      </c>
      <c r="AD65" s="21">
        <f>IF(AD$3&gt;i_trans_start,MAX(i_W_floor,i_W_occ-i_W_dec*(AD$3-i_trans_start)),i_W_occ)</f>
        <v/>
      </c>
      <c r="AE65" s="21">
        <f>IF(AE$3&gt;i_trans_start,MAX(i_W_floor,i_W_occ-i_W_dec*(AE$3-i_trans_start)),i_W_occ)</f>
        <v/>
      </c>
      <c r="AF65" s="21">
        <f>IF(AF$3&gt;i_trans_start,MAX(i_W_floor,i_W_occ-i_W_dec*(AF$3-i_trans_start)),i_W_occ)</f>
        <v/>
      </c>
      <c r="AG65" s="21">
        <f>IF(AG$3&gt;i_trans_start,MAX(i_W_floor,i_W_occ-i_W_dec*(AG$3-i_trans_start)),i_W_occ)</f>
        <v/>
      </c>
      <c r="AH65" s="21">
        <f>IF(AH$3&gt;i_trans_start,MAX(i_W_floor,i_W_occ-i_W_dec*(AH$3-i_trans_start)),i_W_occ)</f>
        <v/>
      </c>
      <c r="AI65" s="21">
        <f>IF(AI$3&gt;i_trans_start,MAX(i_W_floor,i_W_occ-i_W_dec*(AI$3-i_trans_start)),i_W_occ)</f>
        <v/>
      </c>
    </row>
    <row r="66">
      <c r="B66" s="2" t="inlineStr">
        <is>
          <t xml:space="preserve">  Customer loss (points)</t>
        </is>
      </c>
      <c r="D66" s="21">
        <f>Diligence!$C$48*SUMIF(i_dip_years,D$3,i_dip_vals)</f>
        <v/>
      </c>
      <c r="E66" s="21">
        <f>Diligence!$C$48*SUMIF(i_dip_years,E$3,i_dip_vals)</f>
        <v/>
      </c>
      <c r="F66" s="21">
        <f>Diligence!$C$48*SUMIF(i_dip_years,F$3,i_dip_vals)</f>
        <v/>
      </c>
      <c r="G66" s="21">
        <f>Diligence!$C$48*SUMIF(i_dip_years,G$3,i_dip_vals)</f>
        <v/>
      </c>
      <c r="H66" s="21">
        <f>Diligence!$C$48*SUMIF(i_dip_years,H$3,i_dip_vals)</f>
        <v/>
      </c>
      <c r="I66" s="21">
        <f>Diligence!$C$48*SUMIF(i_dip_years,I$3,i_dip_vals)</f>
        <v/>
      </c>
      <c r="J66" s="21">
        <f>Diligence!$C$48*SUMIF(i_dip_years,J$3,i_dip_vals)</f>
        <v/>
      </c>
      <c r="K66" s="21">
        <f>Diligence!$C$48*SUMIF(i_dip_years,K$3,i_dip_vals)</f>
        <v/>
      </c>
      <c r="L66" s="21">
        <f>Diligence!$C$48*SUMIF(i_dip_years,L$3,i_dip_vals)</f>
        <v/>
      </c>
      <c r="M66" s="21">
        <f>Diligence!$C$48*SUMIF(i_dip_years,M$3,i_dip_vals)</f>
        <v/>
      </c>
      <c r="N66" s="21">
        <f>Diligence!$C$48*SUMIF(i_dip_years,N$3,i_dip_vals)</f>
        <v/>
      </c>
      <c r="O66" s="21">
        <f>Diligence!$C$48*SUMIF(i_dip_years,O$3,i_dip_vals)</f>
        <v/>
      </c>
      <c r="P66" s="21">
        <f>Diligence!$C$48*SUMIF(i_dip_years,P$3,i_dip_vals)</f>
        <v/>
      </c>
      <c r="Q66" s="21">
        <f>Diligence!$C$48*SUMIF(i_dip_years,Q$3,i_dip_vals)</f>
        <v/>
      </c>
      <c r="R66" s="21">
        <f>Diligence!$C$48*SUMIF(i_dip_years,R$3,i_dip_vals)</f>
        <v/>
      </c>
      <c r="S66" s="21">
        <f>Diligence!$C$48*SUMIF(i_dip_years,S$3,i_dip_vals)</f>
        <v/>
      </c>
      <c r="T66" s="21">
        <f>Diligence!$C$48*SUMIF(i_dip_years,T$3,i_dip_vals)</f>
        <v/>
      </c>
      <c r="U66" s="21">
        <f>Diligence!$C$48*SUMIF(i_dip_years,U$3,i_dip_vals)</f>
        <v/>
      </c>
      <c r="V66" s="21">
        <f>Diligence!$C$48*SUMIF(i_dip_years,V$3,i_dip_vals)</f>
        <v/>
      </c>
      <c r="W66" s="21">
        <f>Diligence!$C$48*SUMIF(i_dip_years,W$3,i_dip_vals)</f>
        <v/>
      </c>
      <c r="X66" s="21">
        <f>Diligence!$C$48*SUMIF(i_dip_years,X$3,i_dip_vals)</f>
        <v/>
      </c>
      <c r="Y66" s="21">
        <f>Diligence!$C$48*SUMIF(i_dip_years,Y$3,i_dip_vals)</f>
        <v/>
      </c>
      <c r="Z66" s="21">
        <f>Diligence!$C$48*SUMIF(i_dip_years,Z$3,i_dip_vals)</f>
        <v/>
      </c>
      <c r="AA66" s="21">
        <f>Diligence!$C$48*SUMIF(i_dip_years,AA$3,i_dip_vals)</f>
        <v/>
      </c>
      <c r="AB66" s="21">
        <f>Diligence!$C$48*SUMIF(i_dip_years,AB$3,i_dip_vals)</f>
        <v/>
      </c>
      <c r="AC66" s="21">
        <f>Diligence!$C$48*SUMIF(i_dip_years,AC$3,i_dip_vals)</f>
        <v/>
      </c>
      <c r="AD66" s="21">
        <f>Diligence!$C$48*SUMIF(i_dip_years,AD$3,i_dip_vals)</f>
        <v/>
      </c>
      <c r="AE66" s="21">
        <f>Diligence!$C$48*SUMIF(i_dip_years,AE$3,i_dip_vals)</f>
        <v/>
      </c>
      <c r="AF66" s="21">
        <f>Diligence!$C$48*SUMIF(i_dip_years,AF$3,i_dip_vals)</f>
        <v/>
      </c>
      <c r="AG66" s="21">
        <f>Diligence!$C$48*SUMIF(i_dip_years,AG$3,i_dip_vals)</f>
        <v/>
      </c>
      <c r="AH66" s="21">
        <f>Diligence!$C$48*SUMIF(i_dip_years,AH$3,i_dip_vals)</f>
        <v/>
      </c>
      <c r="AI66" s="21">
        <f>Diligence!$C$48*SUMIF(i_dip_years,AI$3,i_dip_vals)</f>
        <v/>
      </c>
    </row>
    <row r="67">
      <c r="B67" s="2" t="inlineStr">
        <is>
          <t xml:space="preserve">  Occupancy (with the shift switch from 2027)</t>
        </is>
      </c>
      <c r="D67" s="21">
        <f>IF(D$4&gt;0,MIN(1,D65-D66+Diligence!$C$52),D65-D66)</f>
        <v/>
      </c>
      <c r="E67" s="21">
        <f>IF(E$4&gt;0,MIN(1,E65-E66+Diligence!$C$52),E65-E66)</f>
        <v/>
      </c>
      <c r="F67" s="21">
        <f>IF(F$4&gt;0,MIN(1,F65-F66+Diligence!$C$52),F65-F66)</f>
        <v/>
      </c>
      <c r="G67" s="21">
        <f>IF(G$4&gt;0,MIN(1,G65-G66+Diligence!$C$52),G65-G66)</f>
        <v/>
      </c>
      <c r="H67" s="21">
        <f>IF(H$4&gt;0,MIN(1,H65-H66+Diligence!$C$52),H65-H66)</f>
        <v/>
      </c>
      <c r="I67" s="21">
        <f>IF(I$4&gt;0,MIN(1,I65-I66+Diligence!$C$52),I65-I66)</f>
        <v/>
      </c>
      <c r="J67" s="21">
        <f>IF(J$4&gt;0,MIN(1,J65-J66+Diligence!$C$52),J65-J66)</f>
        <v/>
      </c>
      <c r="K67" s="21">
        <f>IF(K$4&gt;0,MIN(1,K65-K66+Diligence!$C$52),K65-K66)</f>
        <v/>
      </c>
      <c r="L67" s="21">
        <f>IF(L$4&gt;0,MIN(1,L65-L66+Diligence!$C$52),L65-L66)</f>
        <v/>
      </c>
      <c r="M67" s="21">
        <f>IF(M$4&gt;0,MIN(1,M65-M66+Diligence!$C$52),M65-M66)</f>
        <v/>
      </c>
      <c r="N67" s="21">
        <f>IF(N$4&gt;0,MIN(1,N65-N66+Diligence!$C$52),N65-N66)</f>
        <v/>
      </c>
      <c r="O67" s="21">
        <f>IF(O$4&gt;0,MIN(1,O65-O66+Diligence!$C$52),O65-O66)</f>
        <v/>
      </c>
      <c r="P67" s="21">
        <f>IF(P$4&gt;0,MIN(1,P65-P66+Diligence!$C$52),P65-P66)</f>
        <v/>
      </c>
      <c r="Q67" s="21">
        <f>IF(Q$4&gt;0,MIN(1,Q65-Q66+Diligence!$C$52),Q65-Q66)</f>
        <v/>
      </c>
      <c r="R67" s="21">
        <f>IF(R$4&gt;0,MIN(1,R65-R66+Diligence!$C$52),R65-R66)</f>
        <v/>
      </c>
      <c r="S67" s="21">
        <f>IF(S$4&gt;0,MIN(1,S65-S66+Diligence!$C$52),S65-S66)</f>
        <v/>
      </c>
      <c r="T67" s="21">
        <f>IF(T$4&gt;0,MIN(1,T65-T66+Diligence!$C$52),T65-T66)</f>
        <v/>
      </c>
      <c r="U67" s="21">
        <f>IF(U$4&gt;0,MIN(1,U65-U66+Diligence!$C$52),U65-U66)</f>
        <v/>
      </c>
      <c r="V67" s="21">
        <f>IF(V$4&gt;0,MIN(1,V65-V66+Diligence!$C$52),V65-V66)</f>
        <v/>
      </c>
      <c r="W67" s="21">
        <f>IF(W$4&gt;0,MIN(1,W65-W66+Diligence!$C$52),W65-W66)</f>
        <v/>
      </c>
      <c r="X67" s="21">
        <f>IF(X$4&gt;0,MIN(1,X65-X66+Diligence!$C$52),X65-X66)</f>
        <v/>
      </c>
      <c r="Y67" s="21">
        <f>IF(Y$4&gt;0,MIN(1,Y65-Y66+Diligence!$C$52),Y65-Y66)</f>
        <v/>
      </c>
      <c r="Z67" s="21">
        <f>IF(Z$4&gt;0,MIN(1,Z65-Z66+Diligence!$C$52),Z65-Z66)</f>
        <v/>
      </c>
      <c r="AA67" s="21">
        <f>IF(AA$4&gt;0,MIN(1,AA65-AA66+Diligence!$C$52),AA65-AA66)</f>
        <v/>
      </c>
      <c r="AB67" s="21">
        <f>IF(AB$4&gt;0,MIN(1,AB65-AB66+Diligence!$C$52),AB65-AB66)</f>
        <v/>
      </c>
      <c r="AC67" s="21">
        <f>IF(AC$4&gt;0,MIN(1,AC65-AC66+Diligence!$C$52),AC65-AC66)</f>
        <v/>
      </c>
      <c r="AD67" s="21">
        <f>IF(AD$4&gt;0,MIN(1,AD65-AD66+Diligence!$C$52),AD65-AD66)</f>
        <v/>
      </c>
      <c r="AE67" s="21">
        <f>IF(AE$4&gt;0,MIN(1,AE65-AE66+Diligence!$C$52),AE65-AE66)</f>
        <v/>
      </c>
      <c r="AF67" s="21">
        <f>IF(AF$4&gt;0,MIN(1,AF65-AF66+Diligence!$C$52),AF65-AF66)</f>
        <v/>
      </c>
      <c r="AG67" s="21">
        <f>IF(AG$4&gt;0,MIN(1,AG65-AG66+Diligence!$C$52),AG65-AG66)</f>
        <v/>
      </c>
      <c r="AH67" s="21">
        <f>IF(AH$4&gt;0,MIN(1,AH65-AH66+Diligence!$C$52),AH65-AH66)</f>
        <v/>
      </c>
      <c r="AI67" s="21">
        <f>IF(AI$4&gt;0,MIN(1,AI65-AI66+Diligence!$C$52),AI65-AI66)</f>
        <v/>
      </c>
    </row>
    <row r="68">
      <c r="B68" s="2" t="inlineStr">
        <is>
          <t xml:space="preserve">  Storage revenue</t>
        </is>
      </c>
      <c r="D68" s="19">
        <f>D61*D64*12*D67</f>
        <v/>
      </c>
      <c r="E68" s="19">
        <f>E61*E64*12*E67</f>
        <v/>
      </c>
      <c r="F68" s="19">
        <f>F61*F64*12*F67</f>
        <v/>
      </c>
      <c r="G68" s="19">
        <f>G61*G64*12*G67</f>
        <v/>
      </c>
      <c r="H68" s="19">
        <f>H61*H64*12*H67</f>
        <v/>
      </c>
      <c r="I68" s="19">
        <f>I61*I64*12*I67</f>
        <v/>
      </c>
      <c r="J68" s="19">
        <f>J61*J64*12*J67</f>
        <v/>
      </c>
      <c r="K68" s="19">
        <f>K61*K64*12*K67</f>
        <v/>
      </c>
      <c r="L68" s="19">
        <f>L61*L64*12*L67</f>
        <v/>
      </c>
      <c r="M68" s="19">
        <f>M61*M64*12*M67</f>
        <v/>
      </c>
      <c r="N68" s="19">
        <f>N61*N64*12*N67</f>
        <v/>
      </c>
      <c r="O68" s="19">
        <f>O61*O64*12*O67</f>
        <v/>
      </c>
      <c r="P68" s="19">
        <f>P61*P64*12*P67</f>
        <v/>
      </c>
      <c r="Q68" s="19">
        <f>Q61*Q64*12*Q67</f>
        <v/>
      </c>
      <c r="R68" s="19">
        <f>R61*R64*12*R67</f>
        <v/>
      </c>
      <c r="S68" s="19">
        <f>S61*S64*12*S67</f>
        <v/>
      </c>
      <c r="T68" s="19">
        <f>T61*T64*12*T67</f>
        <v/>
      </c>
      <c r="U68" s="19">
        <f>U61*U64*12*U67</f>
        <v/>
      </c>
      <c r="V68" s="19">
        <f>V61*V64*12*V67</f>
        <v/>
      </c>
      <c r="W68" s="19">
        <f>W61*W64*12*W67</f>
        <v/>
      </c>
      <c r="X68" s="19">
        <f>X61*X64*12*X67</f>
        <v/>
      </c>
      <c r="Y68" s="19">
        <f>Y61*Y64*12*Y67</f>
        <v/>
      </c>
      <c r="Z68" s="19">
        <f>Z61*Z64*12*Z67</f>
        <v/>
      </c>
      <c r="AA68" s="19">
        <f>AA61*AA64*12*AA67</f>
        <v/>
      </c>
      <c r="AB68" s="19">
        <f>AB61*AB64*12*AB67</f>
        <v/>
      </c>
      <c r="AC68" s="19">
        <f>AC61*AC64*12*AC67</f>
        <v/>
      </c>
      <c r="AD68" s="19">
        <f>AD61*AD64*12*AD67</f>
        <v/>
      </c>
      <c r="AE68" s="19">
        <f>AE61*AE64*12*AE67</f>
        <v/>
      </c>
      <c r="AF68" s="19">
        <f>AF61*AF64*12*AF67</f>
        <v/>
      </c>
      <c r="AG68" s="19">
        <f>AG61*AG64*12*AG67</f>
        <v/>
      </c>
      <c r="AH68" s="19">
        <f>AH61*AH64*12*AH67</f>
        <v/>
      </c>
      <c r="AI68" s="19">
        <f>AI61*AI64*12*AI67</f>
        <v/>
      </c>
    </row>
    <row r="69">
      <c r="B69" s="2" t="inlineStr">
        <is>
          <t xml:space="preserve">  Ancillary and throughput revenue</t>
        </is>
      </c>
      <c r="D69" s="19">
        <f>D68*i_W_anc</f>
        <v/>
      </c>
      <c r="E69" s="19">
        <f>E68*i_W_anc</f>
        <v/>
      </c>
      <c r="F69" s="19">
        <f>F68*i_W_anc</f>
        <v/>
      </c>
      <c r="G69" s="19">
        <f>G68*i_W_anc</f>
        <v/>
      </c>
      <c r="H69" s="19">
        <f>H68*i_W_anc</f>
        <v/>
      </c>
      <c r="I69" s="19">
        <f>I68*i_W_anc</f>
        <v/>
      </c>
      <c r="J69" s="19">
        <f>J68*i_W_anc</f>
        <v/>
      </c>
      <c r="K69" s="19">
        <f>K68*i_W_anc</f>
        <v/>
      </c>
      <c r="L69" s="19">
        <f>L68*i_W_anc</f>
        <v/>
      </c>
      <c r="M69" s="19">
        <f>M68*i_W_anc</f>
        <v/>
      </c>
      <c r="N69" s="19">
        <f>N68*i_W_anc</f>
        <v/>
      </c>
      <c r="O69" s="19">
        <f>O68*i_W_anc</f>
        <v/>
      </c>
      <c r="P69" s="19">
        <f>P68*i_W_anc</f>
        <v/>
      </c>
      <c r="Q69" s="19">
        <f>Q68*i_W_anc</f>
        <v/>
      </c>
      <c r="R69" s="19">
        <f>R68*i_W_anc</f>
        <v/>
      </c>
      <c r="S69" s="19">
        <f>S68*i_W_anc</f>
        <v/>
      </c>
      <c r="T69" s="19">
        <f>T68*i_W_anc</f>
        <v/>
      </c>
      <c r="U69" s="19">
        <f>U68*i_W_anc</f>
        <v/>
      </c>
      <c r="V69" s="19">
        <f>V68*i_W_anc</f>
        <v/>
      </c>
      <c r="W69" s="19">
        <f>W68*i_W_anc</f>
        <v/>
      </c>
      <c r="X69" s="19">
        <f>X68*i_W_anc</f>
        <v/>
      </c>
      <c r="Y69" s="19">
        <f>Y68*i_W_anc</f>
        <v/>
      </c>
      <c r="Z69" s="19">
        <f>Z68*i_W_anc</f>
        <v/>
      </c>
      <c r="AA69" s="19">
        <f>AA68*i_W_anc</f>
        <v/>
      </c>
      <c r="AB69" s="19">
        <f>AB68*i_W_anc</f>
        <v/>
      </c>
      <c r="AC69" s="19">
        <f>AC68*i_W_anc</f>
        <v/>
      </c>
      <c r="AD69" s="19">
        <f>AD68*i_W_anc</f>
        <v/>
      </c>
      <c r="AE69" s="19">
        <f>AE68*i_W_anc</f>
        <v/>
      </c>
      <c r="AF69" s="19">
        <f>AF68*i_W_anc</f>
        <v/>
      </c>
      <c r="AG69" s="19">
        <f>AG68*i_W_anc</f>
        <v/>
      </c>
      <c r="AH69" s="19">
        <f>AH68*i_W_anc</f>
        <v/>
      </c>
      <c r="AI69" s="19">
        <f>AI68*i_W_anc</f>
        <v/>
      </c>
    </row>
    <row r="70">
      <c r="B70" s="3" t="inlineStr">
        <is>
          <t xml:space="preserve">  Revenue</t>
        </is>
      </c>
      <c r="D70" s="31">
        <f>D68+D69</f>
        <v/>
      </c>
      <c r="E70" s="31">
        <f>E68+E69</f>
        <v/>
      </c>
      <c r="F70" s="31">
        <f>F68+F69</f>
        <v/>
      </c>
      <c r="G70" s="31">
        <f>G68+G69</f>
        <v/>
      </c>
      <c r="H70" s="31">
        <f>H68+H69</f>
        <v/>
      </c>
      <c r="I70" s="31">
        <f>I68+I69</f>
        <v/>
      </c>
      <c r="J70" s="31">
        <f>J68+J69</f>
        <v/>
      </c>
      <c r="K70" s="31">
        <f>K68+K69</f>
        <v/>
      </c>
      <c r="L70" s="31">
        <f>L68+L69</f>
        <v/>
      </c>
      <c r="M70" s="31">
        <f>M68+M69</f>
        <v/>
      </c>
      <c r="N70" s="31">
        <f>N68+N69</f>
        <v/>
      </c>
      <c r="O70" s="31">
        <f>O68+O69</f>
        <v/>
      </c>
      <c r="P70" s="31">
        <f>P68+P69</f>
        <v/>
      </c>
      <c r="Q70" s="31">
        <f>Q68+Q69</f>
        <v/>
      </c>
      <c r="R70" s="31">
        <f>R68+R69</f>
        <v/>
      </c>
      <c r="S70" s="31">
        <f>S68+S69</f>
        <v/>
      </c>
      <c r="T70" s="31">
        <f>T68+T69</f>
        <v/>
      </c>
      <c r="U70" s="31">
        <f>U68+U69</f>
        <v/>
      </c>
      <c r="V70" s="31">
        <f>V68+V69</f>
        <v/>
      </c>
      <c r="W70" s="31">
        <f>W68+W69</f>
        <v/>
      </c>
      <c r="X70" s="31">
        <f>X68+X69</f>
        <v/>
      </c>
      <c r="Y70" s="31">
        <f>Y68+Y69</f>
        <v/>
      </c>
      <c r="Z70" s="31">
        <f>Z68+Z69</f>
        <v/>
      </c>
      <c r="AA70" s="31">
        <f>AA68+AA69</f>
        <v/>
      </c>
      <c r="AB70" s="31">
        <f>AB68+AB69</f>
        <v/>
      </c>
      <c r="AC70" s="31">
        <f>AC68+AC69</f>
        <v/>
      </c>
      <c r="AD70" s="31">
        <f>AD68+AD69</f>
        <v/>
      </c>
      <c r="AE70" s="31">
        <f>AE68+AE69</f>
        <v/>
      </c>
      <c r="AF70" s="31">
        <f>AF68+AF69</f>
        <v/>
      </c>
      <c r="AG70" s="31">
        <f>AG68+AG69</f>
        <v/>
      </c>
      <c r="AH70" s="31">
        <f>AH68+AH69</f>
        <v/>
      </c>
      <c r="AI70" s="31">
        <f>AI68+AI69</f>
        <v/>
      </c>
    </row>
    <row r="71">
      <c r="B71" s="2" t="inlineStr">
        <is>
          <t xml:space="preserve">  Fixed cost</t>
        </is>
      </c>
      <c r="D71" s="19">
        <f>D61*i_W_fix*D57</f>
        <v/>
      </c>
      <c r="E71" s="19">
        <f>E61*i_W_fix*E57</f>
        <v/>
      </c>
      <c r="F71" s="19">
        <f>F61*i_W_fix*F57</f>
        <v/>
      </c>
      <c r="G71" s="19">
        <f>G61*i_W_fix*G57</f>
        <v/>
      </c>
      <c r="H71" s="19">
        <f>H61*i_W_fix*H57</f>
        <v/>
      </c>
      <c r="I71" s="19">
        <f>I61*i_W_fix*I57</f>
        <v/>
      </c>
      <c r="J71" s="19">
        <f>J61*i_W_fix*J57</f>
        <v/>
      </c>
      <c r="K71" s="19">
        <f>K61*i_W_fix*K57</f>
        <v/>
      </c>
      <c r="L71" s="19">
        <f>L61*i_W_fix*L57</f>
        <v/>
      </c>
      <c r="M71" s="19">
        <f>M61*i_W_fix*M57</f>
        <v/>
      </c>
      <c r="N71" s="19">
        <f>N61*i_W_fix*N57</f>
        <v/>
      </c>
      <c r="O71" s="19">
        <f>O61*i_W_fix*O57</f>
        <v/>
      </c>
      <c r="P71" s="19">
        <f>P61*i_W_fix*P57</f>
        <v/>
      </c>
      <c r="Q71" s="19">
        <f>Q61*i_W_fix*Q57</f>
        <v/>
      </c>
      <c r="R71" s="19">
        <f>R61*i_W_fix*R57</f>
        <v/>
      </c>
      <c r="S71" s="19">
        <f>S61*i_W_fix*S57</f>
        <v/>
      </c>
      <c r="T71" s="19">
        <f>T61*i_W_fix*T57</f>
        <v/>
      </c>
      <c r="U71" s="19">
        <f>U61*i_W_fix*U57</f>
        <v/>
      </c>
      <c r="V71" s="19">
        <f>V61*i_W_fix*V57</f>
        <v/>
      </c>
      <c r="W71" s="19">
        <f>W61*i_W_fix*W57</f>
        <v/>
      </c>
      <c r="X71" s="19">
        <f>X61*i_W_fix*X57</f>
        <v/>
      </c>
      <c r="Y71" s="19">
        <f>Y61*i_W_fix*Y57</f>
        <v/>
      </c>
      <c r="Z71" s="19">
        <f>Z61*i_W_fix*Z57</f>
        <v/>
      </c>
      <c r="AA71" s="19">
        <f>AA61*i_W_fix*AA57</f>
        <v/>
      </c>
      <c r="AB71" s="19">
        <f>AB61*i_W_fix*AB57</f>
        <v/>
      </c>
      <c r="AC71" s="19">
        <f>AC61*i_W_fix*AC57</f>
        <v/>
      </c>
      <c r="AD71" s="19">
        <f>AD61*i_W_fix*AD57</f>
        <v/>
      </c>
      <c r="AE71" s="19">
        <f>AE61*i_W_fix*AE57</f>
        <v/>
      </c>
      <c r="AF71" s="19">
        <f>AF61*i_W_fix*AF57</f>
        <v/>
      </c>
      <c r="AG71" s="19">
        <f>AG61*i_W_fix*AG57</f>
        <v/>
      </c>
      <c r="AH71" s="19">
        <f>AH61*i_W_fix*AH57</f>
        <v/>
      </c>
      <c r="AI71" s="19">
        <f>AI61*i_W_fix*AI57</f>
        <v/>
      </c>
    </row>
    <row r="72">
      <c r="B72" s="2" t="inlineStr">
        <is>
          <t xml:space="preserve">  Variable cost</t>
        </is>
      </c>
      <c r="D72" s="19">
        <f>i_W_var*D70</f>
        <v/>
      </c>
      <c r="E72" s="19">
        <f>i_W_var*E70</f>
        <v/>
      </c>
      <c r="F72" s="19">
        <f>i_W_var*F70</f>
        <v/>
      </c>
      <c r="G72" s="19">
        <f>i_W_var*G70</f>
        <v/>
      </c>
      <c r="H72" s="19">
        <f>i_W_var*H70</f>
        <v/>
      </c>
      <c r="I72" s="19">
        <f>i_W_var*I70</f>
        <v/>
      </c>
      <c r="J72" s="19">
        <f>i_W_var*J70</f>
        <v/>
      </c>
      <c r="K72" s="19">
        <f>i_W_var*K70</f>
        <v/>
      </c>
      <c r="L72" s="19">
        <f>i_W_var*L70</f>
        <v/>
      </c>
      <c r="M72" s="19">
        <f>i_W_var*M70</f>
        <v/>
      </c>
      <c r="N72" s="19">
        <f>i_W_var*N70</f>
        <v/>
      </c>
      <c r="O72" s="19">
        <f>i_W_var*O70</f>
        <v/>
      </c>
      <c r="P72" s="19">
        <f>i_W_var*P70</f>
        <v/>
      </c>
      <c r="Q72" s="19">
        <f>i_W_var*Q70</f>
        <v/>
      </c>
      <c r="R72" s="19">
        <f>i_W_var*R70</f>
        <v/>
      </c>
      <c r="S72" s="19">
        <f>i_W_var*S70</f>
        <v/>
      </c>
      <c r="T72" s="19">
        <f>i_W_var*T70</f>
        <v/>
      </c>
      <c r="U72" s="19">
        <f>i_W_var*U70</f>
        <v/>
      </c>
      <c r="V72" s="19">
        <f>i_W_var*V70</f>
        <v/>
      </c>
      <c r="W72" s="19">
        <f>i_W_var*W70</f>
        <v/>
      </c>
      <c r="X72" s="19">
        <f>i_W_var*X70</f>
        <v/>
      </c>
      <c r="Y72" s="19">
        <f>i_W_var*Y70</f>
        <v/>
      </c>
      <c r="Z72" s="19">
        <f>i_W_var*Z70</f>
        <v/>
      </c>
      <c r="AA72" s="19">
        <f>i_W_var*AA70</f>
        <v/>
      </c>
      <c r="AB72" s="19">
        <f>i_W_var*AB70</f>
        <v/>
      </c>
      <c r="AC72" s="19">
        <f>i_W_var*AC70</f>
        <v/>
      </c>
      <c r="AD72" s="19">
        <f>i_W_var*AD70</f>
        <v/>
      </c>
      <c r="AE72" s="19">
        <f>i_W_var*AE70</f>
        <v/>
      </c>
      <c r="AF72" s="19">
        <f>i_W_var*AF70</f>
        <v/>
      </c>
      <c r="AG72" s="19">
        <f>i_W_var*AG70</f>
        <v/>
      </c>
      <c r="AH72" s="19">
        <f>i_W_var*AH70</f>
        <v/>
      </c>
      <c r="AI72" s="19">
        <f>i_W_var*AI70</f>
        <v/>
      </c>
    </row>
    <row r="73">
      <c r="B73" s="2" t="inlineStr">
        <is>
          <t xml:space="preserve">  Concession fee</t>
        </is>
      </c>
      <c r="D73" s="19">
        <f>IF(AND(Diligence!$C$54=1,D$3&gt;i_conc_end),i_renew_fee,i_W_fee)*D70</f>
        <v/>
      </c>
      <c r="E73" s="19">
        <f>IF(AND(Diligence!$C$54=1,E$3&gt;i_conc_end),i_renew_fee,i_W_fee)*E70</f>
        <v/>
      </c>
      <c r="F73" s="19">
        <f>IF(AND(Diligence!$C$54=1,F$3&gt;i_conc_end),i_renew_fee,i_W_fee)*F70</f>
        <v/>
      </c>
      <c r="G73" s="19">
        <f>IF(AND(Diligence!$C$54=1,G$3&gt;i_conc_end),i_renew_fee,i_W_fee)*G70</f>
        <v/>
      </c>
      <c r="H73" s="19">
        <f>IF(AND(Diligence!$C$54=1,H$3&gt;i_conc_end),i_renew_fee,i_W_fee)*H70</f>
        <v/>
      </c>
      <c r="I73" s="19">
        <f>IF(AND(Diligence!$C$54=1,I$3&gt;i_conc_end),i_renew_fee,i_W_fee)*I70</f>
        <v/>
      </c>
      <c r="J73" s="19">
        <f>IF(AND(Diligence!$C$54=1,J$3&gt;i_conc_end),i_renew_fee,i_W_fee)*J70</f>
        <v/>
      </c>
      <c r="K73" s="19">
        <f>IF(AND(Diligence!$C$54=1,K$3&gt;i_conc_end),i_renew_fee,i_W_fee)*K70</f>
        <v/>
      </c>
      <c r="L73" s="19">
        <f>IF(AND(Diligence!$C$54=1,L$3&gt;i_conc_end),i_renew_fee,i_W_fee)*L70</f>
        <v/>
      </c>
      <c r="M73" s="19">
        <f>IF(AND(Diligence!$C$54=1,M$3&gt;i_conc_end),i_renew_fee,i_W_fee)*M70</f>
        <v/>
      </c>
      <c r="N73" s="19">
        <f>IF(AND(Diligence!$C$54=1,N$3&gt;i_conc_end),i_renew_fee,i_W_fee)*N70</f>
        <v/>
      </c>
      <c r="O73" s="19">
        <f>IF(AND(Diligence!$C$54=1,O$3&gt;i_conc_end),i_renew_fee,i_W_fee)*O70</f>
        <v/>
      </c>
      <c r="P73" s="19">
        <f>IF(AND(Diligence!$C$54=1,P$3&gt;i_conc_end),i_renew_fee,i_W_fee)*P70</f>
        <v/>
      </c>
      <c r="Q73" s="19">
        <f>IF(AND(Diligence!$C$54=1,Q$3&gt;i_conc_end),i_renew_fee,i_W_fee)*Q70</f>
        <v/>
      </c>
      <c r="R73" s="19">
        <f>IF(AND(Diligence!$C$54=1,R$3&gt;i_conc_end),i_renew_fee,i_W_fee)*R70</f>
        <v/>
      </c>
      <c r="S73" s="19">
        <f>IF(AND(Diligence!$C$54=1,S$3&gt;i_conc_end),i_renew_fee,i_W_fee)*S70</f>
        <v/>
      </c>
      <c r="T73" s="19">
        <f>IF(AND(Diligence!$C$54=1,T$3&gt;i_conc_end),i_renew_fee,i_W_fee)*T70</f>
        <v/>
      </c>
      <c r="U73" s="19">
        <f>IF(AND(Diligence!$C$54=1,U$3&gt;i_conc_end),i_renew_fee,i_W_fee)*U70</f>
        <v/>
      </c>
      <c r="V73" s="19">
        <f>IF(AND(Diligence!$C$54=1,V$3&gt;i_conc_end),i_renew_fee,i_W_fee)*V70</f>
        <v/>
      </c>
      <c r="W73" s="19">
        <f>IF(AND(Diligence!$C$54=1,W$3&gt;i_conc_end),i_renew_fee,i_W_fee)*W70</f>
        <v/>
      </c>
      <c r="X73" s="19">
        <f>IF(AND(Diligence!$C$54=1,X$3&gt;i_conc_end),i_renew_fee,i_W_fee)*X70</f>
        <v/>
      </c>
      <c r="Y73" s="19">
        <f>IF(AND(Diligence!$C$54=1,Y$3&gt;i_conc_end),i_renew_fee,i_W_fee)*Y70</f>
        <v/>
      </c>
      <c r="Z73" s="19">
        <f>IF(AND(Diligence!$C$54=1,Z$3&gt;i_conc_end),i_renew_fee,i_W_fee)*Z70</f>
        <v/>
      </c>
      <c r="AA73" s="19">
        <f>IF(AND(Diligence!$C$54=1,AA$3&gt;i_conc_end),i_renew_fee,i_W_fee)*AA70</f>
        <v/>
      </c>
      <c r="AB73" s="19">
        <f>IF(AND(Diligence!$C$54=1,AB$3&gt;i_conc_end),i_renew_fee,i_W_fee)*AB70</f>
        <v/>
      </c>
      <c r="AC73" s="19">
        <f>IF(AND(Diligence!$C$54=1,AC$3&gt;i_conc_end),i_renew_fee,i_W_fee)*AC70</f>
        <v/>
      </c>
      <c r="AD73" s="19">
        <f>IF(AND(Diligence!$C$54=1,AD$3&gt;i_conc_end),i_renew_fee,i_W_fee)*AD70</f>
        <v/>
      </c>
      <c r="AE73" s="19">
        <f>IF(AND(Diligence!$C$54=1,AE$3&gt;i_conc_end),i_renew_fee,i_W_fee)*AE70</f>
        <v/>
      </c>
      <c r="AF73" s="19">
        <f>IF(AND(Diligence!$C$54=1,AF$3&gt;i_conc_end),i_renew_fee,i_W_fee)*AF70</f>
        <v/>
      </c>
      <c r="AG73" s="19">
        <f>IF(AND(Diligence!$C$54=1,AG$3&gt;i_conc_end),i_renew_fee,i_W_fee)*AG70</f>
        <v/>
      </c>
      <c r="AH73" s="19">
        <f>IF(AND(Diligence!$C$54=1,AH$3&gt;i_conc_end),i_renew_fee,i_W_fee)*AH70</f>
        <v/>
      </c>
      <c r="AI73" s="19">
        <f>IF(AND(Diligence!$C$54=1,AI$3&gt;i_conc_end),i_renew_fee,i_W_fee)*AI70</f>
        <v/>
      </c>
    </row>
    <row r="74">
      <c r="B74" s="2" t="inlineStr">
        <is>
          <t xml:space="preserve">  Operating cost</t>
        </is>
      </c>
      <c r="D74" s="19">
        <f>D71+D72+D73</f>
        <v/>
      </c>
      <c r="E74" s="19">
        <f>E71+E72+E73</f>
        <v/>
      </c>
      <c r="F74" s="19">
        <f>F71+F72+F73</f>
        <v/>
      </c>
      <c r="G74" s="19">
        <f>G71+G72+G73</f>
        <v/>
      </c>
      <c r="H74" s="19">
        <f>H71+H72+H73</f>
        <v/>
      </c>
      <c r="I74" s="19">
        <f>I71+I72+I73</f>
        <v/>
      </c>
      <c r="J74" s="19">
        <f>J71+J72+J73</f>
        <v/>
      </c>
      <c r="K74" s="19">
        <f>K71+K72+K73</f>
        <v/>
      </c>
      <c r="L74" s="19">
        <f>L71+L72+L73</f>
        <v/>
      </c>
      <c r="M74" s="19">
        <f>M71+M72+M73</f>
        <v/>
      </c>
      <c r="N74" s="19">
        <f>N71+N72+N73</f>
        <v/>
      </c>
      <c r="O74" s="19">
        <f>O71+O72+O73</f>
        <v/>
      </c>
      <c r="P74" s="19">
        <f>P71+P72+P73</f>
        <v/>
      </c>
      <c r="Q74" s="19">
        <f>Q71+Q72+Q73</f>
        <v/>
      </c>
      <c r="R74" s="19">
        <f>R71+R72+R73</f>
        <v/>
      </c>
      <c r="S74" s="19">
        <f>S71+S72+S73</f>
        <v/>
      </c>
      <c r="T74" s="19">
        <f>T71+T72+T73</f>
        <v/>
      </c>
      <c r="U74" s="19">
        <f>U71+U72+U73</f>
        <v/>
      </c>
      <c r="V74" s="19">
        <f>V71+V72+V73</f>
        <v/>
      </c>
      <c r="W74" s="19">
        <f>W71+W72+W73</f>
        <v/>
      </c>
      <c r="X74" s="19">
        <f>X71+X72+X73</f>
        <v/>
      </c>
      <c r="Y74" s="19">
        <f>Y71+Y72+Y73</f>
        <v/>
      </c>
      <c r="Z74" s="19">
        <f>Z71+Z72+Z73</f>
        <v/>
      </c>
      <c r="AA74" s="19">
        <f>AA71+AA72+AA73</f>
        <v/>
      </c>
      <c r="AB74" s="19">
        <f>AB71+AB72+AB73</f>
        <v/>
      </c>
      <c r="AC74" s="19">
        <f>AC71+AC72+AC73</f>
        <v/>
      </c>
      <c r="AD74" s="19">
        <f>AD71+AD72+AD73</f>
        <v/>
      </c>
      <c r="AE74" s="19">
        <f>AE71+AE72+AE73</f>
        <v/>
      </c>
      <c r="AF74" s="19">
        <f>AF71+AF72+AF73</f>
        <v/>
      </c>
      <c r="AG74" s="19">
        <f>AG71+AG72+AG73</f>
        <v/>
      </c>
      <c r="AH74" s="19">
        <f>AH71+AH72+AH73</f>
        <v/>
      </c>
      <c r="AI74" s="19">
        <f>AI71+AI72+AI73</f>
        <v/>
      </c>
    </row>
    <row r="75">
      <c r="B75" s="3" t="inlineStr">
        <is>
          <t xml:space="preserve">  EBITDA</t>
        </is>
      </c>
      <c r="D75" s="31">
        <f>D70-D74</f>
        <v/>
      </c>
      <c r="E75" s="31">
        <f>E70-E74</f>
        <v/>
      </c>
      <c r="F75" s="31">
        <f>F70-F74</f>
        <v/>
      </c>
      <c r="G75" s="31">
        <f>G70-G74</f>
        <v/>
      </c>
      <c r="H75" s="31">
        <f>H70-H74</f>
        <v/>
      </c>
      <c r="I75" s="31">
        <f>I70-I74</f>
        <v/>
      </c>
      <c r="J75" s="31">
        <f>J70-J74</f>
        <v/>
      </c>
      <c r="K75" s="31">
        <f>K70-K74</f>
        <v/>
      </c>
      <c r="L75" s="31">
        <f>L70-L74</f>
        <v/>
      </c>
      <c r="M75" s="31">
        <f>M70-M74</f>
        <v/>
      </c>
      <c r="N75" s="31">
        <f>N70-N74</f>
        <v/>
      </c>
      <c r="O75" s="31">
        <f>O70-O74</f>
        <v/>
      </c>
      <c r="P75" s="31">
        <f>P70-P74</f>
        <v/>
      </c>
      <c r="Q75" s="31">
        <f>Q70-Q74</f>
        <v/>
      </c>
      <c r="R75" s="31">
        <f>R70-R74</f>
        <v/>
      </c>
      <c r="S75" s="31">
        <f>S70-S74</f>
        <v/>
      </c>
      <c r="T75" s="31">
        <f>T70-T74</f>
        <v/>
      </c>
      <c r="U75" s="31">
        <f>U70-U74</f>
        <v/>
      </c>
      <c r="V75" s="31">
        <f>V70-V74</f>
        <v/>
      </c>
      <c r="W75" s="31">
        <f>W70-W74</f>
        <v/>
      </c>
      <c r="X75" s="31">
        <f>X70-X74</f>
        <v/>
      </c>
      <c r="Y75" s="31">
        <f>Y70-Y74</f>
        <v/>
      </c>
      <c r="Z75" s="31">
        <f>Z70-Z74</f>
        <v/>
      </c>
      <c r="AA75" s="31">
        <f>AA70-AA74</f>
        <v/>
      </c>
      <c r="AB75" s="31">
        <f>AB70-AB74</f>
        <v/>
      </c>
      <c r="AC75" s="31">
        <f>AC70-AC74</f>
        <v/>
      </c>
      <c r="AD75" s="31">
        <f>AD70-AD74</f>
        <v/>
      </c>
      <c r="AE75" s="31">
        <f>AE70-AE74</f>
        <v/>
      </c>
      <c r="AF75" s="31">
        <f>AF70-AF74</f>
        <v/>
      </c>
      <c r="AG75" s="31">
        <f>AG70-AG74</f>
        <v/>
      </c>
      <c r="AH75" s="31">
        <f>AH70-AH74</f>
        <v/>
      </c>
      <c r="AI75" s="31">
        <f>AI70-AI74</f>
        <v/>
      </c>
    </row>
    <row r="76">
      <c r="B76" s="2" t="inlineStr">
        <is>
          <t xml:space="preserve">  Maintenance capex (with jetty 3)</t>
        </is>
      </c>
      <c r="D76" s="19">
        <f>D61*i_W_mc*D57+D60*Diligence!$C$49*SUMIF(i_jetty_years,D$3,i_jetty_vals)*D57</f>
        <v/>
      </c>
      <c r="E76" s="19">
        <f>E61*i_W_mc*E57+E60*Diligence!$C$49*SUMIF(i_jetty_years,E$3,i_jetty_vals)*E57</f>
        <v/>
      </c>
      <c r="F76" s="19">
        <f>F61*i_W_mc*F57+F60*Diligence!$C$49*SUMIF(i_jetty_years,F$3,i_jetty_vals)*F57</f>
        <v/>
      </c>
      <c r="G76" s="19">
        <f>G61*i_W_mc*G57+G60*Diligence!$C$49*SUMIF(i_jetty_years,G$3,i_jetty_vals)*G57</f>
        <v/>
      </c>
      <c r="H76" s="19">
        <f>H61*i_W_mc*H57+H60*Diligence!$C$49*SUMIF(i_jetty_years,H$3,i_jetty_vals)*H57</f>
        <v/>
      </c>
      <c r="I76" s="19">
        <f>I61*i_W_mc*I57+I60*Diligence!$C$49*SUMIF(i_jetty_years,I$3,i_jetty_vals)*I57</f>
        <v/>
      </c>
      <c r="J76" s="19">
        <f>J61*i_W_mc*J57+J60*Diligence!$C$49*SUMIF(i_jetty_years,J$3,i_jetty_vals)*J57</f>
        <v/>
      </c>
      <c r="K76" s="19">
        <f>K61*i_W_mc*K57+K60*Diligence!$C$49*SUMIF(i_jetty_years,K$3,i_jetty_vals)*K57</f>
        <v/>
      </c>
      <c r="L76" s="19">
        <f>L61*i_W_mc*L57+L60*Diligence!$C$49*SUMIF(i_jetty_years,L$3,i_jetty_vals)*L57</f>
        <v/>
      </c>
      <c r="M76" s="19">
        <f>M61*i_W_mc*M57+M60*Diligence!$C$49*SUMIF(i_jetty_years,M$3,i_jetty_vals)*M57</f>
        <v/>
      </c>
      <c r="N76" s="19">
        <f>N61*i_W_mc*N57+N60*Diligence!$C$49*SUMIF(i_jetty_years,N$3,i_jetty_vals)*N57</f>
        <v/>
      </c>
      <c r="O76" s="19">
        <f>O61*i_W_mc*O57+O60*Diligence!$C$49*SUMIF(i_jetty_years,O$3,i_jetty_vals)*O57</f>
        <v/>
      </c>
      <c r="P76" s="19">
        <f>P61*i_W_mc*P57+P60*Diligence!$C$49*SUMIF(i_jetty_years,P$3,i_jetty_vals)*P57</f>
        <v/>
      </c>
      <c r="Q76" s="19">
        <f>Q61*i_W_mc*Q57+Q60*Diligence!$C$49*SUMIF(i_jetty_years,Q$3,i_jetty_vals)*Q57</f>
        <v/>
      </c>
      <c r="R76" s="19">
        <f>R61*i_W_mc*R57+R60*Diligence!$C$49*SUMIF(i_jetty_years,R$3,i_jetty_vals)*R57</f>
        <v/>
      </c>
      <c r="S76" s="19">
        <f>S61*i_W_mc*S57+S60*Diligence!$C$49*SUMIF(i_jetty_years,S$3,i_jetty_vals)*S57</f>
        <v/>
      </c>
      <c r="T76" s="19">
        <f>T61*i_W_mc*T57+T60*Diligence!$C$49*SUMIF(i_jetty_years,T$3,i_jetty_vals)*T57</f>
        <v/>
      </c>
      <c r="U76" s="19">
        <f>U61*i_W_mc*U57+U60*Diligence!$C$49*SUMIF(i_jetty_years,U$3,i_jetty_vals)*U57</f>
        <v/>
      </c>
      <c r="V76" s="19">
        <f>V61*i_W_mc*V57+V60*Diligence!$C$49*SUMIF(i_jetty_years,V$3,i_jetty_vals)*V57</f>
        <v/>
      </c>
      <c r="W76" s="19">
        <f>W61*i_W_mc*W57+W60*Diligence!$C$49*SUMIF(i_jetty_years,W$3,i_jetty_vals)*W57</f>
        <v/>
      </c>
      <c r="X76" s="19">
        <f>X61*i_W_mc*X57+X60*Diligence!$C$49*SUMIF(i_jetty_years,X$3,i_jetty_vals)*X57</f>
        <v/>
      </c>
      <c r="Y76" s="19">
        <f>Y61*i_W_mc*Y57+Y60*Diligence!$C$49*SUMIF(i_jetty_years,Y$3,i_jetty_vals)*Y57</f>
        <v/>
      </c>
      <c r="Z76" s="19">
        <f>Z61*i_W_mc*Z57+Z60*Diligence!$C$49*SUMIF(i_jetty_years,Z$3,i_jetty_vals)*Z57</f>
        <v/>
      </c>
      <c r="AA76" s="19">
        <f>AA61*i_W_mc*AA57+AA60*Diligence!$C$49*SUMIF(i_jetty_years,AA$3,i_jetty_vals)*AA57</f>
        <v/>
      </c>
      <c r="AB76" s="19">
        <f>AB61*i_W_mc*AB57+AB60*Diligence!$C$49*SUMIF(i_jetty_years,AB$3,i_jetty_vals)*AB57</f>
        <v/>
      </c>
      <c r="AC76" s="19">
        <f>AC61*i_W_mc*AC57+AC60*Diligence!$C$49*SUMIF(i_jetty_years,AC$3,i_jetty_vals)*AC57</f>
        <v/>
      </c>
      <c r="AD76" s="19">
        <f>AD61*i_W_mc*AD57+AD60*Diligence!$C$49*SUMIF(i_jetty_years,AD$3,i_jetty_vals)*AD57</f>
        <v/>
      </c>
      <c r="AE76" s="19">
        <f>AE61*i_W_mc*AE57+AE60*Diligence!$C$49*SUMIF(i_jetty_years,AE$3,i_jetty_vals)*AE57</f>
        <v/>
      </c>
      <c r="AF76" s="19">
        <f>AF61*i_W_mc*AF57+AF60*Diligence!$C$49*SUMIF(i_jetty_years,AF$3,i_jetty_vals)*AF57</f>
        <v/>
      </c>
      <c r="AG76" s="19">
        <f>AG61*i_W_mc*AG57+AG60*Diligence!$C$49*SUMIF(i_jetty_years,AG$3,i_jetty_vals)*AG57</f>
        <v/>
      </c>
      <c r="AH76" s="19">
        <f>AH61*i_W_mc*AH57+AH60*Diligence!$C$49*SUMIF(i_jetty_years,AH$3,i_jetty_vals)*AH57</f>
        <v/>
      </c>
      <c r="AI76" s="19">
        <f>AI61*i_W_mc*AI57+AI60*Diligence!$C$49*SUMIF(i_jetty_years,AI$3,i_jetty_vals)*AI57</f>
        <v/>
      </c>
    </row>
    <row r="77">
      <c r="B77" s="3" t="inlineStr">
        <is>
          <t>Rhine Inland</t>
        </is>
      </c>
    </row>
    <row r="78">
      <c r="B78" s="2" t="inlineStr">
        <is>
          <t xml:space="preserve">  Capacity in service (million m3)</t>
        </is>
      </c>
      <c r="D78" s="24">
        <f>i_R_cap</f>
        <v/>
      </c>
      <c r="E78" s="24">
        <f>i_R_cap</f>
        <v/>
      </c>
      <c r="F78" s="24">
        <f>i_R_cap</f>
        <v/>
      </c>
      <c r="G78" s="24">
        <f>i_R_cap</f>
        <v/>
      </c>
      <c r="H78" s="24">
        <f>i_R_cap</f>
        <v/>
      </c>
      <c r="I78" s="24">
        <f>i_R_cap</f>
        <v/>
      </c>
      <c r="J78" s="24">
        <f>i_R_cap</f>
        <v/>
      </c>
      <c r="K78" s="24">
        <f>i_R_cap</f>
        <v/>
      </c>
      <c r="L78" s="24">
        <f>i_R_cap</f>
        <v/>
      </c>
      <c r="M78" s="24">
        <f>i_R_cap</f>
        <v/>
      </c>
      <c r="N78" s="24">
        <f>i_R_cap</f>
        <v/>
      </c>
      <c r="O78" s="24">
        <f>i_R_cap</f>
        <v/>
      </c>
      <c r="P78" s="24">
        <f>i_R_cap</f>
        <v/>
      </c>
      <c r="Q78" s="24">
        <f>i_R_cap</f>
        <v/>
      </c>
      <c r="R78" s="24">
        <f>i_R_cap</f>
        <v/>
      </c>
      <c r="S78" s="24">
        <f>i_R_cap</f>
        <v/>
      </c>
      <c r="T78" s="24">
        <f>i_R_cap</f>
        <v/>
      </c>
      <c r="U78" s="24">
        <f>i_R_cap</f>
        <v/>
      </c>
      <c r="V78" s="24">
        <f>i_R_cap</f>
        <v/>
      </c>
      <c r="W78" s="24">
        <f>i_R_cap</f>
        <v/>
      </c>
      <c r="X78" s="24">
        <f>i_R_cap</f>
        <v/>
      </c>
      <c r="Y78" s="24">
        <f>i_R_cap</f>
        <v/>
      </c>
      <c r="Z78" s="24">
        <f>i_R_cap</f>
        <v/>
      </c>
      <c r="AA78" s="24">
        <f>i_R_cap</f>
        <v/>
      </c>
      <c r="AB78" s="24">
        <f>i_R_cap</f>
        <v/>
      </c>
      <c r="AC78" s="24">
        <f>i_R_cap</f>
        <v/>
      </c>
      <c r="AD78" s="24">
        <f>i_R_cap</f>
        <v/>
      </c>
      <c r="AE78" s="24">
        <f>i_R_cap</f>
        <v/>
      </c>
      <c r="AF78" s="24">
        <f>i_R_cap</f>
        <v/>
      </c>
      <c r="AG78" s="24">
        <f>i_R_cap</f>
        <v/>
      </c>
      <c r="AH78" s="24">
        <f>i_R_cap</f>
        <v/>
      </c>
      <c r="AI78" s="24">
        <f>i_R_cap</f>
        <v/>
      </c>
    </row>
    <row r="79">
      <c r="B79" s="2" t="inlineStr">
        <is>
          <t xml:space="preserve">  Share on contracts signed before 2027</t>
        </is>
      </c>
      <c r="D79" s="21">
        <f>SUMIF(i_book_years,D$3,i_R_book)</f>
        <v/>
      </c>
      <c r="E79" s="21">
        <f>SUMIF(i_book_years,E$3,i_R_book)</f>
        <v/>
      </c>
      <c r="F79" s="21">
        <f>SUMIF(i_book_years,F$3,i_R_book)</f>
        <v/>
      </c>
      <c r="G79" s="21">
        <f>SUMIF(i_book_years,G$3,i_R_book)</f>
        <v/>
      </c>
      <c r="H79" s="21">
        <f>SUMIF(i_book_years,H$3,i_R_book)</f>
        <v/>
      </c>
      <c r="I79" s="21">
        <f>SUMIF(i_book_years,I$3,i_R_book)</f>
        <v/>
      </c>
      <c r="J79" s="21">
        <f>SUMIF(i_book_years,J$3,i_R_book)</f>
        <v/>
      </c>
      <c r="K79" s="21">
        <f>SUMIF(i_book_years,K$3,i_R_book)</f>
        <v/>
      </c>
      <c r="L79" s="21">
        <f>SUMIF(i_book_years,L$3,i_R_book)</f>
        <v/>
      </c>
      <c r="M79" s="21">
        <f>SUMIF(i_book_years,M$3,i_R_book)</f>
        <v/>
      </c>
      <c r="N79" s="21">
        <f>SUMIF(i_book_years,N$3,i_R_book)</f>
        <v/>
      </c>
      <c r="O79" s="21">
        <f>SUMIF(i_book_years,O$3,i_R_book)</f>
        <v/>
      </c>
      <c r="P79" s="21">
        <f>SUMIF(i_book_years,P$3,i_R_book)</f>
        <v/>
      </c>
      <c r="Q79" s="21">
        <f>SUMIF(i_book_years,Q$3,i_R_book)</f>
        <v/>
      </c>
      <c r="R79" s="21">
        <f>SUMIF(i_book_years,R$3,i_R_book)</f>
        <v/>
      </c>
      <c r="S79" s="21">
        <f>SUMIF(i_book_years,S$3,i_R_book)</f>
        <v/>
      </c>
      <c r="T79" s="21">
        <f>SUMIF(i_book_years,T$3,i_R_book)</f>
        <v/>
      </c>
      <c r="U79" s="21">
        <f>SUMIF(i_book_years,U$3,i_R_book)</f>
        <v/>
      </c>
      <c r="V79" s="21">
        <f>SUMIF(i_book_years,V$3,i_R_book)</f>
        <v/>
      </c>
      <c r="W79" s="21">
        <f>SUMIF(i_book_years,W$3,i_R_book)</f>
        <v/>
      </c>
      <c r="X79" s="21">
        <f>SUMIF(i_book_years,X$3,i_R_book)</f>
        <v/>
      </c>
      <c r="Y79" s="21">
        <f>SUMIF(i_book_years,Y$3,i_R_book)</f>
        <v/>
      </c>
      <c r="Z79" s="21">
        <f>SUMIF(i_book_years,Z$3,i_R_book)</f>
        <v/>
      </c>
      <c r="AA79" s="21">
        <f>SUMIF(i_book_years,AA$3,i_R_book)</f>
        <v/>
      </c>
      <c r="AB79" s="21">
        <f>SUMIF(i_book_years,AB$3,i_R_book)</f>
        <v/>
      </c>
      <c r="AC79" s="21">
        <f>SUMIF(i_book_years,AC$3,i_R_book)</f>
        <v/>
      </c>
      <c r="AD79" s="21">
        <f>SUMIF(i_book_years,AD$3,i_R_book)</f>
        <v/>
      </c>
      <c r="AE79" s="21">
        <f>SUMIF(i_book_years,AE$3,i_R_book)</f>
        <v/>
      </c>
      <c r="AF79" s="21">
        <f>SUMIF(i_book_years,AF$3,i_R_book)</f>
        <v/>
      </c>
      <c r="AG79" s="21">
        <f>SUMIF(i_book_years,AG$3,i_R_book)</f>
        <v/>
      </c>
      <c r="AH79" s="21">
        <f>SUMIF(i_book_years,AH$3,i_R_book)</f>
        <v/>
      </c>
      <c r="AI79" s="21">
        <f>SUMIF(i_book_years,AI$3,i_R_book)</f>
        <v/>
      </c>
    </row>
    <row r="80">
      <c r="B80" s="2" t="inlineStr">
        <is>
          <t xml:space="preserve">  Recontracting factor against current rates</t>
        </is>
      </c>
      <c r="D80" s="21">
        <f>IF(D$4=0,0,IF(Diligence!$C$47=1,i_R_mtm,i_R_mtm_plan)+Diligence!$C$53)</f>
        <v/>
      </c>
      <c r="E80" s="21">
        <f>IF(E$4=0,0,IF(Diligence!$C$47=1,i_R_mtm,i_R_mtm_plan)+Diligence!$C$53)</f>
        <v/>
      </c>
      <c r="F80" s="21">
        <f>IF(F$4=0,0,IF(Diligence!$C$47=1,i_R_mtm,i_R_mtm_plan)+Diligence!$C$53)</f>
        <v/>
      </c>
      <c r="G80" s="21">
        <f>IF(G$4=0,0,IF(Diligence!$C$47=1,i_R_mtm,i_R_mtm_plan)+Diligence!$C$53)</f>
        <v/>
      </c>
      <c r="H80" s="21">
        <f>IF(H$4=0,0,IF(Diligence!$C$47=1,i_R_mtm,i_R_mtm_plan)+Diligence!$C$53)</f>
        <v/>
      </c>
      <c r="I80" s="21">
        <f>IF(I$4=0,0,IF(Diligence!$C$47=1,i_R_mtm,i_R_mtm_plan)+Diligence!$C$53)</f>
        <v/>
      </c>
      <c r="J80" s="21">
        <f>IF(J$4=0,0,IF(Diligence!$C$47=1,i_R_mtm,i_R_mtm_plan)+Diligence!$C$53)</f>
        <v/>
      </c>
      <c r="K80" s="21">
        <f>IF(K$4=0,0,IF(Diligence!$C$47=1,i_R_mtm,i_R_mtm_plan)+Diligence!$C$53)</f>
        <v/>
      </c>
      <c r="L80" s="21">
        <f>IF(L$4=0,0,IF(Diligence!$C$47=1,i_R_mtm,i_R_mtm_plan)+Diligence!$C$53)</f>
        <v/>
      </c>
      <c r="M80" s="21">
        <f>IF(M$4=0,0,IF(Diligence!$C$47=1,i_R_mtm,i_R_mtm_plan)+Diligence!$C$53)</f>
        <v/>
      </c>
      <c r="N80" s="21">
        <f>IF(N$4=0,0,IF(Diligence!$C$47=1,i_R_mtm,i_R_mtm_plan)+Diligence!$C$53)</f>
        <v/>
      </c>
      <c r="O80" s="21">
        <f>IF(O$4=0,0,IF(Diligence!$C$47=1,i_R_mtm,i_R_mtm_plan)+Diligence!$C$53)</f>
        <v/>
      </c>
      <c r="P80" s="21">
        <f>IF(P$4=0,0,IF(Diligence!$C$47=1,i_R_mtm,i_R_mtm_plan)+Diligence!$C$53)</f>
        <v/>
      </c>
      <c r="Q80" s="21">
        <f>IF(Q$4=0,0,IF(Diligence!$C$47=1,i_R_mtm,i_R_mtm_plan)+Diligence!$C$53)</f>
        <v/>
      </c>
      <c r="R80" s="21">
        <f>IF(R$4=0,0,IF(Diligence!$C$47=1,i_R_mtm,i_R_mtm_plan)+Diligence!$C$53)</f>
        <v/>
      </c>
      <c r="S80" s="21">
        <f>IF(S$4=0,0,IF(Diligence!$C$47=1,i_R_mtm,i_R_mtm_plan)+Diligence!$C$53)</f>
        <v/>
      </c>
      <c r="T80" s="21">
        <f>IF(T$4=0,0,IF(Diligence!$C$47=1,i_R_mtm,i_R_mtm_plan)+Diligence!$C$53)</f>
        <v/>
      </c>
      <c r="U80" s="21">
        <f>IF(U$4=0,0,IF(Diligence!$C$47=1,i_R_mtm,i_R_mtm_plan)+Diligence!$C$53)</f>
        <v/>
      </c>
      <c r="V80" s="21">
        <f>IF(V$4=0,0,IF(Diligence!$C$47=1,i_R_mtm,i_R_mtm_plan)+Diligence!$C$53)</f>
        <v/>
      </c>
      <c r="W80" s="21">
        <f>IF(W$4=0,0,IF(Diligence!$C$47=1,i_R_mtm,i_R_mtm_plan)+Diligence!$C$53)</f>
        <v/>
      </c>
      <c r="X80" s="21">
        <f>IF(X$4=0,0,IF(Diligence!$C$47=1,i_R_mtm,i_R_mtm_plan)+Diligence!$C$53)</f>
        <v/>
      </c>
      <c r="Y80" s="21">
        <f>IF(Y$4=0,0,IF(Diligence!$C$47=1,i_R_mtm,i_R_mtm_plan)+Diligence!$C$53)</f>
        <v/>
      </c>
      <c r="Z80" s="21">
        <f>IF(Z$4=0,0,IF(Diligence!$C$47=1,i_R_mtm,i_R_mtm_plan)+Diligence!$C$53)</f>
        <v/>
      </c>
      <c r="AA80" s="21">
        <f>IF(AA$4=0,0,IF(Diligence!$C$47=1,i_R_mtm,i_R_mtm_plan)+Diligence!$C$53)</f>
        <v/>
      </c>
      <c r="AB80" s="21">
        <f>IF(AB$4=0,0,IF(Diligence!$C$47=1,i_R_mtm,i_R_mtm_plan)+Diligence!$C$53)</f>
        <v/>
      </c>
      <c r="AC80" s="21">
        <f>IF(AC$4=0,0,IF(Diligence!$C$47=1,i_R_mtm,i_R_mtm_plan)+Diligence!$C$53)</f>
        <v/>
      </c>
      <c r="AD80" s="21">
        <f>IF(AD$4=0,0,IF(Diligence!$C$47=1,i_R_mtm,i_R_mtm_plan)+Diligence!$C$53)</f>
        <v/>
      </c>
      <c r="AE80" s="21">
        <f>IF(AE$4=0,0,IF(Diligence!$C$47=1,i_R_mtm,i_R_mtm_plan)+Diligence!$C$53)</f>
        <v/>
      </c>
      <c r="AF80" s="21">
        <f>IF(AF$4=0,0,IF(Diligence!$C$47=1,i_R_mtm,i_R_mtm_plan)+Diligence!$C$53)</f>
        <v/>
      </c>
      <c r="AG80" s="21">
        <f>IF(AG$4=0,0,IF(Diligence!$C$47=1,i_R_mtm,i_R_mtm_plan)+Diligence!$C$53)</f>
        <v/>
      </c>
      <c r="AH80" s="21">
        <f>IF(AH$4=0,0,IF(Diligence!$C$47=1,i_R_mtm,i_R_mtm_plan)+Diligence!$C$53)</f>
        <v/>
      </c>
      <c r="AI80" s="21">
        <f>IF(AI$4=0,0,IF(Diligence!$C$47=1,i_R_mtm,i_R_mtm_plan)+Diligence!$C$53)</f>
        <v/>
      </c>
    </row>
    <row r="81">
      <c r="B81" s="2" t="inlineStr">
        <is>
          <t xml:space="preserve">  Average rate ($ per m3 per month)</t>
        </is>
      </c>
      <c r="D81" s="24">
        <f>i_R_rate*D58*(D79+(1-D79)*(1+D80))</f>
        <v/>
      </c>
      <c r="E81" s="24">
        <f>i_R_rate*E58*(E79+(1-E79)*(1+E80))</f>
        <v/>
      </c>
      <c r="F81" s="24">
        <f>i_R_rate*F58*(F79+(1-F79)*(1+F80))</f>
        <v/>
      </c>
      <c r="G81" s="24">
        <f>i_R_rate*G58*(G79+(1-G79)*(1+G80))</f>
        <v/>
      </c>
      <c r="H81" s="24">
        <f>i_R_rate*H58*(H79+(1-H79)*(1+H80))</f>
        <v/>
      </c>
      <c r="I81" s="24">
        <f>i_R_rate*I58*(I79+(1-I79)*(1+I80))</f>
        <v/>
      </c>
      <c r="J81" s="24">
        <f>i_R_rate*J58*(J79+(1-J79)*(1+J80))</f>
        <v/>
      </c>
      <c r="K81" s="24">
        <f>i_R_rate*K58*(K79+(1-K79)*(1+K80))</f>
        <v/>
      </c>
      <c r="L81" s="24">
        <f>i_R_rate*L58*(L79+(1-L79)*(1+L80))</f>
        <v/>
      </c>
      <c r="M81" s="24">
        <f>i_R_rate*M58*(M79+(1-M79)*(1+M80))</f>
        <v/>
      </c>
      <c r="N81" s="24">
        <f>i_R_rate*N58*(N79+(1-N79)*(1+N80))</f>
        <v/>
      </c>
      <c r="O81" s="24">
        <f>i_R_rate*O58*(O79+(1-O79)*(1+O80))</f>
        <v/>
      </c>
      <c r="P81" s="24">
        <f>i_R_rate*P58*(P79+(1-P79)*(1+P80))</f>
        <v/>
      </c>
      <c r="Q81" s="24">
        <f>i_R_rate*Q58*(Q79+(1-Q79)*(1+Q80))</f>
        <v/>
      </c>
      <c r="R81" s="24">
        <f>i_R_rate*R58*(R79+(1-R79)*(1+R80))</f>
        <v/>
      </c>
      <c r="S81" s="24">
        <f>i_R_rate*S58*(S79+(1-S79)*(1+S80))</f>
        <v/>
      </c>
      <c r="T81" s="24">
        <f>i_R_rate*T58*(T79+(1-T79)*(1+T80))</f>
        <v/>
      </c>
      <c r="U81" s="24">
        <f>i_R_rate*U58*(U79+(1-U79)*(1+U80))</f>
        <v/>
      </c>
      <c r="V81" s="24">
        <f>i_R_rate*V58*(V79+(1-V79)*(1+V80))</f>
        <v/>
      </c>
      <c r="W81" s="24">
        <f>i_R_rate*W58*(W79+(1-W79)*(1+W80))</f>
        <v/>
      </c>
      <c r="X81" s="24">
        <f>i_R_rate*X58*(X79+(1-X79)*(1+X80))</f>
        <v/>
      </c>
      <c r="Y81" s="24">
        <f>i_R_rate*Y58*(Y79+(1-Y79)*(1+Y80))</f>
        <v/>
      </c>
      <c r="Z81" s="24">
        <f>i_R_rate*Z58*(Z79+(1-Z79)*(1+Z80))</f>
        <v/>
      </c>
      <c r="AA81" s="24">
        <f>i_R_rate*AA58*(AA79+(1-AA79)*(1+AA80))</f>
        <v/>
      </c>
      <c r="AB81" s="24">
        <f>i_R_rate*AB58*(AB79+(1-AB79)*(1+AB80))</f>
        <v/>
      </c>
      <c r="AC81" s="24">
        <f>i_R_rate*AC58*(AC79+(1-AC79)*(1+AC80))</f>
        <v/>
      </c>
      <c r="AD81" s="24">
        <f>i_R_rate*AD58*(AD79+(1-AD79)*(1+AD80))</f>
        <v/>
      </c>
      <c r="AE81" s="24">
        <f>i_R_rate*AE58*(AE79+(1-AE79)*(1+AE80))</f>
        <v/>
      </c>
      <c r="AF81" s="24">
        <f>i_R_rate*AF58*(AF79+(1-AF79)*(1+AF80))</f>
        <v/>
      </c>
      <c r="AG81" s="24">
        <f>i_R_rate*AG58*(AG79+(1-AG79)*(1+AG80))</f>
        <v/>
      </c>
      <c r="AH81" s="24">
        <f>i_R_rate*AH58*(AH79+(1-AH79)*(1+AH80))</f>
        <v/>
      </c>
      <c r="AI81" s="24">
        <f>i_R_rate*AI58*(AI79+(1-AI79)*(1+AI80))</f>
        <v/>
      </c>
    </row>
    <row r="82">
      <c r="B82" s="2" t="inlineStr">
        <is>
          <t xml:space="preserve">  Occupancy after the transition decline and floor</t>
        </is>
      </c>
      <c r="D82" s="21">
        <f>IF(D$3&gt;i_trans_start,MAX(i_R_floor,i_R_occ-i_R_dec*(D$3-i_trans_start)),i_R_occ)</f>
        <v/>
      </c>
      <c r="E82" s="21">
        <f>IF(E$3&gt;i_trans_start,MAX(i_R_floor,i_R_occ-i_R_dec*(E$3-i_trans_start)),i_R_occ)</f>
        <v/>
      </c>
      <c r="F82" s="21">
        <f>IF(F$3&gt;i_trans_start,MAX(i_R_floor,i_R_occ-i_R_dec*(F$3-i_trans_start)),i_R_occ)</f>
        <v/>
      </c>
      <c r="G82" s="21">
        <f>IF(G$3&gt;i_trans_start,MAX(i_R_floor,i_R_occ-i_R_dec*(G$3-i_trans_start)),i_R_occ)</f>
        <v/>
      </c>
      <c r="H82" s="21">
        <f>IF(H$3&gt;i_trans_start,MAX(i_R_floor,i_R_occ-i_R_dec*(H$3-i_trans_start)),i_R_occ)</f>
        <v/>
      </c>
      <c r="I82" s="21">
        <f>IF(I$3&gt;i_trans_start,MAX(i_R_floor,i_R_occ-i_R_dec*(I$3-i_trans_start)),i_R_occ)</f>
        <v/>
      </c>
      <c r="J82" s="21">
        <f>IF(J$3&gt;i_trans_start,MAX(i_R_floor,i_R_occ-i_R_dec*(J$3-i_trans_start)),i_R_occ)</f>
        <v/>
      </c>
      <c r="K82" s="21">
        <f>IF(K$3&gt;i_trans_start,MAX(i_R_floor,i_R_occ-i_R_dec*(K$3-i_trans_start)),i_R_occ)</f>
        <v/>
      </c>
      <c r="L82" s="21">
        <f>IF(L$3&gt;i_trans_start,MAX(i_R_floor,i_R_occ-i_R_dec*(L$3-i_trans_start)),i_R_occ)</f>
        <v/>
      </c>
      <c r="M82" s="21">
        <f>IF(M$3&gt;i_trans_start,MAX(i_R_floor,i_R_occ-i_R_dec*(M$3-i_trans_start)),i_R_occ)</f>
        <v/>
      </c>
      <c r="N82" s="21">
        <f>IF(N$3&gt;i_trans_start,MAX(i_R_floor,i_R_occ-i_R_dec*(N$3-i_trans_start)),i_R_occ)</f>
        <v/>
      </c>
      <c r="O82" s="21">
        <f>IF(O$3&gt;i_trans_start,MAX(i_R_floor,i_R_occ-i_R_dec*(O$3-i_trans_start)),i_R_occ)</f>
        <v/>
      </c>
      <c r="P82" s="21">
        <f>IF(P$3&gt;i_trans_start,MAX(i_R_floor,i_R_occ-i_R_dec*(P$3-i_trans_start)),i_R_occ)</f>
        <v/>
      </c>
      <c r="Q82" s="21">
        <f>IF(Q$3&gt;i_trans_start,MAX(i_R_floor,i_R_occ-i_R_dec*(Q$3-i_trans_start)),i_R_occ)</f>
        <v/>
      </c>
      <c r="R82" s="21">
        <f>IF(R$3&gt;i_trans_start,MAX(i_R_floor,i_R_occ-i_R_dec*(R$3-i_trans_start)),i_R_occ)</f>
        <v/>
      </c>
      <c r="S82" s="21">
        <f>IF(S$3&gt;i_trans_start,MAX(i_R_floor,i_R_occ-i_R_dec*(S$3-i_trans_start)),i_R_occ)</f>
        <v/>
      </c>
      <c r="T82" s="21">
        <f>IF(T$3&gt;i_trans_start,MAX(i_R_floor,i_R_occ-i_R_dec*(T$3-i_trans_start)),i_R_occ)</f>
        <v/>
      </c>
      <c r="U82" s="21">
        <f>IF(U$3&gt;i_trans_start,MAX(i_R_floor,i_R_occ-i_R_dec*(U$3-i_trans_start)),i_R_occ)</f>
        <v/>
      </c>
      <c r="V82" s="21">
        <f>IF(V$3&gt;i_trans_start,MAX(i_R_floor,i_R_occ-i_R_dec*(V$3-i_trans_start)),i_R_occ)</f>
        <v/>
      </c>
      <c r="W82" s="21">
        <f>IF(W$3&gt;i_trans_start,MAX(i_R_floor,i_R_occ-i_R_dec*(W$3-i_trans_start)),i_R_occ)</f>
        <v/>
      </c>
      <c r="X82" s="21">
        <f>IF(X$3&gt;i_trans_start,MAX(i_R_floor,i_R_occ-i_R_dec*(X$3-i_trans_start)),i_R_occ)</f>
        <v/>
      </c>
      <c r="Y82" s="21">
        <f>IF(Y$3&gt;i_trans_start,MAX(i_R_floor,i_R_occ-i_R_dec*(Y$3-i_trans_start)),i_R_occ)</f>
        <v/>
      </c>
      <c r="Z82" s="21">
        <f>IF(Z$3&gt;i_trans_start,MAX(i_R_floor,i_R_occ-i_R_dec*(Z$3-i_trans_start)),i_R_occ)</f>
        <v/>
      </c>
      <c r="AA82" s="21">
        <f>IF(AA$3&gt;i_trans_start,MAX(i_R_floor,i_R_occ-i_R_dec*(AA$3-i_trans_start)),i_R_occ)</f>
        <v/>
      </c>
      <c r="AB82" s="21">
        <f>IF(AB$3&gt;i_trans_start,MAX(i_R_floor,i_R_occ-i_R_dec*(AB$3-i_trans_start)),i_R_occ)</f>
        <v/>
      </c>
      <c r="AC82" s="21">
        <f>IF(AC$3&gt;i_trans_start,MAX(i_R_floor,i_R_occ-i_R_dec*(AC$3-i_trans_start)),i_R_occ)</f>
        <v/>
      </c>
      <c r="AD82" s="21">
        <f>IF(AD$3&gt;i_trans_start,MAX(i_R_floor,i_R_occ-i_R_dec*(AD$3-i_trans_start)),i_R_occ)</f>
        <v/>
      </c>
      <c r="AE82" s="21">
        <f>IF(AE$3&gt;i_trans_start,MAX(i_R_floor,i_R_occ-i_R_dec*(AE$3-i_trans_start)),i_R_occ)</f>
        <v/>
      </c>
      <c r="AF82" s="21">
        <f>IF(AF$3&gt;i_trans_start,MAX(i_R_floor,i_R_occ-i_R_dec*(AF$3-i_trans_start)),i_R_occ)</f>
        <v/>
      </c>
      <c r="AG82" s="21">
        <f>IF(AG$3&gt;i_trans_start,MAX(i_R_floor,i_R_occ-i_R_dec*(AG$3-i_trans_start)),i_R_occ)</f>
        <v/>
      </c>
      <c r="AH82" s="21">
        <f>IF(AH$3&gt;i_trans_start,MAX(i_R_floor,i_R_occ-i_R_dec*(AH$3-i_trans_start)),i_R_occ)</f>
        <v/>
      </c>
      <c r="AI82" s="21">
        <f>IF(AI$3&gt;i_trans_start,MAX(i_R_floor,i_R_occ-i_R_dec*(AI$3-i_trans_start)),i_R_occ)</f>
        <v/>
      </c>
    </row>
    <row r="83">
      <c r="B83" s="2" t="inlineStr">
        <is>
          <t xml:space="preserve">  Occupancy (with the shift switch from 2027)</t>
        </is>
      </c>
      <c r="D83" s="21">
        <f>IF(D$4&gt;0,MIN(1,D82+Diligence!$C$52),D82)</f>
        <v/>
      </c>
      <c r="E83" s="21">
        <f>IF(E$4&gt;0,MIN(1,E82+Diligence!$C$52),E82)</f>
        <v/>
      </c>
      <c r="F83" s="21">
        <f>IF(F$4&gt;0,MIN(1,F82+Diligence!$C$52),F82)</f>
        <v/>
      </c>
      <c r="G83" s="21">
        <f>IF(G$4&gt;0,MIN(1,G82+Diligence!$C$52),G82)</f>
        <v/>
      </c>
      <c r="H83" s="21">
        <f>IF(H$4&gt;0,MIN(1,H82+Diligence!$C$52),H82)</f>
        <v/>
      </c>
      <c r="I83" s="21">
        <f>IF(I$4&gt;0,MIN(1,I82+Diligence!$C$52),I82)</f>
        <v/>
      </c>
      <c r="J83" s="21">
        <f>IF(J$4&gt;0,MIN(1,J82+Diligence!$C$52),J82)</f>
        <v/>
      </c>
      <c r="K83" s="21">
        <f>IF(K$4&gt;0,MIN(1,K82+Diligence!$C$52),K82)</f>
        <v/>
      </c>
      <c r="L83" s="21">
        <f>IF(L$4&gt;0,MIN(1,L82+Diligence!$C$52),L82)</f>
        <v/>
      </c>
      <c r="M83" s="21">
        <f>IF(M$4&gt;0,MIN(1,M82+Diligence!$C$52),M82)</f>
        <v/>
      </c>
      <c r="N83" s="21">
        <f>IF(N$4&gt;0,MIN(1,N82+Diligence!$C$52),N82)</f>
        <v/>
      </c>
      <c r="O83" s="21">
        <f>IF(O$4&gt;0,MIN(1,O82+Diligence!$C$52),O82)</f>
        <v/>
      </c>
      <c r="P83" s="21">
        <f>IF(P$4&gt;0,MIN(1,P82+Diligence!$C$52),P82)</f>
        <v/>
      </c>
      <c r="Q83" s="21">
        <f>IF(Q$4&gt;0,MIN(1,Q82+Diligence!$C$52),Q82)</f>
        <v/>
      </c>
      <c r="R83" s="21">
        <f>IF(R$4&gt;0,MIN(1,R82+Diligence!$C$52),R82)</f>
        <v/>
      </c>
      <c r="S83" s="21">
        <f>IF(S$4&gt;0,MIN(1,S82+Diligence!$C$52),S82)</f>
        <v/>
      </c>
      <c r="T83" s="21">
        <f>IF(T$4&gt;0,MIN(1,T82+Diligence!$C$52),T82)</f>
        <v/>
      </c>
      <c r="U83" s="21">
        <f>IF(U$4&gt;0,MIN(1,U82+Diligence!$C$52),U82)</f>
        <v/>
      </c>
      <c r="V83" s="21">
        <f>IF(V$4&gt;0,MIN(1,V82+Diligence!$C$52),V82)</f>
        <v/>
      </c>
      <c r="W83" s="21">
        <f>IF(W$4&gt;0,MIN(1,W82+Diligence!$C$52),W82)</f>
        <v/>
      </c>
      <c r="X83" s="21">
        <f>IF(X$4&gt;0,MIN(1,X82+Diligence!$C$52),X82)</f>
        <v/>
      </c>
      <c r="Y83" s="21">
        <f>IF(Y$4&gt;0,MIN(1,Y82+Diligence!$C$52),Y82)</f>
        <v/>
      </c>
      <c r="Z83" s="21">
        <f>IF(Z$4&gt;0,MIN(1,Z82+Diligence!$C$52),Z82)</f>
        <v/>
      </c>
      <c r="AA83" s="21">
        <f>IF(AA$4&gt;0,MIN(1,AA82+Diligence!$C$52),AA82)</f>
        <v/>
      </c>
      <c r="AB83" s="21">
        <f>IF(AB$4&gt;0,MIN(1,AB82+Diligence!$C$52),AB82)</f>
        <v/>
      </c>
      <c r="AC83" s="21">
        <f>IF(AC$4&gt;0,MIN(1,AC82+Diligence!$C$52),AC82)</f>
        <v/>
      </c>
      <c r="AD83" s="21">
        <f>IF(AD$4&gt;0,MIN(1,AD82+Diligence!$C$52),AD82)</f>
        <v/>
      </c>
      <c r="AE83" s="21">
        <f>IF(AE$4&gt;0,MIN(1,AE82+Diligence!$C$52),AE82)</f>
        <v/>
      </c>
      <c r="AF83" s="21">
        <f>IF(AF$4&gt;0,MIN(1,AF82+Diligence!$C$52),AF82)</f>
        <v/>
      </c>
      <c r="AG83" s="21">
        <f>IF(AG$4&gt;0,MIN(1,AG82+Diligence!$C$52),AG82)</f>
        <v/>
      </c>
      <c r="AH83" s="21">
        <f>IF(AH$4&gt;0,MIN(1,AH82+Diligence!$C$52),AH82)</f>
        <v/>
      </c>
      <c r="AI83" s="21">
        <f>IF(AI$4&gt;0,MIN(1,AI82+Diligence!$C$52),AI82)</f>
        <v/>
      </c>
    </row>
    <row r="84">
      <c r="B84" s="2" t="inlineStr">
        <is>
          <t xml:space="preserve">  Storage revenue</t>
        </is>
      </c>
      <c r="D84" s="19">
        <f>D78*D81*12*D83</f>
        <v/>
      </c>
      <c r="E84" s="19">
        <f>E78*E81*12*E83</f>
        <v/>
      </c>
      <c r="F84" s="19">
        <f>F78*F81*12*F83</f>
        <v/>
      </c>
      <c r="G84" s="19">
        <f>G78*G81*12*G83</f>
        <v/>
      </c>
      <c r="H84" s="19">
        <f>H78*H81*12*H83</f>
        <v/>
      </c>
      <c r="I84" s="19">
        <f>I78*I81*12*I83</f>
        <v/>
      </c>
      <c r="J84" s="19">
        <f>J78*J81*12*J83</f>
        <v/>
      </c>
      <c r="K84" s="19">
        <f>K78*K81*12*K83</f>
        <v/>
      </c>
      <c r="L84" s="19">
        <f>L78*L81*12*L83</f>
        <v/>
      </c>
      <c r="M84" s="19">
        <f>M78*M81*12*M83</f>
        <v/>
      </c>
      <c r="N84" s="19">
        <f>N78*N81*12*N83</f>
        <v/>
      </c>
      <c r="O84" s="19">
        <f>O78*O81*12*O83</f>
        <v/>
      </c>
      <c r="P84" s="19">
        <f>P78*P81*12*P83</f>
        <v/>
      </c>
      <c r="Q84" s="19">
        <f>Q78*Q81*12*Q83</f>
        <v/>
      </c>
      <c r="R84" s="19">
        <f>R78*R81*12*R83</f>
        <v/>
      </c>
      <c r="S84" s="19">
        <f>S78*S81*12*S83</f>
        <v/>
      </c>
      <c r="T84" s="19">
        <f>T78*T81*12*T83</f>
        <v/>
      </c>
      <c r="U84" s="19">
        <f>U78*U81*12*U83</f>
        <v/>
      </c>
      <c r="V84" s="19">
        <f>V78*V81*12*V83</f>
        <v/>
      </c>
      <c r="W84" s="19">
        <f>W78*W81*12*W83</f>
        <v/>
      </c>
      <c r="X84" s="19">
        <f>X78*X81*12*X83</f>
        <v/>
      </c>
      <c r="Y84" s="19">
        <f>Y78*Y81*12*Y83</f>
        <v/>
      </c>
      <c r="Z84" s="19">
        <f>Z78*Z81*12*Z83</f>
        <v/>
      </c>
      <c r="AA84" s="19">
        <f>AA78*AA81*12*AA83</f>
        <v/>
      </c>
      <c r="AB84" s="19">
        <f>AB78*AB81*12*AB83</f>
        <v/>
      </c>
      <c r="AC84" s="19">
        <f>AC78*AC81*12*AC83</f>
        <v/>
      </c>
      <c r="AD84" s="19">
        <f>AD78*AD81*12*AD83</f>
        <v/>
      </c>
      <c r="AE84" s="19">
        <f>AE78*AE81*12*AE83</f>
        <v/>
      </c>
      <c r="AF84" s="19">
        <f>AF78*AF81*12*AF83</f>
        <v/>
      </c>
      <c r="AG84" s="19">
        <f>AG78*AG81*12*AG83</f>
        <v/>
      </c>
      <c r="AH84" s="19">
        <f>AH78*AH81*12*AH83</f>
        <v/>
      </c>
      <c r="AI84" s="19">
        <f>AI78*AI81*12*AI83</f>
        <v/>
      </c>
    </row>
    <row r="85">
      <c r="B85" s="2" t="inlineStr">
        <is>
          <t xml:space="preserve">  Ancillary and throughput revenue</t>
        </is>
      </c>
      <c r="D85" s="19">
        <f>D84*i_R_anc</f>
        <v/>
      </c>
      <c r="E85" s="19">
        <f>E84*i_R_anc</f>
        <v/>
      </c>
      <c r="F85" s="19">
        <f>F84*i_R_anc</f>
        <v/>
      </c>
      <c r="G85" s="19">
        <f>G84*i_R_anc</f>
        <v/>
      </c>
      <c r="H85" s="19">
        <f>H84*i_R_anc</f>
        <v/>
      </c>
      <c r="I85" s="19">
        <f>I84*i_R_anc</f>
        <v/>
      </c>
      <c r="J85" s="19">
        <f>J84*i_R_anc</f>
        <v/>
      </c>
      <c r="K85" s="19">
        <f>K84*i_R_anc</f>
        <v/>
      </c>
      <c r="L85" s="19">
        <f>L84*i_R_anc</f>
        <v/>
      </c>
      <c r="M85" s="19">
        <f>M84*i_R_anc</f>
        <v/>
      </c>
      <c r="N85" s="19">
        <f>N84*i_R_anc</f>
        <v/>
      </c>
      <c r="O85" s="19">
        <f>O84*i_R_anc</f>
        <v/>
      </c>
      <c r="P85" s="19">
        <f>P84*i_R_anc</f>
        <v/>
      </c>
      <c r="Q85" s="19">
        <f>Q84*i_R_anc</f>
        <v/>
      </c>
      <c r="R85" s="19">
        <f>R84*i_R_anc</f>
        <v/>
      </c>
      <c r="S85" s="19">
        <f>S84*i_R_anc</f>
        <v/>
      </c>
      <c r="T85" s="19">
        <f>T84*i_R_anc</f>
        <v/>
      </c>
      <c r="U85" s="19">
        <f>U84*i_R_anc</f>
        <v/>
      </c>
      <c r="V85" s="19">
        <f>V84*i_R_anc</f>
        <v/>
      </c>
      <c r="W85" s="19">
        <f>W84*i_R_anc</f>
        <v/>
      </c>
      <c r="X85" s="19">
        <f>X84*i_R_anc</f>
        <v/>
      </c>
      <c r="Y85" s="19">
        <f>Y84*i_R_anc</f>
        <v/>
      </c>
      <c r="Z85" s="19">
        <f>Z84*i_R_anc</f>
        <v/>
      </c>
      <c r="AA85" s="19">
        <f>AA84*i_R_anc</f>
        <v/>
      </c>
      <c r="AB85" s="19">
        <f>AB84*i_R_anc</f>
        <v/>
      </c>
      <c r="AC85" s="19">
        <f>AC84*i_R_anc</f>
        <v/>
      </c>
      <c r="AD85" s="19">
        <f>AD84*i_R_anc</f>
        <v/>
      </c>
      <c r="AE85" s="19">
        <f>AE84*i_R_anc</f>
        <v/>
      </c>
      <c r="AF85" s="19">
        <f>AF84*i_R_anc</f>
        <v/>
      </c>
      <c r="AG85" s="19">
        <f>AG84*i_R_anc</f>
        <v/>
      </c>
      <c r="AH85" s="19">
        <f>AH84*i_R_anc</f>
        <v/>
      </c>
      <c r="AI85" s="19">
        <f>AI84*i_R_anc</f>
        <v/>
      </c>
    </row>
    <row r="86">
      <c r="B86" s="3" t="inlineStr">
        <is>
          <t xml:space="preserve">  Revenue</t>
        </is>
      </c>
      <c r="D86" s="31">
        <f>D84+D85</f>
        <v/>
      </c>
      <c r="E86" s="31">
        <f>E84+E85</f>
        <v/>
      </c>
      <c r="F86" s="31">
        <f>F84+F85</f>
        <v/>
      </c>
      <c r="G86" s="31">
        <f>G84+G85</f>
        <v/>
      </c>
      <c r="H86" s="31">
        <f>H84+H85</f>
        <v/>
      </c>
      <c r="I86" s="31">
        <f>I84+I85</f>
        <v/>
      </c>
      <c r="J86" s="31">
        <f>J84+J85</f>
        <v/>
      </c>
      <c r="K86" s="31">
        <f>K84+K85</f>
        <v/>
      </c>
      <c r="L86" s="31">
        <f>L84+L85</f>
        <v/>
      </c>
      <c r="M86" s="31">
        <f>M84+M85</f>
        <v/>
      </c>
      <c r="N86" s="31">
        <f>N84+N85</f>
        <v/>
      </c>
      <c r="O86" s="31">
        <f>O84+O85</f>
        <v/>
      </c>
      <c r="P86" s="31">
        <f>P84+P85</f>
        <v/>
      </c>
      <c r="Q86" s="31">
        <f>Q84+Q85</f>
        <v/>
      </c>
      <c r="R86" s="31">
        <f>R84+R85</f>
        <v/>
      </c>
      <c r="S86" s="31">
        <f>S84+S85</f>
        <v/>
      </c>
      <c r="T86" s="31">
        <f>T84+T85</f>
        <v/>
      </c>
      <c r="U86" s="31">
        <f>U84+U85</f>
        <v/>
      </c>
      <c r="V86" s="31">
        <f>V84+V85</f>
        <v/>
      </c>
      <c r="W86" s="31">
        <f>W84+W85</f>
        <v/>
      </c>
      <c r="X86" s="31">
        <f>X84+X85</f>
        <v/>
      </c>
      <c r="Y86" s="31">
        <f>Y84+Y85</f>
        <v/>
      </c>
      <c r="Z86" s="31">
        <f>Z84+Z85</f>
        <v/>
      </c>
      <c r="AA86" s="31">
        <f>AA84+AA85</f>
        <v/>
      </c>
      <c r="AB86" s="31">
        <f>AB84+AB85</f>
        <v/>
      </c>
      <c r="AC86" s="31">
        <f>AC84+AC85</f>
        <v/>
      </c>
      <c r="AD86" s="31">
        <f>AD84+AD85</f>
        <v/>
      </c>
      <c r="AE86" s="31">
        <f>AE84+AE85</f>
        <v/>
      </c>
      <c r="AF86" s="31">
        <f>AF84+AF85</f>
        <v/>
      </c>
      <c r="AG86" s="31">
        <f>AG84+AG85</f>
        <v/>
      </c>
      <c r="AH86" s="31">
        <f>AH84+AH85</f>
        <v/>
      </c>
      <c r="AI86" s="31">
        <f>AI84+AI85</f>
        <v/>
      </c>
    </row>
    <row r="87">
      <c r="B87" s="2" t="inlineStr">
        <is>
          <t xml:space="preserve">  Fixed cost</t>
        </is>
      </c>
      <c r="D87" s="19">
        <f>D78*i_R_fix*D57</f>
        <v/>
      </c>
      <c r="E87" s="19">
        <f>E78*i_R_fix*E57</f>
        <v/>
      </c>
      <c r="F87" s="19">
        <f>F78*i_R_fix*F57</f>
        <v/>
      </c>
      <c r="G87" s="19">
        <f>G78*i_R_fix*G57</f>
        <v/>
      </c>
      <c r="H87" s="19">
        <f>H78*i_R_fix*H57</f>
        <v/>
      </c>
      <c r="I87" s="19">
        <f>I78*i_R_fix*I57</f>
        <v/>
      </c>
      <c r="J87" s="19">
        <f>J78*i_R_fix*J57</f>
        <v/>
      </c>
      <c r="K87" s="19">
        <f>K78*i_R_fix*K57</f>
        <v/>
      </c>
      <c r="L87" s="19">
        <f>L78*i_R_fix*L57</f>
        <v/>
      </c>
      <c r="M87" s="19">
        <f>M78*i_R_fix*M57</f>
        <v/>
      </c>
      <c r="N87" s="19">
        <f>N78*i_R_fix*N57</f>
        <v/>
      </c>
      <c r="O87" s="19">
        <f>O78*i_R_fix*O57</f>
        <v/>
      </c>
      <c r="P87" s="19">
        <f>P78*i_R_fix*P57</f>
        <v/>
      </c>
      <c r="Q87" s="19">
        <f>Q78*i_R_fix*Q57</f>
        <v/>
      </c>
      <c r="R87" s="19">
        <f>R78*i_R_fix*R57</f>
        <v/>
      </c>
      <c r="S87" s="19">
        <f>S78*i_R_fix*S57</f>
        <v/>
      </c>
      <c r="T87" s="19">
        <f>T78*i_R_fix*T57</f>
        <v/>
      </c>
      <c r="U87" s="19">
        <f>U78*i_R_fix*U57</f>
        <v/>
      </c>
      <c r="V87" s="19">
        <f>V78*i_R_fix*V57</f>
        <v/>
      </c>
      <c r="W87" s="19">
        <f>W78*i_R_fix*W57</f>
        <v/>
      </c>
      <c r="X87" s="19">
        <f>X78*i_R_fix*X57</f>
        <v/>
      </c>
      <c r="Y87" s="19">
        <f>Y78*i_R_fix*Y57</f>
        <v/>
      </c>
      <c r="Z87" s="19">
        <f>Z78*i_R_fix*Z57</f>
        <v/>
      </c>
      <c r="AA87" s="19">
        <f>AA78*i_R_fix*AA57</f>
        <v/>
      </c>
      <c r="AB87" s="19">
        <f>AB78*i_R_fix*AB57</f>
        <v/>
      </c>
      <c r="AC87" s="19">
        <f>AC78*i_R_fix*AC57</f>
        <v/>
      </c>
      <c r="AD87" s="19">
        <f>AD78*i_R_fix*AD57</f>
        <v/>
      </c>
      <c r="AE87" s="19">
        <f>AE78*i_R_fix*AE57</f>
        <v/>
      </c>
      <c r="AF87" s="19">
        <f>AF78*i_R_fix*AF57</f>
        <v/>
      </c>
      <c r="AG87" s="19">
        <f>AG78*i_R_fix*AG57</f>
        <v/>
      </c>
      <c r="AH87" s="19">
        <f>AH78*i_R_fix*AH57</f>
        <v/>
      </c>
      <c r="AI87" s="19">
        <f>AI78*i_R_fix*AI57</f>
        <v/>
      </c>
    </row>
    <row r="88">
      <c r="B88" s="2" t="inlineStr">
        <is>
          <t xml:space="preserve">  Variable cost</t>
        </is>
      </c>
      <c r="D88" s="19">
        <f>i_R_var*D86</f>
        <v/>
      </c>
      <c r="E88" s="19">
        <f>i_R_var*E86</f>
        <v/>
      </c>
      <c r="F88" s="19">
        <f>i_R_var*F86</f>
        <v/>
      </c>
      <c r="G88" s="19">
        <f>i_R_var*G86</f>
        <v/>
      </c>
      <c r="H88" s="19">
        <f>i_R_var*H86</f>
        <v/>
      </c>
      <c r="I88" s="19">
        <f>i_R_var*I86</f>
        <v/>
      </c>
      <c r="J88" s="19">
        <f>i_R_var*J86</f>
        <v/>
      </c>
      <c r="K88" s="19">
        <f>i_R_var*K86</f>
        <v/>
      </c>
      <c r="L88" s="19">
        <f>i_R_var*L86</f>
        <v/>
      </c>
      <c r="M88" s="19">
        <f>i_R_var*M86</f>
        <v/>
      </c>
      <c r="N88" s="19">
        <f>i_R_var*N86</f>
        <v/>
      </c>
      <c r="O88" s="19">
        <f>i_R_var*O86</f>
        <v/>
      </c>
      <c r="P88" s="19">
        <f>i_R_var*P86</f>
        <v/>
      </c>
      <c r="Q88" s="19">
        <f>i_R_var*Q86</f>
        <v/>
      </c>
      <c r="R88" s="19">
        <f>i_R_var*R86</f>
        <v/>
      </c>
      <c r="S88" s="19">
        <f>i_R_var*S86</f>
        <v/>
      </c>
      <c r="T88" s="19">
        <f>i_R_var*T86</f>
        <v/>
      </c>
      <c r="U88" s="19">
        <f>i_R_var*U86</f>
        <v/>
      </c>
      <c r="V88" s="19">
        <f>i_R_var*V86</f>
        <v/>
      </c>
      <c r="W88" s="19">
        <f>i_R_var*W86</f>
        <v/>
      </c>
      <c r="X88" s="19">
        <f>i_R_var*X86</f>
        <v/>
      </c>
      <c r="Y88" s="19">
        <f>i_R_var*Y86</f>
        <v/>
      </c>
      <c r="Z88" s="19">
        <f>i_R_var*Z86</f>
        <v/>
      </c>
      <c r="AA88" s="19">
        <f>i_R_var*AA86</f>
        <v/>
      </c>
      <c r="AB88" s="19">
        <f>i_R_var*AB86</f>
        <v/>
      </c>
      <c r="AC88" s="19">
        <f>i_R_var*AC86</f>
        <v/>
      </c>
      <c r="AD88" s="19">
        <f>i_R_var*AD86</f>
        <v/>
      </c>
      <c r="AE88" s="19">
        <f>i_R_var*AE86</f>
        <v/>
      </c>
      <c r="AF88" s="19">
        <f>i_R_var*AF86</f>
        <v/>
      </c>
      <c r="AG88" s="19">
        <f>i_R_var*AG86</f>
        <v/>
      </c>
      <c r="AH88" s="19">
        <f>i_R_var*AH86</f>
        <v/>
      </c>
      <c r="AI88" s="19">
        <f>i_R_var*AI86</f>
        <v/>
      </c>
    </row>
    <row r="89">
      <c r="B89" s="2" t="inlineStr">
        <is>
          <t xml:space="preserve">  Operating cost</t>
        </is>
      </c>
      <c r="D89" s="19">
        <f>D87+D88</f>
        <v/>
      </c>
      <c r="E89" s="19">
        <f>E87+E88</f>
        <v/>
      </c>
      <c r="F89" s="19">
        <f>F87+F88</f>
        <v/>
      </c>
      <c r="G89" s="19">
        <f>G87+G88</f>
        <v/>
      </c>
      <c r="H89" s="19">
        <f>H87+H88</f>
        <v/>
      </c>
      <c r="I89" s="19">
        <f>I87+I88</f>
        <v/>
      </c>
      <c r="J89" s="19">
        <f>J87+J88</f>
        <v/>
      </c>
      <c r="K89" s="19">
        <f>K87+K88</f>
        <v/>
      </c>
      <c r="L89" s="19">
        <f>L87+L88</f>
        <v/>
      </c>
      <c r="M89" s="19">
        <f>M87+M88</f>
        <v/>
      </c>
      <c r="N89" s="19">
        <f>N87+N88</f>
        <v/>
      </c>
      <c r="O89" s="19">
        <f>O87+O88</f>
        <v/>
      </c>
      <c r="P89" s="19">
        <f>P87+P88</f>
        <v/>
      </c>
      <c r="Q89" s="19">
        <f>Q87+Q88</f>
        <v/>
      </c>
      <c r="R89" s="19">
        <f>R87+R88</f>
        <v/>
      </c>
      <c r="S89" s="19">
        <f>S87+S88</f>
        <v/>
      </c>
      <c r="T89" s="19">
        <f>T87+T88</f>
        <v/>
      </c>
      <c r="U89" s="19">
        <f>U87+U88</f>
        <v/>
      </c>
      <c r="V89" s="19">
        <f>V87+V88</f>
        <v/>
      </c>
      <c r="W89" s="19">
        <f>W87+W88</f>
        <v/>
      </c>
      <c r="X89" s="19">
        <f>X87+X88</f>
        <v/>
      </c>
      <c r="Y89" s="19">
        <f>Y87+Y88</f>
        <v/>
      </c>
      <c r="Z89" s="19">
        <f>Z87+Z88</f>
        <v/>
      </c>
      <c r="AA89" s="19">
        <f>AA87+AA88</f>
        <v/>
      </c>
      <c r="AB89" s="19">
        <f>AB87+AB88</f>
        <v/>
      </c>
      <c r="AC89" s="19">
        <f>AC87+AC88</f>
        <v/>
      </c>
      <c r="AD89" s="19">
        <f>AD87+AD88</f>
        <v/>
      </c>
      <c r="AE89" s="19">
        <f>AE87+AE88</f>
        <v/>
      </c>
      <c r="AF89" s="19">
        <f>AF87+AF88</f>
        <v/>
      </c>
      <c r="AG89" s="19">
        <f>AG87+AG88</f>
        <v/>
      </c>
      <c r="AH89" s="19">
        <f>AH87+AH88</f>
        <v/>
      </c>
      <c r="AI89" s="19">
        <f>AI87+AI88</f>
        <v/>
      </c>
    </row>
    <row r="90">
      <c r="B90" s="3" t="inlineStr">
        <is>
          <t xml:space="preserve">  EBITDA</t>
        </is>
      </c>
      <c r="D90" s="31">
        <f>D86-D89</f>
        <v/>
      </c>
      <c r="E90" s="31">
        <f>E86-E89</f>
        <v/>
      </c>
      <c r="F90" s="31">
        <f>F86-F89</f>
        <v/>
      </c>
      <c r="G90" s="31">
        <f>G86-G89</f>
        <v/>
      </c>
      <c r="H90" s="31">
        <f>H86-H89</f>
        <v/>
      </c>
      <c r="I90" s="31">
        <f>I86-I89</f>
        <v/>
      </c>
      <c r="J90" s="31">
        <f>J86-J89</f>
        <v/>
      </c>
      <c r="K90" s="31">
        <f>K86-K89</f>
        <v/>
      </c>
      <c r="L90" s="31">
        <f>L86-L89</f>
        <v/>
      </c>
      <c r="M90" s="31">
        <f>M86-M89</f>
        <v/>
      </c>
      <c r="N90" s="31">
        <f>N86-N89</f>
        <v/>
      </c>
      <c r="O90" s="31">
        <f>O86-O89</f>
        <v/>
      </c>
      <c r="P90" s="31">
        <f>P86-P89</f>
        <v/>
      </c>
      <c r="Q90" s="31">
        <f>Q86-Q89</f>
        <v/>
      </c>
      <c r="R90" s="31">
        <f>R86-R89</f>
        <v/>
      </c>
      <c r="S90" s="31">
        <f>S86-S89</f>
        <v/>
      </c>
      <c r="T90" s="31">
        <f>T86-T89</f>
        <v/>
      </c>
      <c r="U90" s="31">
        <f>U86-U89</f>
        <v/>
      </c>
      <c r="V90" s="31">
        <f>V86-V89</f>
        <v/>
      </c>
      <c r="W90" s="31">
        <f>W86-W89</f>
        <v/>
      </c>
      <c r="X90" s="31">
        <f>X86-X89</f>
        <v/>
      </c>
      <c r="Y90" s="31">
        <f>Y86-Y89</f>
        <v/>
      </c>
      <c r="Z90" s="31">
        <f>Z86-Z89</f>
        <v/>
      </c>
      <c r="AA90" s="31">
        <f>AA86-AA89</f>
        <v/>
      </c>
      <c r="AB90" s="31">
        <f>AB86-AB89</f>
        <v/>
      </c>
      <c r="AC90" s="31">
        <f>AC86-AC89</f>
        <v/>
      </c>
      <c r="AD90" s="31">
        <f>AD86-AD89</f>
        <v/>
      </c>
      <c r="AE90" s="31">
        <f>AE86-AE89</f>
        <v/>
      </c>
      <c r="AF90" s="31">
        <f>AF86-AF89</f>
        <v/>
      </c>
      <c r="AG90" s="31">
        <f>AG86-AG89</f>
        <v/>
      </c>
      <c r="AH90" s="31">
        <f>AH86-AH89</f>
        <v/>
      </c>
      <c r="AI90" s="31">
        <f>AI86-AI89</f>
        <v/>
      </c>
    </row>
    <row r="91">
      <c r="B91" s="2" t="inlineStr">
        <is>
          <t xml:space="preserve">  Maintenance capex</t>
        </is>
      </c>
      <c r="D91" s="19">
        <f>D78*i_R_mc*D57</f>
        <v/>
      </c>
      <c r="E91" s="19">
        <f>E78*i_R_mc*E57</f>
        <v/>
      </c>
      <c r="F91" s="19">
        <f>F78*i_R_mc*F57</f>
        <v/>
      </c>
      <c r="G91" s="19">
        <f>G78*i_R_mc*G57</f>
        <v/>
      </c>
      <c r="H91" s="19">
        <f>H78*i_R_mc*H57</f>
        <v/>
      </c>
      <c r="I91" s="19">
        <f>I78*i_R_mc*I57</f>
        <v/>
      </c>
      <c r="J91" s="19">
        <f>J78*i_R_mc*J57</f>
        <v/>
      </c>
      <c r="K91" s="19">
        <f>K78*i_R_mc*K57</f>
        <v/>
      </c>
      <c r="L91" s="19">
        <f>L78*i_R_mc*L57</f>
        <v/>
      </c>
      <c r="M91" s="19">
        <f>M78*i_R_mc*M57</f>
        <v/>
      </c>
      <c r="N91" s="19">
        <f>N78*i_R_mc*N57</f>
        <v/>
      </c>
      <c r="O91" s="19">
        <f>O78*i_R_mc*O57</f>
        <v/>
      </c>
      <c r="P91" s="19">
        <f>P78*i_R_mc*P57</f>
        <v/>
      </c>
      <c r="Q91" s="19">
        <f>Q78*i_R_mc*Q57</f>
        <v/>
      </c>
      <c r="R91" s="19">
        <f>R78*i_R_mc*R57</f>
        <v/>
      </c>
      <c r="S91" s="19">
        <f>S78*i_R_mc*S57</f>
        <v/>
      </c>
      <c r="T91" s="19">
        <f>T78*i_R_mc*T57</f>
        <v/>
      </c>
      <c r="U91" s="19">
        <f>U78*i_R_mc*U57</f>
        <v/>
      </c>
      <c r="V91" s="19">
        <f>V78*i_R_mc*V57</f>
        <v/>
      </c>
      <c r="W91" s="19">
        <f>W78*i_R_mc*W57</f>
        <v/>
      </c>
      <c r="X91" s="19">
        <f>X78*i_R_mc*X57</f>
        <v/>
      </c>
      <c r="Y91" s="19">
        <f>Y78*i_R_mc*Y57</f>
        <v/>
      </c>
      <c r="Z91" s="19">
        <f>Z78*i_R_mc*Z57</f>
        <v/>
      </c>
      <c r="AA91" s="19">
        <f>AA78*i_R_mc*AA57</f>
        <v/>
      </c>
      <c r="AB91" s="19">
        <f>AB78*i_R_mc*AB57</f>
        <v/>
      </c>
      <c r="AC91" s="19">
        <f>AC78*i_R_mc*AC57</f>
        <v/>
      </c>
      <c r="AD91" s="19">
        <f>AD78*i_R_mc*AD57</f>
        <v/>
      </c>
      <c r="AE91" s="19">
        <f>AE78*i_R_mc*AE57</f>
        <v/>
      </c>
      <c r="AF91" s="19">
        <f>AF78*i_R_mc*AF57</f>
        <v/>
      </c>
      <c r="AG91" s="19">
        <f>AG78*i_R_mc*AG57</f>
        <v/>
      </c>
      <c r="AH91" s="19">
        <f>AH78*i_R_mc*AH57</f>
        <v/>
      </c>
      <c r="AI91" s="19">
        <f>AI78*i_R_mc*AI57</f>
        <v/>
      </c>
    </row>
    <row r="92">
      <c r="B92" s="3" t="inlineStr">
        <is>
          <t>Thamesbridge</t>
        </is>
      </c>
    </row>
    <row r="93">
      <c r="B93" s="2" t="inlineStr">
        <is>
          <t xml:space="preserve">  Capacity in service (million m3)</t>
        </is>
      </c>
      <c r="D93" s="24">
        <f>i_T_cap</f>
        <v/>
      </c>
      <c r="E93" s="24">
        <f>i_T_cap</f>
        <v/>
      </c>
      <c r="F93" s="24">
        <f>i_T_cap</f>
        <v/>
      </c>
      <c r="G93" s="24">
        <f>i_T_cap</f>
        <v/>
      </c>
      <c r="H93" s="24">
        <f>i_T_cap</f>
        <v/>
      </c>
      <c r="I93" s="24">
        <f>i_T_cap</f>
        <v/>
      </c>
      <c r="J93" s="24">
        <f>i_T_cap</f>
        <v/>
      </c>
      <c r="K93" s="24">
        <f>i_T_cap</f>
        <v/>
      </c>
      <c r="L93" s="24">
        <f>i_T_cap</f>
        <v/>
      </c>
      <c r="M93" s="24">
        <f>i_T_cap</f>
        <v/>
      </c>
      <c r="N93" s="24">
        <f>i_T_cap</f>
        <v/>
      </c>
      <c r="O93" s="24">
        <f>i_T_cap</f>
        <v/>
      </c>
      <c r="P93" s="24">
        <f>i_T_cap</f>
        <v/>
      </c>
      <c r="Q93" s="24">
        <f>i_T_cap</f>
        <v/>
      </c>
      <c r="R93" s="24">
        <f>i_T_cap</f>
        <v/>
      </c>
      <c r="S93" s="24">
        <f>i_T_cap</f>
        <v/>
      </c>
      <c r="T93" s="24">
        <f>i_T_cap</f>
        <v/>
      </c>
      <c r="U93" s="24">
        <f>i_T_cap</f>
        <v/>
      </c>
      <c r="V93" s="24">
        <f>i_T_cap</f>
        <v/>
      </c>
      <c r="W93" s="24">
        <f>i_T_cap</f>
        <v/>
      </c>
      <c r="X93" s="24">
        <f>i_T_cap</f>
        <v/>
      </c>
      <c r="Y93" s="24">
        <f>i_T_cap</f>
        <v/>
      </c>
      <c r="Z93" s="24">
        <f>i_T_cap</f>
        <v/>
      </c>
      <c r="AA93" s="24">
        <f>i_T_cap</f>
        <v/>
      </c>
      <c r="AB93" s="24">
        <f>i_T_cap</f>
        <v/>
      </c>
      <c r="AC93" s="24">
        <f>i_T_cap</f>
        <v/>
      </c>
      <c r="AD93" s="24">
        <f>i_T_cap</f>
        <v/>
      </c>
      <c r="AE93" s="24">
        <f>i_T_cap</f>
        <v/>
      </c>
      <c r="AF93" s="24">
        <f>i_T_cap</f>
        <v/>
      </c>
      <c r="AG93" s="24">
        <f>i_T_cap</f>
        <v/>
      </c>
      <c r="AH93" s="24">
        <f>i_T_cap</f>
        <v/>
      </c>
      <c r="AI93" s="24">
        <f>i_T_cap</f>
        <v/>
      </c>
    </row>
    <row r="94">
      <c r="B94" s="2" t="inlineStr">
        <is>
          <t xml:space="preserve">  Share on contracts signed before 2027</t>
        </is>
      </c>
      <c r="D94" s="21">
        <f>SUMIF(i_book_years,D$3,i_T_book)</f>
        <v/>
      </c>
      <c r="E94" s="21">
        <f>SUMIF(i_book_years,E$3,i_T_book)</f>
        <v/>
      </c>
      <c r="F94" s="21">
        <f>SUMIF(i_book_years,F$3,i_T_book)</f>
        <v/>
      </c>
      <c r="G94" s="21">
        <f>SUMIF(i_book_years,G$3,i_T_book)</f>
        <v/>
      </c>
      <c r="H94" s="21">
        <f>SUMIF(i_book_years,H$3,i_T_book)</f>
        <v/>
      </c>
      <c r="I94" s="21">
        <f>SUMIF(i_book_years,I$3,i_T_book)</f>
        <v/>
      </c>
      <c r="J94" s="21">
        <f>SUMIF(i_book_years,J$3,i_T_book)</f>
        <v/>
      </c>
      <c r="K94" s="21">
        <f>SUMIF(i_book_years,K$3,i_T_book)</f>
        <v/>
      </c>
      <c r="L94" s="21">
        <f>SUMIF(i_book_years,L$3,i_T_book)</f>
        <v/>
      </c>
      <c r="M94" s="21">
        <f>SUMIF(i_book_years,M$3,i_T_book)</f>
        <v/>
      </c>
      <c r="N94" s="21">
        <f>SUMIF(i_book_years,N$3,i_T_book)</f>
        <v/>
      </c>
      <c r="O94" s="21">
        <f>SUMIF(i_book_years,O$3,i_T_book)</f>
        <v/>
      </c>
      <c r="P94" s="21">
        <f>SUMIF(i_book_years,P$3,i_T_book)</f>
        <v/>
      </c>
      <c r="Q94" s="21">
        <f>SUMIF(i_book_years,Q$3,i_T_book)</f>
        <v/>
      </c>
      <c r="R94" s="21">
        <f>SUMIF(i_book_years,R$3,i_T_book)</f>
        <v/>
      </c>
      <c r="S94" s="21">
        <f>SUMIF(i_book_years,S$3,i_T_book)</f>
        <v/>
      </c>
      <c r="T94" s="21">
        <f>SUMIF(i_book_years,T$3,i_T_book)</f>
        <v/>
      </c>
      <c r="U94" s="21">
        <f>SUMIF(i_book_years,U$3,i_T_book)</f>
        <v/>
      </c>
      <c r="V94" s="21">
        <f>SUMIF(i_book_years,V$3,i_T_book)</f>
        <v/>
      </c>
      <c r="W94" s="21">
        <f>SUMIF(i_book_years,W$3,i_T_book)</f>
        <v/>
      </c>
      <c r="X94" s="21">
        <f>SUMIF(i_book_years,X$3,i_T_book)</f>
        <v/>
      </c>
      <c r="Y94" s="21">
        <f>SUMIF(i_book_years,Y$3,i_T_book)</f>
        <v/>
      </c>
      <c r="Z94" s="21">
        <f>SUMIF(i_book_years,Z$3,i_T_book)</f>
        <v/>
      </c>
      <c r="AA94" s="21">
        <f>SUMIF(i_book_years,AA$3,i_T_book)</f>
        <v/>
      </c>
      <c r="AB94" s="21">
        <f>SUMIF(i_book_years,AB$3,i_T_book)</f>
        <v/>
      </c>
      <c r="AC94" s="21">
        <f>SUMIF(i_book_years,AC$3,i_T_book)</f>
        <v/>
      </c>
      <c r="AD94" s="21">
        <f>SUMIF(i_book_years,AD$3,i_T_book)</f>
        <v/>
      </c>
      <c r="AE94" s="21">
        <f>SUMIF(i_book_years,AE$3,i_T_book)</f>
        <v/>
      </c>
      <c r="AF94" s="21">
        <f>SUMIF(i_book_years,AF$3,i_T_book)</f>
        <v/>
      </c>
      <c r="AG94" s="21">
        <f>SUMIF(i_book_years,AG$3,i_T_book)</f>
        <v/>
      </c>
      <c r="AH94" s="21">
        <f>SUMIF(i_book_years,AH$3,i_T_book)</f>
        <v/>
      </c>
      <c r="AI94" s="21">
        <f>SUMIF(i_book_years,AI$3,i_T_book)</f>
        <v/>
      </c>
    </row>
    <row r="95">
      <c r="B95" s="2" t="inlineStr">
        <is>
          <t xml:space="preserve">  Recontracting factor against current rates</t>
        </is>
      </c>
      <c r="D95" s="21">
        <f>IF(D$4=0,0,IF(Diligence!$C$47=1,i_T_mtm,i_T_mtm_plan)+Diligence!$C$53)</f>
        <v/>
      </c>
      <c r="E95" s="21">
        <f>IF(E$4=0,0,IF(Diligence!$C$47=1,i_T_mtm,i_T_mtm_plan)+Diligence!$C$53)</f>
        <v/>
      </c>
      <c r="F95" s="21">
        <f>IF(F$4=0,0,IF(Diligence!$C$47=1,i_T_mtm,i_T_mtm_plan)+Diligence!$C$53)</f>
        <v/>
      </c>
      <c r="G95" s="21">
        <f>IF(G$4=0,0,IF(Diligence!$C$47=1,i_T_mtm,i_T_mtm_plan)+Diligence!$C$53)</f>
        <v/>
      </c>
      <c r="H95" s="21">
        <f>IF(H$4=0,0,IF(Diligence!$C$47=1,i_T_mtm,i_T_mtm_plan)+Diligence!$C$53)</f>
        <v/>
      </c>
      <c r="I95" s="21">
        <f>IF(I$4=0,0,IF(Diligence!$C$47=1,i_T_mtm,i_T_mtm_plan)+Diligence!$C$53)</f>
        <v/>
      </c>
      <c r="J95" s="21">
        <f>IF(J$4=0,0,IF(Diligence!$C$47=1,i_T_mtm,i_T_mtm_plan)+Diligence!$C$53)</f>
        <v/>
      </c>
      <c r="K95" s="21">
        <f>IF(K$4=0,0,IF(Diligence!$C$47=1,i_T_mtm,i_T_mtm_plan)+Diligence!$C$53)</f>
        <v/>
      </c>
      <c r="L95" s="21">
        <f>IF(L$4=0,0,IF(Diligence!$C$47=1,i_T_mtm,i_T_mtm_plan)+Diligence!$C$53)</f>
        <v/>
      </c>
      <c r="M95" s="21">
        <f>IF(M$4=0,0,IF(Diligence!$C$47=1,i_T_mtm,i_T_mtm_plan)+Diligence!$C$53)</f>
        <v/>
      </c>
      <c r="N95" s="21">
        <f>IF(N$4=0,0,IF(Diligence!$C$47=1,i_T_mtm,i_T_mtm_plan)+Diligence!$C$53)</f>
        <v/>
      </c>
      <c r="O95" s="21">
        <f>IF(O$4=0,0,IF(Diligence!$C$47=1,i_T_mtm,i_T_mtm_plan)+Diligence!$C$53)</f>
        <v/>
      </c>
      <c r="P95" s="21">
        <f>IF(P$4=0,0,IF(Diligence!$C$47=1,i_T_mtm,i_T_mtm_plan)+Diligence!$C$53)</f>
        <v/>
      </c>
      <c r="Q95" s="21">
        <f>IF(Q$4=0,0,IF(Diligence!$C$47=1,i_T_mtm,i_T_mtm_plan)+Diligence!$C$53)</f>
        <v/>
      </c>
      <c r="R95" s="21">
        <f>IF(R$4=0,0,IF(Diligence!$C$47=1,i_T_mtm,i_T_mtm_plan)+Diligence!$C$53)</f>
        <v/>
      </c>
      <c r="S95" s="21">
        <f>IF(S$4=0,0,IF(Diligence!$C$47=1,i_T_mtm,i_T_mtm_plan)+Diligence!$C$53)</f>
        <v/>
      </c>
      <c r="T95" s="21">
        <f>IF(T$4=0,0,IF(Diligence!$C$47=1,i_T_mtm,i_T_mtm_plan)+Diligence!$C$53)</f>
        <v/>
      </c>
      <c r="U95" s="21">
        <f>IF(U$4=0,0,IF(Diligence!$C$47=1,i_T_mtm,i_T_mtm_plan)+Diligence!$C$53)</f>
        <v/>
      </c>
      <c r="V95" s="21">
        <f>IF(V$4=0,0,IF(Diligence!$C$47=1,i_T_mtm,i_T_mtm_plan)+Diligence!$C$53)</f>
        <v/>
      </c>
      <c r="W95" s="21">
        <f>IF(W$4=0,0,IF(Diligence!$C$47=1,i_T_mtm,i_T_mtm_plan)+Diligence!$C$53)</f>
        <v/>
      </c>
      <c r="X95" s="21">
        <f>IF(X$4=0,0,IF(Diligence!$C$47=1,i_T_mtm,i_T_mtm_plan)+Diligence!$C$53)</f>
        <v/>
      </c>
      <c r="Y95" s="21">
        <f>IF(Y$4=0,0,IF(Diligence!$C$47=1,i_T_mtm,i_T_mtm_plan)+Diligence!$C$53)</f>
        <v/>
      </c>
      <c r="Z95" s="21">
        <f>IF(Z$4=0,0,IF(Diligence!$C$47=1,i_T_mtm,i_T_mtm_plan)+Diligence!$C$53)</f>
        <v/>
      </c>
      <c r="AA95" s="21">
        <f>IF(AA$4=0,0,IF(Diligence!$C$47=1,i_T_mtm,i_T_mtm_plan)+Diligence!$C$53)</f>
        <v/>
      </c>
      <c r="AB95" s="21">
        <f>IF(AB$4=0,0,IF(Diligence!$C$47=1,i_T_mtm,i_T_mtm_plan)+Diligence!$C$53)</f>
        <v/>
      </c>
      <c r="AC95" s="21">
        <f>IF(AC$4=0,0,IF(Diligence!$C$47=1,i_T_mtm,i_T_mtm_plan)+Diligence!$C$53)</f>
        <v/>
      </c>
      <c r="AD95" s="21">
        <f>IF(AD$4=0,0,IF(Diligence!$C$47=1,i_T_mtm,i_T_mtm_plan)+Diligence!$C$53)</f>
        <v/>
      </c>
      <c r="AE95" s="21">
        <f>IF(AE$4=0,0,IF(Diligence!$C$47=1,i_T_mtm,i_T_mtm_plan)+Diligence!$C$53)</f>
        <v/>
      </c>
      <c r="AF95" s="21">
        <f>IF(AF$4=0,0,IF(Diligence!$C$47=1,i_T_mtm,i_T_mtm_plan)+Diligence!$C$53)</f>
        <v/>
      </c>
      <c r="AG95" s="21">
        <f>IF(AG$4=0,0,IF(Diligence!$C$47=1,i_T_mtm,i_T_mtm_plan)+Diligence!$C$53)</f>
        <v/>
      </c>
      <c r="AH95" s="21">
        <f>IF(AH$4=0,0,IF(Diligence!$C$47=1,i_T_mtm,i_T_mtm_plan)+Diligence!$C$53)</f>
        <v/>
      </c>
      <c r="AI95" s="21">
        <f>IF(AI$4=0,0,IF(Diligence!$C$47=1,i_T_mtm,i_T_mtm_plan)+Diligence!$C$53)</f>
        <v/>
      </c>
    </row>
    <row r="96">
      <c r="B96" s="2" t="inlineStr">
        <is>
          <t xml:space="preserve">  Average rate ($ per m3 per month)</t>
        </is>
      </c>
      <c r="D96" s="24">
        <f>i_T_rate*D58*(D94+(1-D94)*(1+D95))</f>
        <v/>
      </c>
      <c r="E96" s="24">
        <f>i_T_rate*E58*(E94+(1-E94)*(1+E95))</f>
        <v/>
      </c>
      <c r="F96" s="24">
        <f>i_T_rate*F58*(F94+(1-F94)*(1+F95))</f>
        <v/>
      </c>
      <c r="G96" s="24">
        <f>i_T_rate*G58*(G94+(1-G94)*(1+G95))</f>
        <v/>
      </c>
      <c r="H96" s="24">
        <f>i_T_rate*H58*(H94+(1-H94)*(1+H95))</f>
        <v/>
      </c>
      <c r="I96" s="24">
        <f>i_T_rate*I58*(I94+(1-I94)*(1+I95))</f>
        <v/>
      </c>
      <c r="J96" s="24">
        <f>i_T_rate*J58*(J94+(1-J94)*(1+J95))</f>
        <v/>
      </c>
      <c r="K96" s="24">
        <f>i_T_rate*K58*(K94+(1-K94)*(1+K95))</f>
        <v/>
      </c>
      <c r="L96" s="24">
        <f>i_T_rate*L58*(L94+(1-L94)*(1+L95))</f>
        <v/>
      </c>
      <c r="M96" s="24">
        <f>i_T_rate*M58*(M94+(1-M94)*(1+M95))</f>
        <v/>
      </c>
      <c r="N96" s="24">
        <f>i_T_rate*N58*(N94+(1-N94)*(1+N95))</f>
        <v/>
      </c>
      <c r="O96" s="24">
        <f>i_T_rate*O58*(O94+(1-O94)*(1+O95))</f>
        <v/>
      </c>
      <c r="P96" s="24">
        <f>i_T_rate*P58*(P94+(1-P94)*(1+P95))</f>
        <v/>
      </c>
      <c r="Q96" s="24">
        <f>i_T_rate*Q58*(Q94+(1-Q94)*(1+Q95))</f>
        <v/>
      </c>
      <c r="R96" s="24">
        <f>i_T_rate*R58*(R94+(1-R94)*(1+R95))</f>
        <v/>
      </c>
      <c r="S96" s="24">
        <f>i_T_rate*S58*(S94+(1-S94)*(1+S95))</f>
        <v/>
      </c>
      <c r="T96" s="24">
        <f>i_T_rate*T58*(T94+(1-T94)*(1+T95))</f>
        <v/>
      </c>
      <c r="U96" s="24">
        <f>i_T_rate*U58*(U94+(1-U94)*(1+U95))</f>
        <v/>
      </c>
      <c r="V96" s="24">
        <f>i_T_rate*V58*(V94+(1-V94)*(1+V95))</f>
        <v/>
      </c>
      <c r="W96" s="24">
        <f>i_T_rate*W58*(W94+(1-W94)*(1+W95))</f>
        <v/>
      </c>
      <c r="X96" s="24">
        <f>i_T_rate*X58*(X94+(1-X94)*(1+X95))</f>
        <v/>
      </c>
      <c r="Y96" s="24">
        <f>i_T_rate*Y58*(Y94+(1-Y94)*(1+Y95))</f>
        <v/>
      </c>
      <c r="Z96" s="24">
        <f>i_T_rate*Z58*(Z94+(1-Z94)*(1+Z95))</f>
        <v/>
      </c>
      <c r="AA96" s="24">
        <f>i_T_rate*AA58*(AA94+(1-AA94)*(1+AA95))</f>
        <v/>
      </c>
      <c r="AB96" s="24">
        <f>i_T_rate*AB58*(AB94+(1-AB94)*(1+AB95))</f>
        <v/>
      </c>
      <c r="AC96" s="24">
        <f>i_T_rate*AC58*(AC94+(1-AC94)*(1+AC95))</f>
        <v/>
      </c>
      <c r="AD96" s="24">
        <f>i_T_rate*AD58*(AD94+(1-AD94)*(1+AD95))</f>
        <v/>
      </c>
      <c r="AE96" s="24">
        <f>i_T_rate*AE58*(AE94+(1-AE94)*(1+AE95))</f>
        <v/>
      </c>
      <c r="AF96" s="24">
        <f>i_T_rate*AF58*(AF94+(1-AF94)*(1+AF95))</f>
        <v/>
      </c>
      <c r="AG96" s="24">
        <f>i_T_rate*AG58*(AG94+(1-AG94)*(1+AG95))</f>
        <v/>
      </c>
      <c r="AH96" s="24">
        <f>i_T_rate*AH58*(AH94+(1-AH94)*(1+AH95))</f>
        <v/>
      </c>
      <c r="AI96" s="24">
        <f>i_T_rate*AI58*(AI94+(1-AI94)*(1+AI95))</f>
        <v/>
      </c>
    </row>
    <row r="97">
      <c r="B97" s="2" t="inlineStr">
        <is>
          <t xml:space="preserve">  Occupancy after the transition decline and floor</t>
        </is>
      </c>
      <c r="D97" s="21">
        <f>IF(D$3&gt;i_trans_start,MAX(i_T_floor,i_T_occ-i_T_dec*(D$3-i_trans_start)),i_T_occ)</f>
        <v/>
      </c>
      <c r="E97" s="21">
        <f>IF(E$3&gt;i_trans_start,MAX(i_T_floor,i_T_occ-i_T_dec*(E$3-i_trans_start)),i_T_occ)</f>
        <v/>
      </c>
      <c r="F97" s="21">
        <f>IF(F$3&gt;i_trans_start,MAX(i_T_floor,i_T_occ-i_T_dec*(F$3-i_trans_start)),i_T_occ)</f>
        <v/>
      </c>
      <c r="G97" s="21">
        <f>IF(G$3&gt;i_trans_start,MAX(i_T_floor,i_T_occ-i_T_dec*(G$3-i_trans_start)),i_T_occ)</f>
        <v/>
      </c>
      <c r="H97" s="21">
        <f>IF(H$3&gt;i_trans_start,MAX(i_T_floor,i_T_occ-i_T_dec*(H$3-i_trans_start)),i_T_occ)</f>
        <v/>
      </c>
      <c r="I97" s="21">
        <f>IF(I$3&gt;i_trans_start,MAX(i_T_floor,i_T_occ-i_T_dec*(I$3-i_trans_start)),i_T_occ)</f>
        <v/>
      </c>
      <c r="J97" s="21">
        <f>IF(J$3&gt;i_trans_start,MAX(i_T_floor,i_T_occ-i_T_dec*(J$3-i_trans_start)),i_T_occ)</f>
        <v/>
      </c>
      <c r="K97" s="21">
        <f>IF(K$3&gt;i_trans_start,MAX(i_T_floor,i_T_occ-i_T_dec*(K$3-i_trans_start)),i_T_occ)</f>
        <v/>
      </c>
      <c r="L97" s="21">
        <f>IF(L$3&gt;i_trans_start,MAX(i_T_floor,i_T_occ-i_T_dec*(L$3-i_trans_start)),i_T_occ)</f>
        <v/>
      </c>
      <c r="M97" s="21">
        <f>IF(M$3&gt;i_trans_start,MAX(i_T_floor,i_T_occ-i_T_dec*(M$3-i_trans_start)),i_T_occ)</f>
        <v/>
      </c>
      <c r="N97" s="21">
        <f>IF(N$3&gt;i_trans_start,MAX(i_T_floor,i_T_occ-i_T_dec*(N$3-i_trans_start)),i_T_occ)</f>
        <v/>
      </c>
      <c r="O97" s="21">
        <f>IF(O$3&gt;i_trans_start,MAX(i_T_floor,i_T_occ-i_T_dec*(O$3-i_trans_start)),i_T_occ)</f>
        <v/>
      </c>
      <c r="P97" s="21">
        <f>IF(P$3&gt;i_trans_start,MAX(i_T_floor,i_T_occ-i_T_dec*(P$3-i_trans_start)),i_T_occ)</f>
        <v/>
      </c>
      <c r="Q97" s="21">
        <f>IF(Q$3&gt;i_trans_start,MAX(i_T_floor,i_T_occ-i_T_dec*(Q$3-i_trans_start)),i_T_occ)</f>
        <v/>
      </c>
      <c r="R97" s="21">
        <f>IF(R$3&gt;i_trans_start,MAX(i_T_floor,i_T_occ-i_T_dec*(R$3-i_trans_start)),i_T_occ)</f>
        <v/>
      </c>
      <c r="S97" s="21">
        <f>IF(S$3&gt;i_trans_start,MAX(i_T_floor,i_T_occ-i_T_dec*(S$3-i_trans_start)),i_T_occ)</f>
        <v/>
      </c>
      <c r="T97" s="21">
        <f>IF(T$3&gt;i_trans_start,MAX(i_T_floor,i_T_occ-i_T_dec*(T$3-i_trans_start)),i_T_occ)</f>
        <v/>
      </c>
      <c r="U97" s="21">
        <f>IF(U$3&gt;i_trans_start,MAX(i_T_floor,i_T_occ-i_T_dec*(U$3-i_trans_start)),i_T_occ)</f>
        <v/>
      </c>
      <c r="V97" s="21">
        <f>IF(V$3&gt;i_trans_start,MAX(i_T_floor,i_T_occ-i_T_dec*(V$3-i_trans_start)),i_T_occ)</f>
        <v/>
      </c>
      <c r="W97" s="21">
        <f>IF(W$3&gt;i_trans_start,MAX(i_T_floor,i_T_occ-i_T_dec*(W$3-i_trans_start)),i_T_occ)</f>
        <v/>
      </c>
      <c r="X97" s="21">
        <f>IF(X$3&gt;i_trans_start,MAX(i_T_floor,i_T_occ-i_T_dec*(X$3-i_trans_start)),i_T_occ)</f>
        <v/>
      </c>
      <c r="Y97" s="21">
        <f>IF(Y$3&gt;i_trans_start,MAX(i_T_floor,i_T_occ-i_T_dec*(Y$3-i_trans_start)),i_T_occ)</f>
        <v/>
      </c>
      <c r="Z97" s="21">
        <f>IF(Z$3&gt;i_trans_start,MAX(i_T_floor,i_T_occ-i_T_dec*(Z$3-i_trans_start)),i_T_occ)</f>
        <v/>
      </c>
      <c r="AA97" s="21">
        <f>IF(AA$3&gt;i_trans_start,MAX(i_T_floor,i_T_occ-i_T_dec*(AA$3-i_trans_start)),i_T_occ)</f>
        <v/>
      </c>
      <c r="AB97" s="21">
        <f>IF(AB$3&gt;i_trans_start,MAX(i_T_floor,i_T_occ-i_T_dec*(AB$3-i_trans_start)),i_T_occ)</f>
        <v/>
      </c>
      <c r="AC97" s="21">
        <f>IF(AC$3&gt;i_trans_start,MAX(i_T_floor,i_T_occ-i_T_dec*(AC$3-i_trans_start)),i_T_occ)</f>
        <v/>
      </c>
      <c r="AD97" s="21">
        <f>IF(AD$3&gt;i_trans_start,MAX(i_T_floor,i_T_occ-i_T_dec*(AD$3-i_trans_start)),i_T_occ)</f>
        <v/>
      </c>
      <c r="AE97" s="21">
        <f>IF(AE$3&gt;i_trans_start,MAX(i_T_floor,i_T_occ-i_T_dec*(AE$3-i_trans_start)),i_T_occ)</f>
        <v/>
      </c>
      <c r="AF97" s="21">
        <f>IF(AF$3&gt;i_trans_start,MAX(i_T_floor,i_T_occ-i_T_dec*(AF$3-i_trans_start)),i_T_occ)</f>
        <v/>
      </c>
      <c r="AG97" s="21">
        <f>IF(AG$3&gt;i_trans_start,MAX(i_T_floor,i_T_occ-i_T_dec*(AG$3-i_trans_start)),i_T_occ)</f>
        <v/>
      </c>
      <c r="AH97" s="21">
        <f>IF(AH$3&gt;i_trans_start,MAX(i_T_floor,i_T_occ-i_T_dec*(AH$3-i_trans_start)),i_T_occ)</f>
        <v/>
      </c>
      <c r="AI97" s="21">
        <f>IF(AI$3&gt;i_trans_start,MAX(i_T_floor,i_T_occ-i_T_dec*(AI$3-i_trans_start)),i_T_occ)</f>
        <v/>
      </c>
    </row>
    <row r="98">
      <c r="B98" s="2" t="inlineStr">
        <is>
          <t xml:space="preserve">  Occupancy (with the shift switch from 2027)</t>
        </is>
      </c>
      <c r="D98" s="21">
        <f>IF(D$4&gt;0,MIN(1,D97+Diligence!$C$52),D97)</f>
        <v/>
      </c>
      <c r="E98" s="21">
        <f>IF(E$4&gt;0,MIN(1,E97+Diligence!$C$52),E97)</f>
        <v/>
      </c>
      <c r="F98" s="21">
        <f>IF(F$4&gt;0,MIN(1,F97+Diligence!$C$52),F97)</f>
        <v/>
      </c>
      <c r="G98" s="21">
        <f>IF(G$4&gt;0,MIN(1,G97+Diligence!$C$52),G97)</f>
        <v/>
      </c>
      <c r="H98" s="21">
        <f>IF(H$4&gt;0,MIN(1,H97+Diligence!$C$52),H97)</f>
        <v/>
      </c>
      <c r="I98" s="21">
        <f>IF(I$4&gt;0,MIN(1,I97+Diligence!$C$52),I97)</f>
        <v/>
      </c>
      <c r="J98" s="21">
        <f>IF(J$4&gt;0,MIN(1,J97+Diligence!$C$52),J97)</f>
        <v/>
      </c>
      <c r="K98" s="21">
        <f>IF(K$4&gt;0,MIN(1,K97+Diligence!$C$52),K97)</f>
        <v/>
      </c>
      <c r="L98" s="21">
        <f>IF(L$4&gt;0,MIN(1,L97+Diligence!$C$52),L97)</f>
        <v/>
      </c>
      <c r="M98" s="21">
        <f>IF(M$4&gt;0,MIN(1,M97+Diligence!$C$52),M97)</f>
        <v/>
      </c>
      <c r="N98" s="21">
        <f>IF(N$4&gt;0,MIN(1,N97+Diligence!$C$52),N97)</f>
        <v/>
      </c>
      <c r="O98" s="21">
        <f>IF(O$4&gt;0,MIN(1,O97+Diligence!$C$52),O97)</f>
        <v/>
      </c>
      <c r="P98" s="21">
        <f>IF(P$4&gt;0,MIN(1,P97+Diligence!$C$52),P97)</f>
        <v/>
      </c>
      <c r="Q98" s="21">
        <f>IF(Q$4&gt;0,MIN(1,Q97+Diligence!$C$52),Q97)</f>
        <v/>
      </c>
      <c r="R98" s="21">
        <f>IF(R$4&gt;0,MIN(1,R97+Diligence!$C$52),R97)</f>
        <v/>
      </c>
      <c r="S98" s="21">
        <f>IF(S$4&gt;0,MIN(1,S97+Diligence!$C$52),S97)</f>
        <v/>
      </c>
      <c r="T98" s="21">
        <f>IF(T$4&gt;0,MIN(1,T97+Diligence!$C$52),T97)</f>
        <v/>
      </c>
      <c r="U98" s="21">
        <f>IF(U$4&gt;0,MIN(1,U97+Diligence!$C$52),U97)</f>
        <v/>
      </c>
      <c r="V98" s="21">
        <f>IF(V$4&gt;0,MIN(1,V97+Diligence!$C$52),V97)</f>
        <v/>
      </c>
      <c r="W98" s="21">
        <f>IF(W$4&gt;0,MIN(1,W97+Diligence!$C$52),W97)</f>
        <v/>
      </c>
      <c r="X98" s="21">
        <f>IF(X$4&gt;0,MIN(1,X97+Diligence!$C$52),X97)</f>
        <v/>
      </c>
      <c r="Y98" s="21">
        <f>IF(Y$4&gt;0,MIN(1,Y97+Diligence!$C$52),Y97)</f>
        <v/>
      </c>
      <c r="Z98" s="21">
        <f>IF(Z$4&gt;0,MIN(1,Z97+Diligence!$C$52),Z97)</f>
        <v/>
      </c>
      <c r="AA98" s="21">
        <f>IF(AA$4&gt;0,MIN(1,AA97+Diligence!$C$52),AA97)</f>
        <v/>
      </c>
      <c r="AB98" s="21">
        <f>IF(AB$4&gt;0,MIN(1,AB97+Diligence!$C$52),AB97)</f>
        <v/>
      </c>
      <c r="AC98" s="21">
        <f>IF(AC$4&gt;0,MIN(1,AC97+Diligence!$C$52),AC97)</f>
        <v/>
      </c>
      <c r="AD98" s="21">
        <f>IF(AD$4&gt;0,MIN(1,AD97+Diligence!$C$52),AD97)</f>
        <v/>
      </c>
      <c r="AE98" s="21">
        <f>IF(AE$4&gt;0,MIN(1,AE97+Diligence!$C$52),AE97)</f>
        <v/>
      </c>
      <c r="AF98" s="21">
        <f>IF(AF$4&gt;0,MIN(1,AF97+Diligence!$C$52),AF97)</f>
        <v/>
      </c>
      <c r="AG98" s="21">
        <f>IF(AG$4&gt;0,MIN(1,AG97+Diligence!$C$52),AG97)</f>
        <v/>
      </c>
      <c r="AH98" s="21">
        <f>IF(AH$4&gt;0,MIN(1,AH97+Diligence!$C$52),AH97)</f>
        <v/>
      </c>
      <c r="AI98" s="21">
        <f>IF(AI$4&gt;0,MIN(1,AI97+Diligence!$C$52),AI97)</f>
        <v/>
      </c>
    </row>
    <row r="99">
      <c r="B99" s="2" t="inlineStr">
        <is>
          <t xml:space="preserve">  Storage revenue</t>
        </is>
      </c>
      <c r="D99" s="19">
        <f>D93*D96*12*D98</f>
        <v/>
      </c>
      <c r="E99" s="19">
        <f>E93*E96*12*E98</f>
        <v/>
      </c>
      <c r="F99" s="19">
        <f>F93*F96*12*F98</f>
        <v/>
      </c>
      <c r="G99" s="19">
        <f>G93*G96*12*G98</f>
        <v/>
      </c>
      <c r="H99" s="19">
        <f>H93*H96*12*H98</f>
        <v/>
      </c>
      <c r="I99" s="19">
        <f>I93*I96*12*I98</f>
        <v/>
      </c>
      <c r="J99" s="19">
        <f>J93*J96*12*J98</f>
        <v/>
      </c>
      <c r="K99" s="19">
        <f>K93*K96*12*K98</f>
        <v/>
      </c>
      <c r="L99" s="19">
        <f>L93*L96*12*L98</f>
        <v/>
      </c>
      <c r="M99" s="19">
        <f>M93*M96*12*M98</f>
        <v/>
      </c>
      <c r="N99" s="19">
        <f>N93*N96*12*N98</f>
        <v/>
      </c>
      <c r="O99" s="19">
        <f>O93*O96*12*O98</f>
        <v/>
      </c>
      <c r="P99" s="19">
        <f>P93*P96*12*P98</f>
        <v/>
      </c>
      <c r="Q99" s="19">
        <f>Q93*Q96*12*Q98</f>
        <v/>
      </c>
      <c r="R99" s="19">
        <f>R93*R96*12*R98</f>
        <v/>
      </c>
      <c r="S99" s="19">
        <f>S93*S96*12*S98</f>
        <v/>
      </c>
      <c r="T99" s="19">
        <f>T93*T96*12*T98</f>
        <v/>
      </c>
      <c r="U99" s="19">
        <f>U93*U96*12*U98</f>
        <v/>
      </c>
      <c r="V99" s="19">
        <f>V93*V96*12*V98</f>
        <v/>
      </c>
      <c r="W99" s="19">
        <f>W93*W96*12*W98</f>
        <v/>
      </c>
      <c r="X99" s="19">
        <f>X93*X96*12*X98</f>
        <v/>
      </c>
      <c r="Y99" s="19">
        <f>Y93*Y96*12*Y98</f>
        <v/>
      </c>
      <c r="Z99" s="19">
        <f>Z93*Z96*12*Z98</f>
        <v/>
      </c>
      <c r="AA99" s="19">
        <f>AA93*AA96*12*AA98</f>
        <v/>
      </c>
      <c r="AB99" s="19">
        <f>AB93*AB96*12*AB98</f>
        <v/>
      </c>
      <c r="AC99" s="19">
        <f>AC93*AC96*12*AC98</f>
        <v/>
      </c>
      <c r="AD99" s="19">
        <f>AD93*AD96*12*AD98</f>
        <v/>
      </c>
      <c r="AE99" s="19">
        <f>AE93*AE96*12*AE98</f>
        <v/>
      </c>
      <c r="AF99" s="19">
        <f>AF93*AF96*12*AF98</f>
        <v/>
      </c>
      <c r="AG99" s="19">
        <f>AG93*AG96*12*AG98</f>
        <v/>
      </c>
      <c r="AH99" s="19">
        <f>AH93*AH96*12*AH98</f>
        <v/>
      </c>
      <c r="AI99" s="19">
        <f>AI93*AI96*12*AI98</f>
        <v/>
      </c>
    </row>
    <row r="100">
      <c r="B100" s="2" t="inlineStr">
        <is>
          <t xml:space="preserve">  Ancillary and throughput revenue</t>
        </is>
      </c>
      <c r="D100" s="19">
        <f>D99*i_T_anc</f>
        <v/>
      </c>
      <c r="E100" s="19">
        <f>E99*i_T_anc</f>
        <v/>
      </c>
      <c r="F100" s="19">
        <f>F99*i_T_anc</f>
        <v/>
      </c>
      <c r="G100" s="19">
        <f>G99*i_T_anc</f>
        <v/>
      </c>
      <c r="H100" s="19">
        <f>H99*i_T_anc</f>
        <v/>
      </c>
      <c r="I100" s="19">
        <f>I99*i_T_anc</f>
        <v/>
      </c>
      <c r="J100" s="19">
        <f>J99*i_T_anc</f>
        <v/>
      </c>
      <c r="K100" s="19">
        <f>K99*i_T_anc</f>
        <v/>
      </c>
      <c r="L100" s="19">
        <f>L99*i_T_anc</f>
        <v/>
      </c>
      <c r="M100" s="19">
        <f>M99*i_T_anc</f>
        <v/>
      </c>
      <c r="N100" s="19">
        <f>N99*i_T_anc</f>
        <v/>
      </c>
      <c r="O100" s="19">
        <f>O99*i_T_anc</f>
        <v/>
      </c>
      <c r="P100" s="19">
        <f>P99*i_T_anc</f>
        <v/>
      </c>
      <c r="Q100" s="19">
        <f>Q99*i_T_anc</f>
        <v/>
      </c>
      <c r="R100" s="19">
        <f>R99*i_T_anc</f>
        <v/>
      </c>
      <c r="S100" s="19">
        <f>S99*i_T_anc</f>
        <v/>
      </c>
      <c r="T100" s="19">
        <f>T99*i_T_anc</f>
        <v/>
      </c>
      <c r="U100" s="19">
        <f>U99*i_T_anc</f>
        <v/>
      </c>
      <c r="V100" s="19">
        <f>V99*i_T_anc</f>
        <v/>
      </c>
      <c r="W100" s="19">
        <f>W99*i_T_anc</f>
        <v/>
      </c>
      <c r="X100" s="19">
        <f>X99*i_T_anc</f>
        <v/>
      </c>
      <c r="Y100" s="19">
        <f>Y99*i_T_anc</f>
        <v/>
      </c>
      <c r="Z100" s="19">
        <f>Z99*i_T_anc</f>
        <v/>
      </c>
      <c r="AA100" s="19">
        <f>AA99*i_T_anc</f>
        <v/>
      </c>
      <c r="AB100" s="19">
        <f>AB99*i_T_anc</f>
        <v/>
      </c>
      <c r="AC100" s="19">
        <f>AC99*i_T_anc</f>
        <v/>
      </c>
      <c r="AD100" s="19">
        <f>AD99*i_T_anc</f>
        <v/>
      </c>
      <c r="AE100" s="19">
        <f>AE99*i_T_anc</f>
        <v/>
      </c>
      <c r="AF100" s="19">
        <f>AF99*i_T_anc</f>
        <v/>
      </c>
      <c r="AG100" s="19">
        <f>AG99*i_T_anc</f>
        <v/>
      </c>
      <c r="AH100" s="19">
        <f>AH99*i_T_anc</f>
        <v/>
      </c>
      <c r="AI100" s="19">
        <f>AI99*i_T_anc</f>
        <v/>
      </c>
    </row>
    <row r="101">
      <c r="B101" s="3" t="inlineStr">
        <is>
          <t xml:space="preserve">  Revenue</t>
        </is>
      </c>
      <c r="D101" s="31">
        <f>D99+D100</f>
        <v/>
      </c>
      <c r="E101" s="31">
        <f>E99+E100</f>
        <v/>
      </c>
      <c r="F101" s="31">
        <f>F99+F100</f>
        <v/>
      </c>
      <c r="G101" s="31">
        <f>G99+G100</f>
        <v/>
      </c>
      <c r="H101" s="31">
        <f>H99+H100</f>
        <v/>
      </c>
      <c r="I101" s="31">
        <f>I99+I100</f>
        <v/>
      </c>
      <c r="J101" s="31">
        <f>J99+J100</f>
        <v/>
      </c>
      <c r="K101" s="31">
        <f>K99+K100</f>
        <v/>
      </c>
      <c r="L101" s="31">
        <f>L99+L100</f>
        <v/>
      </c>
      <c r="M101" s="31">
        <f>M99+M100</f>
        <v/>
      </c>
      <c r="N101" s="31">
        <f>N99+N100</f>
        <v/>
      </c>
      <c r="O101" s="31">
        <f>O99+O100</f>
        <v/>
      </c>
      <c r="P101" s="31">
        <f>P99+P100</f>
        <v/>
      </c>
      <c r="Q101" s="31">
        <f>Q99+Q100</f>
        <v/>
      </c>
      <c r="R101" s="31">
        <f>R99+R100</f>
        <v/>
      </c>
      <c r="S101" s="31">
        <f>S99+S100</f>
        <v/>
      </c>
      <c r="T101" s="31">
        <f>T99+T100</f>
        <v/>
      </c>
      <c r="U101" s="31">
        <f>U99+U100</f>
        <v/>
      </c>
      <c r="V101" s="31">
        <f>V99+V100</f>
        <v/>
      </c>
      <c r="W101" s="31">
        <f>W99+W100</f>
        <v/>
      </c>
      <c r="X101" s="31">
        <f>X99+X100</f>
        <v/>
      </c>
      <c r="Y101" s="31">
        <f>Y99+Y100</f>
        <v/>
      </c>
      <c r="Z101" s="31">
        <f>Z99+Z100</f>
        <v/>
      </c>
      <c r="AA101" s="31">
        <f>AA99+AA100</f>
        <v/>
      </c>
      <c r="AB101" s="31">
        <f>AB99+AB100</f>
        <v/>
      </c>
      <c r="AC101" s="31">
        <f>AC99+AC100</f>
        <v/>
      </c>
      <c r="AD101" s="31">
        <f>AD99+AD100</f>
        <v/>
      </c>
      <c r="AE101" s="31">
        <f>AE99+AE100</f>
        <v/>
      </c>
      <c r="AF101" s="31">
        <f>AF99+AF100</f>
        <v/>
      </c>
      <c r="AG101" s="31">
        <f>AG99+AG100</f>
        <v/>
      </c>
      <c r="AH101" s="31">
        <f>AH99+AH100</f>
        <v/>
      </c>
      <c r="AI101" s="31">
        <f>AI99+AI100</f>
        <v/>
      </c>
    </row>
    <row r="102">
      <c r="B102" s="2" t="inlineStr">
        <is>
          <t xml:space="preserve">  Fixed cost</t>
        </is>
      </c>
      <c r="D102" s="19">
        <f>D93*i_T_fix*D57</f>
        <v/>
      </c>
      <c r="E102" s="19">
        <f>E93*i_T_fix*E57</f>
        <v/>
      </c>
      <c r="F102" s="19">
        <f>F93*i_T_fix*F57</f>
        <v/>
      </c>
      <c r="G102" s="19">
        <f>G93*i_T_fix*G57</f>
        <v/>
      </c>
      <c r="H102" s="19">
        <f>H93*i_T_fix*H57</f>
        <v/>
      </c>
      <c r="I102" s="19">
        <f>I93*i_T_fix*I57</f>
        <v/>
      </c>
      <c r="J102" s="19">
        <f>J93*i_T_fix*J57</f>
        <v/>
      </c>
      <c r="K102" s="19">
        <f>K93*i_T_fix*K57</f>
        <v/>
      </c>
      <c r="L102" s="19">
        <f>L93*i_T_fix*L57</f>
        <v/>
      </c>
      <c r="M102" s="19">
        <f>M93*i_T_fix*M57</f>
        <v/>
      </c>
      <c r="N102" s="19">
        <f>N93*i_T_fix*N57</f>
        <v/>
      </c>
      <c r="O102" s="19">
        <f>O93*i_T_fix*O57</f>
        <v/>
      </c>
      <c r="P102" s="19">
        <f>P93*i_T_fix*P57</f>
        <v/>
      </c>
      <c r="Q102" s="19">
        <f>Q93*i_T_fix*Q57</f>
        <v/>
      </c>
      <c r="R102" s="19">
        <f>R93*i_T_fix*R57</f>
        <v/>
      </c>
      <c r="S102" s="19">
        <f>S93*i_T_fix*S57</f>
        <v/>
      </c>
      <c r="T102" s="19">
        <f>T93*i_T_fix*T57</f>
        <v/>
      </c>
      <c r="U102" s="19">
        <f>U93*i_T_fix*U57</f>
        <v/>
      </c>
      <c r="V102" s="19">
        <f>V93*i_T_fix*V57</f>
        <v/>
      </c>
      <c r="W102" s="19">
        <f>W93*i_T_fix*W57</f>
        <v/>
      </c>
      <c r="X102" s="19">
        <f>X93*i_T_fix*X57</f>
        <v/>
      </c>
      <c r="Y102" s="19">
        <f>Y93*i_T_fix*Y57</f>
        <v/>
      </c>
      <c r="Z102" s="19">
        <f>Z93*i_T_fix*Z57</f>
        <v/>
      </c>
      <c r="AA102" s="19">
        <f>AA93*i_T_fix*AA57</f>
        <v/>
      </c>
      <c r="AB102" s="19">
        <f>AB93*i_T_fix*AB57</f>
        <v/>
      </c>
      <c r="AC102" s="19">
        <f>AC93*i_T_fix*AC57</f>
        <v/>
      </c>
      <c r="AD102" s="19">
        <f>AD93*i_T_fix*AD57</f>
        <v/>
      </c>
      <c r="AE102" s="19">
        <f>AE93*i_T_fix*AE57</f>
        <v/>
      </c>
      <c r="AF102" s="19">
        <f>AF93*i_T_fix*AF57</f>
        <v/>
      </c>
      <c r="AG102" s="19">
        <f>AG93*i_T_fix*AG57</f>
        <v/>
      </c>
      <c r="AH102" s="19">
        <f>AH93*i_T_fix*AH57</f>
        <v/>
      </c>
      <c r="AI102" s="19">
        <f>AI93*i_T_fix*AI57</f>
        <v/>
      </c>
    </row>
    <row r="103">
      <c r="B103" s="2" t="inlineStr">
        <is>
          <t xml:space="preserve">  Variable cost</t>
        </is>
      </c>
      <c r="D103" s="19">
        <f>i_T_var*D101</f>
        <v/>
      </c>
      <c r="E103" s="19">
        <f>i_T_var*E101</f>
        <v/>
      </c>
      <c r="F103" s="19">
        <f>i_T_var*F101</f>
        <v/>
      </c>
      <c r="G103" s="19">
        <f>i_T_var*G101</f>
        <v/>
      </c>
      <c r="H103" s="19">
        <f>i_T_var*H101</f>
        <v/>
      </c>
      <c r="I103" s="19">
        <f>i_T_var*I101</f>
        <v/>
      </c>
      <c r="J103" s="19">
        <f>i_T_var*J101</f>
        <v/>
      </c>
      <c r="K103" s="19">
        <f>i_T_var*K101</f>
        <v/>
      </c>
      <c r="L103" s="19">
        <f>i_T_var*L101</f>
        <v/>
      </c>
      <c r="M103" s="19">
        <f>i_T_var*M101</f>
        <v/>
      </c>
      <c r="N103" s="19">
        <f>i_T_var*N101</f>
        <v/>
      </c>
      <c r="O103" s="19">
        <f>i_T_var*O101</f>
        <v/>
      </c>
      <c r="P103" s="19">
        <f>i_T_var*P101</f>
        <v/>
      </c>
      <c r="Q103" s="19">
        <f>i_T_var*Q101</f>
        <v/>
      </c>
      <c r="R103" s="19">
        <f>i_T_var*R101</f>
        <v/>
      </c>
      <c r="S103" s="19">
        <f>i_T_var*S101</f>
        <v/>
      </c>
      <c r="T103" s="19">
        <f>i_T_var*T101</f>
        <v/>
      </c>
      <c r="U103" s="19">
        <f>i_T_var*U101</f>
        <v/>
      </c>
      <c r="V103" s="19">
        <f>i_T_var*V101</f>
        <v/>
      </c>
      <c r="W103" s="19">
        <f>i_T_var*W101</f>
        <v/>
      </c>
      <c r="X103" s="19">
        <f>i_T_var*X101</f>
        <v/>
      </c>
      <c r="Y103" s="19">
        <f>i_T_var*Y101</f>
        <v/>
      </c>
      <c r="Z103" s="19">
        <f>i_T_var*Z101</f>
        <v/>
      </c>
      <c r="AA103" s="19">
        <f>i_T_var*AA101</f>
        <v/>
      </c>
      <c r="AB103" s="19">
        <f>i_T_var*AB101</f>
        <v/>
      </c>
      <c r="AC103" s="19">
        <f>i_T_var*AC101</f>
        <v/>
      </c>
      <c r="AD103" s="19">
        <f>i_T_var*AD101</f>
        <v/>
      </c>
      <c r="AE103" s="19">
        <f>i_T_var*AE101</f>
        <v/>
      </c>
      <c r="AF103" s="19">
        <f>i_T_var*AF101</f>
        <v/>
      </c>
      <c r="AG103" s="19">
        <f>i_T_var*AG101</f>
        <v/>
      </c>
      <c r="AH103" s="19">
        <f>i_T_var*AH101</f>
        <v/>
      </c>
      <c r="AI103" s="19">
        <f>i_T_var*AI101</f>
        <v/>
      </c>
    </row>
    <row r="104">
      <c r="B104" s="2" t="inlineStr">
        <is>
          <t xml:space="preserve">  Operating cost</t>
        </is>
      </c>
      <c r="D104" s="19">
        <f>D102+D103</f>
        <v/>
      </c>
      <c r="E104" s="19">
        <f>E102+E103</f>
        <v/>
      </c>
      <c r="F104" s="19">
        <f>F102+F103</f>
        <v/>
      </c>
      <c r="G104" s="19">
        <f>G102+G103</f>
        <v/>
      </c>
      <c r="H104" s="19">
        <f>H102+H103</f>
        <v/>
      </c>
      <c r="I104" s="19">
        <f>I102+I103</f>
        <v/>
      </c>
      <c r="J104" s="19">
        <f>J102+J103</f>
        <v/>
      </c>
      <c r="K104" s="19">
        <f>K102+K103</f>
        <v/>
      </c>
      <c r="L104" s="19">
        <f>L102+L103</f>
        <v/>
      </c>
      <c r="M104" s="19">
        <f>M102+M103</f>
        <v/>
      </c>
      <c r="N104" s="19">
        <f>N102+N103</f>
        <v/>
      </c>
      <c r="O104" s="19">
        <f>O102+O103</f>
        <v/>
      </c>
      <c r="P104" s="19">
        <f>P102+P103</f>
        <v/>
      </c>
      <c r="Q104" s="19">
        <f>Q102+Q103</f>
        <v/>
      </c>
      <c r="R104" s="19">
        <f>R102+R103</f>
        <v/>
      </c>
      <c r="S104" s="19">
        <f>S102+S103</f>
        <v/>
      </c>
      <c r="T104" s="19">
        <f>T102+T103</f>
        <v/>
      </c>
      <c r="U104" s="19">
        <f>U102+U103</f>
        <v/>
      </c>
      <c r="V104" s="19">
        <f>V102+V103</f>
        <v/>
      </c>
      <c r="W104" s="19">
        <f>W102+W103</f>
        <v/>
      </c>
      <c r="X104" s="19">
        <f>X102+X103</f>
        <v/>
      </c>
      <c r="Y104" s="19">
        <f>Y102+Y103</f>
        <v/>
      </c>
      <c r="Z104" s="19">
        <f>Z102+Z103</f>
        <v/>
      </c>
      <c r="AA104" s="19">
        <f>AA102+AA103</f>
        <v/>
      </c>
      <c r="AB104" s="19">
        <f>AB102+AB103</f>
        <v/>
      </c>
      <c r="AC104" s="19">
        <f>AC102+AC103</f>
        <v/>
      </c>
      <c r="AD104" s="19">
        <f>AD102+AD103</f>
        <v/>
      </c>
      <c r="AE104" s="19">
        <f>AE102+AE103</f>
        <v/>
      </c>
      <c r="AF104" s="19">
        <f>AF102+AF103</f>
        <v/>
      </c>
      <c r="AG104" s="19">
        <f>AG102+AG103</f>
        <v/>
      </c>
      <c r="AH104" s="19">
        <f>AH102+AH103</f>
        <v/>
      </c>
      <c r="AI104" s="19">
        <f>AI102+AI103</f>
        <v/>
      </c>
    </row>
    <row r="105">
      <c r="B105" s="3" t="inlineStr">
        <is>
          <t xml:space="preserve">  EBITDA</t>
        </is>
      </c>
      <c r="D105" s="31">
        <f>D101-D104</f>
        <v/>
      </c>
      <c r="E105" s="31">
        <f>E101-E104</f>
        <v/>
      </c>
      <c r="F105" s="31">
        <f>F101-F104</f>
        <v/>
      </c>
      <c r="G105" s="31">
        <f>G101-G104</f>
        <v/>
      </c>
      <c r="H105" s="31">
        <f>H101-H104</f>
        <v/>
      </c>
      <c r="I105" s="31">
        <f>I101-I104</f>
        <v/>
      </c>
      <c r="J105" s="31">
        <f>J101-J104</f>
        <v/>
      </c>
      <c r="K105" s="31">
        <f>K101-K104</f>
        <v/>
      </c>
      <c r="L105" s="31">
        <f>L101-L104</f>
        <v/>
      </c>
      <c r="M105" s="31">
        <f>M101-M104</f>
        <v/>
      </c>
      <c r="N105" s="31">
        <f>N101-N104</f>
        <v/>
      </c>
      <c r="O105" s="31">
        <f>O101-O104</f>
        <v/>
      </c>
      <c r="P105" s="31">
        <f>P101-P104</f>
        <v/>
      </c>
      <c r="Q105" s="31">
        <f>Q101-Q104</f>
        <v/>
      </c>
      <c r="R105" s="31">
        <f>R101-R104</f>
        <v/>
      </c>
      <c r="S105" s="31">
        <f>S101-S104</f>
        <v/>
      </c>
      <c r="T105" s="31">
        <f>T101-T104</f>
        <v/>
      </c>
      <c r="U105" s="31">
        <f>U101-U104</f>
        <v/>
      </c>
      <c r="V105" s="31">
        <f>V101-V104</f>
        <v/>
      </c>
      <c r="W105" s="31">
        <f>W101-W104</f>
        <v/>
      </c>
      <c r="X105" s="31">
        <f>X101-X104</f>
        <v/>
      </c>
      <c r="Y105" s="31">
        <f>Y101-Y104</f>
        <v/>
      </c>
      <c r="Z105" s="31">
        <f>Z101-Z104</f>
        <v/>
      </c>
      <c r="AA105" s="31">
        <f>AA101-AA104</f>
        <v/>
      </c>
      <c r="AB105" s="31">
        <f>AB101-AB104</f>
        <v/>
      </c>
      <c r="AC105" s="31">
        <f>AC101-AC104</f>
        <v/>
      </c>
      <c r="AD105" s="31">
        <f>AD101-AD104</f>
        <v/>
      </c>
      <c r="AE105" s="31">
        <f>AE101-AE104</f>
        <v/>
      </c>
      <c r="AF105" s="31">
        <f>AF101-AF104</f>
        <v/>
      </c>
      <c r="AG105" s="31">
        <f>AG101-AG104</f>
        <v/>
      </c>
      <c r="AH105" s="31">
        <f>AH101-AH104</f>
        <v/>
      </c>
      <c r="AI105" s="31">
        <f>AI101-AI104</f>
        <v/>
      </c>
    </row>
    <row r="106">
      <c r="B106" s="2" t="inlineStr">
        <is>
          <t xml:space="preserve">  Maintenance capex</t>
        </is>
      </c>
      <c r="D106" s="19">
        <f>D93*i_T_mc*D57</f>
        <v/>
      </c>
      <c r="E106" s="19">
        <f>E93*i_T_mc*E57</f>
        <v/>
      </c>
      <c r="F106" s="19">
        <f>F93*i_T_mc*F57</f>
        <v/>
      </c>
      <c r="G106" s="19">
        <f>G93*i_T_mc*G57</f>
        <v/>
      </c>
      <c r="H106" s="19">
        <f>H93*i_T_mc*H57</f>
        <v/>
      </c>
      <c r="I106" s="19">
        <f>I93*i_T_mc*I57</f>
        <v/>
      </c>
      <c r="J106" s="19">
        <f>J93*i_T_mc*J57</f>
        <v/>
      </c>
      <c r="K106" s="19">
        <f>K93*i_T_mc*K57</f>
        <v/>
      </c>
      <c r="L106" s="19">
        <f>L93*i_T_mc*L57</f>
        <v/>
      </c>
      <c r="M106" s="19">
        <f>M93*i_T_mc*M57</f>
        <v/>
      </c>
      <c r="N106" s="19">
        <f>N93*i_T_mc*N57</f>
        <v/>
      </c>
      <c r="O106" s="19">
        <f>O93*i_T_mc*O57</f>
        <v/>
      </c>
      <c r="P106" s="19">
        <f>P93*i_T_mc*P57</f>
        <v/>
      </c>
      <c r="Q106" s="19">
        <f>Q93*i_T_mc*Q57</f>
        <v/>
      </c>
      <c r="R106" s="19">
        <f>R93*i_T_mc*R57</f>
        <v/>
      </c>
      <c r="S106" s="19">
        <f>S93*i_T_mc*S57</f>
        <v/>
      </c>
      <c r="T106" s="19">
        <f>T93*i_T_mc*T57</f>
        <v/>
      </c>
      <c r="U106" s="19">
        <f>U93*i_T_mc*U57</f>
        <v/>
      </c>
      <c r="V106" s="19">
        <f>V93*i_T_mc*V57</f>
        <v/>
      </c>
      <c r="W106" s="19">
        <f>W93*i_T_mc*W57</f>
        <v/>
      </c>
      <c r="X106" s="19">
        <f>X93*i_T_mc*X57</f>
        <v/>
      </c>
      <c r="Y106" s="19">
        <f>Y93*i_T_mc*Y57</f>
        <v/>
      </c>
      <c r="Z106" s="19">
        <f>Z93*i_T_mc*Z57</f>
        <v/>
      </c>
      <c r="AA106" s="19">
        <f>AA93*i_T_mc*AA57</f>
        <v/>
      </c>
      <c r="AB106" s="19">
        <f>AB93*i_T_mc*AB57</f>
        <v/>
      </c>
      <c r="AC106" s="19">
        <f>AC93*i_T_mc*AC57</f>
        <v/>
      </c>
      <c r="AD106" s="19">
        <f>AD93*i_T_mc*AD57</f>
        <v/>
      </c>
      <c r="AE106" s="19">
        <f>AE93*i_T_mc*AE57</f>
        <v/>
      </c>
      <c r="AF106" s="19">
        <f>AF93*i_T_mc*AF57</f>
        <v/>
      </c>
      <c r="AG106" s="19">
        <f>AG93*i_T_mc*AG57</f>
        <v/>
      </c>
      <c r="AH106" s="19">
        <f>AH93*i_T_mc*AH57</f>
        <v/>
      </c>
      <c r="AI106" s="19">
        <f>AI93*i_T_mc*AI57</f>
        <v/>
      </c>
    </row>
    <row r="107">
      <c r="B107" s="3" t="inlineStr">
        <is>
          <t>Sabine Bend</t>
        </is>
      </c>
    </row>
    <row r="108">
      <c r="B108" s="2" t="inlineStr">
        <is>
          <t xml:space="preserve">  Capacity in service (million m3)</t>
        </is>
      </c>
      <c r="D108" s="24">
        <f>i_G_cap</f>
        <v/>
      </c>
      <c r="E108" s="24">
        <f>i_G_cap</f>
        <v/>
      </c>
      <c r="F108" s="24">
        <f>i_G_cap</f>
        <v/>
      </c>
      <c r="G108" s="24">
        <f>i_G_cap</f>
        <v/>
      </c>
      <c r="H108" s="24">
        <f>i_G_cap</f>
        <v/>
      </c>
      <c r="I108" s="24">
        <f>i_G_cap</f>
        <v/>
      </c>
      <c r="J108" s="24">
        <f>i_G_cap</f>
        <v/>
      </c>
      <c r="K108" s="24">
        <f>i_G_cap</f>
        <v/>
      </c>
      <c r="L108" s="24">
        <f>i_G_cap</f>
        <v/>
      </c>
      <c r="M108" s="24">
        <f>i_G_cap</f>
        <v/>
      </c>
      <c r="N108" s="24">
        <f>i_G_cap</f>
        <v/>
      </c>
      <c r="O108" s="24">
        <f>i_G_cap</f>
        <v/>
      </c>
      <c r="P108" s="24">
        <f>i_G_cap</f>
        <v/>
      </c>
      <c r="Q108" s="24">
        <f>i_G_cap</f>
        <v/>
      </c>
      <c r="R108" s="24">
        <f>i_G_cap</f>
        <v/>
      </c>
      <c r="S108" s="24">
        <f>i_G_cap</f>
        <v/>
      </c>
      <c r="T108" s="24">
        <f>i_G_cap</f>
        <v/>
      </c>
      <c r="U108" s="24">
        <f>i_G_cap</f>
        <v/>
      </c>
      <c r="V108" s="24">
        <f>i_G_cap</f>
        <v/>
      </c>
      <c r="W108" s="24">
        <f>i_G_cap</f>
        <v/>
      </c>
      <c r="X108" s="24">
        <f>i_G_cap</f>
        <v/>
      </c>
      <c r="Y108" s="24">
        <f>i_G_cap</f>
        <v/>
      </c>
      <c r="Z108" s="24">
        <f>i_G_cap</f>
        <v/>
      </c>
      <c r="AA108" s="24">
        <f>i_G_cap</f>
        <v/>
      </c>
      <c r="AB108" s="24">
        <f>i_G_cap</f>
        <v/>
      </c>
      <c r="AC108" s="24">
        <f>i_G_cap</f>
        <v/>
      </c>
      <c r="AD108" s="24">
        <f>i_G_cap</f>
        <v/>
      </c>
      <c r="AE108" s="24">
        <f>i_G_cap</f>
        <v/>
      </c>
      <c r="AF108" s="24">
        <f>i_G_cap</f>
        <v/>
      </c>
      <c r="AG108" s="24">
        <f>i_G_cap</f>
        <v/>
      </c>
      <c r="AH108" s="24">
        <f>i_G_cap</f>
        <v/>
      </c>
      <c r="AI108" s="24">
        <f>i_G_cap</f>
        <v/>
      </c>
    </row>
    <row r="109">
      <c r="B109" s="2" t="inlineStr">
        <is>
          <t xml:space="preserve">  Share on contracts signed before 2027</t>
        </is>
      </c>
      <c r="D109" s="21">
        <f>SUMIF(i_book_years,D$3,i_G_book)</f>
        <v/>
      </c>
      <c r="E109" s="21">
        <f>SUMIF(i_book_years,E$3,i_G_book)</f>
        <v/>
      </c>
      <c r="F109" s="21">
        <f>SUMIF(i_book_years,F$3,i_G_book)</f>
        <v/>
      </c>
      <c r="G109" s="21">
        <f>SUMIF(i_book_years,G$3,i_G_book)</f>
        <v/>
      </c>
      <c r="H109" s="21">
        <f>SUMIF(i_book_years,H$3,i_G_book)</f>
        <v/>
      </c>
      <c r="I109" s="21">
        <f>SUMIF(i_book_years,I$3,i_G_book)</f>
        <v/>
      </c>
      <c r="J109" s="21">
        <f>SUMIF(i_book_years,J$3,i_G_book)</f>
        <v/>
      </c>
      <c r="K109" s="21">
        <f>SUMIF(i_book_years,K$3,i_G_book)</f>
        <v/>
      </c>
      <c r="L109" s="21">
        <f>SUMIF(i_book_years,L$3,i_G_book)</f>
        <v/>
      </c>
      <c r="M109" s="21">
        <f>SUMIF(i_book_years,M$3,i_G_book)</f>
        <v/>
      </c>
      <c r="N109" s="21">
        <f>SUMIF(i_book_years,N$3,i_G_book)</f>
        <v/>
      </c>
      <c r="O109" s="21">
        <f>SUMIF(i_book_years,O$3,i_G_book)</f>
        <v/>
      </c>
      <c r="P109" s="21">
        <f>SUMIF(i_book_years,P$3,i_G_book)</f>
        <v/>
      </c>
      <c r="Q109" s="21">
        <f>SUMIF(i_book_years,Q$3,i_G_book)</f>
        <v/>
      </c>
      <c r="R109" s="21">
        <f>SUMIF(i_book_years,R$3,i_G_book)</f>
        <v/>
      </c>
      <c r="S109" s="21">
        <f>SUMIF(i_book_years,S$3,i_G_book)</f>
        <v/>
      </c>
      <c r="T109" s="21">
        <f>SUMIF(i_book_years,T$3,i_G_book)</f>
        <v/>
      </c>
      <c r="U109" s="21">
        <f>SUMIF(i_book_years,U$3,i_G_book)</f>
        <v/>
      </c>
      <c r="V109" s="21">
        <f>SUMIF(i_book_years,V$3,i_G_book)</f>
        <v/>
      </c>
      <c r="W109" s="21">
        <f>SUMIF(i_book_years,W$3,i_G_book)</f>
        <v/>
      </c>
      <c r="X109" s="21">
        <f>SUMIF(i_book_years,X$3,i_G_book)</f>
        <v/>
      </c>
      <c r="Y109" s="21">
        <f>SUMIF(i_book_years,Y$3,i_G_book)</f>
        <v/>
      </c>
      <c r="Z109" s="21">
        <f>SUMIF(i_book_years,Z$3,i_G_book)</f>
        <v/>
      </c>
      <c r="AA109" s="21">
        <f>SUMIF(i_book_years,AA$3,i_G_book)</f>
        <v/>
      </c>
      <c r="AB109" s="21">
        <f>SUMIF(i_book_years,AB$3,i_G_book)</f>
        <v/>
      </c>
      <c r="AC109" s="21">
        <f>SUMIF(i_book_years,AC$3,i_G_book)</f>
        <v/>
      </c>
      <c r="AD109" s="21">
        <f>SUMIF(i_book_years,AD$3,i_G_book)</f>
        <v/>
      </c>
      <c r="AE109" s="21">
        <f>SUMIF(i_book_years,AE$3,i_G_book)</f>
        <v/>
      </c>
      <c r="AF109" s="21">
        <f>SUMIF(i_book_years,AF$3,i_G_book)</f>
        <v/>
      </c>
      <c r="AG109" s="21">
        <f>SUMIF(i_book_years,AG$3,i_G_book)</f>
        <v/>
      </c>
      <c r="AH109" s="21">
        <f>SUMIF(i_book_years,AH$3,i_G_book)</f>
        <v/>
      </c>
      <c r="AI109" s="21">
        <f>SUMIF(i_book_years,AI$3,i_G_book)</f>
        <v/>
      </c>
    </row>
    <row r="110">
      <c r="B110" s="2" t="inlineStr">
        <is>
          <t xml:space="preserve">  Recontracting factor against current rates</t>
        </is>
      </c>
      <c r="D110" s="21">
        <f>IF(D$4=0,0,IF(Diligence!$C$47=1,i_G_mtm,i_G_mtm_plan)+Diligence!$C$53)</f>
        <v/>
      </c>
      <c r="E110" s="21">
        <f>IF(E$4=0,0,IF(Diligence!$C$47=1,i_G_mtm,i_G_mtm_plan)+Diligence!$C$53)</f>
        <v/>
      </c>
      <c r="F110" s="21">
        <f>IF(F$4=0,0,IF(Diligence!$C$47=1,i_G_mtm,i_G_mtm_plan)+Diligence!$C$53)</f>
        <v/>
      </c>
      <c r="G110" s="21">
        <f>IF(G$4=0,0,IF(Diligence!$C$47=1,i_G_mtm,i_G_mtm_plan)+Diligence!$C$53)</f>
        <v/>
      </c>
      <c r="H110" s="21">
        <f>IF(H$4=0,0,IF(Diligence!$C$47=1,i_G_mtm,i_G_mtm_plan)+Diligence!$C$53)</f>
        <v/>
      </c>
      <c r="I110" s="21">
        <f>IF(I$4=0,0,IF(Diligence!$C$47=1,i_G_mtm,i_G_mtm_plan)+Diligence!$C$53)</f>
        <v/>
      </c>
      <c r="J110" s="21">
        <f>IF(J$4=0,0,IF(Diligence!$C$47=1,i_G_mtm,i_G_mtm_plan)+Diligence!$C$53)</f>
        <v/>
      </c>
      <c r="K110" s="21">
        <f>IF(K$4=0,0,IF(Diligence!$C$47=1,i_G_mtm,i_G_mtm_plan)+Diligence!$C$53)</f>
        <v/>
      </c>
      <c r="L110" s="21">
        <f>IF(L$4=0,0,IF(Diligence!$C$47=1,i_G_mtm,i_G_mtm_plan)+Diligence!$C$53)</f>
        <v/>
      </c>
      <c r="M110" s="21">
        <f>IF(M$4=0,0,IF(Diligence!$C$47=1,i_G_mtm,i_G_mtm_plan)+Diligence!$C$53)</f>
        <v/>
      </c>
      <c r="N110" s="21">
        <f>IF(N$4=0,0,IF(Diligence!$C$47=1,i_G_mtm,i_G_mtm_plan)+Diligence!$C$53)</f>
        <v/>
      </c>
      <c r="O110" s="21">
        <f>IF(O$4=0,0,IF(Diligence!$C$47=1,i_G_mtm,i_G_mtm_plan)+Diligence!$C$53)</f>
        <v/>
      </c>
      <c r="P110" s="21">
        <f>IF(P$4=0,0,IF(Diligence!$C$47=1,i_G_mtm,i_G_mtm_plan)+Diligence!$C$53)</f>
        <v/>
      </c>
      <c r="Q110" s="21">
        <f>IF(Q$4=0,0,IF(Diligence!$C$47=1,i_G_mtm,i_G_mtm_plan)+Diligence!$C$53)</f>
        <v/>
      </c>
      <c r="R110" s="21">
        <f>IF(R$4=0,0,IF(Diligence!$C$47=1,i_G_mtm,i_G_mtm_plan)+Diligence!$C$53)</f>
        <v/>
      </c>
      <c r="S110" s="21">
        <f>IF(S$4=0,0,IF(Diligence!$C$47=1,i_G_mtm,i_G_mtm_plan)+Diligence!$C$53)</f>
        <v/>
      </c>
      <c r="T110" s="21">
        <f>IF(T$4=0,0,IF(Diligence!$C$47=1,i_G_mtm,i_G_mtm_plan)+Diligence!$C$53)</f>
        <v/>
      </c>
      <c r="U110" s="21">
        <f>IF(U$4=0,0,IF(Diligence!$C$47=1,i_G_mtm,i_G_mtm_plan)+Diligence!$C$53)</f>
        <v/>
      </c>
      <c r="V110" s="21">
        <f>IF(V$4=0,0,IF(Diligence!$C$47=1,i_G_mtm,i_G_mtm_plan)+Diligence!$C$53)</f>
        <v/>
      </c>
      <c r="W110" s="21">
        <f>IF(W$4=0,0,IF(Diligence!$C$47=1,i_G_mtm,i_G_mtm_plan)+Diligence!$C$53)</f>
        <v/>
      </c>
      <c r="X110" s="21">
        <f>IF(X$4=0,0,IF(Diligence!$C$47=1,i_G_mtm,i_G_mtm_plan)+Diligence!$C$53)</f>
        <v/>
      </c>
      <c r="Y110" s="21">
        <f>IF(Y$4=0,0,IF(Diligence!$C$47=1,i_G_mtm,i_G_mtm_plan)+Diligence!$C$53)</f>
        <v/>
      </c>
      <c r="Z110" s="21">
        <f>IF(Z$4=0,0,IF(Diligence!$C$47=1,i_G_mtm,i_G_mtm_plan)+Diligence!$C$53)</f>
        <v/>
      </c>
      <c r="AA110" s="21">
        <f>IF(AA$4=0,0,IF(Diligence!$C$47=1,i_G_mtm,i_G_mtm_plan)+Diligence!$C$53)</f>
        <v/>
      </c>
      <c r="AB110" s="21">
        <f>IF(AB$4=0,0,IF(Diligence!$C$47=1,i_G_mtm,i_G_mtm_plan)+Diligence!$C$53)</f>
        <v/>
      </c>
      <c r="AC110" s="21">
        <f>IF(AC$4=0,0,IF(Diligence!$C$47=1,i_G_mtm,i_G_mtm_plan)+Diligence!$C$53)</f>
        <v/>
      </c>
      <c r="AD110" s="21">
        <f>IF(AD$4=0,0,IF(Diligence!$C$47=1,i_G_mtm,i_G_mtm_plan)+Diligence!$C$53)</f>
        <v/>
      </c>
      <c r="AE110" s="21">
        <f>IF(AE$4=0,0,IF(Diligence!$C$47=1,i_G_mtm,i_G_mtm_plan)+Diligence!$C$53)</f>
        <v/>
      </c>
      <c r="AF110" s="21">
        <f>IF(AF$4=0,0,IF(Diligence!$C$47=1,i_G_mtm,i_G_mtm_plan)+Diligence!$C$53)</f>
        <v/>
      </c>
      <c r="AG110" s="21">
        <f>IF(AG$4=0,0,IF(Diligence!$C$47=1,i_G_mtm,i_G_mtm_plan)+Diligence!$C$53)</f>
        <v/>
      </c>
      <c r="AH110" s="21">
        <f>IF(AH$4=0,0,IF(Diligence!$C$47=1,i_G_mtm,i_G_mtm_plan)+Diligence!$C$53)</f>
        <v/>
      </c>
      <c r="AI110" s="21">
        <f>IF(AI$4=0,0,IF(Diligence!$C$47=1,i_G_mtm,i_G_mtm_plan)+Diligence!$C$53)</f>
        <v/>
      </c>
    </row>
    <row r="111">
      <c r="B111" s="2" t="inlineStr">
        <is>
          <t xml:space="preserve">  Average rate ($ per m3 per month)</t>
        </is>
      </c>
      <c r="D111" s="24">
        <f>i_G_rate*D58*(D109+(1-D109)*(1+D110))</f>
        <v/>
      </c>
      <c r="E111" s="24">
        <f>i_G_rate*E58*(E109+(1-E109)*(1+E110))</f>
        <v/>
      </c>
      <c r="F111" s="24">
        <f>i_G_rate*F58*(F109+(1-F109)*(1+F110))</f>
        <v/>
      </c>
      <c r="G111" s="24">
        <f>i_G_rate*G58*(G109+(1-G109)*(1+G110))</f>
        <v/>
      </c>
      <c r="H111" s="24">
        <f>i_G_rate*H58*(H109+(1-H109)*(1+H110))</f>
        <v/>
      </c>
      <c r="I111" s="24">
        <f>i_G_rate*I58*(I109+(1-I109)*(1+I110))</f>
        <v/>
      </c>
      <c r="J111" s="24">
        <f>i_G_rate*J58*(J109+(1-J109)*(1+J110))</f>
        <v/>
      </c>
      <c r="K111" s="24">
        <f>i_G_rate*K58*(K109+(1-K109)*(1+K110))</f>
        <v/>
      </c>
      <c r="L111" s="24">
        <f>i_G_rate*L58*(L109+(1-L109)*(1+L110))</f>
        <v/>
      </c>
      <c r="M111" s="24">
        <f>i_G_rate*M58*(M109+(1-M109)*(1+M110))</f>
        <v/>
      </c>
      <c r="N111" s="24">
        <f>i_G_rate*N58*(N109+(1-N109)*(1+N110))</f>
        <v/>
      </c>
      <c r="O111" s="24">
        <f>i_G_rate*O58*(O109+(1-O109)*(1+O110))</f>
        <v/>
      </c>
      <c r="P111" s="24">
        <f>i_G_rate*P58*(P109+(1-P109)*(1+P110))</f>
        <v/>
      </c>
      <c r="Q111" s="24">
        <f>i_G_rate*Q58*(Q109+(1-Q109)*(1+Q110))</f>
        <v/>
      </c>
      <c r="R111" s="24">
        <f>i_G_rate*R58*(R109+(1-R109)*(1+R110))</f>
        <v/>
      </c>
      <c r="S111" s="24">
        <f>i_G_rate*S58*(S109+(1-S109)*(1+S110))</f>
        <v/>
      </c>
      <c r="T111" s="24">
        <f>i_G_rate*T58*(T109+(1-T109)*(1+T110))</f>
        <v/>
      </c>
      <c r="U111" s="24">
        <f>i_G_rate*U58*(U109+(1-U109)*(1+U110))</f>
        <v/>
      </c>
      <c r="V111" s="24">
        <f>i_G_rate*V58*(V109+(1-V109)*(1+V110))</f>
        <v/>
      </c>
      <c r="W111" s="24">
        <f>i_G_rate*W58*(W109+(1-W109)*(1+W110))</f>
        <v/>
      </c>
      <c r="X111" s="24">
        <f>i_G_rate*X58*(X109+(1-X109)*(1+X110))</f>
        <v/>
      </c>
      <c r="Y111" s="24">
        <f>i_G_rate*Y58*(Y109+(1-Y109)*(1+Y110))</f>
        <v/>
      </c>
      <c r="Z111" s="24">
        <f>i_G_rate*Z58*(Z109+(1-Z109)*(1+Z110))</f>
        <v/>
      </c>
      <c r="AA111" s="24">
        <f>i_G_rate*AA58*(AA109+(1-AA109)*(1+AA110))</f>
        <v/>
      </c>
      <c r="AB111" s="24">
        <f>i_G_rate*AB58*(AB109+(1-AB109)*(1+AB110))</f>
        <v/>
      </c>
      <c r="AC111" s="24">
        <f>i_G_rate*AC58*(AC109+(1-AC109)*(1+AC110))</f>
        <v/>
      </c>
      <c r="AD111" s="24">
        <f>i_G_rate*AD58*(AD109+(1-AD109)*(1+AD110))</f>
        <v/>
      </c>
      <c r="AE111" s="24">
        <f>i_G_rate*AE58*(AE109+(1-AE109)*(1+AE110))</f>
        <v/>
      </c>
      <c r="AF111" s="24">
        <f>i_G_rate*AF58*(AF109+(1-AF109)*(1+AF110))</f>
        <v/>
      </c>
      <c r="AG111" s="24">
        <f>i_G_rate*AG58*(AG109+(1-AG109)*(1+AG110))</f>
        <v/>
      </c>
      <c r="AH111" s="24">
        <f>i_G_rate*AH58*(AH109+(1-AH109)*(1+AH110))</f>
        <v/>
      </c>
      <c r="AI111" s="24">
        <f>i_G_rate*AI58*(AI109+(1-AI109)*(1+AI110))</f>
        <v/>
      </c>
    </row>
    <row r="112">
      <c r="B112" s="2" t="inlineStr">
        <is>
          <t xml:space="preserve">  Occupancy after the transition decline and floor</t>
        </is>
      </c>
      <c r="D112" s="21">
        <f>IF(D$3&gt;i_trans_start,MAX(i_G_floor,i_G_occ-i_G_dec*(D$3-i_trans_start)),i_G_occ)</f>
        <v/>
      </c>
      <c r="E112" s="21">
        <f>IF(E$3&gt;i_trans_start,MAX(i_G_floor,i_G_occ-i_G_dec*(E$3-i_trans_start)),i_G_occ)</f>
        <v/>
      </c>
      <c r="F112" s="21">
        <f>IF(F$3&gt;i_trans_start,MAX(i_G_floor,i_G_occ-i_G_dec*(F$3-i_trans_start)),i_G_occ)</f>
        <v/>
      </c>
      <c r="G112" s="21">
        <f>IF(G$3&gt;i_trans_start,MAX(i_G_floor,i_G_occ-i_G_dec*(G$3-i_trans_start)),i_G_occ)</f>
        <v/>
      </c>
      <c r="H112" s="21">
        <f>IF(H$3&gt;i_trans_start,MAX(i_G_floor,i_G_occ-i_G_dec*(H$3-i_trans_start)),i_G_occ)</f>
        <v/>
      </c>
      <c r="I112" s="21">
        <f>IF(I$3&gt;i_trans_start,MAX(i_G_floor,i_G_occ-i_G_dec*(I$3-i_trans_start)),i_G_occ)</f>
        <v/>
      </c>
      <c r="J112" s="21">
        <f>IF(J$3&gt;i_trans_start,MAX(i_G_floor,i_G_occ-i_G_dec*(J$3-i_trans_start)),i_G_occ)</f>
        <v/>
      </c>
      <c r="K112" s="21">
        <f>IF(K$3&gt;i_trans_start,MAX(i_G_floor,i_G_occ-i_G_dec*(K$3-i_trans_start)),i_G_occ)</f>
        <v/>
      </c>
      <c r="L112" s="21">
        <f>IF(L$3&gt;i_trans_start,MAX(i_G_floor,i_G_occ-i_G_dec*(L$3-i_trans_start)),i_G_occ)</f>
        <v/>
      </c>
      <c r="M112" s="21">
        <f>IF(M$3&gt;i_trans_start,MAX(i_G_floor,i_G_occ-i_G_dec*(M$3-i_trans_start)),i_G_occ)</f>
        <v/>
      </c>
      <c r="N112" s="21">
        <f>IF(N$3&gt;i_trans_start,MAX(i_G_floor,i_G_occ-i_G_dec*(N$3-i_trans_start)),i_G_occ)</f>
        <v/>
      </c>
      <c r="O112" s="21">
        <f>IF(O$3&gt;i_trans_start,MAX(i_G_floor,i_G_occ-i_G_dec*(O$3-i_trans_start)),i_G_occ)</f>
        <v/>
      </c>
      <c r="P112" s="21">
        <f>IF(P$3&gt;i_trans_start,MAX(i_G_floor,i_G_occ-i_G_dec*(P$3-i_trans_start)),i_G_occ)</f>
        <v/>
      </c>
      <c r="Q112" s="21">
        <f>IF(Q$3&gt;i_trans_start,MAX(i_G_floor,i_G_occ-i_G_dec*(Q$3-i_trans_start)),i_G_occ)</f>
        <v/>
      </c>
      <c r="R112" s="21">
        <f>IF(R$3&gt;i_trans_start,MAX(i_G_floor,i_G_occ-i_G_dec*(R$3-i_trans_start)),i_G_occ)</f>
        <v/>
      </c>
      <c r="S112" s="21">
        <f>IF(S$3&gt;i_trans_start,MAX(i_G_floor,i_G_occ-i_G_dec*(S$3-i_trans_start)),i_G_occ)</f>
        <v/>
      </c>
      <c r="T112" s="21">
        <f>IF(T$3&gt;i_trans_start,MAX(i_G_floor,i_G_occ-i_G_dec*(T$3-i_trans_start)),i_G_occ)</f>
        <v/>
      </c>
      <c r="U112" s="21">
        <f>IF(U$3&gt;i_trans_start,MAX(i_G_floor,i_G_occ-i_G_dec*(U$3-i_trans_start)),i_G_occ)</f>
        <v/>
      </c>
      <c r="V112" s="21">
        <f>IF(V$3&gt;i_trans_start,MAX(i_G_floor,i_G_occ-i_G_dec*(V$3-i_trans_start)),i_G_occ)</f>
        <v/>
      </c>
      <c r="W112" s="21">
        <f>IF(W$3&gt;i_trans_start,MAX(i_G_floor,i_G_occ-i_G_dec*(W$3-i_trans_start)),i_G_occ)</f>
        <v/>
      </c>
      <c r="X112" s="21">
        <f>IF(X$3&gt;i_trans_start,MAX(i_G_floor,i_G_occ-i_G_dec*(X$3-i_trans_start)),i_G_occ)</f>
        <v/>
      </c>
      <c r="Y112" s="21">
        <f>IF(Y$3&gt;i_trans_start,MAX(i_G_floor,i_G_occ-i_G_dec*(Y$3-i_trans_start)),i_G_occ)</f>
        <v/>
      </c>
      <c r="Z112" s="21">
        <f>IF(Z$3&gt;i_trans_start,MAX(i_G_floor,i_G_occ-i_G_dec*(Z$3-i_trans_start)),i_G_occ)</f>
        <v/>
      </c>
      <c r="AA112" s="21">
        <f>IF(AA$3&gt;i_trans_start,MAX(i_G_floor,i_G_occ-i_G_dec*(AA$3-i_trans_start)),i_G_occ)</f>
        <v/>
      </c>
      <c r="AB112" s="21">
        <f>IF(AB$3&gt;i_trans_start,MAX(i_G_floor,i_G_occ-i_G_dec*(AB$3-i_trans_start)),i_G_occ)</f>
        <v/>
      </c>
      <c r="AC112" s="21">
        <f>IF(AC$3&gt;i_trans_start,MAX(i_G_floor,i_G_occ-i_G_dec*(AC$3-i_trans_start)),i_G_occ)</f>
        <v/>
      </c>
      <c r="AD112" s="21">
        <f>IF(AD$3&gt;i_trans_start,MAX(i_G_floor,i_G_occ-i_G_dec*(AD$3-i_trans_start)),i_G_occ)</f>
        <v/>
      </c>
      <c r="AE112" s="21">
        <f>IF(AE$3&gt;i_trans_start,MAX(i_G_floor,i_G_occ-i_G_dec*(AE$3-i_trans_start)),i_G_occ)</f>
        <v/>
      </c>
      <c r="AF112" s="21">
        <f>IF(AF$3&gt;i_trans_start,MAX(i_G_floor,i_G_occ-i_G_dec*(AF$3-i_trans_start)),i_G_occ)</f>
        <v/>
      </c>
      <c r="AG112" s="21">
        <f>IF(AG$3&gt;i_trans_start,MAX(i_G_floor,i_G_occ-i_G_dec*(AG$3-i_trans_start)),i_G_occ)</f>
        <v/>
      </c>
      <c r="AH112" s="21">
        <f>IF(AH$3&gt;i_trans_start,MAX(i_G_floor,i_G_occ-i_G_dec*(AH$3-i_trans_start)),i_G_occ)</f>
        <v/>
      </c>
      <c r="AI112" s="21">
        <f>IF(AI$3&gt;i_trans_start,MAX(i_G_floor,i_G_occ-i_G_dec*(AI$3-i_trans_start)),i_G_occ)</f>
        <v/>
      </c>
    </row>
    <row r="113">
      <c r="B113" s="2" t="inlineStr">
        <is>
          <t xml:space="preserve">  Occupancy (with the shift switch from 2027)</t>
        </is>
      </c>
      <c r="D113" s="21">
        <f>IF(D$4&gt;0,MIN(1,D112+Diligence!$C$52),D112)</f>
        <v/>
      </c>
      <c r="E113" s="21">
        <f>IF(E$4&gt;0,MIN(1,E112+Diligence!$C$52),E112)</f>
        <v/>
      </c>
      <c r="F113" s="21">
        <f>IF(F$4&gt;0,MIN(1,F112+Diligence!$C$52),F112)</f>
        <v/>
      </c>
      <c r="G113" s="21">
        <f>IF(G$4&gt;0,MIN(1,G112+Diligence!$C$52),G112)</f>
        <v/>
      </c>
      <c r="H113" s="21">
        <f>IF(H$4&gt;0,MIN(1,H112+Diligence!$C$52),H112)</f>
        <v/>
      </c>
      <c r="I113" s="21">
        <f>IF(I$4&gt;0,MIN(1,I112+Diligence!$C$52),I112)</f>
        <v/>
      </c>
      <c r="J113" s="21">
        <f>IF(J$4&gt;0,MIN(1,J112+Diligence!$C$52),J112)</f>
        <v/>
      </c>
      <c r="K113" s="21">
        <f>IF(K$4&gt;0,MIN(1,K112+Diligence!$C$52),K112)</f>
        <v/>
      </c>
      <c r="L113" s="21">
        <f>IF(L$4&gt;0,MIN(1,L112+Diligence!$C$52),L112)</f>
        <v/>
      </c>
      <c r="M113" s="21">
        <f>IF(M$4&gt;0,MIN(1,M112+Diligence!$C$52),M112)</f>
        <v/>
      </c>
      <c r="N113" s="21">
        <f>IF(N$4&gt;0,MIN(1,N112+Diligence!$C$52),N112)</f>
        <v/>
      </c>
      <c r="O113" s="21">
        <f>IF(O$4&gt;0,MIN(1,O112+Diligence!$C$52),O112)</f>
        <v/>
      </c>
      <c r="P113" s="21">
        <f>IF(P$4&gt;0,MIN(1,P112+Diligence!$C$52),P112)</f>
        <v/>
      </c>
      <c r="Q113" s="21">
        <f>IF(Q$4&gt;0,MIN(1,Q112+Diligence!$C$52),Q112)</f>
        <v/>
      </c>
      <c r="R113" s="21">
        <f>IF(R$4&gt;0,MIN(1,R112+Diligence!$C$52),R112)</f>
        <v/>
      </c>
      <c r="S113" s="21">
        <f>IF(S$4&gt;0,MIN(1,S112+Diligence!$C$52),S112)</f>
        <v/>
      </c>
      <c r="T113" s="21">
        <f>IF(T$4&gt;0,MIN(1,T112+Diligence!$C$52),T112)</f>
        <v/>
      </c>
      <c r="U113" s="21">
        <f>IF(U$4&gt;0,MIN(1,U112+Diligence!$C$52),U112)</f>
        <v/>
      </c>
      <c r="V113" s="21">
        <f>IF(V$4&gt;0,MIN(1,V112+Diligence!$C$52),V112)</f>
        <v/>
      </c>
      <c r="W113" s="21">
        <f>IF(W$4&gt;0,MIN(1,W112+Diligence!$C$52),W112)</f>
        <v/>
      </c>
      <c r="X113" s="21">
        <f>IF(X$4&gt;0,MIN(1,X112+Diligence!$C$52),X112)</f>
        <v/>
      </c>
      <c r="Y113" s="21">
        <f>IF(Y$4&gt;0,MIN(1,Y112+Diligence!$C$52),Y112)</f>
        <v/>
      </c>
      <c r="Z113" s="21">
        <f>IF(Z$4&gt;0,MIN(1,Z112+Diligence!$C$52),Z112)</f>
        <v/>
      </c>
      <c r="AA113" s="21">
        <f>IF(AA$4&gt;0,MIN(1,AA112+Diligence!$C$52),AA112)</f>
        <v/>
      </c>
      <c r="AB113" s="21">
        <f>IF(AB$4&gt;0,MIN(1,AB112+Diligence!$C$52),AB112)</f>
        <v/>
      </c>
      <c r="AC113" s="21">
        <f>IF(AC$4&gt;0,MIN(1,AC112+Diligence!$C$52),AC112)</f>
        <v/>
      </c>
      <c r="AD113" s="21">
        <f>IF(AD$4&gt;0,MIN(1,AD112+Diligence!$C$52),AD112)</f>
        <v/>
      </c>
      <c r="AE113" s="21">
        <f>IF(AE$4&gt;0,MIN(1,AE112+Diligence!$C$52),AE112)</f>
        <v/>
      </c>
      <c r="AF113" s="21">
        <f>IF(AF$4&gt;0,MIN(1,AF112+Diligence!$C$52),AF112)</f>
        <v/>
      </c>
      <c r="AG113" s="21">
        <f>IF(AG$4&gt;0,MIN(1,AG112+Diligence!$C$52),AG112)</f>
        <v/>
      </c>
      <c r="AH113" s="21">
        <f>IF(AH$4&gt;0,MIN(1,AH112+Diligence!$C$52),AH112)</f>
        <v/>
      </c>
      <c r="AI113" s="21">
        <f>IF(AI$4&gt;0,MIN(1,AI112+Diligence!$C$52),AI112)</f>
        <v/>
      </c>
    </row>
    <row r="114">
      <c r="B114" s="2" t="inlineStr">
        <is>
          <t xml:space="preserve">  Storage revenue</t>
        </is>
      </c>
      <c r="D114" s="19">
        <f>D108*D111*12*D113</f>
        <v/>
      </c>
      <c r="E114" s="19">
        <f>E108*E111*12*E113</f>
        <v/>
      </c>
      <c r="F114" s="19">
        <f>F108*F111*12*F113</f>
        <v/>
      </c>
      <c r="G114" s="19">
        <f>G108*G111*12*G113</f>
        <v/>
      </c>
      <c r="H114" s="19">
        <f>H108*H111*12*H113</f>
        <v/>
      </c>
      <c r="I114" s="19">
        <f>I108*I111*12*I113</f>
        <v/>
      </c>
      <c r="J114" s="19">
        <f>J108*J111*12*J113</f>
        <v/>
      </c>
      <c r="K114" s="19">
        <f>K108*K111*12*K113</f>
        <v/>
      </c>
      <c r="L114" s="19">
        <f>L108*L111*12*L113</f>
        <v/>
      </c>
      <c r="M114" s="19">
        <f>M108*M111*12*M113</f>
        <v/>
      </c>
      <c r="N114" s="19">
        <f>N108*N111*12*N113</f>
        <v/>
      </c>
      <c r="O114" s="19">
        <f>O108*O111*12*O113</f>
        <v/>
      </c>
      <c r="P114" s="19">
        <f>P108*P111*12*P113</f>
        <v/>
      </c>
      <c r="Q114" s="19">
        <f>Q108*Q111*12*Q113</f>
        <v/>
      </c>
      <c r="R114" s="19">
        <f>R108*R111*12*R113</f>
        <v/>
      </c>
      <c r="S114" s="19">
        <f>S108*S111*12*S113</f>
        <v/>
      </c>
      <c r="T114" s="19">
        <f>T108*T111*12*T113</f>
        <v/>
      </c>
      <c r="U114" s="19">
        <f>U108*U111*12*U113</f>
        <v/>
      </c>
      <c r="V114" s="19">
        <f>V108*V111*12*V113</f>
        <v/>
      </c>
      <c r="W114" s="19">
        <f>W108*W111*12*W113</f>
        <v/>
      </c>
      <c r="X114" s="19">
        <f>X108*X111*12*X113</f>
        <v/>
      </c>
      <c r="Y114" s="19">
        <f>Y108*Y111*12*Y113</f>
        <v/>
      </c>
      <c r="Z114" s="19">
        <f>Z108*Z111*12*Z113</f>
        <v/>
      </c>
      <c r="AA114" s="19">
        <f>AA108*AA111*12*AA113</f>
        <v/>
      </c>
      <c r="AB114" s="19">
        <f>AB108*AB111*12*AB113</f>
        <v/>
      </c>
      <c r="AC114" s="19">
        <f>AC108*AC111*12*AC113</f>
        <v/>
      </c>
      <c r="AD114" s="19">
        <f>AD108*AD111*12*AD113</f>
        <v/>
      </c>
      <c r="AE114" s="19">
        <f>AE108*AE111*12*AE113</f>
        <v/>
      </c>
      <c r="AF114" s="19">
        <f>AF108*AF111*12*AF113</f>
        <v/>
      </c>
      <c r="AG114" s="19">
        <f>AG108*AG111*12*AG113</f>
        <v/>
      </c>
      <c r="AH114" s="19">
        <f>AH108*AH111*12*AH113</f>
        <v/>
      </c>
      <c r="AI114" s="19">
        <f>AI108*AI111*12*AI113</f>
        <v/>
      </c>
    </row>
    <row r="115">
      <c r="B115" s="2" t="inlineStr">
        <is>
          <t xml:space="preserve">  Ancillary and throughput revenue</t>
        </is>
      </c>
      <c r="D115" s="19">
        <f>D114*i_G_anc</f>
        <v/>
      </c>
      <c r="E115" s="19">
        <f>E114*i_G_anc</f>
        <v/>
      </c>
      <c r="F115" s="19">
        <f>F114*i_G_anc</f>
        <v/>
      </c>
      <c r="G115" s="19">
        <f>G114*i_G_anc</f>
        <v/>
      </c>
      <c r="H115" s="19">
        <f>H114*i_G_anc</f>
        <v/>
      </c>
      <c r="I115" s="19">
        <f>I114*i_G_anc</f>
        <v/>
      </c>
      <c r="J115" s="19">
        <f>J114*i_G_anc</f>
        <v/>
      </c>
      <c r="K115" s="19">
        <f>K114*i_G_anc</f>
        <v/>
      </c>
      <c r="L115" s="19">
        <f>L114*i_G_anc</f>
        <v/>
      </c>
      <c r="M115" s="19">
        <f>M114*i_G_anc</f>
        <v/>
      </c>
      <c r="N115" s="19">
        <f>N114*i_G_anc</f>
        <v/>
      </c>
      <c r="O115" s="19">
        <f>O114*i_G_anc</f>
        <v/>
      </c>
      <c r="P115" s="19">
        <f>P114*i_G_anc</f>
        <v/>
      </c>
      <c r="Q115" s="19">
        <f>Q114*i_G_anc</f>
        <v/>
      </c>
      <c r="R115" s="19">
        <f>R114*i_G_anc</f>
        <v/>
      </c>
      <c r="S115" s="19">
        <f>S114*i_G_anc</f>
        <v/>
      </c>
      <c r="T115" s="19">
        <f>T114*i_G_anc</f>
        <v/>
      </c>
      <c r="U115" s="19">
        <f>U114*i_G_anc</f>
        <v/>
      </c>
      <c r="V115" s="19">
        <f>V114*i_G_anc</f>
        <v/>
      </c>
      <c r="W115" s="19">
        <f>W114*i_G_anc</f>
        <v/>
      </c>
      <c r="X115" s="19">
        <f>X114*i_G_anc</f>
        <v/>
      </c>
      <c r="Y115" s="19">
        <f>Y114*i_G_anc</f>
        <v/>
      </c>
      <c r="Z115" s="19">
        <f>Z114*i_G_anc</f>
        <v/>
      </c>
      <c r="AA115" s="19">
        <f>AA114*i_G_anc</f>
        <v/>
      </c>
      <c r="AB115" s="19">
        <f>AB114*i_G_anc</f>
        <v/>
      </c>
      <c r="AC115" s="19">
        <f>AC114*i_G_anc</f>
        <v/>
      </c>
      <c r="AD115" s="19">
        <f>AD114*i_G_anc</f>
        <v/>
      </c>
      <c r="AE115" s="19">
        <f>AE114*i_G_anc</f>
        <v/>
      </c>
      <c r="AF115" s="19">
        <f>AF114*i_G_anc</f>
        <v/>
      </c>
      <c r="AG115" s="19">
        <f>AG114*i_G_anc</f>
        <v/>
      </c>
      <c r="AH115" s="19">
        <f>AH114*i_G_anc</f>
        <v/>
      </c>
      <c r="AI115" s="19">
        <f>AI114*i_G_anc</f>
        <v/>
      </c>
    </row>
    <row r="116">
      <c r="B116" s="3" t="inlineStr">
        <is>
          <t xml:space="preserve">  Revenue</t>
        </is>
      </c>
      <c r="D116" s="31">
        <f>D114+D115</f>
        <v/>
      </c>
      <c r="E116" s="31">
        <f>E114+E115</f>
        <v/>
      </c>
      <c r="F116" s="31">
        <f>F114+F115</f>
        <v/>
      </c>
      <c r="G116" s="31">
        <f>G114+G115</f>
        <v/>
      </c>
      <c r="H116" s="31">
        <f>H114+H115</f>
        <v/>
      </c>
      <c r="I116" s="31">
        <f>I114+I115</f>
        <v/>
      </c>
      <c r="J116" s="31">
        <f>J114+J115</f>
        <v/>
      </c>
      <c r="K116" s="31">
        <f>K114+K115</f>
        <v/>
      </c>
      <c r="L116" s="31">
        <f>L114+L115</f>
        <v/>
      </c>
      <c r="M116" s="31">
        <f>M114+M115</f>
        <v/>
      </c>
      <c r="N116" s="31">
        <f>N114+N115</f>
        <v/>
      </c>
      <c r="O116" s="31">
        <f>O114+O115</f>
        <v/>
      </c>
      <c r="P116" s="31">
        <f>P114+P115</f>
        <v/>
      </c>
      <c r="Q116" s="31">
        <f>Q114+Q115</f>
        <v/>
      </c>
      <c r="R116" s="31">
        <f>R114+R115</f>
        <v/>
      </c>
      <c r="S116" s="31">
        <f>S114+S115</f>
        <v/>
      </c>
      <c r="T116" s="31">
        <f>T114+T115</f>
        <v/>
      </c>
      <c r="U116" s="31">
        <f>U114+U115</f>
        <v/>
      </c>
      <c r="V116" s="31">
        <f>V114+V115</f>
        <v/>
      </c>
      <c r="W116" s="31">
        <f>W114+W115</f>
        <v/>
      </c>
      <c r="X116" s="31">
        <f>X114+X115</f>
        <v/>
      </c>
      <c r="Y116" s="31">
        <f>Y114+Y115</f>
        <v/>
      </c>
      <c r="Z116" s="31">
        <f>Z114+Z115</f>
        <v/>
      </c>
      <c r="AA116" s="31">
        <f>AA114+AA115</f>
        <v/>
      </c>
      <c r="AB116" s="31">
        <f>AB114+AB115</f>
        <v/>
      </c>
      <c r="AC116" s="31">
        <f>AC114+AC115</f>
        <v/>
      </c>
      <c r="AD116" s="31">
        <f>AD114+AD115</f>
        <v/>
      </c>
      <c r="AE116" s="31">
        <f>AE114+AE115</f>
        <v/>
      </c>
      <c r="AF116" s="31">
        <f>AF114+AF115</f>
        <v/>
      </c>
      <c r="AG116" s="31">
        <f>AG114+AG115</f>
        <v/>
      </c>
      <c r="AH116" s="31">
        <f>AH114+AH115</f>
        <v/>
      </c>
      <c r="AI116" s="31">
        <f>AI114+AI115</f>
        <v/>
      </c>
    </row>
    <row r="117">
      <c r="B117" s="2" t="inlineStr">
        <is>
          <t xml:space="preserve">  Fixed cost</t>
        </is>
      </c>
      <c r="D117" s="19">
        <f>D108*i_G_fix*D57</f>
        <v/>
      </c>
      <c r="E117" s="19">
        <f>E108*i_G_fix*E57</f>
        <v/>
      </c>
      <c r="F117" s="19">
        <f>F108*i_G_fix*F57</f>
        <v/>
      </c>
      <c r="G117" s="19">
        <f>G108*i_G_fix*G57</f>
        <v/>
      </c>
      <c r="H117" s="19">
        <f>H108*i_G_fix*H57</f>
        <v/>
      </c>
      <c r="I117" s="19">
        <f>I108*i_G_fix*I57</f>
        <v/>
      </c>
      <c r="J117" s="19">
        <f>J108*i_G_fix*J57</f>
        <v/>
      </c>
      <c r="K117" s="19">
        <f>K108*i_G_fix*K57</f>
        <v/>
      </c>
      <c r="L117" s="19">
        <f>L108*i_G_fix*L57</f>
        <v/>
      </c>
      <c r="M117" s="19">
        <f>M108*i_G_fix*M57</f>
        <v/>
      </c>
      <c r="N117" s="19">
        <f>N108*i_G_fix*N57</f>
        <v/>
      </c>
      <c r="O117" s="19">
        <f>O108*i_G_fix*O57</f>
        <v/>
      </c>
      <c r="P117" s="19">
        <f>P108*i_G_fix*P57</f>
        <v/>
      </c>
      <c r="Q117" s="19">
        <f>Q108*i_G_fix*Q57</f>
        <v/>
      </c>
      <c r="R117" s="19">
        <f>R108*i_G_fix*R57</f>
        <v/>
      </c>
      <c r="S117" s="19">
        <f>S108*i_G_fix*S57</f>
        <v/>
      </c>
      <c r="T117" s="19">
        <f>T108*i_G_fix*T57</f>
        <v/>
      </c>
      <c r="U117" s="19">
        <f>U108*i_G_fix*U57</f>
        <v/>
      </c>
      <c r="V117" s="19">
        <f>V108*i_G_fix*V57</f>
        <v/>
      </c>
      <c r="W117" s="19">
        <f>W108*i_G_fix*W57</f>
        <v/>
      </c>
      <c r="X117" s="19">
        <f>X108*i_G_fix*X57</f>
        <v/>
      </c>
      <c r="Y117" s="19">
        <f>Y108*i_G_fix*Y57</f>
        <v/>
      </c>
      <c r="Z117" s="19">
        <f>Z108*i_G_fix*Z57</f>
        <v/>
      </c>
      <c r="AA117" s="19">
        <f>AA108*i_G_fix*AA57</f>
        <v/>
      </c>
      <c r="AB117" s="19">
        <f>AB108*i_G_fix*AB57</f>
        <v/>
      </c>
      <c r="AC117" s="19">
        <f>AC108*i_G_fix*AC57</f>
        <v/>
      </c>
      <c r="AD117" s="19">
        <f>AD108*i_G_fix*AD57</f>
        <v/>
      </c>
      <c r="AE117" s="19">
        <f>AE108*i_G_fix*AE57</f>
        <v/>
      </c>
      <c r="AF117" s="19">
        <f>AF108*i_G_fix*AF57</f>
        <v/>
      </c>
      <c r="AG117" s="19">
        <f>AG108*i_G_fix*AG57</f>
        <v/>
      </c>
      <c r="AH117" s="19">
        <f>AH108*i_G_fix*AH57</f>
        <v/>
      </c>
      <c r="AI117" s="19">
        <f>AI108*i_G_fix*AI57</f>
        <v/>
      </c>
    </row>
    <row r="118">
      <c r="B118" s="2" t="inlineStr">
        <is>
          <t xml:space="preserve">  Variable cost</t>
        </is>
      </c>
      <c r="D118" s="19">
        <f>i_G_var*D116</f>
        <v/>
      </c>
      <c r="E118" s="19">
        <f>i_G_var*E116</f>
        <v/>
      </c>
      <c r="F118" s="19">
        <f>i_G_var*F116</f>
        <v/>
      </c>
      <c r="G118" s="19">
        <f>i_G_var*G116</f>
        <v/>
      </c>
      <c r="H118" s="19">
        <f>i_G_var*H116</f>
        <v/>
      </c>
      <c r="I118" s="19">
        <f>i_G_var*I116</f>
        <v/>
      </c>
      <c r="J118" s="19">
        <f>i_G_var*J116</f>
        <v/>
      </c>
      <c r="K118" s="19">
        <f>i_G_var*K116</f>
        <v/>
      </c>
      <c r="L118" s="19">
        <f>i_G_var*L116</f>
        <v/>
      </c>
      <c r="M118" s="19">
        <f>i_G_var*M116</f>
        <v/>
      </c>
      <c r="N118" s="19">
        <f>i_G_var*N116</f>
        <v/>
      </c>
      <c r="O118" s="19">
        <f>i_G_var*O116</f>
        <v/>
      </c>
      <c r="P118" s="19">
        <f>i_G_var*P116</f>
        <v/>
      </c>
      <c r="Q118" s="19">
        <f>i_G_var*Q116</f>
        <v/>
      </c>
      <c r="R118" s="19">
        <f>i_G_var*R116</f>
        <v/>
      </c>
      <c r="S118" s="19">
        <f>i_G_var*S116</f>
        <v/>
      </c>
      <c r="T118" s="19">
        <f>i_G_var*T116</f>
        <v/>
      </c>
      <c r="U118" s="19">
        <f>i_G_var*U116</f>
        <v/>
      </c>
      <c r="V118" s="19">
        <f>i_G_var*V116</f>
        <v/>
      </c>
      <c r="W118" s="19">
        <f>i_G_var*W116</f>
        <v/>
      </c>
      <c r="X118" s="19">
        <f>i_G_var*X116</f>
        <v/>
      </c>
      <c r="Y118" s="19">
        <f>i_G_var*Y116</f>
        <v/>
      </c>
      <c r="Z118" s="19">
        <f>i_G_var*Z116</f>
        <v/>
      </c>
      <c r="AA118" s="19">
        <f>i_G_var*AA116</f>
        <v/>
      </c>
      <c r="AB118" s="19">
        <f>i_G_var*AB116</f>
        <v/>
      </c>
      <c r="AC118" s="19">
        <f>i_G_var*AC116</f>
        <v/>
      </c>
      <c r="AD118" s="19">
        <f>i_G_var*AD116</f>
        <v/>
      </c>
      <c r="AE118" s="19">
        <f>i_G_var*AE116</f>
        <v/>
      </c>
      <c r="AF118" s="19">
        <f>i_G_var*AF116</f>
        <v/>
      </c>
      <c r="AG118" s="19">
        <f>i_G_var*AG116</f>
        <v/>
      </c>
      <c r="AH118" s="19">
        <f>i_G_var*AH116</f>
        <v/>
      </c>
      <c r="AI118" s="19">
        <f>i_G_var*AI116</f>
        <v/>
      </c>
    </row>
    <row r="119">
      <c r="B119" s="2" t="inlineStr">
        <is>
          <t xml:space="preserve">  Extra windstorm insurance</t>
        </is>
      </c>
      <c r="D119" s="19">
        <f>IF(D$4&gt;0,Diligence!$C$50*i_g_ins*D57,0)</f>
        <v/>
      </c>
      <c r="E119" s="19">
        <f>IF(E$4&gt;0,Diligence!$C$50*i_g_ins*E57,0)</f>
        <v/>
      </c>
      <c r="F119" s="19">
        <f>IF(F$4&gt;0,Diligence!$C$50*i_g_ins*F57,0)</f>
        <v/>
      </c>
      <c r="G119" s="19">
        <f>IF(G$4&gt;0,Diligence!$C$50*i_g_ins*G57,0)</f>
        <v/>
      </c>
      <c r="H119" s="19">
        <f>IF(H$4&gt;0,Diligence!$C$50*i_g_ins*H57,0)</f>
        <v/>
      </c>
      <c r="I119" s="19">
        <f>IF(I$4&gt;0,Diligence!$C$50*i_g_ins*I57,0)</f>
        <v/>
      </c>
      <c r="J119" s="19">
        <f>IF(J$4&gt;0,Diligence!$C$50*i_g_ins*J57,0)</f>
        <v/>
      </c>
      <c r="K119" s="19">
        <f>IF(K$4&gt;0,Diligence!$C$50*i_g_ins*K57,0)</f>
        <v/>
      </c>
      <c r="L119" s="19">
        <f>IF(L$4&gt;0,Diligence!$C$50*i_g_ins*L57,0)</f>
        <v/>
      </c>
      <c r="M119" s="19">
        <f>IF(M$4&gt;0,Diligence!$C$50*i_g_ins*M57,0)</f>
        <v/>
      </c>
      <c r="N119" s="19">
        <f>IF(N$4&gt;0,Diligence!$C$50*i_g_ins*N57,0)</f>
        <v/>
      </c>
      <c r="O119" s="19">
        <f>IF(O$4&gt;0,Diligence!$C$50*i_g_ins*O57,0)</f>
        <v/>
      </c>
      <c r="P119" s="19">
        <f>IF(P$4&gt;0,Diligence!$C$50*i_g_ins*P57,0)</f>
        <v/>
      </c>
      <c r="Q119" s="19">
        <f>IF(Q$4&gt;0,Diligence!$C$50*i_g_ins*Q57,0)</f>
        <v/>
      </c>
      <c r="R119" s="19">
        <f>IF(R$4&gt;0,Diligence!$C$50*i_g_ins*R57,0)</f>
        <v/>
      </c>
      <c r="S119" s="19">
        <f>IF(S$4&gt;0,Diligence!$C$50*i_g_ins*S57,0)</f>
        <v/>
      </c>
      <c r="T119" s="19">
        <f>IF(T$4&gt;0,Diligence!$C$50*i_g_ins*T57,0)</f>
        <v/>
      </c>
      <c r="U119" s="19">
        <f>IF(U$4&gt;0,Diligence!$C$50*i_g_ins*U57,0)</f>
        <v/>
      </c>
      <c r="V119" s="19">
        <f>IF(V$4&gt;0,Diligence!$C$50*i_g_ins*V57,0)</f>
        <v/>
      </c>
      <c r="W119" s="19">
        <f>IF(W$4&gt;0,Diligence!$C$50*i_g_ins*W57,0)</f>
        <v/>
      </c>
      <c r="X119" s="19">
        <f>IF(X$4&gt;0,Diligence!$C$50*i_g_ins*X57,0)</f>
        <v/>
      </c>
      <c r="Y119" s="19">
        <f>IF(Y$4&gt;0,Diligence!$C$50*i_g_ins*Y57,0)</f>
        <v/>
      </c>
      <c r="Z119" s="19">
        <f>IF(Z$4&gt;0,Diligence!$C$50*i_g_ins*Z57,0)</f>
        <v/>
      </c>
      <c r="AA119" s="19">
        <f>IF(AA$4&gt;0,Diligence!$C$50*i_g_ins*AA57,0)</f>
        <v/>
      </c>
      <c r="AB119" s="19">
        <f>IF(AB$4&gt;0,Diligence!$C$50*i_g_ins*AB57,0)</f>
        <v/>
      </c>
      <c r="AC119" s="19">
        <f>IF(AC$4&gt;0,Diligence!$C$50*i_g_ins*AC57,0)</f>
        <v/>
      </c>
      <c r="AD119" s="19">
        <f>IF(AD$4&gt;0,Diligence!$C$50*i_g_ins*AD57,0)</f>
        <v/>
      </c>
      <c r="AE119" s="19">
        <f>IF(AE$4&gt;0,Diligence!$C$50*i_g_ins*AE57,0)</f>
        <v/>
      </c>
      <c r="AF119" s="19">
        <f>IF(AF$4&gt;0,Diligence!$C$50*i_g_ins*AF57,0)</f>
        <v/>
      </c>
      <c r="AG119" s="19">
        <f>IF(AG$4&gt;0,Diligence!$C$50*i_g_ins*AG57,0)</f>
        <v/>
      </c>
      <c r="AH119" s="19">
        <f>IF(AH$4&gt;0,Diligence!$C$50*i_g_ins*AH57,0)</f>
        <v/>
      </c>
      <c r="AI119" s="19">
        <f>IF(AI$4&gt;0,Diligence!$C$50*i_g_ins*AI57,0)</f>
        <v/>
      </c>
    </row>
    <row r="120">
      <c r="B120" s="2" t="inlineStr">
        <is>
          <t xml:space="preserve">  Operating cost</t>
        </is>
      </c>
      <c r="D120" s="19">
        <f>D117+D118+D119</f>
        <v/>
      </c>
      <c r="E120" s="19">
        <f>E117+E118+E119</f>
        <v/>
      </c>
      <c r="F120" s="19">
        <f>F117+F118+F119</f>
        <v/>
      </c>
      <c r="G120" s="19">
        <f>G117+G118+G119</f>
        <v/>
      </c>
      <c r="H120" s="19">
        <f>H117+H118+H119</f>
        <v/>
      </c>
      <c r="I120" s="19">
        <f>I117+I118+I119</f>
        <v/>
      </c>
      <c r="J120" s="19">
        <f>J117+J118+J119</f>
        <v/>
      </c>
      <c r="K120" s="19">
        <f>K117+K118+K119</f>
        <v/>
      </c>
      <c r="L120" s="19">
        <f>L117+L118+L119</f>
        <v/>
      </c>
      <c r="M120" s="19">
        <f>M117+M118+M119</f>
        <v/>
      </c>
      <c r="N120" s="19">
        <f>N117+N118+N119</f>
        <v/>
      </c>
      <c r="O120" s="19">
        <f>O117+O118+O119</f>
        <v/>
      </c>
      <c r="P120" s="19">
        <f>P117+P118+P119</f>
        <v/>
      </c>
      <c r="Q120" s="19">
        <f>Q117+Q118+Q119</f>
        <v/>
      </c>
      <c r="R120" s="19">
        <f>R117+R118+R119</f>
        <v/>
      </c>
      <c r="S120" s="19">
        <f>S117+S118+S119</f>
        <v/>
      </c>
      <c r="T120" s="19">
        <f>T117+T118+T119</f>
        <v/>
      </c>
      <c r="U120" s="19">
        <f>U117+U118+U119</f>
        <v/>
      </c>
      <c r="V120" s="19">
        <f>V117+V118+V119</f>
        <v/>
      </c>
      <c r="W120" s="19">
        <f>W117+W118+W119</f>
        <v/>
      </c>
      <c r="X120" s="19">
        <f>X117+X118+X119</f>
        <v/>
      </c>
      <c r="Y120" s="19">
        <f>Y117+Y118+Y119</f>
        <v/>
      </c>
      <c r="Z120" s="19">
        <f>Z117+Z118+Z119</f>
        <v/>
      </c>
      <c r="AA120" s="19">
        <f>AA117+AA118+AA119</f>
        <v/>
      </c>
      <c r="AB120" s="19">
        <f>AB117+AB118+AB119</f>
        <v/>
      </c>
      <c r="AC120" s="19">
        <f>AC117+AC118+AC119</f>
        <v/>
      </c>
      <c r="AD120" s="19">
        <f>AD117+AD118+AD119</f>
        <v/>
      </c>
      <c r="AE120" s="19">
        <f>AE117+AE118+AE119</f>
        <v/>
      </c>
      <c r="AF120" s="19">
        <f>AF117+AF118+AF119</f>
        <v/>
      </c>
      <c r="AG120" s="19">
        <f>AG117+AG118+AG119</f>
        <v/>
      </c>
      <c r="AH120" s="19">
        <f>AH117+AH118+AH119</f>
        <v/>
      </c>
      <c r="AI120" s="19">
        <f>AI117+AI118+AI119</f>
        <v/>
      </c>
    </row>
    <row r="121">
      <c r="B121" s="3" t="inlineStr">
        <is>
          <t xml:space="preserve">  EBITDA</t>
        </is>
      </c>
      <c r="D121" s="31">
        <f>D116-D120</f>
        <v/>
      </c>
      <c r="E121" s="31">
        <f>E116-E120</f>
        <v/>
      </c>
      <c r="F121" s="31">
        <f>F116-F120</f>
        <v/>
      </c>
      <c r="G121" s="31">
        <f>G116-G120</f>
        <v/>
      </c>
      <c r="H121" s="31">
        <f>H116-H120</f>
        <v/>
      </c>
      <c r="I121" s="31">
        <f>I116-I120</f>
        <v/>
      </c>
      <c r="J121" s="31">
        <f>J116-J120</f>
        <v/>
      </c>
      <c r="K121" s="31">
        <f>K116-K120</f>
        <v/>
      </c>
      <c r="L121" s="31">
        <f>L116-L120</f>
        <v/>
      </c>
      <c r="M121" s="31">
        <f>M116-M120</f>
        <v/>
      </c>
      <c r="N121" s="31">
        <f>N116-N120</f>
        <v/>
      </c>
      <c r="O121" s="31">
        <f>O116-O120</f>
        <v/>
      </c>
      <c r="P121" s="31">
        <f>P116-P120</f>
        <v/>
      </c>
      <c r="Q121" s="31">
        <f>Q116-Q120</f>
        <v/>
      </c>
      <c r="R121" s="31">
        <f>R116-R120</f>
        <v/>
      </c>
      <c r="S121" s="31">
        <f>S116-S120</f>
        <v/>
      </c>
      <c r="T121" s="31">
        <f>T116-T120</f>
        <v/>
      </c>
      <c r="U121" s="31">
        <f>U116-U120</f>
        <v/>
      </c>
      <c r="V121" s="31">
        <f>V116-V120</f>
        <v/>
      </c>
      <c r="W121" s="31">
        <f>W116-W120</f>
        <v/>
      </c>
      <c r="X121" s="31">
        <f>X116-X120</f>
        <v/>
      </c>
      <c r="Y121" s="31">
        <f>Y116-Y120</f>
        <v/>
      </c>
      <c r="Z121" s="31">
        <f>Z116-Z120</f>
        <v/>
      </c>
      <c r="AA121" s="31">
        <f>AA116-AA120</f>
        <v/>
      </c>
      <c r="AB121" s="31">
        <f>AB116-AB120</f>
        <v/>
      </c>
      <c r="AC121" s="31">
        <f>AC116-AC120</f>
        <v/>
      </c>
      <c r="AD121" s="31">
        <f>AD116-AD120</f>
        <v/>
      </c>
      <c r="AE121" s="31">
        <f>AE116-AE120</f>
        <v/>
      </c>
      <c r="AF121" s="31">
        <f>AF116-AF120</f>
        <v/>
      </c>
      <c r="AG121" s="31">
        <f>AG116-AG120</f>
        <v/>
      </c>
      <c r="AH121" s="31">
        <f>AH116-AH120</f>
        <v/>
      </c>
      <c r="AI121" s="31">
        <f>AI116-AI120</f>
        <v/>
      </c>
    </row>
    <row r="122">
      <c r="B122" s="2" t="inlineStr">
        <is>
          <t xml:space="preserve">  Maintenance capex</t>
        </is>
      </c>
      <c r="D122" s="19">
        <f>D108*i_G_mc*D57</f>
        <v/>
      </c>
      <c r="E122" s="19">
        <f>E108*i_G_mc*E57</f>
        <v/>
      </c>
      <c r="F122" s="19">
        <f>F108*i_G_mc*F57</f>
        <v/>
      </c>
      <c r="G122" s="19">
        <f>G108*i_G_mc*G57</f>
        <v/>
      </c>
      <c r="H122" s="19">
        <f>H108*i_G_mc*H57</f>
        <v/>
      </c>
      <c r="I122" s="19">
        <f>I108*i_G_mc*I57</f>
        <v/>
      </c>
      <c r="J122" s="19">
        <f>J108*i_G_mc*J57</f>
        <v/>
      </c>
      <c r="K122" s="19">
        <f>K108*i_G_mc*K57</f>
        <v/>
      </c>
      <c r="L122" s="19">
        <f>L108*i_G_mc*L57</f>
        <v/>
      </c>
      <c r="M122" s="19">
        <f>M108*i_G_mc*M57</f>
        <v/>
      </c>
      <c r="N122" s="19">
        <f>N108*i_G_mc*N57</f>
        <v/>
      </c>
      <c r="O122" s="19">
        <f>O108*i_G_mc*O57</f>
        <v/>
      </c>
      <c r="P122" s="19">
        <f>P108*i_G_mc*P57</f>
        <v/>
      </c>
      <c r="Q122" s="19">
        <f>Q108*i_G_mc*Q57</f>
        <v/>
      </c>
      <c r="R122" s="19">
        <f>R108*i_G_mc*R57</f>
        <v/>
      </c>
      <c r="S122" s="19">
        <f>S108*i_G_mc*S57</f>
        <v/>
      </c>
      <c r="T122" s="19">
        <f>T108*i_G_mc*T57</f>
        <v/>
      </c>
      <c r="U122" s="19">
        <f>U108*i_G_mc*U57</f>
        <v/>
      </c>
      <c r="V122" s="19">
        <f>V108*i_G_mc*V57</f>
        <v/>
      </c>
      <c r="W122" s="19">
        <f>W108*i_G_mc*W57</f>
        <v/>
      </c>
      <c r="X122" s="19">
        <f>X108*i_G_mc*X57</f>
        <v/>
      </c>
      <c r="Y122" s="19">
        <f>Y108*i_G_mc*Y57</f>
        <v/>
      </c>
      <c r="Z122" s="19">
        <f>Z108*i_G_mc*Z57</f>
        <v/>
      </c>
      <c r="AA122" s="19">
        <f>AA108*i_G_mc*AA57</f>
        <v/>
      </c>
      <c r="AB122" s="19">
        <f>AB108*i_G_mc*AB57</f>
        <v/>
      </c>
      <c r="AC122" s="19">
        <f>AC108*i_G_mc*AC57</f>
        <v/>
      </c>
      <c r="AD122" s="19">
        <f>AD108*i_G_mc*AD57</f>
        <v/>
      </c>
      <c r="AE122" s="19">
        <f>AE108*i_G_mc*AE57</f>
        <v/>
      </c>
      <c r="AF122" s="19">
        <f>AF108*i_G_mc*AF57</f>
        <v/>
      </c>
      <c r="AG122" s="19">
        <f>AG108*i_G_mc*AG57</f>
        <v/>
      </c>
      <c r="AH122" s="19">
        <f>AH108*i_G_mc*AH57</f>
        <v/>
      </c>
      <c r="AI122" s="19">
        <f>AI108*i_G_mc*AI57</f>
        <v/>
      </c>
    </row>
    <row r="123">
      <c r="B123" s="3" t="inlineStr">
        <is>
          <t>Sabine Bend expansion (renewable fuels)</t>
        </is>
      </c>
    </row>
    <row r="124">
      <c r="B124" s="2" t="inlineStr">
        <is>
          <t xml:space="preserve">  Growth capex</t>
        </is>
      </c>
      <c r="D124" s="19">
        <f>Diligence!$C$51*SUMIF(i_exp_capex_years,D$3,i_exp_capex_vals)*D57</f>
        <v/>
      </c>
      <c r="E124" s="19">
        <f>Diligence!$C$51*SUMIF(i_exp_capex_years,E$3,i_exp_capex_vals)*E57</f>
        <v/>
      </c>
      <c r="F124" s="19">
        <f>Diligence!$C$51*SUMIF(i_exp_capex_years,F$3,i_exp_capex_vals)*F57</f>
        <v/>
      </c>
      <c r="G124" s="19">
        <f>Diligence!$C$51*SUMIF(i_exp_capex_years,G$3,i_exp_capex_vals)*G57</f>
        <v/>
      </c>
      <c r="H124" s="19">
        <f>Diligence!$C$51*SUMIF(i_exp_capex_years,H$3,i_exp_capex_vals)*H57</f>
        <v/>
      </c>
      <c r="I124" s="19">
        <f>Diligence!$C$51*SUMIF(i_exp_capex_years,I$3,i_exp_capex_vals)*I57</f>
        <v/>
      </c>
      <c r="J124" s="19">
        <f>Diligence!$C$51*SUMIF(i_exp_capex_years,J$3,i_exp_capex_vals)*J57</f>
        <v/>
      </c>
      <c r="K124" s="19">
        <f>Diligence!$C$51*SUMIF(i_exp_capex_years,K$3,i_exp_capex_vals)*K57</f>
        <v/>
      </c>
      <c r="L124" s="19">
        <f>Diligence!$C$51*SUMIF(i_exp_capex_years,L$3,i_exp_capex_vals)*L57</f>
        <v/>
      </c>
      <c r="M124" s="19">
        <f>Diligence!$C$51*SUMIF(i_exp_capex_years,M$3,i_exp_capex_vals)*M57</f>
        <v/>
      </c>
      <c r="N124" s="19">
        <f>Diligence!$C$51*SUMIF(i_exp_capex_years,N$3,i_exp_capex_vals)*N57</f>
        <v/>
      </c>
      <c r="O124" s="19">
        <f>Diligence!$C$51*SUMIF(i_exp_capex_years,O$3,i_exp_capex_vals)*O57</f>
        <v/>
      </c>
      <c r="P124" s="19">
        <f>Diligence!$C$51*SUMIF(i_exp_capex_years,P$3,i_exp_capex_vals)*P57</f>
        <v/>
      </c>
      <c r="Q124" s="19">
        <f>Diligence!$C$51*SUMIF(i_exp_capex_years,Q$3,i_exp_capex_vals)*Q57</f>
        <v/>
      </c>
      <c r="R124" s="19">
        <f>Diligence!$C$51*SUMIF(i_exp_capex_years,R$3,i_exp_capex_vals)*R57</f>
        <v/>
      </c>
      <c r="S124" s="19">
        <f>Diligence!$C$51*SUMIF(i_exp_capex_years,S$3,i_exp_capex_vals)*S57</f>
        <v/>
      </c>
      <c r="T124" s="19">
        <f>Diligence!$C$51*SUMIF(i_exp_capex_years,T$3,i_exp_capex_vals)*T57</f>
        <v/>
      </c>
      <c r="U124" s="19">
        <f>Diligence!$C$51*SUMIF(i_exp_capex_years,U$3,i_exp_capex_vals)*U57</f>
        <v/>
      </c>
      <c r="V124" s="19">
        <f>Diligence!$C$51*SUMIF(i_exp_capex_years,V$3,i_exp_capex_vals)*V57</f>
        <v/>
      </c>
      <c r="W124" s="19">
        <f>Diligence!$C$51*SUMIF(i_exp_capex_years,W$3,i_exp_capex_vals)*W57</f>
        <v/>
      </c>
      <c r="X124" s="19">
        <f>Diligence!$C$51*SUMIF(i_exp_capex_years,X$3,i_exp_capex_vals)*X57</f>
        <v/>
      </c>
      <c r="Y124" s="19">
        <f>Diligence!$C$51*SUMIF(i_exp_capex_years,Y$3,i_exp_capex_vals)*Y57</f>
        <v/>
      </c>
      <c r="Z124" s="19">
        <f>Diligence!$C$51*SUMIF(i_exp_capex_years,Z$3,i_exp_capex_vals)*Z57</f>
        <v/>
      </c>
      <c r="AA124" s="19">
        <f>Diligence!$C$51*SUMIF(i_exp_capex_years,AA$3,i_exp_capex_vals)*AA57</f>
        <v/>
      </c>
      <c r="AB124" s="19">
        <f>Diligence!$C$51*SUMIF(i_exp_capex_years,AB$3,i_exp_capex_vals)*AB57</f>
        <v/>
      </c>
      <c r="AC124" s="19">
        <f>Diligence!$C$51*SUMIF(i_exp_capex_years,AC$3,i_exp_capex_vals)*AC57</f>
        <v/>
      </c>
      <c r="AD124" s="19">
        <f>Diligence!$C$51*SUMIF(i_exp_capex_years,AD$3,i_exp_capex_vals)*AD57</f>
        <v/>
      </c>
      <c r="AE124" s="19">
        <f>Diligence!$C$51*SUMIF(i_exp_capex_years,AE$3,i_exp_capex_vals)*AE57</f>
        <v/>
      </c>
      <c r="AF124" s="19">
        <f>Diligence!$C$51*SUMIF(i_exp_capex_years,AF$3,i_exp_capex_vals)*AF57</f>
        <v/>
      </c>
      <c r="AG124" s="19">
        <f>Diligence!$C$51*SUMIF(i_exp_capex_years,AG$3,i_exp_capex_vals)*AG57</f>
        <v/>
      </c>
      <c r="AH124" s="19">
        <f>Diligence!$C$51*SUMIF(i_exp_capex_years,AH$3,i_exp_capex_vals)*AH57</f>
        <v/>
      </c>
      <c r="AI124" s="19">
        <f>Diligence!$C$51*SUMIF(i_exp_capex_years,AI$3,i_exp_capex_vals)*AI57</f>
        <v/>
      </c>
    </row>
    <row r="125">
      <c r="B125" s="2" t="inlineStr">
        <is>
          <t xml:space="preserve">  Operating (1/0)</t>
        </is>
      </c>
      <c r="D125" s="22">
        <f>IF(D$3&gt;=i_exp_start,Diligence!$C$51,0)</f>
        <v/>
      </c>
      <c r="E125" s="22">
        <f>IF(E$3&gt;=i_exp_start,Diligence!$C$51,0)</f>
        <v/>
      </c>
      <c r="F125" s="22">
        <f>IF(F$3&gt;=i_exp_start,Diligence!$C$51,0)</f>
        <v/>
      </c>
      <c r="G125" s="22">
        <f>IF(G$3&gt;=i_exp_start,Diligence!$C$51,0)</f>
        <v/>
      </c>
      <c r="H125" s="22">
        <f>IF(H$3&gt;=i_exp_start,Diligence!$C$51,0)</f>
        <v/>
      </c>
      <c r="I125" s="22">
        <f>IF(I$3&gt;=i_exp_start,Diligence!$C$51,0)</f>
        <v/>
      </c>
      <c r="J125" s="22">
        <f>IF(J$3&gt;=i_exp_start,Diligence!$C$51,0)</f>
        <v/>
      </c>
      <c r="K125" s="22">
        <f>IF(K$3&gt;=i_exp_start,Diligence!$C$51,0)</f>
        <v/>
      </c>
      <c r="L125" s="22">
        <f>IF(L$3&gt;=i_exp_start,Diligence!$C$51,0)</f>
        <v/>
      </c>
      <c r="M125" s="22">
        <f>IF(M$3&gt;=i_exp_start,Diligence!$C$51,0)</f>
        <v/>
      </c>
      <c r="N125" s="22">
        <f>IF(N$3&gt;=i_exp_start,Diligence!$C$51,0)</f>
        <v/>
      </c>
      <c r="O125" s="22">
        <f>IF(O$3&gt;=i_exp_start,Diligence!$C$51,0)</f>
        <v/>
      </c>
      <c r="P125" s="22">
        <f>IF(P$3&gt;=i_exp_start,Diligence!$C$51,0)</f>
        <v/>
      </c>
      <c r="Q125" s="22">
        <f>IF(Q$3&gt;=i_exp_start,Diligence!$C$51,0)</f>
        <v/>
      </c>
      <c r="R125" s="22">
        <f>IF(R$3&gt;=i_exp_start,Diligence!$C$51,0)</f>
        <v/>
      </c>
      <c r="S125" s="22">
        <f>IF(S$3&gt;=i_exp_start,Diligence!$C$51,0)</f>
        <v/>
      </c>
      <c r="T125" s="22">
        <f>IF(T$3&gt;=i_exp_start,Diligence!$C$51,0)</f>
        <v/>
      </c>
      <c r="U125" s="22">
        <f>IF(U$3&gt;=i_exp_start,Diligence!$C$51,0)</f>
        <v/>
      </c>
      <c r="V125" s="22">
        <f>IF(V$3&gt;=i_exp_start,Diligence!$C$51,0)</f>
        <v/>
      </c>
      <c r="W125" s="22">
        <f>IF(W$3&gt;=i_exp_start,Diligence!$C$51,0)</f>
        <v/>
      </c>
      <c r="X125" s="22">
        <f>IF(X$3&gt;=i_exp_start,Diligence!$C$51,0)</f>
        <v/>
      </c>
      <c r="Y125" s="22">
        <f>IF(Y$3&gt;=i_exp_start,Diligence!$C$51,0)</f>
        <v/>
      </c>
      <c r="Z125" s="22">
        <f>IF(Z$3&gt;=i_exp_start,Diligence!$C$51,0)</f>
        <v/>
      </c>
      <c r="AA125" s="22">
        <f>IF(AA$3&gt;=i_exp_start,Diligence!$C$51,0)</f>
        <v/>
      </c>
      <c r="AB125" s="22">
        <f>IF(AB$3&gt;=i_exp_start,Diligence!$C$51,0)</f>
        <v/>
      </c>
      <c r="AC125" s="22">
        <f>IF(AC$3&gt;=i_exp_start,Diligence!$C$51,0)</f>
        <v/>
      </c>
      <c r="AD125" s="22">
        <f>IF(AD$3&gt;=i_exp_start,Diligence!$C$51,0)</f>
        <v/>
      </c>
      <c r="AE125" s="22">
        <f>IF(AE$3&gt;=i_exp_start,Diligence!$C$51,0)</f>
        <v/>
      </c>
      <c r="AF125" s="22">
        <f>IF(AF$3&gt;=i_exp_start,Diligence!$C$51,0)</f>
        <v/>
      </c>
      <c r="AG125" s="22">
        <f>IF(AG$3&gt;=i_exp_start,Diligence!$C$51,0)</f>
        <v/>
      </c>
      <c r="AH125" s="22">
        <f>IF(AH$3&gt;=i_exp_start,Diligence!$C$51,0)</f>
        <v/>
      </c>
      <c r="AI125" s="22">
        <f>IF(AI$3&gt;=i_exp_start,Diligence!$C$51,0)</f>
        <v/>
      </c>
    </row>
    <row r="126">
      <c r="B126" s="2" t="inlineStr">
        <is>
          <t xml:space="preserve">  Under the anchor contract (1/0)</t>
        </is>
      </c>
      <c r="D126" s="22">
        <f>IF(D$3&lt;i_exp_start+i_exp_years,1,0)</f>
        <v/>
      </c>
      <c r="E126" s="22">
        <f>IF(E$3&lt;i_exp_start+i_exp_years,1,0)</f>
        <v/>
      </c>
      <c r="F126" s="22">
        <f>IF(F$3&lt;i_exp_start+i_exp_years,1,0)</f>
        <v/>
      </c>
      <c r="G126" s="22">
        <f>IF(G$3&lt;i_exp_start+i_exp_years,1,0)</f>
        <v/>
      </c>
      <c r="H126" s="22">
        <f>IF(H$3&lt;i_exp_start+i_exp_years,1,0)</f>
        <v/>
      </c>
      <c r="I126" s="22">
        <f>IF(I$3&lt;i_exp_start+i_exp_years,1,0)</f>
        <v/>
      </c>
      <c r="J126" s="22">
        <f>IF(J$3&lt;i_exp_start+i_exp_years,1,0)</f>
        <v/>
      </c>
      <c r="K126" s="22">
        <f>IF(K$3&lt;i_exp_start+i_exp_years,1,0)</f>
        <v/>
      </c>
      <c r="L126" s="22">
        <f>IF(L$3&lt;i_exp_start+i_exp_years,1,0)</f>
        <v/>
      </c>
      <c r="M126" s="22">
        <f>IF(M$3&lt;i_exp_start+i_exp_years,1,0)</f>
        <v/>
      </c>
      <c r="N126" s="22">
        <f>IF(N$3&lt;i_exp_start+i_exp_years,1,0)</f>
        <v/>
      </c>
      <c r="O126" s="22">
        <f>IF(O$3&lt;i_exp_start+i_exp_years,1,0)</f>
        <v/>
      </c>
      <c r="P126" s="22">
        <f>IF(P$3&lt;i_exp_start+i_exp_years,1,0)</f>
        <v/>
      </c>
      <c r="Q126" s="22">
        <f>IF(Q$3&lt;i_exp_start+i_exp_years,1,0)</f>
        <v/>
      </c>
      <c r="R126" s="22">
        <f>IF(R$3&lt;i_exp_start+i_exp_years,1,0)</f>
        <v/>
      </c>
      <c r="S126" s="22">
        <f>IF(S$3&lt;i_exp_start+i_exp_years,1,0)</f>
        <v/>
      </c>
      <c r="T126" s="22">
        <f>IF(T$3&lt;i_exp_start+i_exp_years,1,0)</f>
        <v/>
      </c>
      <c r="U126" s="22">
        <f>IF(U$3&lt;i_exp_start+i_exp_years,1,0)</f>
        <v/>
      </c>
      <c r="V126" s="22">
        <f>IF(V$3&lt;i_exp_start+i_exp_years,1,0)</f>
        <v/>
      </c>
      <c r="W126" s="22">
        <f>IF(W$3&lt;i_exp_start+i_exp_years,1,0)</f>
        <v/>
      </c>
      <c r="X126" s="22">
        <f>IF(X$3&lt;i_exp_start+i_exp_years,1,0)</f>
        <v/>
      </c>
      <c r="Y126" s="22">
        <f>IF(Y$3&lt;i_exp_start+i_exp_years,1,0)</f>
        <v/>
      </c>
      <c r="Z126" s="22">
        <f>IF(Z$3&lt;i_exp_start+i_exp_years,1,0)</f>
        <v/>
      </c>
      <c r="AA126" s="22">
        <f>IF(AA$3&lt;i_exp_start+i_exp_years,1,0)</f>
        <v/>
      </c>
      <c r="AB126" s="22">
        <f>IF(AB$3&lt;i_exp_start+i_exp_years,1,0)</f>
        <v/>
      </c>
      <c r="AC126" s="22">
        <f>IF(AC$3&lt;i_exp_start+i_exp_years,1,0)</f>
        <v/>
      </c>
      <c r="AD126" s="22">
        <f>IF(AD$3&lt;i_exp_start+i_exp_years,1,0)</f>
        <v/>
      </c>
      <c r="AE126" s="22">
        <f>IF(AE$3&lt;i_exp_start+i_exp_years,1,0)</f>
        <v/>
      </c>
      <c r="AF126" s="22">
        <f>IF(AF$3&lt;i_exp_start+i_exp_years,1,0)</f>
        <v/>
      </c>
      <c r="AG126" s="22">
        <f>IF(AG$3&lt;i_exp_start+i_exp_years,1,0)</f>
        <v/>
      </c>
      <c r="AH126" s="22">
        <f>IF(AH$3&lt;i_exp_start+i_exp_years,1,0)</f>
        <v/>
      </c>
      <c r="AI126" s="22">
        <f>IF(AI$3&lt;i_exp_start+i_exp_years,1,0)</f>
        <v/>
      </c>
    </row>
    <row r="127">
      <c r="B127" s="2" t="inlineStr">
        <is>
          <t xml:space="preserve">  Rate ($ per m3 per month)</t>
        </is>
      </c>
      <c r="D127" s="24">
        <f>i_exp_rate*D58*IF(D126=1,1,1+i_exp_mtm)</f>
        <v/>
      </c>
      <c r="E127" s="24">
        <f>i_exp_rate*E58*IF(E126=1,1,1+i_exp_mtm)</f>
        <v/>
      </c>
      <c r="F127" s="24">
        <f>i_exp_rate*F58*IF(F126=1,1,1+i_exp_mtm)</f>
        <v/>
      </c>
      <c r="G127" s="24">
        <f>i_exp_rate*G58*IF(G126=1,1,1+i_exp_mtm)</f>
        <v/>
      </c>
      <c r="H127" s="24">
        <f>i_exp_rate*H58*IF(H126=1,1,1+i_exp_mtm)</f>
        <v/>
      </c>
      <c r="I127" s="24">
        <f>i_exp_rate*I58*IF(I126=1,1,1+i_exp_mtm)</f>
        <v/>
      </c>
      <c r="J127" s="24">
        <f>i_exp_rate*J58*IF(J126=1,1,1+i_exp_mtm)</f>
        <v/>
      </c>
      <c r="K127" s="24">
        <f>i_exp_rate*K58*IF(K126=1,1,1+i_exp_mtm)</f>
        <v/>
      </c>
      <c r="L127" s="24">
        <f>i_exp_rate*L58*IF(L126=1,1,1+i_exp_mtm)</f>
        <v/>
      </c>
      <c r="M127" s="24">
        <f>i_exp_rate*M58*IF(M126=1,1,1+i_exp_mtm)</f>
        <v/>
      </c>
      <c r="N127" s="24">
        <f>i_exp_rate*N58*IF(N126=1,1,1+i_exp_mtm)</f>
        <v/>
      </c>
      <c r="O127" s="24">
        <f>i_exp_rate*O58*IF(O126=1,1,1+i_exp_mtm)</f>
        <v/>
      </c>
      <c r="P127" s="24">
        <f>i_exp_rate*P58*IF(P126=1,1,1+i_exp_mtm)</f>
        <v/>
      </c>
      <c r="Q127" s="24">
        <f>i_exp_rate*Q58*IF(Q126=1,1,1+i_exp_mtm)</f>
        <v/>
      </c>
      <c r="R127" s="24">
        <f>i_exp_rate*R58*IF(R126=1,1,1+i_exp_mtm)</f>
        <v/>
      </c>
      <c r="S127" s="24">
        <f>i_exp_rate*S58*IF(S126=1,1,1+i_exp_mtm)</f>
        <v/>
      </c>
      <c r="T127" s="24">
        <f>i_exp_rate*T58*IF(T126=1,1,1+i_exp_mtm)</f>
        <v/>
      </c>
      <c r="U127" s="24">
        <f>i_exp_rate*U58*IF(U126=1,1,1+i_exp_mtm)</f>
        <v/>
      </c>
      <c r="V127" s="24">
        <f>i_exp_rate*V58*IF(V126=1,1,1+i_exp_mtm)</f>
        <v/>
      </c>
      <c r="W127" s="24">
        <f>i_exp_rate*W58*IF(W126=1,1,1+i_exp_mtm)</f>
        <v/>
      </c>
      <c r="X127" s="24">
        <f>i_exp_rate*X58*IF(X126=1,1,1+i_exp_mtm)</f>
        <v/>
      </c>
      <c r="Y127" s="24">
        <f>i_exp_rate*Y58*IF(Y126=1,1,1+i_exp_mtm)</f>
        <v/>
      </c>
      <c r="Z127" s="24">
        <f>i_exp_rate*Z58*IF(Z126=1,1,1+i_exp_mtm)</f>
        <v/>
      </c>
      <c r="AA127" s="24">
        <f>i_exp_rate*AA58*IF(AA126=1,1,1+i_exp_mtm)</f>
        <v/>
      </c>
      <c r="AB127" s="24">
        <f>i_exp_rate*AB58*IF(AB126=1,1,1+i_exp_mtm)</f>
        <v/>
      </c>
      <c r="AC127" s="24">
        <f>i_exp_rate*AC58*IF(AC126=1,1,1+i_exp_mtm)</f>
        <v/>
      </c>
      <c r="AD127" s="24">
        <f>i_exp_rate*AD58*IF(AD126=1,1,1+i_exp_mtm)</f>
        <v/>
      </c>
      <c r="AE127" s="24">
        <f>i_exp_rate*AE58*IF(AE126=1,1,1+i_exp_mtm)</f>
        <v/>
      </c>
      <c r="AF127" s="24">
        <f>i_exp_rate*AF58*IF(AF126=1,1,1+i_exp_mtm)</f>
        <v/>
      </c>
      <c r="AG127" s="24">
        <f>i_exp_rate*AG58*IF(AG126=1,1,1+i_exp_mtm)</f>
        <v/>
      </c>
      <c r="AH127" s="24">
        <f>i_exp_rate*AH58*IF(AH126=1,1,1+i_exp_mtm)</f>
        <v/>
      </c>
      <c r="AI127" s="24">
        <f>i_exp_rate*AI58*IF(AI126=1,1,1+i_exp_mtm)</f>
        <v/>
      </c>
    </row>
    <row r="128">
      <c r="B128" s="2" t="inlineStr">
        <is>
          <t xml:space="preserve">  Occupancy</t>
        </is>
      </c>
      <c r="D128" s="21">
        <f>IF(D126=1,i_exp_occ_c,i_exp_occ_m)</f>
        <v/>
      </c>
      <c r="E128" s="21">
        <f>IF(E126=1,i_exp_occ_c,i_exp_occ_m)</f>
        <v/>
      </c>
      <c r="F128" s="21">
        <f>IF(F126=1,i_exp_occ_c,i_exp_occ_m)</f>
        <v/>
      </c>
      <c r="G128" s="21">
        <f>IF(G126=1,i_exp_occ_c,i_exp_occ_m)</f>
        <v/>
      </c>
      <c r="H128" s="21">
        <f>IF(H126=1,i_exp_occ_c,i_exp_occ_m)</f>
        <v/>
      </c>
      <c r="I128" s="21">
        <f>IF(I126=1,i_exp_occ_c,i_exp_occ_m)</f>
        <v/>
      </c>
      <c r="J128" s="21">
        <f>IF(J126=1,i_exp_occ_c,i_exp_occ_m)</f>
        <v/>
      </c>
      <c r="K128" s="21">
        <f>IF(K126=1,i_exp_occ_c,i_exp_occ_m)</f>
        <v/>
      </c>
      <c r="L128" s="21">
        <f>IF(L126=1,i_exp_occ_c,i_exp_occ_m)</f>
        <v/>
      </c>
      <c r="M128" s="21">
        <f>IF(M126=1,i_exp_occ_c,i_exp_occ_m)</f>
        <v/>
      </c>
      <c r="N128" s="21">
        <f>IF(N126=1,i_exp_occ_c,i_exp_occ_m)</f>
        <v/>
      </c>
      <c r="O128" s="21">
        <f>IF(O126=1,i_exp_occ_c,i_exp_occ_m)</f>
        <v/>
      </c>
      <c r="P128" s="21">
        <f>IF(P126=1,i_exp_occ_c,i_exp_occ_m)</f>
        <v/>
      </c>
      <c r="Q128" s="21">
        <f>IF(Q126=1,i_exp_occ_c,i_exp_occ_m)</f>
        <v/>
      </c>
      <c r="R128" s="21">
        <f>IF(R126=1,i_exp_occ_c,i_exp_occ_m)</f>
        <v/>
      </c>
      <c r="S128" s="21">
        <f>IF(S126=1,i_exp_occ_c,i_exp_occ_m)</f>
        <v/>
      </c>
      <c r="T128" s="21">
        <f>IF(T126=1,i_exp_occ_c,i_exp_occ_m)</f>
        <v/>
      </c>
      <c r="U128" s="21">
        <f>IF(U126=1,i_exp_occ_c,i_exp_occ_m)</f>
        <v/>
      </c>
      <c r="V128" s="21">
        <f>IF(V126=1,i_exp_occ_c,i_exp_occ_m)</f>
        <v/>
      </c>
      <c r="W128" s="21">
        <f>IF(W126=1,i_exp_occ_c,i_exp_occ_m)</f>
        <v/>
      </c>
      <c r="X128" s="21">
        <f>IF(X126=1,i_exp_occ_c,i_exp_occ_m)</f>
        <v/>
      </c>
      <c r="Y128" s="21">
        <f>IF(Y126=1,i_exp_occ_c,i_exp_occ_m)</f>
        <v/>
      </c>
      <c r="Z128" s="21">
        <f>IF(Z126=1,i_exp_occ_c,i_exp_occ_m)</f>
        <v/>
      </c>
      <c r="AA128" s="21">
        <f>IF(AA126=1,i_exp_occ_c,i_exp_occ_m)</f>
        <v/>
      </c>
      <c r="AB128" s="21">
        <f>IF(AB126=1,i_exp_occ_c,i_exp_occ_m)</f>
        <v/>
      </c>
      <c r="AC128" s="21">
        <f>IF(AC126=1,i_exp_occ_c,i_exp_occ_m)</f>
        <v/>
      </c>
      <c r="AD128" s="21">
        <f>IF(AD126=1,i_exp_occ_c,i_exp_occ_m)</f>
        <v/>
      </c>
      <c r="AE128" s="21">
        <f>IF(AE126=1,i_exp_occ_c,i_exp_occ_m)</f>
        <v/>
      </c>
      <c r="AF128" s="21">
        <f>IF(AF126=1,i_exp_occ_c,i_exp_occ_m)</f>
        <v/>
      </c>
      <c r="AG128" s="21">
        <f>IF(AG126=1,i_exp_occ_c,i_exp_occ_m)</f>
        <v/>
      </c>
      <c r="AH128" s="21">
        <f>IF(AH126=1,i_exp_occ_c,i_exp_occ_m)</f>
        <v/>
      </c>
      <c r="AI128" s="21">
        <f>IF(AI126=1,i_exp_occ_c,i_exp_occ_m)</f>
        <v/>
      </c>
    </row>
    <row r="129">
      <c r="B129" s="2" t="inlineStr">
        <is>
          <t xml:space="preserve">  Storage revenue</t>
        </is>
      </c>
      <c r="D129" s="19">
        <f>D125*i_exp_cap*D127*12*D128</f>
        <v/>
      </c>
      <c r="E129" s="19">
        <f>E125*i_exp_cap*E127*12*E128</f>
        <v/>
      </c>
      <c r="F129" s="19">
        <f>F125*i_exp_cap*F127*12*F128</f>
        <v/>
      </c>
      <c r="G129" s="19">
        <f>G125*i_exp_cap*G127*12*G128</f>
        <v/>
      </c>
      <c r="H129" s="19">
        <f>H125*i_exp_cap*H127*12*H128</f>
        <v/>
      </c>
      <c r="I129" s="19">
        <f>I125*i_exp_cap*I127*12*I128</f>
        <v/>
      </c>
      <c r="J129" s="19">
        <f>J125*i_exp_cap*J127*12*J128</f>
        <v/>
      </c>
      <c r="K129" s="19">
        <f>K125*i_exp_cap*K127*12*K128</f>
        <v/>
      </c>
      <c r="L129" s="19">
        <f>L125*i_exp_cap*L127*12*L128</f>
        <v/>
      </c>
      <c r="M129" s="19">
        <f>M125*i_exp_cap*M127*12*M128</f>
        <v/>
      </c>
      <c r="N129" s="19">
        <f>N125*i_exp_cap*N127*12*N128</f>
        <v/>
      </c>
      <c r="O129" s="19">
        <f>O125*i_exp_cap*O127*12*O128</f>
        <v/>
      </c>
      <c r="P129" s="19">
        <f>P125*i_exp_cap*P127*12*P128</f>
        <v/>
      </c>
      <c r="Q129" s="19">
        <f>Q125*i_exp_cap*Q127*12*Q128</f>
        <v/>
      </c>
      <c r="R129" s="19">
        <f>R125*i_exp_cap*R127*12*R128</f>
        <v/>
      </c>
      <c r="S129" s="19">
        <f>S125*i_exp_cap*S127*12*S128</f>
        <v/>
      </c>
      <c r="T129" s="19">
        <f>T125*i_exp_cap*T127*12*T128</f>
        <v/>
      </c>
      <c r="U129" s="19">
        <f>U125*i_exp_cap*U127*12*U128</f>
        <v/>
      </c>
      <c r="V129" s="19">
        <f>V125*i_exp_cap*V127*12*V128</f>
        <v/>
      </c>
      <c r="W129" s="19">
        <f>W125*i_exp_cap*W127*12*W128</f>
        <v/>
      </c>
      <c r="X129" s="19">
        <f>X125*i_exp_cap*X127*12*X128</f>
        <v/>
      </c>
      <c r="Y129" s="19">
        <f>Y125*i_exp_cap*Y127*12*Y128</f>
        <v/>
      </c>
      <c r="Z129" s="19">
        <f>Z125*i_exp_cap*Z127*12*Z128</f>
        <v/>
      </c>
      <c r="AA129" s="19">
        <f>AA125*i_exp_cap*AA127*12*AA128</f>
        <v/>
      </c>
      <c r="AB129" s="19">
        <f>AB125*i_exp_cap*AB127*12*AB128</f>
        <v/>
      </c>
      <c r="AC129" s="19">
        <f>AC125*i_exp_cap*AC127*12*AC128</f>
        <v/>
      </c>
      <c r="AD129" s="19">
        <f>AD125*i_exp_cap*AD127*12*AD128</f>
        <v/>
      </c>
      <c r="AE129" s="19">
        <f>AE125*i_exp_cap*AE127*12*AE128</f>
        <v/>
      </c>
      <c r="AF129" s="19">
        <f>AF125*i_exp_cap*AF127*12*AF128</f>
        <v/>
      </c>
      <c r="AG129" s="19">
        <f>AG125*i_exp_cap*AG127*12*AG128</f>
        <v/>
      </c>
      <c r="AH129" s="19">
        <f>AH125*i_exp_cap*AH127*12*AH128</f>
        <v/>
      </c>
      <c r="AI129" s="19">
        <f>AI125*i_exp_cap*AI127*12*AI128</f>
        <v/>
      </c>
    </row>
    <row r="130">
      <c r="B130" s="3" t="inlineStr">
        <is>
          <t xml:space="preserve">  Revenue</t>
        </is>
      </c>
      <c r="D130" s="31">
        <f>D129*(1+i_exp_anc)</f>
        <v/>
      </c>
      <c r="E130" s="31">
        <f>E129*(1+i_exp_anc)</f>
        <v/>
      </c>
      <c r="F130" s="31">
        <f>F129*(1+i_exp_anc)</f>
        <v/>
      </c>
      <c r="G130" s="31">
        <f>G129*(1+i_exp_anc)</f>
        <v/>
      </c>
      <c r="H130" s="31">
        <f>H129*(1+i_exp_anc)</f>
        <v/>
      </c>
      <c r="I130" s="31">
        <f>I129*(1+i_exp_anc)</f>
        <v/>
      </c>
      <c r="J130" s="31">
        <f>J129*(1+i_exp_anc)</f>
        <v/>
      </c>
      <c r="K130" s="31">
        <f>K129*(1+i_exp_anc)</f>
        <v/>
      </c>
      <c r="L130" s="31">
        <f>L129*(1+i_exp_anc)</f>
        <v/>
      </c>
      <c r="M130" s="31">
        <f>M129*(1+i_exp_anc)</f>
        <v/>
      </c>
      <c r="N130" s="31">
        <f>N129*(1+i_exp_anc)</f>
        <v/>
      </c>
      <c r="O130" s="31">
        <f>O129*(1+i_exp_anc)</f>
        <v/>
      </c>
      <c r="P130" s="31">
        <f>P129*(1+i_exp_anc)</f>
        <v/>
      </c>
      <c r="Q130" s="31">
        <f>Q129*(1+i_exp_anc)</f>
        <v/>
      </c>
      <c r="R130" s="31">
        <f>R129*(1+i_exp_anc)</f>
        <v/>
      </c>
      <c r="S130" s="31">
        <f>S129*(1+i_exp_anc)</f>
        <v/>
      </c>
      <c r="T130" s="31">
        <f>T129*(1+i_exp_anc)</f>
        <v/>
      </c>
      <c r="U130" s="31">
        <f>U129*(1+i_exp_anc)</f>
        <v/>
      </c>
      <c r="V130" s="31">
        <f>V129*(1+i_exp_anc)</f>
        <v/>
      </c>
      <c r="W130" s="31">
        <f>W129*(1+i_exp_anc)</f>
        <v/>
      </c>
      <c r="X130" s="31">
        <f>X129*(1+i_exp_anc)</f>
        <v/>
      </c>
      <c r="Y130" s="31">
        <f>Y129*(1+i_exp_anc)</f>
        <v/>
      </c>
      <c r="Z130" s="31">
        <f>Z129*(1+i_exp_anc)</f>
        <v/>
      </c>
      <c r="AA130" s="31">
        <f>AA129*(1+i_exp_anc)</f>
        <v/>
      </c>
      <c r="AB130" s="31">
        <f>AB129*(1+i_exp_anc)</f>
        <v/>
      </c>
      <c r="AC130" s="31">
        <f>AC129*(1+i_exp_anc)</f>
        <v/>
      </c>
      <c r="AD130" s="31">
        <f>AD129*(1+i_exp_anc)</f>
        <v/>
      </c>
      <c r="AE130" s="31">
        <f>AE129*(1+i_exp_anc)</f>
        <v/>
      </c>
      <c r="AF130" s="31">
        <f>AF129*(1+i_exp_anc)</f>
        <v/>
      </c>
      <c r="AG130" s="31">
        <f>AG129*(1+i_exp_anc)</f>
        <v/>
      </c>
      <c r="AH130" s="31">
        <f>AH129*(1+i_exp_anc)</f>
        <v/>
      </c>
      <c r="AI130" s="31">
        <f>AI129*(1+i_exp_anc)</f>
        <v/>
      </c>
    </row>
    <row r="131">
      <c r="B131" s="2" t="inlineStr">
        <is>
          <t xml:space="preserve">  Operating cost</t>
        </is>
      </c>
      <c r="D131" s="19">
        <f>D125*i_exp_fix*i_exp_cap*D57+i_exp_var*D130</f>
        <v/>
      </c>
      <c r="E131" s="19">
        <f>E125*i_exp_fix*i_exp_cap*E57+i_exp_var*E130</f>
        <v/>
      </c>
      <c r="F131" s="19">
        <f>F125*i_exp_fix*i_exp_cap*F57+i_exp_var*F130</f>
        <v/>
      </c>
      <c r="G131" s="19">
        <f>G125*i_exp_fix*i_exp_cap*G57+i_exp_var*G130</f>
        <v/>
      </c>
      <c r="H131" s="19">
        <f>H125*i_exp_fix*i_exp_cap*H57+i_exp_var*H130</f>
        <v/>
      </c>
      <c r="I131" s="19">
        <f>I125*i_exp_fix*i_exp_cap*I57+i_exp_var*I130</f>
        <v/>
      </c>
      <c r="J131" s="19">
        <f>J125*i_exp_fix*i_exp_cap*J57+i_exp_var*J130</f>
        <v/>
      </c>
      <c r="K131" s="19">
        <f>K125*i_exp_fix*i_exp_cap*K57+i_exp_var*K130</f>
        <v/>
      </c>
      <c r="L131" s="19">
        <f>L125*i_exp_fix*i_exp_cap*L57+i_exp_var*L130</f>
        <v/>
      </c>
      <c r="M131" s="19">
        <f>M125*i_exp_fix*i_exp_cap*M57+i_exp_var*M130</f>
        <v/>
      </c>
      <c r="N131" s="19">
        <f>N125*i_exp_fix*i_exp_cap*N57+i_exp_var*N130</f>
        <v/>
      </c>
      <c r="O131" s="19">
        <f>O125*i_exp_fix*i_exp_cap*O57+i_exp_var*O130</f>
        <v/>
      </c>
      <c r="P131" s="19">
        <f>P125*i_exp_fix*i_exp_cap*P57+i_exp_var*P130</f>
        <v/>
      </c>
      <c r="Q131" s="19">
        <f>Q125*i_exp_fix*i_exp_cap*Q57+i_exp_var*Q130</f>
        <v/>
      </c>
      <c r="R131" s="19">
        <f>R125*i_exp_fix*i_exp_cap*R57+i_exp_var*R130</f>
        <v/>
      </c>
      <c r="S131" s="19">
        <f>S125*i_exp_fix*i_exp_cap*S57+i_exp_var*S130</f>
        <v/>
      </c>
      <c r="T131" s="19">
        <f>T125*i_exp_fix*i_exp_cap*T57+i_exp_var*T130</f>
        <v/>
      </c>
      <c r="U131" s="19">
        <f>U125*i_exp_fix*i_exp_cap*U57+i_exp_var*U130</f>
        <v/>
      </c>
      <c r="V131" s="19">
        <f>V125*i_exp_fix*i_exp_cap*V57+i_exp_var*V130</f>
        <v/>
      </c>
      <c r="W131" s="19">
        <f>W125*i_exp_fix*i_exp_cap*W57+i_exp_var*W130</f>
        <v/>
      </c>
      <c r="X131" s="19">
        <f>X125*i_exp_fix*i_exp_cap*X57+i_exp_var*X130</f>
        <v/>
      </c>
      <c r="Y131" s="19">
        <f>Y125*i_exp_fix*i_exp_cap*Y57+i_exp_var*Y130</f>
        <v/>
      </c>
      <c r="Z131" s="19">
        <f>Z125*i_exp_fix*i_exp_cap*Z57+i_exp_var*Z130</f>
        <v/>
      </c>
      <c r="AA131" s="19">
        <f>AA125*i_exp_fix*i_exp_cap*AA57+i_exp_var*AA130</f>
        <v/>
      </c>
      <c r="AB131" s="19">
        <f>AB125*i_exp_fix*i_exp_cap*AB57+i_exp_var*AB130</f>
        <v/>
      </c>
      <c r="AC131" s="19">
        <f>AC125*i_exp_fix*i_exp_cap*AC57+i_exp_var*AC130</f>
        <v/>
      </c>
      <c r="AD131" s="19">
        <f>AD125*i_exp_fix*i_exp_cap*AD57+i_exp_var*AD130</f>
        <v/>
      </c>
      <c r="AE131" s="19">
        <f>AE125*i_exp_fix*i_exp_cap*AE57+i_exp_var*AE130</f>
        <v/>
      </c>
      <c r="AF131" s="19">
        <f>AF125*i_exp_fix*i_exp_cap*AF57+i_exp_var*AF130</f>
        <v/>
      </c>
      <c r="AG131" s="19">
        <f>AG125*i_exp_fix*i_exp_cap*AG57+i_exp_var*AG130</f>
        <v/>
      </c>
      <c r="AH131" s="19">
        <f>AH125*i_exp_fix*i_exp_cap*AH57+i_exp_var*AH130</f>
        <v/>
      </c>
      <c r="AI131" s="19">
        <f>AI125*i_exp_fix*i_exp_cap*AI57+i_exp_var*AI130</f>
        <v/>
      </c>
    </row>
    <row r="132">
      <c r="B132" s="3" t="inlineStr">
        <is>
          <t xml:space="preserve">  EBITDA</t>
        </is>
      </c>
      <c r="D132" s="31">
        <f>D130-D131</f>
        <v/>
      </c>
      <c r="E132" s="31">
        <f>E130-E131</f>
        <v/>
      </c>
      <c r="F132" s="31">
        <f>F130-F131</f>
        <v/>
      </c>
      <c r="G132" s="31">
        <f>G130-G131</f>
        <v/>
      </c>
      <c r="H132" s="31">
        <f>H130-H131</f>
        <v/>
      </c>
      <c r="I132" s="31">
        <f>I130-I131</f>
        <v/>
      </c>
      <c r="J132" s="31">
        <f>J130-J131</f>
        <v/>
      </c>
      <c r="K132" s="31">
        <f>K130-K131</f>
        <v/>
      </c>
      <c r="L132" s="31">
        <f>L130-L131</f>
        <v/>
      </c>
      <c r="M132" s="31">
        <f>M130-M131</f>
        <v/>
      </c>
      <c r="N132" s="31">
        <f>N130-N131</f>
        <v/>
      </c>
      <c r="O132" s="31">
        <f>O130-O131</f>
        <v/>
      </c>
      <c r="P132" s="31">
        <f>P130-P131</f>
        <v/>
      </c>
      <c r="Q132" s="31">
        <f>Q130-Q131</f>
        <v/>
      </c>
      <c r="R132" s="31">
        <f>R130-R131</f>
        <v/>
      </c>
      <c r="S132" s="31">
        <f>S130-S131</f>
        <v/>
      </c>
      <c r="T132" s="31">
        <f>T130-T131</f>
        <v/>
      </c>
      <c r="U132" s="31">
        <f>U130-U131</f>
        <v/>
      </c>
      <c r="V132" s="31">
        <f>V130-V131</f>
        <v/>
      </c>
      <c r="W132" s="31">
        <f>W130-W131</f>
        <v/>
      </c>
      <c r="X132" s="31">
        <f>X130-X131</f>
        <v/>
      </c>
      <c r="Y132" s="31">
        <f>Y130-Y131</f>
        <v/>
      </c>
      <c r="Z132" s="31">
        <f>Z130-Z131</f>
        <v/>
      </c>
      <c r="AA132" s="31">
        <f>AA130-AA131</f>
        <v/>
      </c>
      <c r="AB132" s="31">
        <f>AB130-AB131</f>
        <v/>
      </c>
      <c r="AC132" s="31">
        <f>AC130-AC131</f>
        <v/>
      </c>
      <c r="AD132" s="31">
        <f>AD130-AD131</f>
        <v/>
      </c>
      <c r="AE132" s="31">
        <f>AE130-AE131</f>
        <v/>
      </c>
      <c r="AF132" s="31">
        <f>AF130-AF131</f>
        <v/>
      </c>
      <c r="AG132" s="31">
        <f>AG130-AG131</f>
        <v/>
      </c>
      <c r="AH132" s="31">
        <f>AH130-AH131</f>
        <v/>
      </c>
      <c r="AI132" s="31">
        <f>AI130-AI131</f>
        <v/>
      </c>
    </row>
    <row r="133">
      <c r="B133" s="2" t="inlineStr">
        <is>
          <t xml:space="preserve">  Maintenance capex</t>
        </is>
      </c>
      <c r="D133" s="19">
        <f>D125*i_exp_mc*i_exp_cap*D57</f>
        <v/>
      </c>
      <c r="E133" s="19">
        <f>E125*i_exp_mc*i_exp_cap*E57</f>
        <v/>
      </c>
      <c r="F133" s="19">
        <f>F125*i_exp_mc*i_exp_cap*F57</f>
        <v/>
      </c>
      <c r="G133" s="19">
        <f>G125*i_exp_mc*i_exp_cap*G57</f>
        <v/>
      </c>
      <c r="H133" s="19">
        <f>H125*i_exp_mc*i_exp_cap*H57</f>
        <v/>
      </c>
      <c r="I133" s="19">
        <f>I125*i_exp_mc*i_exp_cap*I57</f>
        <v/>
      </c>
      <c r="J133" s="19">
        <f>J125*i_exp_mc*i_exp_cap*J57</f>
        <v/>
      </c>
      <c r="K133" s="19">
        <f>K125*i_exp_mc*i_exp_cap*K57</f>
        <v/>
      </c>
      <c r="L133" s="19">
        <f>L125*i_exp_mc*i_exp_cap*L57</f>
        <v/>
      </c>
      <c r="M133" s="19">
        <f>M125*i_exp_mc*i_exp_cap*M57</f>
        <v/>
      </c>
      <c r="N133" s="19">
        <f>N125*i_exp_mc*i_exp_cap*N57</f>
        <v/>
      </c>
      <c r="O133" s="19">
        <f>O125*i_exp_mc*i_exp_cap*O57</f>
        <v/>
      </c>
      <c r="P133" s="19">
        <f>P125*i_exp_mc*i_exp_cap*P57</f>
        <v/>
      </c>
      <c r="Q133" s="19">
        <f>Q125*i_exp_mc*i_exp_cap*Q57</f>
        <v/>
      </c>
      <c r="R133" s="19">
        <f>R125*i_exp_mc*i_exp_cap*R57</f>
        <v/>
      </c>
      <c r="S133" s="19">
        <f>S125*i_exp_mc*i_exp_cap*S57</f>
        <v/>
      </c>
      <c r="T133" s="19">
        <f>T125*i_exp_mc*i_exp_cap*T57</f>
        <v/>
      </c>
      <c r="U133" s="19">
        <f>U125*i_exp_mc*i_exp_cap*U57</f>
        <v/>
      </c>
      <c r="V133" s="19">
        <f>V125*i_exp_mc*i_exp_cap*V57</f>
        <v/>
      </c>
      <c r="W133" s="19">
        <f>W125*i_exp_mc*i_exp_cap*W57</f>
        <v/>
      </c>
      <c r="X133" s="19">
        <f>X125*i_exp_mc*i_exp_cap*X57</f>
        <v/>
      </c>
      <c r="Y133" s="19">
        <f>Y125*i_exp_mc*i_exp_cap*Y57</f>
        <v/>
      </c>
      <c r="Z133" s="19">
        <f>Z125*i_exp_mc*i_exp_cap*Z57</f>
        <v/>
      </c>
      <c r="AA133" s="19">
        <f>AA125*i_exp_mc*i_exp_cap*AA57</f>
        <v/>
      </c>
      <c r="AB133" s="19">
        <f>AB125*i_exp_mc*i_exp_cap*AB57</f>
        <v/>
      </c>
      <c r="AC133" s="19">
        <f>AC125*i_exp_mc*i_exp_cap*AC57</f>
        <v/>
      </c>
      <c r="AD133" s="19">
        <f>AD125*i_exp_mc*i_exp_cap*AD57</f>
        <v/>
      </c>
      <c r="AE133" s="19">
        <f>AE125*i_exp_mc*i_exp_cap*AE57</f>
        <v/>
      </c>
      <c r="AF133" s="19">
        <f>AF125*i_exp_mc*i_exp_cap*AF57</f>
        <v/>
      </c>
      <c r="AG133" s="19">
        <f>AG125*i_exp_mc*i_exp_cap*AG57</f>
        <v/>
      </c>
      <c r="AH133" s="19">
        <f>AH125*i_exp_mc*i_exp_cap*AH57</f>
        <v/>
      </c>
      <c r="AI133" s="19">
        <f>AI125*i_exp_mc*i_exp_cap*AI57</f>
        <v/>
      </c>
    </row>
    <row r="135">
      <c r="B135" s="5" t="inlineStr">
        <is>
          <t>Consolidated</t>
        </is>
      </c>
    </row>
    <row r="136">
      <c r="B136" s="2" t="inlineStr">
        <is>
          <t>Revenue</t>
        </is>
      </c>
      <c r="D136" s="19">
        <f>D70+D86+D101+D116+D130</f>
        <v/>
      </c>
      <c r="E136" s="19">
        <f>E70+E86+E101+E116+E130</f>
        <v/>
      </c>
      <c r="F136" s="19">
        <f>F70+F86+F101+F116+F130</f>
        <v/>
      </c>
      <c r="G136" s="19">
        <f>G70+G86+G101+G116+G130</f>
        <v/>
      </c>
      <c r="H136" s="19">
        <f>H70+H86+H101+H116+H130</f>
        <v/>
      </c>
      <c r="I136" s="19">
        <f>I70+I86+I101+I116+I130</f>
        <v/>
      </c>
      <c r="J136" s="19">
        <f>J70+J86+J101+J116+J130</f>
        <v/>
      </c>
      <c r="K136" s="19">
        <f>K70+K86+K101+K116+K130</f>
        <v/>
      </c>
      <c r="L136" s="19">
        <f>L70+L86+L101+L116+L130</f>
        <v/>
      </c>
      <c r="M136" s="19">
        <f>M70+M86+M101+M116+M130</f>
        <v/>
      </c>
      <c r="N136" s="19">
        <f>N70+N86+N101+N116+N130</f>
        <v/>
      </c>
      <c r="O136" s="19">
        <f>O70+O86+O101+O116+O130</f>
        <v/>
      </c>
      <c r="P136" s="19">
        <f>P70+P86+P101+P116+P130</f>
        <v/>
      </c>
      <c r="Q136" s="19">
        <f>Q70+Q86+Q101+Q116+Q130</f>
        <v/>
      </c>
      <c r="R136" s="19">
        <f>R70+R86+R101+R116+R130</f>
        <v/>
      </c>
      <c r="S136" s="19">
        <f>S70+S86+S101+S116+S130</f>
        <v/>
      </c>
      <c r="T136" s="19">
        <f>T70+T86+T101+T116+T130</f>
        <v/>
      </c>
      <c r="U136" s="19">
        <f>U70+U86+U101+U116+U130</f>
        <v/>
      </c>
      <c r="V136" s="19">
        <f>V70+V86+V101+V116+V130</f>
        <v/>
      </c>
      <c r="W136" s="19">
        <f>W70+W86+W101+W116+W130</f>
        <v/>
      </c>
      <c r="X136" s="19">
        <f>X70+X86+X101+X116+X130</f>
        <v/>
      </c>
      <c r="Y136" s="19">
        <f>Y70+Y86+Y101+Y116+Y130</f>
        <v/>
      </c>
      <c r="Z136" s="19">
        <f>Z70+Z86+Z101+Z116+Z130</f>
        <v/>
      </c>
      <c r="AA136" s="19">
        <f>AA70+AA86+AA101+AA116+AA130</f>
        <v/>
      </c>
      <c r="AB136" s="19">
        <f>AB70+AB86+AB101+AB116+AB130</f>
        <v/>
      </c>
      <c r="AC136" s="19">
        <f>AC70+AC86+AC101+AC116+AC130</f>
        <v/>
      </c>
      <c r="AD136" s="19">
        <f>AD70+AD86+AD101+AD116+AD130</f>
        <v/>
      </c>
      <c r="AE136" s="19">
        <f>AE70+AE86+AE101+AE116+AE130</f>
        <v/>
      </c>
      <c r="AF136" s="19">
        <f>AF70+AF86+AF101+AF116+AF130</f>
        <v/>
      </c>
      <c r="AG136" s="19">
        <f>AG70+AG86+AG101+AG116+AG130</f>
        <v/>
      </c>
      <c r="AH136" s="19">
        <f>AH70+AH86+AH101+AH116+AH130</f>
        <v/>
      </c>
      <c r="AI136" s="19">
        <f>AI70+AI86+AI101+AI116+AI130</f>
        <v/>
      </c>
    </row>
    <row r="137">
      <c r="B137" s="2" t="inlineStr">
        <is>
          <t>Business unit EBITDA (with the expansion)</t>
        </is>
      </c>
      <c r="D137" s="19">
        <f>D75+D90+D105+D121+D132</f>
        <v/>
      </c>
      <c r="E137" s="19">
        <f>E75+E90+E105+E121+E132</f>
        <v/>
      </c>
      <c r="F137" s="19">
        <f>F75+F90+F105+F121+F132</f>
        <v/>
      </c>
      <c r="G137" s="19">
        <f>G75+G90+G105+G121+G132</f>
        <v/>
      </c>
      <c r="H137" s="19">
        <f>H75+H90+H105+H121+H132</f>
        <v/>
      </c>
      <c r="I137" s="19">
        <f>I75+I90+I105+I121+I132</f>
        <v/>
      </c>
      <c r="J137" s="19">
        <f>J75+J90+J105+J121+J132</f>
        <v/>
      </c>
      <c r="K137" s="19">
        <f>K75+K90+K105+K121+K132</f>
        <v/>
      </c>
      <c r="L137" s="19">
        <f>L75+L90+L105+L121+L132</f>
        <v/>
      </c>
      <c r="M137" s="19">
        <f>M75+M90+M105+M121+M132</f>
        <v/>
      </c>
      <c r="N137" s="19">
        <f>N75+N90+N105+N121+N132</f>
        <v/>
      </c>
      <c r="O137" s="19">
        <f>O75+O90+O105+O121+O132</f>
        <v/>
      </c>
      <c r="P137" s="19">
        <f>P75+P90+P105+P121+P132</f>
        <v/>
      </c>
      <c r="Q137" s="19">
        <f>Q75+Q90+Q105+Q121+Q132</f>
        <v/>
      </c>
      <c r="R137" s="19">
        <f>R75+R90+R105+R121+R132</f>
        <v/>
      </c>
      <c r="S137" s="19">
        <f>S75+S90+S105+S121+S132</f>
        <v/>
      </c>
      <c r="T137" s="19">
        <f>T75+T90+T105+T121+T132</f>
        <v/>
      </c>
      <c r="U137" s="19">
        <f>U75+U90+U105+U121+U132</f>
        <v/>
      </c>
      <c r="V137" s="19">
        <f>V75+V90+V105+V121+V132</f>
        <v/>
      </c>
      <c r="W137" s="19">
        <f>W75+W90+W105+W121+W132</f>
        <v/>
      </c>
      <c r="X137" s="19">
        <f>X75+X90+X105+X121+X132</f>
        <v/>
      </c>
      <c r="Y137" s="19">
        <f>Y75+Y90+Y105+Y121+Y132</f>
        <v/>
      </c>
      <c r="Z137" s="19">
        <f>Z75+Z90+Z105+Z121+Z132</f>
        <v/>
      </c>
      <c r="AA137" s="19">
        <f>AA75+AA90+AA105+AA121+AA132</f>
        <v/>
      </c>
      <c r="AB137" s="19">
        <f>AB75+AB90+AB105+AB121+AB132</f>
        <v/>
      </c>
      <c r="AC137" s="19">
        <f>AC75+AC90+AC105+AC121+AC132</f>
        <v/>
      </c>
      <c r="AD137" s="19">
        <f>AD75+AD90+AD105+AD121+AD132</f>
        <v/>
      </c>
      <c r="AE137" s="19">
        <f>AE75+AE90+AE105+AE121+AE132</f>
        <v/>
      </c>
      <c r="AF137" s="19">
        <f>AF75+AF90+AF105+AF121+AF132</f>
        <v/>
      </c>
      <c r="AG137" s="19">
        <f>AG75+AG90+AG105+AG121+AG132</f>
        <v/>
      </c>
      <c r="AH137" s="19">
        <f>AH75+AH90+AH105+AH121+AH132</f>
        <v/>
      </c>
      <c r="AI137" s="19">
        <f>AI75+AI90+AI105+AI121+AI132</f>
        <v/>
      </c>
    </row>
    <row r="138">
      <c r="B138" s="2" t="inlineStr">
        <is>
          <t>Corporate costs</t>
        </is>
      </c>
      <c r="D138" s="19">
        <f>i_corp*D57*IF(OR(Diligence!$C$54=1,D$3&lt;=i_conc_end),1,i_corp_after_w)+IF(D$3&gt;=i_mitig_start,Diligence!$C$56*D57,0)</f>
        <v/>
      </c>
      <c r="E138" s="19">
        <f>i_corp*E57*IF(OR(Diligence!$C$54=1,E$3&lt;=i_conc_end),1,i_corp_after_w)+IF(E$3&gt;=i_mitig_start,Diligence!$C$56*E57,0)</f>
        <v/>
      </c>
      <c r="F138" s="19">
        <f>i_corp*F57*IF(OR(Diligence!$C$54=1,F$3&lt;=i_conc_end),1,i_corp_after_w)+IF(F$3&gt;=i_mitig_start,Diligence!$C$56*F57,0)</f>
        <v/>
      </c>
      <c r="G138" s="19">
        <f>i_corp*G57*IF(OR(Diligence!$C$54=1,G$3&lt;=i_conc_end),1,i_corp_after_w)+IF(G$3&gt;=i_mitig_start,Diligence!$C$56*G57,0)</f>
        <v/>
      </c>
      <c r="H138" s="19">
        <f>i_corp*H57*IF(OR(Diligence!$C$54=1,H$3&lt;=i_conc_end),1,i_corp_after_w)+IF(H$3&gt;=i_mitig_start,Diligence!$C$56*H57,0)</f>
        <v/>
      </c>
      <c r="I138" s="19">
        <f>i_corp*I57*IF(OR(Diligence!$C$54=1,I$3&lt;=i_conc_end),1,i_corp_after_w)+IF(I$3&gt;=i_mitig_start,Diligence!$C$56*I57,0)</f>
        <v/>
      </c>
      <c r="J138" s="19">
        <f>i_corp*J57*IF(OR(Diligence!$C$54=1,J$3&lt;=i_conc_end),1,i_corp_after_w)+IF(J$3&gt;=i_mitig_start,Diligence!$C$56*J57,0)</f>
        <v/>
      </c>
      <c r="K138" s="19">
        <f>i_corp*K57*IF(OR(Diligence!$C$54=1,K$3&lt;=i_conc_end),1,i_corp_after_w)+IF(K$3&gt;=i_mitig_start,Diligence!$C$56*K57,0)</f>
        <v/>
      </c>
      <c r="L138" s="19">
        <f>i_corp*L57*IF(OR(Diligence!$C$54=1,L$3&lt;=i_conc_end),1,i_corp_after_w)+IF(L$3&gt;=i_mitig_start,Diligence!$C$56*L57,0)</f>
        <v/>
      </c>
      <c r="M138" s="19">
        <f>i_corp*M57*IF(OR(Diligence!$C$54=1,M$3&lt;=i_conc_end),1,i_corp_after_w)+IF(M$3&gt;=i_mitig_start,Diligence!$C$56*M57,0)</f>
        <v/>
      </c>
      <c r="N138" s="19">
        <f>i_corp*N57*IF(OR(Diligence!$C$54=1,N$3&lt;=i_conc_end),1,i_corp_after_w)+IF(N$3&gt;=i_mitig_start,Diligence!$C$56*N57,0)</f>
        <v/>
      </c>
      <c r="O138" s="19">
        <f>i_corp*O57*IF(OR(Diligence!$C$54=1,O$3&lt;=i_conc_end),1,i_corp_after_w)+IF(O$3&gt;=i_mitig_start,Diligence!$C$56*O57,0)</f>
        <v/>
      </c>
      <c r="P138" s="19">
        <f>i_corp*P57*IF(OR(Diligence!$C$54=1,P$3&lt;=i_conc_end),1,i_corp_after_w)+IF(P$3&gt;=i_mitig_start,Diligence!$C$56*P57,0)</f>
        <v/>
      </c>
      <c r="Q138" s="19">
        <f>i_corp*Q57*IF(OR(Diligence!$C$54=1,Q$3&lt;=i_conc_end),1,i_corp_after_w)+IF(Q$3&gt;=i_mitig_start,Diligence!$C$56*Q57,0)</f>
        <v/>
      </c>
      <c r="R138" s="19">
        <f>i_corp*R57*IF(OR(Diligence!$C$54=1,R$3&lt;=i_conc_end),1,i_corp_after_w)+IF(R$3&gt;=i_mitig_start,Diligence!$C$56*R57,0)</f>
        <v/>
      </c>
      <c r="S138" s="19">
        <f>i_corp*S57*IF(OR(Diligence!$C$54=1,S$3&lt;=i_conc_end),1,i_corp_after_w)+IF(S$3&gt;=i_mitig_start,Diligence!$C$56*S57,0)</f>
        <v/>
      </c>
      <c r="T138" s="19">
        <f>i_corp*T57*IF(OR(Diligence!$C$54=1,T$3&lt;=i_conc_end),1,i_corp_after_w)+IF(T$3&gt;=i_mitig_start,Diligence!$C$56*T57,0)</f>
        <v/>
      </c>
      <c r="U138" s="19">
        <f>i_corp*U57*IF(OR(Diligence!$C$54=1,U$3&lt;=i_conc_end),1,i_corp_after_w)+IF(U$3&gt;=i_mitig_start,Diligence!$C$56*U57,0)</f>
        <v/>
      </c>
      <c r="V138" s="19">
        <f>i_corp*V57*IF(OR(Diligence!$C$54=1,V$3&lt;=i_conc_end),1,i_corp_after_w)+IF(V$3&gt;=i_mitig_start,Diligence!$C$56*V57,0)</f>
        <v/>
      </c>
      <c r="W138" s="19">
        <f>i_corp*W57*IF(OR(Diligence!$C$54=1,W$3&lt;=i_conc_end),1,i_corp_after_w)+IF(W$3&gt;=i_mitig_start,Diligence!$C$56*W57,0)</f>
        <v/>
      </c>
      <c r="X138" s="19">
        <f>i_corp*X57*IF(OR(Diligence!$C$54=1,X$3&lt;=i_conc_end),1,i_corp_after_w)+IF(X$3&gt;=i_mitig_start,Diligence!$C$56*X57,0)</f>
        <v/>
      </c>
      <c r="Y138" s="19">
        <f>i_corp*Y57*IF(OR(Diligence!$C$54=1,Y$3&lt;=i_conc_end),1,i_corp_after_w)+IF(Y$3&gt;=i_mitig_start,Diligence!$C$56*Y57,0)</f>
        <v/>
      </c>
      <c r="Z138" s="19">
        <f>i_corp*Z57*IF(OR(Diligence!$C$54=1,Z$3&lt;=i_conc_end),1,i_corp_after_w)+IF(Z$3&gt;=i_mitig_start,Diligence!$C$56*Z57,0)</f>
        <v/>
      </c>
      <c r="AA138" s="19">
        <f>i_corp*AA57*IF(OR(Diligence!$C$54=1,AA$3&lt;=i_conc_end),1,i_corp_after_w)+IF(AA$3&gt;=i_mitig_start,Diligence!$C$56*AA57,0)</f>
        <v/>
      </c>
      <c r="AB138" s="19">
        <f>i_corp*AB57*IF(OR(Diligence!$C$54=1,AB$3&lt;=i_conc_end),1,i_corp_after_w)+IF(AB$3&gt;=i_mitig_start,Diligence!$C$56*AB57,0)</f>
        <v/>
      </c>
      <c r="AC138" s="19">
        <f>i_corp*AC57*IF(OR(Diligence!$C$54=1,AC$3&lt;=i_conc_end),1,i_corp_after_w)+IF(AC$3&gt;=i_mitig_start,Diligence!$C$56*AC57,0)</f>
        <v/>
      </c>
      <c r="AD138" s="19">
        <f>i_corp*AD57*IF(OR(Diligence!$C$54=1,AD$3&lt;=i_conc_end),1,i_corp_after_w)+IF(AD$3&gt;=i_mitig_start,Diligence!$C$56*AD57,0)</f>
        <v/>
      </c>
      <c r="AE138" s="19">
        <f>i_corp*AE57*IF(OR(Diligence!$C$54=1,AE$3&lt;=i_conc_end),1,i_corp_after_w)+IF(AE$3&gt;=i_mitig_start,Diligence!$C$56*AE57,0)</f>
        <v/>
      </c>
      <c r="AF138" s="19">
        <f>i_corp*AF57*IF(OR(Diligence!$C$54=1,AF$3&lt;=i_conc_end),1,i_corp_after_w)+IF(AF$3&gt;=i_mitig_start,Diligence!$C$56*AF57,0)</f>
        <v/>
      </c>
      <c r="AG138" s="19">
        <f>i_corp*AG57*IF(OR(Diligence!$C$54=1,AG$3&lt;=i_conc_end),1,i_corp_after_w)+IF(AG$3&gt;=i_mitig_start,Diligence!$C$56*AG57,0)</f>
        <v/>
      </c>
      <c r="AH138" s="19">
        <f>i_corp*AH57*IF(OR(Diligence!$C$54=1,AH$3&lt;=i_conc_end),1,i_corp_after_w)+IF(AH$3&gt;=i_mitig_start,Diligence!$C$56*AH57,0)</f>
        <v/>
      </c>
      <c r="AI138" s="19">
        <f>i_corp*AI57*IF(OR(Diligence!$C$54=1,AI$3&lt;=i_conc_end),1,i_corp_after_w)+IF(AI$3&gt;=i_mitig_start,Diligence!$C$56*AI57,0)</f>
        <v/>
      </c>
    </row>
    <row r="139">
      <c r="B139" s="3" t="inlineStr">
        <is>
          <t>EBITDA</t>
        </is>
      </c>
      <c r="D139" s="31">
        <f>D137-D138</f>
        <v/>
      </c>
      <c r="E139" s="31">
        <f>E137-E138</f>
        <v/>
      </c>
      <c r="F139" s="31">
        <f>F137-F138</f>
        <v/>
      </c>
      <c r="G139" s="31">
        <f>G137-G138</f>
        <v/>
      </c>
      <c r="H139" s="31">
        <f>H137-H138</f>
        <v/>
      </c>
      <c r="I139" s="31">
        <f>I137-I138</f>
        <v/>
      </c>
      <c r="J139" s="31">
        <f>J137-J138</f>
        <v/>
      </c>
      <c r="K139" s="31">
        <f>K137-K138</f>
        <v/>
      </c>
      <c r="L139" s="31">
        <f>L137-L138</f>
        <v/>
      </c>
      <c r="M139" s="31">
        <f>M137-M138</f>
        <v/>
      </c>
      <c r="N139" s="31">
        <f>N137-N138</f>
        <v/>
      </c>
      <c r="O139" s="31">
        <f>O137-O138</f>
        <v/>
      </c>
      <c r="P139" s="31">
        <f>P137-P138</f>
        <v/>
      </c>
      <c r="Q139" s="31">
        <f>Q137-Q138</f>
        <v/>
      </c>
      <c r="R139" s="31">
        <f>R137-R138</f>
        <v/>
      </c>
      <c r="S139" s="31">
        <f>S137-S138</f>
        <v/>
      </c>
      <c r="T139" s="31">
        <f>T137-T138</f>
        <v/>
      </c>
      <c r="U139" s="31">
        <f>U137-U138</f>
        <v/>
      </c>
      <c r="V139" s="31">
        <f>V137-V138</f>
        <v/>
      </c>
      <c r="W139" s="31">
        <f>W137-W138</f>
        <v/>
      </c>
      <c r="X139" s="31">
        <f>X137-X138</f>
        <v/>
      </c>
      <c r="Y139" s="31">
        <f>Y137-Y138</f>
        <v/>
      </c>
      <c r="Z139" s="31">
        <f>Z137-Z138</f>
        <v/>
      </c>
      <c r="AA139" s="31">
        <f>AA137-AA138</f>
        <v/>
      </c>
      <c r="AB139" s="31">
        <f>AB137-AB138</f>
        <v/>
      </c>
      <c r="AC139" s="31">
        <f>AC137-AC138</f>
        <v/>
      </c>
      <c r="AD139" s="31">
        <f>AD137-AD138</f>
        <v/>
      </c>
      <c r="AE139" s="31">
        <f>AE137-AE138</f>
        <v/>
      </c>
      <c r="AF139" s="31">
        <f>AF137-AF138</f>
        <v/>
      </c>
      <c r="AG139" s="31">
        <f>AG137-AG138</f>
        <v/>
      </c>
      <c r="AH139" s="31">
        <f>AH137-AH138</f>
        <v/>
      </c>
      <c r="AI139" s="31">
        <f>AI137-AI138</f>
        <v/>
      </c>
    </row>
    <row r="140">
      <c r="B140" s="2" t="inlineStr">
        <is>
          <t>Maintenance capex</t>
        </is>
      </c>
      <c r="D140" s="19">
        <f>D76+D91+D106+D122+D133</f>
        <v/>
      </c>
      <c r="E140" s="19">
        <f>E76+E91+E106+E122+E133</f>
        <v/>
      </c>
      <c r="F140" s="19">
        <f>F76+F91+F106+F122+F133</f>
        <v/>
      </c>
      <c r="G140" s="19">
        <f>G76+G91+G106+G122+G133</f>
        <v/>
      </c>
      <c r="H140" s="19">
        <f>H76+H91+H106+H122+H133</f>
        <v/>
      </c>
      <c r="I140" s="19">
        <f>I76+I91+I106+I122+I133</f>
        <v/>
      </c>
      <c r="J140" s="19">
        <f>J76+J91+J106+J122+J133</f>
        <v/>
      </c>
      <c r="K140" s="19">
        <f>K76+K91+K106+K122+K133</f>
        <v/>
      </c>
      <c r="L140" s="19">
        <f>L76+L91+L106+L122+L133</f>
        <v/>
      </c>
      <c r="M140" s="19">
        <f>M76+M91+M106+M122+M133</f>
        <v/>
      </c>
      <c r="N140" s="19">
        <f>N76+N91+N106+N122+N133</f>
        <v/>
      </c>
      <c r="O140" s="19">
        <f>O76+O91+O106+O122+O133</f>
        <v/>
      </c>
      <c r="P140" s="19">
        <f>P76+P91+P106+P122+P133</f>
        <v/>
      </c>
      <c r="Q140" s="19">
        <f>Q76+Q91+Q106+Q122+Q133</f>
        <v/>
      </c>
      <c r="R140" s="19">
        <f>R76+R91+R106+R122+R133</f>
        <v/>
      </c>
      <c r="S140" s="19">
        <f>S76+S91+S106+S122+S133</f>
        <v/>
      </c>
      <c r="T140" s="19">
        <f>T76+T91+T106+T122+T133</f>
        <v/>
      </c>
      <c r="U140" s="19">
        <f>U76+U91+U106+U122+U133</f>
        <v/>
      </c>
      <c r="V140" s="19">
        <f>V76+V91+V106+V122+V133</f>
        <v/>
      </c>
      <c r="W140" s="19">
        <f>W76+W91+W106+W122+W133</f>
        <v/>
      </c>
      <c r="X140" s="19">
        <f>X76+X91+X106+X122+X133</f>
        <v/>
      </c>
      <c r="Y140" s="19">
        <f>Y76+Y91+Y106+Y122+Y133</f>
        <v/>
      </c>
      <c r="Z140" s="19">
        <f>Z76+Z91+Z106+Z122+Z133</f>
        <v/>
      </c>
      <c r="AA140" s="19">
        <f>AA76+AA91+AA106+AA122+AA133</f>
        <v/>
      </c>
      <c r="AB140" s="19">
        <f>AB76+AB91+AB106+AB122+AB133</f>
        <v/>
      </c>
      <c r="AC140" s="19">
        <f>AC76+AC91+AC106+AC122+AC133</f>
        <v/>
      </c>
      <c r="AD140" s="19">
        <f>AD76+AD91+AD106+AD122+AD133</f>
        <v/>
      </c>
      <c r="AE140" s="19">
        <f>AE76+AE91+AE106+AE122+AE133</f>
        <v/>
      </c>
      <c r="AF140" s="19">
        <f>AF76+AF91+AF106+AF122+AF133</f>
        <v/>
      </c>
      <c r="AG140" s="19">
        <f>AG76+AG91+AG106+AG122+AG133</f>
        <v/>
      </c>
      <c r="AH140" s="19">
        <f>AH76+AH91+AH106+AH122+AH133</f>
        <v/>
      </c>
      <c r="AI140" s="19">
        <f>AI76+AI91+AI106+AI122+AI133</f>
        <v/>
      </c>
    </row>
    <row r="141">
      <c r="B141" s="2" t="inlineStr">
        <is>
          <t>Growth capex</t>
        </is>
      </c>
      <c r="D141" s="19">
        <f>D124</f>
        <v/>
      </c>
      <c r="E141" s="19">
        <f>E124</f>
        <v/>
      </c>
      <c r="F141" s="19">
        <f>F124</f>
        <v/>
      </c>
      <c r="G141" s="19">
        <f>G124</f>
        <v/>
      </c>
      <c r="H141" s="19">
        <f>H124</f>
        <v/>
      </c>
      <c r="I141" s="19">
        <f>I124</f>
        <v/>
      </c>
      <c r="J141" s="19">
        <f>J124</f>
        <v/>
      </c>
      <c r="K141" s="19">
        <f>K124</f>
        <v/>
      </c>
      <c r="L141" s="19">
        <f>L124</f>
        <v/>
      </c>
      <c r="M141" s="19">
        <f>M124</f>
        <v/>
      </c>
      <c r="N141" s="19">
        <f>N124</f>
        <v/>
      </c>
      <c r="O141" s="19">
        <f>O124</f>
        <v/>
      </c>
      <c r="P141" s="19">
        <f>P124</f>
        <v/>
      </c>
      <c r="Q141" s="19">
        <f>Q124</f>
        <v/>
      </c>
      <c r="R141" s="19">
        <f>R124</f>
        <v/>
      </c>
      <c r="S141" s="19">
        <f>S124</f>
        <v/>
      </c>
      <c r="T141" s="19">
        <f>T124</f>
        <v/>
      </c>
      <c r="U141" s="19">
        <f>U124</f>
        <v/>
      </c>
      <c r="V141" s="19">
        <f>V124</f>
        <v/>
      </c>
      <c r="W141" s="19">
        <f>W124</f>
        <v/>
      </c>
      <c r="X141" s="19">
        <f>X124</f>
        <v/>
      </c>
      <c r="Y141" s="19">
        <f>Y124</f>
        <v/>
      </c>
      <c r="Z141" s="19">
        <f>Z124</f>
        <v/>
      </c>
      <c r="AA141" s="19">
        <f>AA124</f>
        <v/>
      </c>
      <c r="AB141" s="19">
        <f>AB124</f>
        <v/>
      </c>
      <c r="AC141" s="19">
        <f>AC124</f>
        <v/>
      </c>
      <c r="AD141" s="19">
        <f>AD124</f>
        <v/>
      </c>
      <c r="AE141" s="19">
        <f>AE124</f>
        <v/>
      </c>
      <c r="AF141" s="19">
        <f>AF124</f>
        <v/>
      </c>
      <c r="AG141" s="19">
        <f>AG124</f>
        <v/>
      </c>
      <c r="AH141" s="19">
        <f>AH124</f>
        <v/>
      </c>
      <c r="AI141" s="19">
        <f>AI124</f>
        <v/>
      </c>
    </row>
    <row r="142">
      <c r="B142" s="2" t="inlineStr">
        <is>
          <t>Tax depreciation</t>
        </is>
      </c>
      <c r="D142" s="19">
        <f>D140+IF(D$3&lt;=i_tax_dep_end,i_tax_dep_extra,0)</f>
        <v/>
      </c>
      <c r="E142" s="19">
        <f>E140+IF(E$3&lt;=i_tax_dep_end,i_tax_dep_extra,0)</f>
        <v/>
      </c>
      <c r="F142" s="19">
        <f>F140+IF(F$3&lt;=i_tax_dep_end,i_tax_dep_extra,0)</f>
        <v/>
      </c>
      <c r="G142" s="19">
        <f>G140+IF(G$3&lt;=i_tax_dep_end,i_tax_dep_extra,0)</f>
        <v/>
      </c>
      <c r="H142" s="19">
        <f>H140+IF(H$3&lt;=i_tax_dep_end,i_tax_dep_extra,0)</f>
        <v/>
      </c>
      <c r="I142" s="19">
        <f>I140+IF(I$3&lt;=i_tax_dep_end,i_tax_dep_extra,0)</f>
        <v/>
      </c>
      <c r="J142" s="19">
        <f>J140+IF(J$3&lt;=i_tax_dep_end,i_tax_dep_extra,0)</f>
        <v/>
      </c>
      <c r="K142" s="19">
        <f>K140+IF(K$3&lt;=i_tax_dep_end,i_tax_dep_extra,0)</f>
        <v/>
      </c>
      <c r="L142" s="19">
        <f>L140+IF(L$3&lt;=i_tax_dep_end,i_tax_dep_extra,0)</f>
        <v/>
      </c>
      <c r="M142" s="19">
        <f>M140+IF(M$3&lt;=i_tax_dep_end,i_tax_dep_extra,0)</f>
        <v/>
      </c>
      <c r="N142" s="19">
        <f>N140+IF(N$3&lt;=i_tax_dep_end,i_tax_dep_extra,0)</f>
        <v/>
      </c>
      <c r="O142" s="19">
        <f>O140+IF(O$3&lt;=i_tax_dep_end,i_tax_dep_extra,0)</f>
        <v/>
      </c>
      <c r="P142" s="19">
        <f>P140+IF(P$3&lt;=i_tax_dep_end,i_tax_dep_extra,0)</f>
        <v/>
      </c>
      <c r="Q142" s="19">
        <f>Q140+IF(Q$3&lt;=i_tax_dep_end,i_tax_dep_extra,0)</f>
        <v/>
      </c>
      <c r="R142" s="19">
        <f>R140+IF(R$3&lt;=i_tax_dep_end,i_tax_dep_extra,0)</f>
        <v/>
      </c>
      <c r="S142" s="19">
        <f>S140+IF(S$3&lt;=i_tax_dep_end,i_tax_dep_extra,0)</f>
        <v/>
      </c>
      <c r="T142" s="19">
        <f>T140+IF(T$3&lt;=i_tax_dep_end,i_tax_dep_extra,0)</f>
        <v/>
      </c>
      <c r="U142" s="19">
        <f>U140+IF(U$3&lt;=i_tax_dep_end,i_tax_dep_extra,0)</f>
        <v/>
      </c>
      <c r="V142" s="19">
        <f>V140+IF(V$3&lt;=i_tax_dep_end,i_tax_dep_extra,0)</f>
        <v/>
      </c>
      <c r="W142" s="19">
        <f>W140+IF(W$3&lt;=i_tax_dep_end,i_tax_dep_extra,0)</f>
        <v/>
      </c>
      <c r="X142" s="19">
        <f>X140+IF(X$3&lt;=i_tax_dep_end,i_tax_dep_extra,0)</f>
        <v/>
      </c>
      <c r="Y142" s="19">
        <f>Y140+IF(Y$3&lt;=i_tax_dep_end,i_tax_dep_extra,0)</f>
        <v/>
      </c>
      <c r="Z142" s="19">
        <f>Z140+IF(Z$3&lt;=i_tax_dep_end,i_tax_dep_extra,0)</f>
        <v/>
      </c>
      <c r="AA142" s="19">
        <f>AA140+IF(AA$3&lt;=i_tax_dep_end,i_tax_dep_extra,0)</f>
        <v/>
      </c>
      <c r="AB142" s="19">
        <f>AB140+IF(AB$3&lt;=i_tax_dep_end,i_tax_dep_extra,0)</f>
        <v/>
      </c>
      <c r="AC142" s="19">
        <f>AC140+IF(AC$3&lt;=i_tax_dep_end,i_tax_dep_extra,0)</f>
        <v/>
      </c>
      <c r="AD142" s="19">
        <f>AD140+IF(AD$3&lt;=i_tax_dep_end,i_tax_dep_extra,0)</f>
        <v/>
      </c>
      <c r="AE142" s="19">
        <f>AE140+IF(AE$3&lt;=i_tax_dep_end,i_tax_dep_extra,0)</f>
        <v/>
      </c>
      <c r="AF142" s="19">
        <f>AF140+IF(AF$3&lt;=i_tax_dep_end,i_tax_dep_extra,0)</f>
        <v/>
      </c>
      <c r="AG142" s="19">
        <f>AG140+IF(AG$3&lt;=i_tax_dep_end,i_tax_dep_extra,0)</f>
        <v/>
      </c>
      <c r="AH142" s="19">
        <f>AH140+IF(AH$3&lt;=i_tax_dep_end,i_tax_dep_extra,0)</f>
        <v/>
      </c>
      <c r="AI142" s="19">
        <f>AI140+IF(AI$3&lt;=i_tax_dep_end,i_tax_dep_extra,0)</f>
        <v/>
      </c>
    </row>
    <row r="143">
      <c r="B143" s="2" t="inlineStr">
        <is>
          <t>Unlevered cash tax</t>
        </is>
      </c>
      <c r="D143" s="19">
        <f>i_tax*MAX(0,D139-D142)</f>
        <v/>
      </c>
      <c r="E143" s="19">
        <f>i_tax*MAX(0,E139-E142)</f>
        <v/>
      </c>
      <c r="F143" s="19">
        <f>i_tax*MAX(0,F139-F142)</f>
        <v/>
      </c>
      <c r="G143" s="19">
        <f>i_tax*MAX(0,G139-G142)</f>
        <v/>
      </c>
      <c r="H143" s="19">
        <f>i_tax*MAX(0,H139-H142)</f>
        <v/>
      </c>
      <c r="I143" s="19">
        <f>i_tax*MAX(0,I139-I142)</f>
        <v/>
      </c>
      <c r="J143" s="19">
        <f>i_tax*MAX(0,J139-J142)</f>
        <v/>
      </c>
      <c r="K143" s="19">
        <f>i_tax*MAX(0,K139-K142)</f>
        <v/>
      </c>
      <c r="L143" s="19">
        <f>i_tax*MAX(0,L139-L142)</f>
        <v/>
      </c>
      <c r="M143" s="19">
        <f>i_tax*MAX(0,M139-M142)</f>
        <v/>
      </c>
      <c r="N143" s="19">
        <f>i_tax*MAX(0,N139-N142)</f>
        <v/>
      </c>
      <c r="O143" s="19">
        <f>i_tax*MAX(0,O139-O142)</f>
        <v/>
      </c>
      <c r="P143" s="19">
        <f>i_tax*MAX(0,P139-P142)</f>
        <v/>
      </c>
      <c r="Q143" s="19">
        <f>i_tax*MAX(0,Q139-Q142)</f>
        <v/>
      </c>
      <c r="R143" s="19">
        <f>i_tax*MAX(0,R139-R142)</f>
        <v/>
      </c>
      <c r="S143" s="19">
        <f>i_tax*MAX(0,S139-S142)</f>
        <v/>
      </c>
      <c r="T143" s="19">
        <f>i_tax*MAX(0,T139-T142)</f>
        <v/>
      </c>
      <c r="U143" s="19">
        <f>i_tax*MAX(0,U139-U142)</f>
        <v/>
      </c>
      <c r="V143" s="19">
        <f>i_tax*MAX(0,V139-V142)</f>
        <v/>
      </c>
      <c r="W143" s="19">
        <f>i_tax*MAX(0,W139-W142)</f>
        <v/>
      </c>
      <c r="X143" s="19">
        <f>i_tax*MAX(0,X139-X142)</f>
        <v/>
      </c>
      <c r="Y143" s="19">
        <f>i_tax*MAX(0,Y139-Y142)</f>
        <v/>
      </c>
      <c r="Z143" s="19">
        <f>i_tax*MAX(0,Z139-Z142)</f>
        <v/>
      </c>
      <c r="AA143" s="19">
        <f>i_tax*MAX(0,AA139-AA142)</f>
        <v/>
      </c>
      <c r="AB143" s="19">
        <f>i_tax*MAX(0,AB139-AB142)</f>
        <v/>
      </c>
      <c r="AC143" s="19">
        <f>i_tax*MAX(0,AC139-AC142)</f>
        <v/>
      </c>
      <c r="AD143" s="19">
        <f>i_tax*MAX(0,AD139-AD142)</f>
        <v/>
      </c>
      <c r="AE143" s="19">
        <f>i_tax*MAX(0,AE139-AE142)</f>
        <v/>
      </c>
      <c r="AF143" s="19">
        <f>i_tax*MAX(0,AF139-AF142)</f>
        <v/>
      </c>
      <c r="AG143" s="19">
        <f>i_tax*MAX(0,AG139-AG142)</f>
        <v/>
      </c>
      <c r="AH143" s="19">
        <f>i_tax*MAX(0,AH139-AH142)</f>
        <v/>
      </c>
      <c r="AI143" s="19">
        <f>i_tax*MAX(0,AI139-AI142)</f>
        <v/>
      </c>
    </row>
    <row r="144">
      <c r="B144" s="2" t="inlineStr">
        <is>
          <t>Westerhaven handback works</t>
        </is>
      </c>
      <c r="D144" s="19">
        <f>IF(AND(Diligence!$C$54=0,D$3=i_conc_end),i_handback*D57,0)</f>
        <v/>
      </c>
      <c r="E144" s="19">
        <f>IF(AND(Diligence!$C$54=0,E$3=i_conc_end),i_handback*E57,0)</f>
        <v/>
      </c>
      <c r="F144" s="19">
        <f>IF(AND(Diligence!$C$54=0,F$3=i_conc_end),i_handback*F57,0)</f>
        <v/>
      </c>
      <c r="G144" s="19">
        <f>IF(AND(Diligence!$C$54=0,G$3=i_conc_end),i_handback*G57,0)</f>
        <v/>
      </c>
      <c r="H144" s="19">
        <f>IF(AND(Diligence!$C$54=0,H$3=i_conc_end),i_handback*H57,0)</f>
        <v/>
      </c>
      <c r="I144" s="19">
        <f>IF(AND(Diligence!$C$54=0,I$3=i_conc_end),i_handback*I57,0)</f>
        <v/>
      </c>
      <c r="J144" s="19">
        <f>IF(AND(Diligence!$C$54=0,J$3=i_conc_end),i_handback*J57,0)</f>
        <v/>
      </c>
      <c r="K144" s="19">
        <f>IF(AND(Diligence!$C$54=0,K$3=i_conc_end),i_handback*K57,0)</f>
        <v/>
      </c>
      <c r="L144" s="19">
        <f>IF(AND(Diligence!$C$54=0,L$3=i_conc_end),i_handback*L57,0)</f>
        <v/>
      </c>
      <c r="M144" s="19">
        <f>IF(AND(Diligence!$C$54=0,M$3=i_conc_end),i_handback*M57,0)</f>
        <v/>
      </c>
      <c r="N144" s="19">
        <f>IF(AND(Diligence!$C$54=0,N$3=i_conc_end),i_handback*N57,0)</f>
        <v/>
      </c>
      <c r="O144" s="19">
        <f>IF(AND(Diligence!$C$54=0,O$3=i_conc_end),i_handback*O57,0)</f>
        <v/>
      </c>
      <c r="P144" s="19">
        <f>IF(AND(Diligence!$C$54=0,P$3=i_conc_end),i_handback*P57,0)</f>
        <v/>
      </c>
      <c r="Q144" s="19">
        <f>IF(AND(Diligence!$C$54=0,Q$3=i_conc_end),i_handback*Q57,0)</f>
        <v/>
      </c>
      <c r="R144" s="19">
        <f>IF(AND(Diligence!$C$54=0,R$3=i_conc_end),i_handback*R57,0)</f>
        <v/>
      </c>
      <c r="S144" s="19">
        <f>IF(AND(Diligence!$C$54=0,S$3=i_conc_end),i_handback*S57,0)</f>
        <v/>
      </c>
      <c r="T144" s="19">
        <f>IF(AND(Diligence!$C$54=0,T$3=i_conc_end),i_handback*T57,0)</f>
        <v/>
      </c>
      <c r="U144" s="19">
        <f>IF(AND(Diligence!$C$54=0,U$3=i_conc_end),i_handback*U57,0)</f>
        <v/>
      </c>
      <c r="V144" s="19">
        <f>IF(AND(Diligence!$C$54=0,V$3=i_conc_end),i_handback*V57,0)</f>
        <v/>
      </c>
      <c r="W144" s="19">
        <f>IF(AND(Diligence!$C$54=0,W$3=i_conc_end),i_handback*W57,0)</f>
        <v/>
      </c>
      <c r="X144" s="19">
        <f>IF(AND(Diligence!$C$54=0,X$3=i_conc_end),i_handback*X57,0)</f>
        <v/>
      </c>
      <c r="Y144" s="19">
        <f>IF(AND(Diligence!$C$54=0,Y$3=i_conc_end),i_handback*Y57,0)</f>
        <v/>
      </c>
      <c r="Z144" s="19">
        <f>IF(AND(Diligence!$C$54=0,Z$3=i_conc_end),i_handback*Z57,0)</f>
        <v/>
      </c>
      <c r="AA144" s="19">
        <f>IF(AND(Diligence!$C$54=0,AA$3=i_conc_end),i_handback*AA57,0)</f>
        <v/>
      </c>
      <c r="AB144" s="19">
        <f>IF(AND(Diligence!$C$54=0,AB$3=i_conc_end),i_handback*AB57,0)</f>
        <v/>
      </c>
      <c r="AC144" s="19">
        <f>IF(AND(Diligence!$C$54=0,AC$3=i_conc_end),i_handback*AC57,0)</f>
        <v/>
      </c>
      <c r="AD144" s="19">
        <f>IF(AND(Diligence!$C$54=0,AD$3=i_conc_end),i_handback*AD57,0)</f>
        <v/>
      </c>
      <c r="AE144" s="19">
        <f>IF(AND(Diligence!$C$54=0,AE$3=i_conc_end),i_handback*AE57,0)</f>
        <v/>
      </c>
      <c r="AF144" s="19">
        <f>IF(AND(Diligence!$C$54=0,AF$3=i_conc_end),i_handback*AF57,0)</f>
        <v/>
      </c>
      <c r="AG144" s="19">
        <f>IF(AND(Diligence!$C$54=0,AG$3=i_conc_end),i_handback*AG57,0)</f>
        <v/>
      </c>
      <c r="AH144" s="19">
        <f>IF(AND(Diligence!$C$54=0,AH$3=i_conc_end),i_handback*AH57,0)</f>
        <v/>
      </c>
      <c r="AI144" s="19">
        <f>IF(AND(Diligence!$C$54=0,AI$3=i_conc_end),i_handback*AI57,0)</f>
        <v/>
      </c>
    </row>
    <row r="145">
      <c r="B145" s="3" t="inlineStr">
        <is>
          <t>Free cash flow (unlevered)</t>
        </is>
      </c>
      <c r="D145" s="31">
        <f>D139-D140-D141-D143-D144</f>
        <v/>
      </c>
      <c r="E145" s="31">
        <f>E139-E140-E141-E143-E144</f>
        <v/>
      </c>
      <c r="F145" s="31">
        <f>F139-F140-F141-F143-F144</f>
        <v/>
      </c>
      <c r="G145" s="31">
        <f>G139-G140-G141-G143-G144</f>
        <v/>
      </c>
      <c r="H145" s="31">
        <f>H139-H140-H141-H143-H144</f>
        <v/>
      </c>
      <c r="I145" s="31">
        <f>I139-I140-I141-I143-I144</f>
        <v/>
      </c>
      <c r="J145" s="31">
        <f>J139-J140-J141-J143-J144</f>
        <v/>
      </c>
      <c r="K145" s="31">
        <f>K139-K140-K141-K143-K144</f>
        <v/>
      </c>
      <c r="L145" s="31">
        <f>L139-L140-L141-L143-L144</f>
        <v/>
      </c>
      <c r="M145" s="31">
        <f>M139-M140-M141-M143-M144</f>
        <v/>
      </c>
      <c r="N145" s="31">
        <f>N139-N140-N141-N143-N144</f>
        <v/>
      </c>
      <c r="O145" s="31">
        <f>O139-O140-O141-O143-O144</f>
        <v/>
      </c>
      <c r="P145" s="31">
        <f>P139-P140-P141-P143-P144</f>
        <v/>
      </c>
      <c r="Q145" s="31">
        <f>Q139-Q140-Q141-Q143-Q144</f>
        <v/>
      </c>
      <c r="R145" s="31">
        <f>R139-R140-R141-R143-R144</f>
        <v/>
      </c>
      <c r="S145" s="31">
        <f>S139-S140-S141-S143-S144</f>
        <v/>
      </c>
      <c r="T145" s="31">
        <f>T139-T140-T141-T143-T144</f>
        <v/>
      </c>
      <c r="U145" s="31">
        <f>U139-U140-U141-U143-U144</f>
        <v/>
      </c>
      <c r="V145" s="31">
        <f>V139-V140-V141-V143-V144</f>
        <v/>
      </c>
      <c r="W145" s="31">
        <f>W139-W140-W141-W143-W144</f>
        <v/>
      </c>
      <c r="X145" s="31">
        <f>X139-X140-X141-X143-X144</f>
        <v/>
      </c>
      <c r="Y145" s="31">
        <f>Y139-Y140-Y141-Y143-Y144</f>
        <v/>
      </c>
      <c r="Z145" s="31">
        <f>Z139-Z140-Z141-Z143-Z144</f>
        <v/>
      </c>
      <c r="AA145" s="31">
        <f>AA139-AA140-AA141-AA143-AA144</f>
        <v/>
      </c>
      <c r="AB145" s="31">
        <f>AB139-AB140-AB141-AB143-AB144</f>
        <v/>
      </c>
      <c r="AC145" s="31">
        <f>AC139-AC140-AC141-AC143-AC144</f>
        <v/>
      </c>
      <c r="AD145" s="31">
        <f>AD139-AD140-AD141-AD143-AD144</f>
        <v/>
      </c>
      <c r="AE145" s="31">
        <f>AE139-AE140-AE141-AE143-AE144</f>
        <v/>
      </c>
      <c r="AF145" s="31">
        <f>AF139-AF140-AF141-AF143-AF144</f>
        <v/>
      </c>
      <c r="AG145" s="31">
        <f>AG139-AG140-AG141-AG143-AG144</f>
        <v/>
      </c>
      <c r="AH145" s="31">
        <f>AH139-AH140-AH141-AH143-AH144</f>
        <v/>
      </c>
      <c r="AI145" s="31">
        <f>AI139-AI140-AI141-AI143-AI144</f>
        <v/>
      </c>
    </row>
    <row r="146">
      <c r="B146" s="2" t="inlineStr">
        <is>
          <t>Present value at the discount rate (2027 to 2056)</t>
        </is>
      </c>
      <c r="D146" s="19">
        <f>IF(AND(D$3&gt;i_base_year,D$3&lt;=i_last),D145/(1+i_r)^D$4,0)</f>
        <v/>
      </c>
      <c r="E146" s="19">
        <f>IF(AND(E$3&gt;i_base_year,E$3&lt;=i_last),E145/(1+i_r)^E$4,0)</f>
        <v/>
      </c>
      <c r="F146" s="19">
        <f>IF(AND(F$3&gt;i_base_year,F$3&lt;=i_last),F145/(1+i_r)^F$4,0)</f>
        <v/>
      </c>
      <c r="G146" s="19">
        <f>IF(AND(G$3&gt;i_base_year,G$3&lt;=i_last),G145/(1+i_r)^G$4,0)</f>
        <v/>
      </c>
      <c r="H146" s="19">
        <f>IF(AND(H$3&gt;i_base_year,H$3&lt;=i_last),H145/(1+i_r)^H$4,0)</f>
        <v/>
      </c>
      <c r="I146" s="19">
        <f>IF(AND(I$3&gt;i_base_year,I$3&lt;=i_last),I145/(1+i_r)^I$4,0)</f>
        <v/>
      </c>
      <c r="J146" s="19">
        <f>IF(AND(J$3&gt;i_base_year,J$3&lt;=i_last),J145/(1+i_r)^J$4,0)</f>
        <v/>
      </c>
      <c r="K146" s="19">
        <f>IF(AND(K$3&gt;i_base_year,K$3&lt;=i_last),K145/(1+i_r)^K$4,0)</f>
        <v/>
      </c>
      <c r="L146" s="19">
        <f>IF(AND(L$3&gt;i_base_year,L$3&lt;=i_last),L145/(1+i_r)^L$4,0)</f>
        <v/>
      </c>
      <c r="M146" s="19">
        <f>IF(AND(M$3&gt;i_base_year,M$3&lt;=i_last),M145/(1+i_r)^M$4,0)</f>
        <v/>
      </c>
      <c r="N146" s="19">
        <f>IF(AND(N$3&gt;i_base_year,N$3&lt;=i_last),N145/(1+i_r)^N$4,0)</f>
        <v/>
      </c>
      <c r="O146" s="19">
        <f>IF(AND(O$3&gt;i_base_year,O$3&lt;=i_last),O145/(1+i_r)^O$4,0)</f>
        <v/>
      </c>
      <c r="P146" s="19">
        <f>IF(AND(P$3&gt;i_base_year,P$3&lt;=i_last),P145/(1+i_r)^P$4,0)</f>
        <v/>
      </c>
      <c r="Q146" s="19">
        <f>IF(AND(Q$3&gt;i_base_year,Q$3&lt;=i_last),Q145/(1+i_r)^Q$4,0)</f>
        <v/>
      </c>
      <c r="R146" s="19">
        <f>IF(AND(R$3&gt;i_base_year,R$3&lt;=i_last),R145/(1+i_r)^R$4,0)</f>
        <v/>
      </c>
      <c r="S146" s="19">
        <f>IF(AND(S$3&gt;i_base_year,S$3&lt;=i_last),S145/(1+i_r)^S$4,0)</f>
        <v/>
      </c>
      <c r="T146" s="19">
        <f>IF(AND(T$3&gt;i_base_year,T$3&lt;=i_last),T145/(1+i_r)^T$4,0)</f>
        <v/>
      </c>
      <c r="U146" s="19">
        <f>IF(AND(U$3&gt;i_base_year,U$3&lt;=i_last),U145/(1+i_r)^U$4,0)</f>
        <v/>
      </c>
      <c r="V146" s="19">
        <f>IF(AND(V$3&gt;i_base_year,V$3&lt;=i_last),V145/(1+i_r)^V$4,0)</f>
        <v/>
      </c>
      <c r="W146" s="19">
        <f>IF(AND(W$3&gt;i_base_year,W$3&lt;=i_last),W145/(1+i_r)^W$4,0)</f>
        <v/>
      </c>
      <c r="X146" s="19">
        <f>IF(AND(X$3&gt;i_base_year,X$3&lt;=i_last),X145/(1+i_r)^X$4,0)</f>
        <v/>
      </c>
      <c r="Y146" s="19">
        <f>IF(AND(Y$3&gt;i_base_year,Y$3&lt;=i_last),Y145/(1+i_r)^Y$4,0)</f>
        <v/>
      </c>
      <c r="Z146" s="19">
        <f>IF(AND(Z$3&gt;i_base_year,Z$3&lt;=i_last),Z145/(1+i_r)^Z$4,0)</f>
        <v/>
      </c>
      <c r="AA146" s="19">
        <f>IF(AND(AA$3&gt;i_base_year,AA$3&lt;=i_last),AA145/(1+i_r)^AA$4,0)</f>
        <v/>
      </c>
      <c r="AB146" s="19">
        <f>IF(AND(AB$3&gt;i_base_year,AB$3&lt;=i_last),AB145/(1+i_r)^AB$4,0)</f>
        <v/>
      </c>
      <c r="AC146" s="19">
        <f>IF(AND(AC$3&gt;i_base_year,AC$3&lt;=i_last),AC145/(1+i_r)^AC$4,0)</f>
        <v/>
      </c>
      <c r="AD146" s="19">
        <f>IF(AND(AD$3&gt;i_base_year,AD$3&lt;=i_last),AD145/(1+i_r)^AD$4,0)</f>
        <v/>
      </c>
      <c r="AE146" s="19">
        <f>IF(AND(AE$3&gt;i_base_year,AE$3&lt;=i_last),AE145/(1+i_r)^AE$4,0)</f>
        <v/>
      </c>
      <c r="AF146" s="19">
        <f>IF(AND(AF$3&gt;i_base_year,AF$3&lt;=i_last),AF145/(1+i_r)^AF$4,0)</f>
        <v/>
      </c>
      <c r="AG146" s="19">
        <f>IF(AND(AG$3&gt;i_base_year,AG$3&lt;=i_last),AG145/(1+i_r)^AG$4,0)</f>
        <v/>
      </c>
      <c r="AH146" s="19">
        <f>IF(AND(AH$3&gt;i_base_year,AH$3&lt;=i_last),AH145/(1+i_r)^AH$4,0)</f>
        <v/>
      </c>
      <c r="AI146" s="19">
        <f>IF(AND(AI$3&gt;i_base_year,AI$3&lt;=i_last),AI145/(1+i_r)^AI$4,0)</f>
        <v/>
      </c>
    </row>
    <row r="147">
      <c r="B147" s="2" t="inlineStr">
        <is>
          <t>Present value of 2027 to 2056 free cash flow</t>
        </is>
      </c>
      <c r="C147" s="19">
        <f>SUM(D146:AI146)</f>
        <v/>
      </c>
    </row>
    <row r="148">
      <c r="B148" s="2" t="inlineStr">
        <is>
          <t>Terminal value at the end of 2056 (on 2057 free cash flow)</t>
        </is>
      </c>
      <c r="C148" s="19">
        <f>AI145/(i_r-i_g)</f>
        <v/>
      </c>
    </row>
    <row r="149">
      <c r="B149" s="2" t="inlineStr">
        <is>
          <t>Present value of the terminal value</t>
        </is>
      </c>
      <c r="C149" s="19">
        <f>C148/(1+i_r)^(i_last-i_base_year)</f>
        <v/>
      </c>
    </row>
    <row r="150">
      <c r="B150" s="3" t="inlineStr">
        <is>
          <t>Enterprise value at 31 December 2026</t>
        </is>
      </c>
      <c r="C150" s="31">
        <f>C147+C149</f>
        <v/>
      </c>
    </row>
    <row r="153">
      <c r="B153" s="5" t="inlineStr">
        <is>
          <t>Platform case: Bridge step 1: buyer's recontracting rates</t>
        </is>
      </c>
    </row>
    <row r="154">
      <c r="B154" s="4" t="inlineStr">
        <is>
          <t>Inflation</t>
        </is>
      </c>
      <c r="C154" s="27">
        <f>Inputs!$G$219</f>
        <v/>
      </c>
    </row>
    <row r="155">
      <c r="B155" s="4" t="inlineStr">
        <is>
          <t>Buyer's recontracting rates (1) or seller's plan rates (0)</t>
        </is>
      </c>
      <c r="C155" s="26">
        <f>Inputs!$G$220</f>
        <v/>
      </c>
    </row>
    <row r="156">
      <c r="B156" s="4" t="inlineStr">
        <is>
          <t>Largest Westerhaven customer leaves (1/0)</t>
        </is>
      </c>
      <c r="C156" s="26">
        <f>Inputs!$G$221</f>
        <v/>
      </c>
    </row>
    <row r="157">
      <c r="B157" s="4" t="inlineStr">
        <is>
          <t>Jetty 3 refurbishment (1/0)</t>
        </is>
      </c>
      <c r="C157" s="26">
        <f>Inputs!$G$222</f>
        <v/>
      </c>
    </row>
    <row r="158">
      <c r="B158" s="4" t="inlineStr">
        <is>
          <t>Sabine Bend extra insurance (1/0)</t>
        </is>
      </c>
      <c r="C158" s="26">
        <f>Inputs!$G$223</f>
        <v/>
      </c>
    </row>
    <row r="159">
      <c r="B159" s="4" t="inlineStr">
        <is>
          <t>Expansion built (1/0)</t>
        </is>
      </c>
      <c r="C159" s="26">
        <f>Inputs!$G$224</f>
        <v/>
      </c>
    </row>
    <row r="160">
      <c r="B160" s="4" t="inlineStr">
        <is>
          <t>Occupancy shift from 2027</t>
        </is>
      </c>
      <c r="C160" s="27">
        <f>Inputs!$G$225</f>
        <v/>
      </c>
    </row>
    <row r="161">
      <c r="B161" s="4" t="inlineStr">
        <is>
          <t>Recontracting shift</t>
        </is>
      </c>
      <c r="C161" s="27">
        <f>Inputs!$G$226</f>
        <v/>
      </c>
    </row>
    <row r="162">
      <c r="B162" s="4" t="inlineStr">
        <is>
          <t>Concession renewed (1/0)</t>
        </is>
      </c>
      <c r="C162" s="26">
        <f>Inputs!$G$227</f>
        <v/>
      </c>
    </row>
    <row r="163">
      <c r="B163" s="4" t="inlineStr">
        <is>
          <t>Westerhaven capacity multiplier</t>
        </is>
      </c>
      <c r="C163" s="28">
        <f>Inputs!$G$228</f>
        <v/>
      </c>
    </row>
    <row r="164">
      <c r="B164" s="4" t="inlineStr">
        <is>
          <t>Extra yearly cost from 2028 ($m, 2026 dollars)</t>
        </is>
      </c>
      <c r="C164" s="29">
        <f>Inputs!$G$229</f>
        <v/>
      </c>
    </row>
    <row r="165">
      <c r="B165" s="2" t="inlineStr">
        <is>
          <t>Cost index (inflation)</t>
        </is>
      </c>
      <c r="D165" s="30">
        <f>(1+Diligence!$C$154)^D$4</f>
        <v/>
      </c>
      <c r="E165" s="30">
        <f>(1+Diligence!$C$154)^E$4</f>
        <v/>
      </c>
      <c r="F165" s="30">
        <f>(1+Diligence!$C$154)^F$4</f>
        <v/>
      </c>
      <c r="G165" s="30">
        <f>(1+Diligence!$C$154)^G$4</f>
        <v/>
      </c>
      <c r="H165" s="30">
        <f>(1+Diligence!$C$154)^H$4</f>
        <v/>
      </c>
      <c r="I165" s="30">
        <f>(1+Diligence!$C$154)^I$4</f>
        <v/>
      </c>
      <c r="J165" s="30">
        <f>(1+Diligence!$C$154)^J$4</f>
        <v/>
      </c>
      <c r="K165" s="30">
        <f>(1+Diligence!$C$154)^K$4</f>
        <v/>
      </c>
      <c r="L165" s="30">
        <f>(1+Diligence!$C$154)^L$4</f>
        <v/>
      </c>
      <c r="M165" s="30">
        <f>(1+Diligence!$C$154)^M$4</f>
        <v/>
      </c>
      <c r="N165" s="30">
        <f>(1+Diligence!$C$154)^N$4</f>
        <v/>
      </c>
      <c r="O165" s="30">
        <f>(1+Diligence!$C$154)^O$4</f>
        <v/>
      </c>
      <c r="P165" s="30">
        <f>(1+Diligence!$C$154)^P$4</f>
        <v/>
      </c>
      <c r="Q165" s="30">
        <f>(1+Diligence!$C$154)^Q$4</f>
        <v/>
      </c>
      <c r="R165" s="30">
        <f>(1+Diligence!$C$154)^R$4</f>
        <v/>
      </c>
      <c r="S165" s="30">
        <f>(1+Diligence!$C$154)^S$4</f>
        <v/>
      </c>
      <c r="T165" s="30">
        <f>(1+Diligence!$C$154)^T$4</f>
        <v/>
      </c>
      <c r="U165" s="30">
        <f>(1+Diligence!$C$154)^U$4</f>
        <v/>
      </c>
      <c r="V165" s="30">
        <f>(1+Diligence!$C$154)^V$4</f>
        <v/>
      </c>
      <c r="W165" s="30">
        <f>(1+Diligence!$C$154)^W$4</f>
        <v/>
      </c>
      <c r="X165" s="30">
        <f>(1+Diligence!$C$154)^X$4</f>
        <v/>
      </c>
      <c r="Y165" s="30">
        <f>(1+Diligence!$C$154)^Y$4</f>
        <v/>
      </c>
      <c r="Z165" s="30">
        <f>(1+Diligence!$C$154)^Z$4</f>
        <v/>
      </c>
      <c r="AA165" s="30">
        <f>(1+Diligence!$C$154)^AA$4</f>
        <v/>
      </c>
      <c r="AB165" s="30">
        <f>(1+Diligence!$C$154)^AB$4</f>
        <v/>
      </c>
      <c r="AC165" s="30">
        <f>(1+Diligence!$C$154)^AC$4</f>
        <v/>
      </c>
      <c r="AD165" s="30">
        <f>(1+Diligence!$C$154)^AD$4</f>
        <v/>
      </c>
      <c r="AE165" s="30">
        <f>(1+Diligence!$C$154)^AE$4</f>
        <v/>
      </c>
      <c r="AF165" s="30">
        <f>(1+Diligence!$C$154)^AF$4</f>
        <v/>
      </c>
      <c r="AG165" s="30">
        <f>(1+Diligence!$C$154)^AG$4</f>
        <v/>
      </c>
      <c r="AH165" s="30">
        <f>(1+Diligence!$C$154)^AH$4</f>
        <v/>
      </c>
      <c r="AI165" s="30">
        <f>(1+Diligence!$C$154)^AI$4</f>
        <v/>
      </c>
    </row>
    <row r="166">
      <c r="B166" s="2" t="inlineStr">
        <is>
          <t>Rate index (inflation x pass-through)</t>
        </is>
      </c>
      <c r="D166" s="30">
        <f>(1+Diligence!$C$154*i_index_share)^D$4</f>
        <v/>
      </c>
      <c r="E166" s="30">
        <f>(1+Diligence!$C$154*i_index_share)^E$4</f>
        <v/>
      </c>
      <c r="F166" s="30">
        <f>(1+Diligence!$C$154*i_index_share)^F$4</f>
        <v/>
      </c>
      <c r="G166" s="30">
        <f>(1+Diligence!$C$154*i_index_share)^G$4</f>
        <v/>
      </c>
      <c r="H166" s="30">
        <f>(1+Diligence!$C$154*i_index_share)^H$4</f>
        <v/>
      </c>
      <c r="I166" s="30">
        <f>(1+Diligence!$C$154*i_index_share)^I$4</f>
        <v/>
      </c>
      <c r="J166" s="30">
        <f>(1+Diligence!$C$154*i_index_share)^J$4</f>
        <v/>
      </c>
      <c r="K166" s="30">
        <f>(1+Diligence!$C$154*i_index_share)^K$4</f>
        <v/>
      </c>
      <c r="L166" s="30">
        <f>(1+Diligence!$C$154*i_index_share)^L$4</f>
        <v/>
      </c>
      <c r="M166" s="30">
        <f>(1+Diligence!$C$154*i_index_share)^M$4</f>
        <v/>
      </c>
      <c r="N166" s="30">
        <f>(1+Diligence!$C$154*i_index_share)^N$4</f>
        <v/>
      </c>
      <c r="O166" s="30">
        <f>(1+Diligence!$C$154*i_index_share)^O$4</f>
        <v/>
      </c>
      <c r="P166" s="30">
        <f>(1+Diligence!$C$154*i_index_share)^P$4</f>
        <v/>
      </c>
      <c r="Q166" s="30">
        <f>(1+Diligence!$C$154*i_index_share)^Q$4</f>
        <v/>
      </c>
      <c r="R166" s="30">
        <f>(1+Diligence!$C$154*i_index_share)^R$4</f>
        <v/>
      </c>
      <c r="S166" s="30">
        <f>(1+Diligence!$C$154*i_index_share)^S$4</f>
        <v/>
      </c>
      <c r="T166" s="30">
        <f>(1+Diligence!$C$154*i_index_share)^T$4</f>
        <v/>
      </c>
      <c r="U166" s="30">
        <f>(1+Diligence!$C$154*i_index_share)^U$4</f>
        <v/>
      </c>
      <c r="V166" s="30">
        <f>(1+Diligence!$C$154*i_index_share)^V$4</f>
        <v/>
      </c>
      <c r="W166" s="30">
        <f>(1+Diligence!$C$154*i_index_share)^W$4</f>
        <v/>
      </c>
      <c r="X166" s="30">
        <f>(1+Diligence!$C$154*i_index_share)^X$4</f>
        <v/>
      </c>
      <c r="Y166" s="30">
        <f>(1+Diligence!$C$154*i_index_share)^Y$4</f>
        <v/>
      </c>
      <c r="Z166" s="30">
        <f>(1+Diligence!$C$154*i_index_share)^Z$4</f>
        <v/>
      </c>
      <c r="AA166" s="30">
        <f>(1+Diligence!$C$154*i_index_share)^AA$4</f>
        <v/>
      </c>
      <c r="AB166" s="30">
        <f>(1+Diligence!$C$154*i_index_share)^AB$4</f>
        <v/>
      </c>
      <c r="AC166" s="30">
        <f>(1+Diligence!$C$154*i_index_share)^AC$4</f>
        <v/>
      </c>
      <c r="AD166" s="30">
        <f>(1+Diligence!$C$154*i_index_share)^AD$4</f>
        <v/>
      </c>
      <c r="AE166" s="30">
        <f>(1+Diligence!$C$154*i_index_share)^AE$4</f>
        <v/>
      </c>
      <c r="AF166" s="30">
        <f>(1+Diligence!$C$154*i_index_share)^AF$4</f>
        <v/>
      </c>
      <c r="AG166" s="30">
        <f>(1+Diligence!$C$154*i_index_share)^AG$4</f>
        <v/>
      </c>
      <c r="AH166" s="30">
        <f>(1+Diligence!$C$154*i_index_share)^AH$4</f>
        <v/>
      </c>
      <c r="AI166" s="30">
        <f>(1+Diligence!$C$154*i_index_share)^AI$4</f>
        <v/>
      </c>
    </row>
    <row r="167">
      <c r="B167" s="3" t="inlineStr">
        <is>
          <t>Westerhaven</t>
        </is>
      </c>
    </row>
    <row r="168">
      <c r="B168" s="2" t="inlineStr">
        <is>
          <t xml:space="preserve">  Concession in force (1/0)</t>
        </is>
      </c>
      <c r="D168" s="22">
        <f>IF(Diligence!$C$162=1,1,IF(D$3&lt;=i_conc_end,1,0))</f>
        <v/>
      </c>
      <c r="E168" s="22">
        <f>IF(Diligence!$C$162=1,1,IF(E$3&lt;=i_conc_end,1,0))</f>
        <v/>
      </c>
      <c r="F168" s="22">
        <f>IF(Diligence!$C$162=1,1,IF(F$3&lt;=i_conc_end,1,0))</f>
        <v/>
      </c>
      <c r="G168" s="22">
        <f>IF(Diligence!$C$162=1,1,IF(G$3&lt;=i_conc_end,1,0))</f>
        <v/>
      </c>
      <c r="H168" s="22">
        <f>IF(Diligence!$C$162=1,1,IF(H$3&lt;=i_conc_end,1,0))</f>
        <v/>
      </c>
      <c r="I168" s="22">
        <f>IF(Diligence!$C$162=1,1,IF(I$3&lt;=i_conc_end,1,0))</f>
        <v/>
      </c>
      <c r="J168" s="22">
        <f>IF(Diligence!$C$162=1,1,IF(J$3&lt;=i_conc_end,1,0))</f>
        <v/>
      </c>
      <c r="K168" s="22">
        <f>IF(Diligence!$C$162=1,1,IF(K$3&lt;=i_conc_end,1,0))</f>
        <v/>
      </c>
      <c r="L168" s="22">
        <f>IF(Diligence!$C$162=1,1,IF(L$3&lt;=i_conc_end,1,0))</f>
        <v/>
      </c>
      <c r="M168" s="22">
        <f>IF(Diligence!$C$162=1,1,IF(M$3&lt;=i_conc_end,1,0))</f>
        <v/>
      </c>
      <c r="N168" s="22">
        <f>IF(Diligence!$C$162=1,1,IF(N$3&lt;=i_conc_end,1,0))</f>
        <v/>
      </c>
      <c r="O168" s="22">
        <f>IF(Diligence!$C$162=1,1,IF(O$3&lt;=i_conc_end,1,0))</f>
        <v/>
      </c>
      <c r="P168" s="22">
        <f>IF(Diligence!$C$162=1,1,IF(P$3&lt;=i_conc_end,1,0))</f>
        <v/>
      </c>
      <c r="Q168" s="22">
        <f>IF(Diligence!$C$162=1,1,IF(Q$3&lt;=i_conc_end,1,0))</f>
        <v/>
      </c>
      <c r="R168" s="22">
        <f>IF(Diligence!$C$162=1,1,IF(R$3&lt;=i_conc_end,1,0))</f>
        <v/>
      </c>
      <c r="S168" s="22">
        <f>IF(Diligence!$C$162=1,1,IF(S$3&lt;=i_conc_end,1,0))</f>
        <v/>
      </c>
      <c r="T168" s="22">
        <f>IF(Diligence!$C$162=1,1,IF(T$3&lt;=i_conc_end,1,0))</f>
        <v/>
      </c>
      <c r="U168" s="22">
        <f>IF(Diligence!$C$162=1,1,IF(U$3&lt;=i_conc_end,1,0))</f>
        <v/>
      </c>
      <c r="V168" s="22">
        <f>IF(Diligence!$C$162=1,1,IF(V$3&lt;=i_conc_end,1,0))</f>
        <v/>
      </c>
      <c r="W168" s="22">
        <f>IF(Diligence!$C$162=1,1,IF(W$3&lt;=i_conc_end,1,0))</f>
        <v/>
      </c>
      <c r="X168" s="22">
        <f>IF(Diligence!$C$162=1,1,IF(X$3&lt;=i_conc_end,1,0))</f>
        <v/>
      </c>
      <c r="Y168" s="22">
        <f>IF(Diligence!$C$162=1,1,IF(Y$3&lt;=i_conc_end,1,0))</f>
        <v/>
      </c>
      <c r="Z168" s="22">
        <f>IF(Diligence!$C$162=1,1,IF(Z$3&lt;=i_conc_end,1,0))</f>
        <v/>
      </c>
      <c r="AA168" s="22">
        <f>IF(Diligence!$C$162=1,1,IF(AA$3&lt;=i_conc_end,1,0))</f>
        <v/>
      </c>
      <c r="AB168" s="22">
        <f>IF(Diligence!$C$162=1,1,IF(AB$3&lt;=i_conc_end,1,0))</f>
        <v/>
      </c>
      <c r="AC168" s="22">
        <f>IF(Diligence!$C$162=1,1,IF(AC$3&lt;=i_conc_end,1,0))</f>
        <v/>
      </c>
      <c r="AD168" s="22">
        <f>IF(Diligence!$C$162=1,1,IF(AD$3&lt;=i_conc_end,1,0))</f>
        <v/>
      </c>
      <c r="AE168" s="22">
        <f>IF(Diligence!$C$162=1,1,IF(AE$3&lt;=i_conc_end,1,0))</f>
        <v/>
      </c>
      <c r="AF168" s="22">
        <f>IF(Diligence!$C$162=1,1,IF(AF$3&lt;=i_conc_end,1,0))</f>
        <v/>
      </c>
      <c r="AG168" s="22">
        <f>IF(Diligence!$C$162=1,1,IF(AG$3&lt;=i_conc_end,1,0))</f>
        <v/>
      </c>
      <c r="AH168" s="22">
        <f>IF(Diligence!$C$162=1,1,IF(AH$3&lt;=i_conc_end,1,0))</f>
        <v/>
      </c>
      <c r="AI168" s="22">
        <f>IF(Diligence!$C$162=1,1,IF(AI$3&lt;=i_conc_end,1,0))</f>
        <v/>
      </c>
    </row>
    <row r="169">
      <c r="B169" s="2" t="inlineStr">
        <is>
          <t xml:space="preserve">  Capacity in service (million m3)</t>
        </is>
      </c>
      <c r="D169" s="24">
        <f>i_W_cap*Diligence!$C$163*D168</f>
        <v/>
      </c>
      <c r="E169" s="24">
        <f>i_W_cap*Diligence!$C$163*E168</f>
        <v/>
      </c>
      <c r="F169" s="24">
        <f>i_W_cap*Diligence!$C$163*F168</f>
        <v/>
      </c>
      <c r="G169" s="24">
        <f>i_W_cap*Diligence!$C$163*G168</f>
        <v/>
      </c>
      <c r="H169" s="24">
        <f>i_W_cap*Diligence!$C$163*H168</f>
        <v/>
      </c>
      <c r="I169" s="24">
        <f>i_W_cap*Diligence!$C$163*I168</f>
        <v/>
      </c>
      <c r="J169" s="24">
        <f>i_W_cap*Diligence!$C$163*J168</f>
        <v/>
      </c>
      <c r="K169" s="24">
        <f>i_W_cap*Diligence!$C$163*K168</f>
        <v/>
      </c>
      <c r="L169" s="24">
        <f>i_W_cap*Diligence!$C$163*L168</f>
        <v/>
      </c>
      <c r="M169" s="24">
        <f>i_W_cap*Diligence!$C$163*M168</f>
        <v/>
      </c>
      <c r="N169" s="24">
        <f>i_W_cap*Diligence!$C$163*N168</f>
        <v/>
      </c>
      <c r="O169" s="24">
        <f>i_W_cap*Diligence!$C$163*O168</f>
        <v/>
      </c>
      <c r="P169" s="24">
        <f>i_W_cap*Diligence!$C$163*P168</f>
        <v/>
      </c>
      <c r="Q169" s="24">
        <f>i_W_cap*Diligence!$C$163*Q168</f>
        <v/>
      </c>
      <c r="R169" s="24">
        <f>i_W_cap*Diligence!$C$163*R168</f>
        <v/>
      </c>
      <c r="S169" s="24">
        <f>i_W_cap*Diligence!$C$163*S168</f>
        <v/>
      </c>
      <c r="T169" s="24">
        <f>i_W_cap*Diligence!$C$163*T168</f>
        <v/>
      </c>
      <c r="U169" s="24">
        <f>i_W_cap*Diligence!$C$163*U168</f>
        <v/>
      </c>
      <c r="V169" s="24">
        <f>i_W_cap*Diligence!$C$163*V168</f>
        <v/>
      </c>
      <c r="W169" s="24">
        <f>i_W_cap*Diligence!$C$163*W168</f>
        <v/>
      </c>
      <c r="X169" s="24">
        <f>i_W_cap*Diligence!$C$163*X168</f>
        <v/>
      </c>
      <c r="Y169" s="24">
        <f>i_W_cap*Diligence!$C$163*Y168</f>
        <v/>
      </c>
      <c r="Z169" s="24">
        <f>i_W_cap*Diligence!$C$163*Z168</f>
        <v/>
      </c>
      <c r="AA169" s="24">
        <f>i_W_cap*Diligence!$C$163*AA168</f>
        <v/>
      </c>
      <c r="AB169" s="24">
        <f>i_W_cap*Diligence!$C$163*AB168</f>
        <v/>
      </c>
      <c r="AC169" s="24">
        <f>i_W_cap*Diligence!$C$163*AC168</f>
        <v/>
      </c>
      <c r="AD169" s="24">
        <f>i_W_cap*Diligence!$C$163*AD168</f>
        <v/>
      </c>
      <c r="AE169" s="24">
        <f>i_W_cap*Diligence!$C$163*AE168</f>
        <v/>
      </c>
      <c r="AF169" s="24">
        <f>i_W_cap*Diligence!$C$163*AF168</f>
        <v/>
      </c>
      <c r="AG169" s="24">
        <f>i_W_cap*Diligence!$C$163*AG168</f>
        <v/>
      </c>
      <c r="AH169" s="24">
        <f>i_W_cap*Diligence!$C$163*AH168</f>
        <v/>
      </c>
      <c r="AI169" s="24">
        <f>i_W_cap*Diligence!$C$163*AI168</f>
        <v/>
      </c>
    </row>
    <row r="170">
      <c r="B170" s="2" t="inlineStr">
        <is>
          <t xml:space="preserve">  Share on contracts signed before 2027</t>
        </is>
      </c>
      <c r="D170" s="21">
        <f>SUMIF(i_book_years,D$3,i_W_book)</f>
        <v/>
      </c>
      <c r="E170" s="21">
        <f>SUMIF(i_book_years,E$3,i_W_book)</f>
        <v/>
      </c>
      <c r="F170" s="21">
        <f>SUMIF(i_book_years,F$3,i_W_book)</f>
        <v/>
      </c>
      <c r="G170" s="21">
        <f>SUMIF(i_book_years,G$3,i_W_book)</f>
        <v/>
      </c>
      <c r="H170" s="21">
        <f>SUMIF(i_book_years,H$3,i_W_book)</f>
        <v/>
      </c>
      <c r="I170" s="21">
        <f>SUMIF(i_book_years,I$3,i_W_book)</f>
        <v/>
      </c>
      <c r="J170" s="21">
        <f>SUMIF(i_book_years,J$3,i_W_book)</f>
        <v/>
      </c>
      <c r="K170" s="21">
        <f>SUMIF(i_book_years,K$3,i_W_book)</f>
        <v/>
      </c>
      <c r="L170" s="21">
        <f>SUMIF(i_book_years,L$3,i_W_book)</f>
        <v/>
      </c>
      <c r="M170" s="21">
        <f>SUMIF(i_book_years,M$3,i_W_book)</f>
        <v/>
      </c>
      <c r="N170" s="21">
        <f>SUMIF(i_book_years,N$3,i_W_book)</f>
        <v/>
      </c>
      <c r="O170" s="21">
        <f>SUMIF(i_book_years,O$3,i_W_book)</f>
        <v/>
      </c>
      <c r="P170" s="21">
        <f>SUMIF(i_book_years,P$3,i_W_book)</f>
        <v/>
      </c>
      <c r="Q170" s="21">
        <f>SUMIF(i_book_years,Q$3,i_W_book)</f>
        <v/>
      </c>
      <c r="R170" s="21">
        <f>SUMIF(i_book_years,R$3,i_W_book)</f>
        <v/>
      </c>
      <c r="S170" s="21">
        <f>SUMIF(i_book_years,S$3,i_W_book)</f>
        <v/>
      </c>
      <c r="T170" s="21">
        <f>SUMIF(i_book_years,T$3,i_W_book)</f>
        <v/>
      </c>
      <c r="U170" s="21">
        <f>SUMIF(i_book_years,U$3,i_W_book)</f>
        <v/>
      </c>
      <c r="V170" s="21">
        <f>SUMIF(i_book_years,V$3,i_W_book)</f>
        <v/>
      </c>
      <c r="W170" s="21">
        <f>SUMIF(i_book_years,W$3,i_W_book)</f>
        <v/>
      </c>
      <c r="X170" s="21">
        <f>SUMIF(i_book_years,X$3,i_W_book)</f>
        <v/>
      </c>
      <c r="Y170" s="21">
        <f>SUMIF(i_book_years,Y$3,i_W_book)</f>
        <v/>
      </c>
      <c r="Z170" s="21">
        <f>SUMIF(i_book_years,Z$3,i_W_book)</f>
        <v/>
      </c>
      <c r="AA170" s="21">
        <f>SUMIF(i_book_years,AA$3,i_W_book)</f>
        <v/>
      </c>
      <c r="AB170" s="21">
        <f>SUMIF(i_book_years,AB$3,i_W_book)</f>
        <v/>
      </c>
      <c r="AC170" s="21">
        <f>SUMIF(i_book_years,AC$3,i_W_book)</f>
        <v/>
      </c>
      <c r="AD170" s="21">
        <f>SUMIF(i_book_years,AD$3,i_W_book)</f>
        <v/>
      </c>
      <c r="AE170" s="21">
        <f>SUMIF(i_book_years,AE$3,i_W_book)</f>
        <v/>
      </c>
      <c r="AF170" s="21">
        <f>SUMIF(i_book_years,AF$3,i_W_book)</f>
        <v/>
      </c>
      <c r="AG170" s="21">
        <f>SUMIF(i_book_years,AG$3,i_W_book)</f>
        <v/>
      </c>
      <c r="AH170" s="21">
        <f>SUMIF(i_book_years,AH$3,i_W_book)</f>
        <v/>
      </c>
      <c r="AI170" s="21">
        <f>SUMIF(i_book_years,AI$3,i_W_book)</f>
        <v/>
      </c>
    </row>
    <row r="171">
      <c r="B171" s="2" t="inlineStr">
        <is>
          <t xml:space="preserve">  Recontracting factor against current rates</t>
        </is>
      </c>
      <c r="D171" s="21">
        <f>IF(D$4=0,0,IF(Diligence!$C$155=1,i_W_mtm,i_W_mtm_plan)+Diligence!$C$161)</f>
        <v/>
      </c>
      <c r="E171" s="21">
        <f>IF(E$4=0,0,IF(Diligence!$C$155=1,i_W_mtm,i_W_mtm_plan)+Diligence!$C$161)</f>
        <v/>
      </c>
      <c r="F171" s="21">
        <f>IF(F$4=0,0,IF(Diligence!$C$155=1,i_W_mtm,i_W_mtm_plan)+Diligence!$C$161)</f>
        <v/>
      </c>
      <c r="G171" s="21">
        <f>IF(G$4=0,0,IF(Diligence!$C$155=1,i_W_mtm,i_W_mtm_plan)+Diligence!$C$161)</f>
        <v/>
      </c>
      <c r="H171" s="21">
        <f>IF(H$4=0,0,IF(Diligence!$C$155=1,i_W_mtm,i_W_mtm_plan)+Diligence!$C$161)</f>
        <v/>
      </c>
      <c r="I171" s="21">
        <f>IF(I$4=0,0,IF(Diligence!$C$155=1,i_W_mtm,i_W_mtm_plan)+Diligence!$C$161)</f>
        <v/>
      </c>
      <c r="J171" s="21">
        <f>IF(J$4=0,0,IF(Diligence!$C$155=1,i_W_mtm,i_W_mtm_plan)+Diligence!$C$161)</f>
        <v/>
      </c>
      <c r="K171" s="21">
        <f>IF(K$4=0,0,IF(Diligence!$C$155=1,i_W_mtm,i_W_mtm_plan)+Diligence!$C$161)</f>
        <v/>
      </c>
      <c r="L171" s="21">
        <f>IF(L$4=0,0,IF(Diligence!$C$155=1,i_W_mtm,i_W_mtm_plan)+Diligence!$C$161)</f>
        <v/>
      </c>
      <c r="M171" s="21">
        <f>IF(M$4=0,0,IF(Diligence!$C$155=1,i_W_mtm,i_W_mtm_plan)+Diligence!$C$161)</f>
        <v/>
      </c>
      <c r="N171" s="21">
        <f>IF(N$4=0,0,IF(Diligence!$C$155=1,i_W_mtm,i_W_mtm_plan)+Diligence!$C$161)</f>
        <v/>
      </c>
      <c r="O171" s="21">
        <f>IF(O$4=0,0,IF(Diligence!$C$155=1,i_W_mtm,i_W_mtm_plan)+Diligence!$C$161)</f>
        <v/>
      </c>
      <c r="P171" s="21">
        <f>IF(P$4=0,0,IF(Diligence!$C$155=1,i_W_mtm,i_W_mtm_plan)+Diligence!$C$161)</f>
        <v/>
      </c>
      <c r="Q171" s="21">
        <f>IF(Q$4=0,0,IF(Diligence!$C$155=1,i_W_mtm,i_W_mtm_plan)+Diligence!$C$161)</f>
        <v/>
      </c>
      <c r="R171" s="21">
        <f>IF(R$4=0,0,IF(Diligence!$C$155=1,i_W_mtm,i_W_mtm_plan)+Diligence!$C$161)</f>
        <v/>
      </c>
      <c r="S171" s="21">
        <f>IF(S$4=0,0,IF(Diligence!$C$155=1,i_W_mtm,i_W_mtm_plan)+Diligence!$C$161)</f>
        <v/>
      </c>
      <c r="T171" s="21">
        <f>IF(T$4=0,0,IF(Diligence!$C$155=1,i_W_mtm,i_W_mtm_plan)+Diligence!$C$161)</f>
        <v/>
      </c>
      <c r="U171" s="21">
        <f>IF(U$4=0,0,IF(Diligence!$C$155=1,i_W_mtm,i_W_mtm_plan)+Diligence!$C$161)</f>
        <v/>
      </c>
      <c r="V171" s="21">
        <f>IF(V$4=0,0,IF(Diligence!$C$155=1,i_W_mtm,i_W_mtm_plan)+Diligence!$C$161)</f>
        <v/>
      </c>
      <c r="W171" s="21">
        <f>IF(W$4=0,0,IF(Diligence!$C$155=1,i_W_mtm,i_W_mtm_plan)+Diligence!$C$161)</f>
        <v/>
      </c>
      <c r="X171" s="21">
        <f>IF(X$4=0,0,IF(Diligence!$C$155=1,i_W_mtm,i_W_mtm_plan)+Diligence!$C$161)</f>
        <v/>
      </c>
      <c r="Y171" s="21">
        <f>IF(Y$4=0,0,IF(Diligence!$C$155=1,i_W_mtm,i_W_mtm_plan)+Diligence!$C$161)</f>
        <v/>
      </c>
      <c r="Z171" s="21">
        <f>IF(Z$4=0,0,IF(Diligence!$C$155=1,i_W_mtm,i_W_mtm_plan)+Diligence!$C$161)</f>
        <v/>
      </c>
      <c r="AA171" s="21">
        <f>IF(AA$4=0,0,IF(Diligence!$C$155=1,i_W_mtm,i_W_mtm_plan)+Diligence!$C$161)</f>
        <v/>
      </c>
      <c r="AB171" s="21">
        <f>IF(AB$4=0,0,IF(Diligence!$C$155=1,i_W_mtm,i_W_mtm_plan)+Diligence!$C$161)</f>
        <v/>
      </c>
      <c r="AC171" s="21">
        <f>IF(AC$4=0,0,IF(Diligence!$C$155=1,i_W_mtm,i_W_mtm_plan)+Diligence!$C$161)</f>
        <v/>
      </c>
      <c r="AD171" s="21">
        <f>IF(AD$4=0,0,IF(Diligence!$C$155=1,i_W_mtm,i_W_mtm_plan)+Diligence!$C$161)</f>
        <v/>
      </c>
      <c r="AE171" s="21">
        <f>IF(AE$4=0,0,IF(Diligence!$C$155=1,i_W_mtm,i_W_mtm_plan)+Diligence!$C$161)</f>
        <v/>
      </c>
      <c r="AF171" s="21">
        <f>IF(AF$4=0,0,IF(Diligence!$C$155=1,i_W_mtm,i_W_mtm_plan)+Diligence!$C$161)</f>
        <v/>
      </c>
      <c r="AG171" s="21">
        <f>IF(AG$4=0,0,IF(Diligence!$C$155=1,i_W_mtm,i_W_mtm_plan)+Diligence!$C$161)</f>
        <v/>
      </c>
      <c r="AH171" s="21">
        <f>IF(AH$4=0,0,IF(Diligence!$C$155=1,i_W_mtm,i_W_mtm_plan)+Diligence!$C$161)</f>
        <v/>
      </c>
      <c r="AI171" s="21">
        <f>IF(AI$4=0,0,IF(Diligence!$C$155=1,i_W_mtm,i_W_mtm_plan)+Diligence!$C$161)</f>
        <v/>
      </c>
    </row>
    <row r="172">
      <c r="B172" s="2" t="inlineStr">
        <is>
          <t xml:space="preserve">  Average rate ($ per m3 per month)</t>
        </is>
      </c>
      <c r="D172" s="24">
        <f>i_W_rate*D166*(D170+(1-D170)*(1+D171))</f>
        <v/>
      </c>
      <c r="E172" s="24">
        <f>i_W_rate*E166*(E170+(1-E170)*(1+E171))</f>
        <v/>
      </c>
      <c r="F172" s="24">
        <f>i_W_rate*F166*(F170+(1-F170)*(1+F171))</f>
        <v/>
      </c>
      <c r="G172" s="24">
        <f>i_W_rate*G166*(G170+(1-G170)*(1+G171))</f>
        <v/>
      </c>
      <c r="H172" s="24">
        <f>i_W_rate*H166*(H170+(1-H170)*(1+H171))</f>
        <v/>
      </c>
      <c r="I172" s="24">
        <f>i_W_rate*I166*(I170+(1-I170)*(1+I171))</f>
        <v/>
      </c>
      <c r="J172" s="24">
        <f>i_W_rate*J166*(J170+(1-J170)*(1+J171))</f>
        <v/>
      </c>
      <c r="K172" s="24">
        <f>i_W_rate*K166*(K170+(1-K170)*(1+K171))</f>
        <v/>
      </c>
      <c r="L172" s="24">
        <f>i_W_rate*L166*(L170+(1-L170)*(1+L171))</f>
        <v/>
      </c>
      <c r="M172" s="24">
        <f>i_W_rate*M166*(M170+(1-M170)*(1+M171))</f>
        <v/>
      </c>
      <c r="N172" s="24">
        <f>i_W_rate*N166*(N170+(1-N170)*(1+N171))</f>
        <v/>
      </c>
      <c r="O172" s="24">
        <f>i_W_rate*O166*(O170+(1-O170)*(1+O171))</f>
        <v/>
      </c>
      <c r="P172" s="24">
        <f>i_W_rate*P166*(P170+(1-P170)*(1+P171))</f>
        <v/>
      </c>
      <c r="Q172" s="24">
        <f>i_W_rate*Q166*(Q170+(1-Q170)*(1+Q171))</f>
        <v/>
      </c>
      <c r="R172" s="24">
        <f>i_W_rate*R166*(R170+(1-R170)*(1+R171))</f>
        <v/>
      </c>
      <c r="S172" s="24">
        <f>i_W_rate*S166*(S170+(1-S170)*(1+S171))</f>
        <v/>
      </c>
      <c r="T172" s="24">
        <f>i_W_rate*T166*(T170+(1-T170)*(1+T171))</f>
        <v/>
      </c>
      <c r="U172" s="24">
        <f>i_W_rate*U166*(U170+(1-U170)*(1+U171))</f>
        <v/>
      </c>
      <c r="V172" s="24">
        <f>i_W_rate*V166*(V170+(1-V170)*(1+V171))</f>
        <v/>
      </c>
      <c r="W172" s="24">
        <f>i_W_rate*W166*(W170+(1-W170)*(1+W171))</f>
        <v/>
      </c>
      <c r="X172" s="24">
        <f>i_W_rate*X166*(X170+(1-X170)*(1+X171))</f>
        <v/>
      </c>
      <c r="Y172" s="24">
        <f>i_W_rate*Y166*(Y170+(1-Y170)*(1+Y171))</f>
        <v/>
      </c>
      <c r="Z172" s="24">
        <f>i_W_rate*Z166*(Z170+(1-Z170)*(1+Z171))</f>
        <v/>
      </c>
      <c r="AA172" s="24">
        <f>i_W_rate*AA166*(AA170+(1-AA170)*(1+AA171))</f>
        <v/>
      </c>
      <c r="AB172" s="24">
        <f>i_W_rate*AB166*(AB170+(1-AB170)*(1+AB171))</f>
        <v/>
      </c>
      <c r="AC172" s="24">
        <f>i_W_rate*AC166*(AC170+(1-AC170)*(1+AC171))</f>
        <v/>
      </c>
      <c r="AD172" s="24">
        <f>i_W_rate*AD166*(AD170+(1-AD170)*(1+AD171))</f>
        <v/>
      </c>
      <c r="AE172" s="24">
        <f>i_W_rate*AE166*(AE170+(1-AE170)*(1+AE171))</f>
        <v/>
      </c>
      <c r="AF172" s="24">
        <f>i_W_rate*AF166*(AF170+(1-AF170)*(1+AF171))</f>
        <v/>
      </c>
      <c r="AG172" s="24">
        <f>i_W_rate*AG166*(AG170+(1-AG170)*(1+AG171))</f>
        <v/>
      </c>
      <c r="AH172" s="24">
        <f>i_W_rate*AH166*(AH170+(1-AH170)*(1+AH171))</f>
        <v/>
      </c>
      <c r="AI172" s="24">
        <f>i_W_rate*AI166*(AI170+(1-AI170)*(1+AI171))</f>
        <v/>
      </c>
    </row>
    <row r="173">
      <c r="B173" s="2" t="inlineStr">
        <is>
          <t xml:space="preserve">  Occupancy after the transition decline and floor</t>
        </is>
      </c>
      <c r="D173" s="21">
        <f>IF(D$3&gt;i_trans_start,MAX(i_W_floor,i_W_occ-i_W_dec*(D$3-i_trans_start)),i_W_occ)</f>
        <v/>
      </c>
      <c r="E173" s="21">
        <f>IF(E$3&gt;i_trans_start,MAX(i_W_floor,i_W_occ-i_W_dec*(E$3-i_trans_start)),i_W_occ)</f>
        <v/>
      </c>
      <c r="F173" s="21">
        <f>IF(F$3&gt;i_trans_start,MAX(i_W_floor,i_W_occ-i_W_dec*(F$3-i_trans_start)),i_W_occ)</f>
        <v/>
      </c>
      <c r="G173" s="21">
        <f>IF(G$3&gt;i_trans_start,MAX(i_W_floor,i_W_occ-i_W_dec*(G$3-i_trans_start)),i_W_occ)</f>
        <v/>
      </c>
      <c r="H173" s="21">
        <f>IF(H$3&gt;i_trans_start,MAX(i_W_floor,i_W_occ-i_W_dec*(H$3-i_trans_start)),i_W_occ)</f>
        <v/>
      </c>
      <c r="I173" s="21">
        <f>IF(I$3&gt;i_trans_start,MAX(i_W_floor,i_W_occ-i_W_dec*(I$3-i_trans_start)),i_W_occ)</f>
        <v/>
      </c>
      <c r="J173" s="21">
        <f>IF(J$3&gt;i_trans_start,MAX(i_W_floor,i_W_occ-i_W_dec*(J$3-i_trans_start)),i_W_occ)</f>
        <v/>
      </c>
      <c r="K173" s="21">
        <f>IF(K$3&gt;i_trans_start,MAX(i_W_floor,i_W_occ-i_W_dec*(K$3-i_trans_start)),i_W_occ)</f>
        <v/>
      </c>
      <c r="L173" s="21">
        <f>IF(L$3&gt;i_trans_start,MAX(i_W_floor,i_W_occ-i_W_dec*(L$3-i_trans_start)),i_W_occ)</f>
        <v/>
      </c>
      <c r="M173" s="21">
        <f>IF(M$3&gt;i_trans_start,MAX(i_W_floor,i_W_occ-i_W_dec*(M$3-i_trans_start)),i_W_occ)</f>
        <v/>
      </c>
      <c r="N173" s="21">
        <f>IF(N$3&gt;i_trans_start,MAX(i_W_floor,i_W_occ-i_W_dec*(N$3-i_trans_start)),i_W_occ)</f>
        <v/>
      </c>
      <c r="O173" s="21">
        <f>IF(O$3&gt;i_trans_start,MAX(i_W_floor,i_W_occ-i_W_dec*(O$3-i_trans_start)),i_W_occ)</f>
        <v/>
      </c>
      <c r="P173" s="21">
        <f>IF(P$3&gt;i_trans_start,MAX(i_W_floor,i_W_occ-i_W_dec*(P$3-i_trans_start)),i_W_occ)</f>
        <v/>
      </c>
      <c r="Q173" s="21">
        <f>IF(Q$3&gt;i_trans_start,MAX(i_W_floor,i_W_occ-i_W_dec*(Q$3-i_trans_start)),i_W_occ)</f>
        <v/>
      </c>
      <c r="R173" s="21">
        <f>IF(R$3&gt;i_trans_start,MAX(i_W_floor,i_W_occ-i_W_dec*(R$3-i_trans_start)),i_W_occ)</f>
        <v/>
      </c>
      <c r="S173" s="21">
        <f>IF(S$3&gt;i_trans_start,MAX(i_W_floor,i_W_occ-i_W_dec*(S$3-i_trans_start)),i_W_occ)</f>
        <v/>
      </c>
      <c r="T173" s="21">
        <f>IF(T$3&gt;i_trans_start,MAX(i_W_floor,i_W_occ-i_W_dec*(T$3-i_trans_start)),i_W_occ)</f>
        <v/>
      </c>
      <c r="U173" s="21">
        <f>IF(U$3&gt;i_trans_start,MAX(i_W_floor,i_W_occ-i_W_dec*(U$3-i_trans_start)),i_W_occ)</f>
        <v/>
      </c>
      <c r="V173" s="21">
        <f>IF(V$3&gt;i_trans_start,MAX(i_W_floor,i_W_occ-i_W_dec*(V$3-i_trans_start)),i_W_occ)</f>
        <v/>
      </c>
      <c r="W173" s="21">
        <f>IF(W$3&gt;i_trans_start,MAX(i_W_floor,i_W_occ-i_W_dec*(W$3-i_trans_start)),i_W_occ)</f>
        <v/>
      </c>
      <c r="X173" s="21">
        <f>IF(X$3&gt;i_trans_start,MAX(i_W_floor,i_W_occ-i_W_dec*(X$3-i_trans_start)),i_W_occ)</f>
        <v/>
      </c>
      <c r="Y173" s="21">
        <f>IF(Y$3&gt;i_trans_start,MAX(i_W_floor,i_W_occ-i_W_dec*(Y$3-i_trans_start)),i_W_occ)</f>
        <v/>
      </c>
      <c r="Z173" s="21">
        <f>IF(Z$3&gt;i_trans_start,MAX(i_W_floor,i_W_occ-i_W_dec*(Z$3-i_trans_start)),i_W_occ)</f>
        <v/>
      </c>
      <c r="AA173" s="21">
        <f>IF(AA$3&gt;i_trans_start,MAX(i_W_floor,i_W_occ-i_W_dec*(AA$3-i_trans_start)),i_W_occ)</f>
        <v/>
      </c>
      <c r="AB173" s="21">
        <f>IF(AB$3&gt;i_trans_start,MAX(i_W_floor,i_W_occ-i_W_dec*(AB$3-i_trans_start)),i_W_occ)</f>
        <v/>
      </c>
      <c r="AC173" s="21">
        <f>IF(AC$3&gt;i_trans_start,MAX(i_W_floor,i_W_occ-i_W_dec*(AC$3-i_trans_start)),i_W_occ)</f>
        <v/>
      </c>
      <c r="AD173" s="21">
        <f>IF(AD$3&gt;i_trans_start,MAX(i_W_floor,i_W_occ-i_W_dec*(AD$3-i_trans_start)),i_W_occ)</f>
        <v/>
      </c>
      <c r="AE173" s="21">
        <f>IF(AE$3&gt;i_trans_start,MAX(i_W_floor,i_W_occ-i_W_dec*(AE$3-i_trans_start)),i_W_occ)</f>
        <v/>
      </c>
      <c r="AF173" s="21">
        <f>IF(AF$3&gt;i_trans_start,MAX(i_W_floor,i_W_occ-i_W_dec*(AF$3-i_trans_start)),i_W_occ)</f>
        <v/>
      </c>
      <c r="AG173" s="21">
        <f>IF(AG$3&gt;i_trans_start,MAX(i_W_floor,i_W_occ-i_W_dec*(AG$3-i_trans_start)),i_W_occ)</f>
        <v/>
      </c>
      <c r="AH173" s="21">
        <f>IF(AH$3&gt;i_trans_start,MAX(i_W_floor,i_W_occ-i_W_dec*(AH$3-i_trans_start)),i_W_occ)</f>
        <v/>
      </c>
      <c r="AI173" s="21">
        <f>IF(AI$3&gt;i_trans_start,MAX(i_W_floor,i_W_occ-i_W_dec*(AI$3-i_trans_start)),i_W_occ)</f>
        <v/>
      </c>
    </row>
    <row r="174">
      <c r="B174" s="2" t="inlineStr">
        <is>
          <t xml:space="preserve">  Customer loss (points)</t>
        </is>
      </c>
      <c r="D174" s="21">
        <f>Diligence!$C$156*SUMIF(i_dip_years,D$3,i_dip_vals)</f>
        <v/>
      </c>
      <c r="E174" s="21">
        <f>Diligence!$C$156*SUMIF(i_dip_years,E$3,i_dip_vals)</f>
        <v/>
      </c>
      <c r="F174" s="21">
        <f>Diligence!$C$156*SUMIF(i_dip_years,F$3,i_dip_vals)</f>
        <v/>
      </c>
      <c r="G174" s="21">
        <f>Diligence!$C$156*SUMIF(i_dip_years,G$3,i_dip_vals)</f>
        <v/>
      </c>
      <c r="H174" s="21">
        <f>Diligence!$C$156*SUMIF(i_dip_years,H$3,i_dip_vals)</f>
        <v/>
      </c>
      <c r="I174" s="21">
        <f>Diligence!$C$156*SUMIF(i_dip_years,I$3,i_dip_vals)</f>
        <v/>
      </c>
      <c r="J174" s="21">
        <f>Diligence!$C$156*SUMIF(i_dip_years,J$3,i_dip_vals)</f>
        <v/>
      </c>
      <c r="K174" s="21">
        <f>Diligence!$C$156*SUMIF(i_dip_years,K$3,i_dip_vals)</f>
        <v/>
      </c>
      <c r="L174" s="21">
        <f>Diligence!$C$156*SUMIF(i_dip_years,L$3,i_dip_vals)</f>
        <v/>
      </c>
      <c r="M174" s="21">
        <f>Diligence!$C$156*SUMIF(i_dip_years,M$3,i_dip_vals)</f>
        <v/>
      </c>
      <c r="N174" s="21">
        <f>Diligence!$C$156*SUMIF(i_dip_years,N$3,i_dip_vals)</f>
        <v/>
      </c>
      <c r="O174" s="21">
        <f>Diligence!$C$156*SUMIF(i_dip_years,O$3,i_dip_vals)</f>
        <v/>
      </c>
      <c r="P174" s="21">
        <f>Diligence!$C$156*SUMIF(i_dip_years,P$3,i_dip_vals)</f>
        <v/>
      </c>
      <c r="Q174" s="21">
        <f>Diligence!$C$156*SUMIF(i_dip_years,Q$3,i_dip_vals)</f>
        <v/>
      </c>
      <c r="R174" s="21">
        <f>Diligence!$C$156*SUMIF(i_dip_years,R$3,i_dip_vals)</f>
        <v/>
      </c>
      <c r="S174" s="21">
        <f>Diligence!$C$156*SUMIF(i_dip_years,S$3,i_dip_vals)</f>
        <v/>
      </c>
      <c r="T174" s="21">
        <f>Diligence!$C$156*SUMIF(i_dip_years,T$3,i_dip_vals)</f>
        <v/>
      </c>
      <c r="U174" s="21">
        <f>Diligence!$C$156*SUMIF(i_dip_years,U$3,i_dip_vals)</f>
        <v/>
      </c>
      <c r="V174" s="21">
        <f>Diligence!$C$156*SUMIF(i_dip_years,V$3,i_dip_vals)</f>
        <v/>
      </c>
      <c r="W174" s="21">
        <f>Diligence!$C$156*SUMIF(i_dip_years,W$3,i_dip_vals)</f>
        <v/>
      </c>
      <c r="X174" s="21">
        <f>Diligence!$C$156*SUMIF(i_dip_years,X$3,i_dip_vals)</f>
        <v/>
      </c>
      <c r="Y174" s="21">
        <f>Diligence!$C$156*SUMIF(i_dip_years,Y$3,i_dip_vals)</f>
        <v/>
      </c>
      <c r="Z174" s="21">
        <f>Diligence!$C$156*SUMIF(i_dip_years,Z$3,i_dip_vals)</f>
        <v/>
      </c>
      <c r="AA174" s="21">
        <f>Diligence!$C$156*SUMIF(i_dip_years,AA$3,i_dip_vals)</f>
        <v/>
      </c>
      <c r="AB174" s="21">
        <f>Diligence!$C$156*SUMIF(i_dip_years,AB$3,i_dip_vals)</f>
        <v/>
      </c>
      <c r="AC174" s="21">
        <f>Diligence!$C$156*SUMIF(i_dip_years,AC$3,i_dip_vals)</f>
        <v/>
      </c>
      <c r="AD174" s="21">
        <f>Diligence!$C$156*SUMIF(i_dip_years,AD$3,i_dip_vals)</f>
        <v/>
      </c>
      <c r="AE174" s="21">
        <f>Diligence!$C$156*SUMIF(i_dip_years,AE$3,i_dip_vals)</f>
        <v/>
      </c>
      <c r="AF174" s="21">
        <f>Diligence!$C$156*SUMIF(i_dip_years,AF$3,i_dip_vals)</f>
        <v/>
      </c>
      <c r="AG174" s="21">
        <f>Diligence!$C$156*SUMIF(i_dip_years,AG$3,i_dip_vals)</f>
        <v/>
      </c>
      <c r="AH174" s="21">
        <f>Diligence!$C$156*SUMIF(i_dip_years,AH$3,i_dip_vals)</f>
        <v/>
      </c>
      <c r="AI174" s="21">
        <f>Diligence!$C$156*SUMIF(i_dip_years,AI$3,i_dip_vals)</f>
        <v/>
      </c>
    </row>
    <row r="175">
      <c r="B175" s="2" t="inlineStr">
        <is>
          <t xml:space="preserve">  Occupancy (with the shift switch from 2027)</t>
        </is>
      </c>
      <c r="D175" s="21">
        <f>IF(D$4&gt;0,MIN(1,D173-D174+Diligence!$C$160),D173-D174)</f>
        <v/>
      </c>
      <c r="E175" s="21">
        <f>IF(E$4&gt;0,MIN(1,E173-E174+Diligence!$C$160),E173-E174)</f>
        <v/>
      </c>
      <c r="F175" s="21">
        <f>IF(F$4&gt;0,MIN(1,F173-F174+Diligence!$C$160),F173-F174)</f>
        <v/>
      </c>
      <c r="G175" s="21">
        <f>IF(G$4&gt;0,MIN(1,G173-G174+Diligence!$C$160),G173-G174)</f>
        <v/>
      </c>
      <c r="H175" s="21">
        <f>IF(H$4&gt;0,MIN(1,H173-H174+Diligence!$C$160),H173-H174)</f>
        <v/>
      </c>
      <c r="I175" s="21">
        <f>IF(I$4&gt;0,MIN(1,I173-I174+Diligence!$C$160),I173-I174)</f>
        <v/>
      </c>
      <c r="J175" s="21">
        <f>IF(J$4&gt;0,MIN(1,J173-J174+Diligence!$C$160),J173-J174)</f>
        <v/>
      </c>
      <c r="K175" s="21">
        <f>IF(K$4&gt;0,MIN(1,K173-K174+Diligence!$C$160),K173-K174)</f>
        <v/>
      </c>
      <c r="L175" s="21">
        <f>IF(L$4&gt;0,MIN(1,L173-L174+Diligence!$C$160),L173-L174)</f>
        <v/>
      </c>
      <c r="M175" s="21">
        <f>IF(M$4&gt;0,MIN(1,M173-M174+Diligence!$C$160),M173-M174)</f>
        <v/>
      </c>
      <c r="N175" s="21">
        <f>IF(N$4&gt;0,MIN(1,N173-N174+Diligence!$C$160),N173-N174)</f>
        <v/>
      </c>
      <c r="O175" s="21">
        <f>IF(O$4&gt;0,MIN(1,O173-O174+Diligence!$C$160),O173-O174)</f>
        <v/>
      </c>
      <c r="P175" s="21">
        <f>IF(P$4&gt;0,MIN(1,P173-P174+Diligence!$C$160),P173-P174)</f>
        <v/>
      </c>
      <c r="Q175" s="21">
        <f>IF(Q$4&gt;0,MIN(1,Q173-Q174+Diligence!$C$160),Q173-Q174)</f>
        <v/>
      </c>
      <c r="R175" s="21">
        <f>IF(R$4&gt;0,MIN(1,R173-R174+Diligence!$C$160),R173-R174)</f>
        <v/>
      </c>
      <c r="S175" s="21">
        <f>IF(S$4&gt;0,MIN(1,S173-S174+Diligence!$C$160),S173-S174)</f>
        <v/>
      </c>
      <c r="T175" s="21">
        <f>IF(T$4&gt;0,MIN(1,T173-T174+Diligence!$C$160),T173-T174)</f>
        <v/>
      </c>
      <c r="U175" s="21">
        <f>IF(U$4&gt;0,MIN(1,U173-U174+Diligence!$C$160),U173-U174)</f>
        <v/>
      </c>
      <c r="V175" s="21">
        <f>IF(V$4&gt;0,MIN(1,V173-V174+Diligence!$C$160),V173-V174)</f>
        <v/>
      </c>
      <c r="W175" s="21">
        <f>IF(W$4&gt;0,MIN(1,W173-W174+Diligence!$C$160),W173-W174)</f>
        <v/>
      </c>
      <c r="X175" s="21">
        <f>IF(X$4&gt;0,MIN(1,X173-X174+Diligence!$C$160),X173-X174)</f>
        <v/>
      </c>
      <c r="Y175" s="21">
        <f>IF(Y$4&gt;0,MIN(1,Y173-Y174+Diligence!$C$160),Y173-Y174)</f>
        <v/>
      </c>
      <c r="Z175" s="21">
        <f>IF(Z$4&gt;0,MIN(1,Z173-Z174+Diligence!$C$160),Z173-Z174)</f>
        <v/>
      </c>
      <c r="AA175" s="21">
        <f>IF(AA$4&gt;0,MIN(1,AA173-AA174+Diligence!$C$160),AA173-AA174)</f>
        <v/>
      </c>
      <c r="AB175" s="21">
        <f>IF(AB$4&gt;0,MIN(1,AB173-AB174+Diligence!$C$160),AB173-AB174)</f>
        <v/>
      </c>
      <c r="AC175" s="21">
        <f>IF(AC$4&gt;0,MIN(1,AC173-AC174+Diligence!$C$160),AC173-AC174)</f>
        <v/>
      </c>
      <c r="AD175" s="21">
        <f>IF(AD$4&gt;0,MIN(1,AD173-AD174+Diligence!$C$160),AD173-AD174)</f>
        <v/>
      </c>
      <c r="AE175" s="21">
        <f>IF(AE$4&gt;0,MIN(1,AE173-AE174+Diligence!$C$160),AE173-AE174)</f>
        <v/>
      </c>
      <c r="AF175" s="21">
        <f>IF(AF$4&gt;0,MIN(1,AF173-AF174+Diligence!$C$160),AF173-AF174)</f>
        <v/>
      </c>
      <c r="AG175" s="21">
        <f>IF(AG$4&gt;0,MIN(1,AG173-AG174+Diligence!$C$160),AG173-AG174)</f>
        <v/>
      </c>
      <c r="AH175" s="21">
        <f>IF(AH$4&gt;0,MIN(1,AH173-AH174+Diligence!$C$160),AH173-AH174)</f>
        <v/>
      </c>
      <c r="AI175" s="21">
        <f>IF(AI$4&gt;0,MIN(1,AI173-AI174+Diligence!$C$160),AI173-AI174)</f>
        <v/>
      </c>
    </row>
    <row r="176">
      <c r="B176" s="2" t="inlineStr">
        <is>
          <t xml:space="preserve">  Storage revenue</t>
        </is>
      </c>
      <c r="D176" s="19">
        <f>D169*D172*12*D175</f>
        <v/>
      </c>
      <c r="E176" s="19">
        <f>E169*E172*12*E175</f>
        <v/>
      </c>
      <c r="F176" s="19">
        <f>F169*F172*12*F175</f>
        <v/>
      </c>
      <c r="G176" s="19">
        <f>G169*G172*12*G175</f>
        <v/>
      </c>
      <c r="H176" s="19">
        <f>H169*H172*12*H175</f>
        <v/>
      </c>
      <c r="I176" s="19">
        <f>I169*I172*12*I175</f>
        <v/>
      </c>
      <c r="J176" s="19">
        <f>J169*J172*12*J175</f>
        <v/>
      </c>
      <c r="K176" s="19">
        <f>K169*K172*12*K175</f>
        <v/>
      </c>
      <c r="L176" s="19">
        <f>L169*L172*12*L175</f>
        <v/>
      </c>
      <c r="M176" s="19">
        <f>M169*M172*12*M175</f>
        <v/>
      </c>
      <c r="N176" s="19">
        <f>N169*N172*12*N175</f>
        <v/>
      </c>
      <c r="O176" s="19">
        <f>O169*O172*12*O175</f>
        <v/>
      </c>
      <c r="P176" s="19">
        <f>P169*P172*12*P175</f>
        <v/>
      </c>
      <c r="Q176" s="19">
        <f>Q169*Q172*12*Q175</f>
        <v/>
      </c>
      <c r="R176" s="19">
        <f>R169*R172*12*R175</f>
        <v/>
      </c>
      <c r="S176" s="19">
        <f>S169*S172*12*S175</f>
        <v/>
      </c>
      <c r="T176" s="19">
        <f>T169*T172*12*T175</f>
        <v/>
      </c>
      <c r="U176" s="19">
        <f>U169*U172*12*U175</f>
        <v/>
      </c>
      <c r="V176" s="19">
        <f>V169*V172*12*V175</f>
        <v/>
      </c>
      <c r="W176" s="19">
        <f>W169*W172*12*W175</f>
        <v/>
      </c>
      <c r="X176" s="19">
        <f>X169*X172*12*X175</f>
        <v/>
      </c>
      <c r="Y176" s="19">
        <f>Y169*Y172*12*Y175</f>
        <v/>
      </c>
      <c r="Z176" s="19">
        <f>Z169*Z172*12*Z175</f>
        <v/>
      </c>
      <c r="AA176" s="19">
        <f>AA169*AA172*12*AA175</f>
        <v/>
      </c>
      <c r="AB176" s="19">
        <f>AB169*AB172*12*AB175</f>
        <v/>
      </c>
      <c r="AC176" s="19">
        <f>AC169*AC172*12*AC175</f>
        <v/>
      </c>
      <c r="AD176" s="19">
        <f>AD169*AD172*12*AD175</f>
        <v/>
      </c>
      <c r="AE176" s="19">
        <f>AE169*AE172*12*AE175</f>
        <v/>
      </c>
      <c r="AF176" s="19">
        <f>AF169*AF172*12*AF175</f>
        <v/>
      </c>
      <c r="AG176" s="19">
        <f>AG169*AG172*12*AG175</f>
        <v/>
      </c>
      <c r="AH176" s="19">
        <f>AH169*AH172*12*AH175</f>
        <v/>
      </c>
      <c r="AI176" s="19">
        <f>AI169*AI172*12*AI175</f>
        <v/>
      </c>
    </row>
    <row r="177">
      <c r="B177" s="2" t="inlineStr">
        <is>
          <t xml:space="preserve">  Ancillary and throughput revenue</t>
        </is>
      </c>
      <c r="D177" s="19">
        <f>D176*i_W_anc</f>
        <v/>
      </c>
      <c r="E177" s="19">
        <f>E176*i_W_anc</f>
        <v/>
      </c>
      <c r="F177" s="19">
        <f>F176*i_W_anc</f>
        <v/>
      </c>
      <c r="G177" s="19">
        <f>G176*i_W_anc</f>
        <v/>
      </c>
      <c r="H177" s="19">
        <f>H176*i_W_anc</f>
        <v/>
      </c>
      <c r="I177" s="19">
        <f>I176*i_W_anc</f>
        <v/>
      </c>
      <c r="J177" s="19">
        <f>J176*i_W_anc</f>
        <v/>
      </c>
      <c r="K177" s="19">
        <f>K176*i_W_anc</f>
        <v/>
      </c>
      <c r="L177" s="19">
        <f>L176*i_W_anc</f>
        <v/>
      </c>
      <c r="M177" s="19">
        <f>M176*i_W_anc</f>
        <v/>
      </c>
      <c r="N177" s="19">
        <f>N176*i_W_anc</f>
        <v/>
      </c>
      <c r="O177" s="19">
        <f>O176*i_W_anc</f>
        <v/>
      </c>
      <c r="P177" s="19">
        <f>P176*i_W_anc</f>
        <v/>
      </c>
      <c r="Q177" s="19">
        <f>Q176*i_W_anc</f>
        <v/>
      </c>
      <c r="R177" s="19">
        <f>R176*i_W_anc</f>
        <v/>
      </c>
      <c r="S177" s="19">
        <f>S176*i_W_anc</f>
        <v/>
      </c>
      <c r="T177" s="19">
        <f>T176*i_W_anc</f>
        <v/>
      </c>
      <c r="U177" s="19">
        <f>U176*i_W_anc</f>
        <v/>
      </c>
      <c r="V177" s="19">
        <f>V176*i_W_anc</f>
        <v/>
      </c>
      <c r="W177" s="19">
        <f>W176*i_W_anc</f>
        <v/>
      </c>
      <c r="X177" s="19">
        <f>X176*i_W_anc</f>
        <v/>
      </c>
      <c r="Y177" s="19">
        <f>Y176*i_W_anc</f>
        <v/>
      </c>
      <c r="Z177" s="19">
        <f>Z176*i_W_anc</f>
        <v/>
      </c>
      <c r="AA177" s="19">
        <f>AA176*i_W_anc</f>
        <v/>
      </c>
      <c r="AB177" s="19">
        <f>AB176*i_W_anc</f>
        <v/>
      </c>
      <c r="AC177" s="19">
        <f>AC176*i_W_anc</f>
        <v/>
      </c>
      <c r="AD177" s="19">
        <f>AD176*i_W_anc</f>
        <v/>
      </c>
      <c r="AE177" s="19">
        <f>AE176*i_W_anc</f>
        <v/>
      </c>
      <c r="AF177" s="19">
        <f>AF176*i_W_anc</f>
        <v/>
      </c>
      <c r="AG177" s="19">
        <f>AG176*i_W_anc</f>
        <v/>
      </c>
      <c r="AH177" s="19">
        <f>AH176*i_W_anc</f>
        <v/>
      </c>
      <c r="AI177" s="19">
        <f>AI176*i_W_anc</f>
        <v/>
      </c>
    </row>
    <row r="178">
      <c r="B178" s="3" t="inlineStr">
        <is>
          <t xml:space="preserve">  Revenue</t>
        </is>
      </c>
      <c r="D178" s="31">
        <f>D176+D177</f>
        <v/>
      </c>
      <c r="E178" s="31">
        <f>E176+E177</f>
        <v/>
      </c>
      <c r="F178" s="31">
        <f>F176+F177</f>
        <v/>
      </c>
      <c r="G178" s="31">
        <f>G176+G177</f>
        <v/>
      </c>
      <c r="H178" s="31">
        <f>H176+H177</f>
        <v/>
      </c>
      <c r="I178" s="31">
        <f>I176+I177</f>
        <v/>
      </c>
      <c r="J178" s="31">
        <f>J176+J177</f>
        <v/>
      </c>
      <c r="K178" s="31">
        <f>K176+K177</f>
        <v/>
      </c>
      <c r="L178" s="31">
        <f>L176+L177</f>
        <v/>
      </c>
      <c r="M178" s="31">
        <f>M176+M177</f>
        <v/>
      </c>
      <c r="N178" s="31">
        <f>N176+N177</f>
        <v/>
      </c>
      <c r="O178" s="31">
        <f>O176+O177</f>
        <v/>
      </c>
      <c r="P178" s="31">
        <f>P176+P177</f>
        <v/>
      </c>
      <c r="Q178" s="31">
        <f>Q176+Q177</f>
        <v/>
      </c>
      <c r="R178" s="31">
        <f>R176+R177</f>
        <v/>
      </c>
      <c r="S178" s="31">
        <f>S176+S177</f>
        <v/>
      </c>
      <c r="T178" s="31">
        <f>T176+T177</f>
        <v/>
      </c>
      <c r="U178" s="31">
        <f>U176+U177</f>
        <v/>
      </c>
      <c r="V178" s="31">
        <f>V176+V177</f>
        <v/>
      </c>
      <c r="W178" s="31">
        <f>W176+W177</f>
        <v/>
      </c>
      <c r="X178" s="31">
        <f>X176+X177</f>
        <v/>
      </c>
      <c r="Y178" s="31">
        <f>Y176+Y177</f>
        <v/>
      </c>
      <c r="Z178" s="31">
        <f>Z176+Z177</f>
        <v/>
      </c>
      <c r="AA178" s="31">
        <f>AA176+AA177</f>
        <v/>
      </c>
      <c r="AB178" s="31">
        <f>AB176+AB177</f>
        <v/>
      </c>
      <c r="AC178" s="31">
        <f>AC176+AC177</f>
        <v/>
      </c>
      <c r="AD178" s="31">
        <f>AD176+AD177</f>
        <v/>
      </c>
      <c r="AE178" s="31">
        <f>AE176+AE177</f>
        <v/>
      </c>
      <c r="AF178" s="31">
        <f>AF176+AF177</f>
        <v/>
      </c>
      <c r="AG178" s="31">
        <f>AG176+AG177</f>
        <v/>
      </c>
      <c r="AH178" s="31">
        <f>AH176+AH177</f>
        <v/>
      </c>
      <c r="AI178" s="31">
        <f>AI176+AI177</f>
        <v/>
      </c>
    </row>
    <row r="179">
      <c r="B179" s="2" t="inlineStr">
        <is>
          <t xml:space="preserve">  Fixed cost</t>
        </is>
      </c>
      <c r="D179" s="19">
        <f>D169*i_W_fix*D165</f>
        <v/>
      </c>
      <c r="E179" s="19">
        <f>E169*i_W_fix*E165</f>
        <v/>
      </c>
      <c r="F179" s="19">
        <f>F169*i_W_fix*F165</f>
        <v/>
      </c>
      <c r="G179" s="19">
        <f>G169*i_W_fix*G165</f>
        <v/>
      </c>
      <c r="H179" s="19">
        <f>H169*i_W_fix*H165</f>
        <v/>
      </c>
      <c r="I179" s="19">
        <f>I169*i_W_fix*I165</f>
        <v/>
      </c>
      <c r="J179" s="19">
        <f>J169*i_W_fix*J165</f>
        <v/>
      </c>
      <c r="K179" s="19">
        <f>K169*i_W_fix*K165</f>
        <v/>
      </c>
      <c r="L179" s="19">
        <f>L169*i_W_fix*L165</f>
        <v/>
      </c>
      <c r="M179" s="19">
        <f>M169*i_W_fix*M165</f>
        <v/>
      </c>
      <c r="N179" s="19">
        <f>N169*i_W_fix*N165</f>
        <v/>
      </c>
      <c r="O179" s="19">
        <f>O169*i_W_fix*O165</f>
        <v/>
      </c>
      <c r="P179" s="19">
        <f>P169*i_W_fix*P165</f>
        <v/>
      </c>
      <c r="Q179" s="19">
        <f>Q169*i_W_fix*Q165</f>
        <v/>
      </c>
      <c r="R179" s="19">
        <f>R169*i_W_fix*R165</f>
        <v/>
      </c>
      <c r="S179" s="19">
        <f>S169*i_W_fix*S165</f>
        <v/>
      </c>
      <c r="T179" s="19">
        <f>T169*i_W_fix*T165</f>
        <v/>
      </c>
      <c r="U179" s="19">
        <f>U169*i_W_fix*U165</f>
        <v/>
      </c>
      <c r="V179" s="19">
        <f>V169*i_W_fix*V165</f>
        <v/>
      </c>
      <c r="W179" s="19">
        <f>W169*i_W_fix*W165</f>
        <v/>
      </c>
      <c r="X179" s="19">
        <f>X169*i_W_fix*X165</f>
        <v/>
      </c>
      <c r="Y179" s="19">
        <f>Y169*i_W_fix*Y165</f>
        <v/>
      </c>
      <c r="Z179" s="19">
        <f>Z169*i_W_fix*Z165</f>
        <v/>
      </c>
      <c r="AA179" s="19">
        <f>AA169*i_W_fix*AA165</f>
        <v/>
      </c>
      <c r="AB179" s="19">
        <f>AB169*i_W_fix*AB165</f>
        <v/>
      </c>
      <c r="AC179" s="19">
        <f>AC169*i_W_fix*AC165</f>
        <v/>
      </c>
      <c r="AD179" s="19">
        <f>AD169*i_W_fix*AD165</f>
        <v/>
      </c>
      <c r="AE179" s="19">
        <f>AE169*i_W_fix*AE165</f>
        <v/>
      </c>
      <c r="AF179" s="19">
        <f>AF169*i_W_fix*AF165</f>
        <v/>
      </c>
      <c r="AG179" s="19">
        <f>AG169*i_W_fix*AG165</f>
        <v/>
      </c>
      <c r="AH179" s="19">
        <f>AH169*i_W_fix*AH165</f>
        <v/>
      </c>
      <c r="AI179" s="19">
        <f>AI169*i_W_fix*AI165</f>
        <v/>
      </c>
    </row>
    <row r="180">
      <c r="B180" s="2" t="inlineStr">
        <is>
          <t xml:space="preserve">  Variable cost</t>
        </is>
      </c>
      <c r="D180" s="19">
        <f>i_W_var*D178</f>
        <v/>
      </c>
      <c r="E180" s="19">
        <f>i_W_var*E178</f>
        <v/>
      </c>
      <c r="F180" s="19">
        <f>i_W_var*F178</f>
        <v/>
      </c>
      <c r="G180" s="19">
        <f>i_W_var*G178</f>
        <v/>
      </c>
      <c r="H180" s="19">
        <f>i_W_var*H178</f>
        <v/>
      </c>
      <c r="I180" s="19">
        <f>i_W_var*I178</f>
        <v/>
      </c>
      <c r="J180" s="19">
        <f>i_W_var*J178</f>
        <v/>
      </c>
      <c r="K180" s="19">
        <f>i_W_var*K178</f>
        <v/>
      </c>
      <c r="L180" s="19">
        <f>i_W_var*L178</f>
        <v/>
      </c>
      <c r="M180" s="19">
        <f>i_W_var*M178</f>
        <v/>
      </c>
      <c r="N180" s="19">
        <f>i_W_var*N178</f>
        <v/>
      </c>
      <c r="O180" s="19">
        <f>i_W_var*O178</f>
        <v/>
      </c>
      <c r="P180" s="19">
        <f>i_W_var*P178</f>
        <v/>
      </c>
      <c r="Q180" s="19">
        <f>i_W_var*Q178</f>
        <v/>
      </c>
      <c r="R180" s="19">
        <f>i_W_var*R178</f>
        <v/>
      </c>
      <c r="S180" s="19">
        <f>i_W_var*S178</f>
        <v/>
      </c>
      <c r="T180" s="19">
        <f>i_W_var*T178</f>
        <v/>
      </c>
      <c r="U180" s="19">
        <f>i_W_var*U178</f>
        <v/>
      </c>
      <c r="V180" s="19">
        <f>i_W_var*V178</f>
        <v/>
      </c>
      <c r="W180" s="19">
        <f>i_W_var*W178</f>
        <v/>
      </c>
      <c r="X180" s="19">
        <f>i_W_var*X178</f>
        <v/>
      </c>
      <c r="Y180" s="19">
        <f>i_W_var*Y178</f>
        <v/>
      </c>
      <c r="Z180" s="19">
        <f>i_W_var*Z178</f>
        <v/>
      </c>
      <c r="AA180" s="19">
        <f>i_W_var*AA178</f>
        <v/>
      </c>
      <c r="AB180" s="19">
        <f>i_W_var*AB178</f>
        <v/>
      </c>
      <c r="AC180" s="19">
        <f>i_W_var*AC178</f>
        <v/>
      </c>
      <c r="AD180" s="19">
        <f>i_W_var*AD178</f>
        <v/>
      </c>
      <c r="AE180" s="19">
        <f>i_W_var*AE178</f>
        <v/>
      </c>
      <c r="AF180" s="19">
        <f>i_W_var*AF178</f>
        <v/>
      </c>
      <c r="AG180" s="19">
        <f>i_W_var*AG178</f>
        <v/>
      </c>
      <c r="AH180" s="19">
        <f>i_W_var*AH178</f>
        <v/>
      </c>
      <c r="AI180" s="19">
        <f>i_W_var*AI178</f>
        <v/>
      </c>
    </row>
    <row r="181">
      <c r="B181" s="2" t="inlineStr">
        <is>
          <t xml:space="preserve">  Concession fee</t>
        </is>
      </c>
      <c r="D181" s="19">
        <f>IF(AND(Diligence!$C$162=1,D$3&gt;i_conc_end),i_renew_fee,i_W_fee)*D178</f>
        <v/>
      </c>
      <c r="E181" s="19">
        <f>IF(AND(Diligence!$C$162=1,E$3&gt;i_conc_end),i_renew_fee,i_W_fee)*E178</f>
        <v/>
      </c>
      <c r="F181" s="19">
        <f>IF(AND(Diligence!$C$162=1,F$3&gt;i_conc_end),i_renew_fee,i_W_fee)*F178</f>
        <v/>
      </c>
      <c r="G181" s="19">
        <f>IF(AND(Diligence!$C$162=1,G$3&gt;i_conc_end),i_renew_fee,i_W_fee)*G178</f>
        <v/>
      </c>
      <c r="H181" s="19">
        <f>IF(AND(Diligence!$C$162=1,H$3&gt;i_conc_end),i_renew_fee,i_W_fee)*H178</f>
        <v/>
      </c>
      <c r="I181" s="19">
        <f>IF(AND(Diligence!$C$162=1,I$3&gt;i_conc_end),i_renew_fee,i_W_fee)*I178</f>
        <v/>
      </c>
      <c r="J181" s="19">
        <f>IF(AND(Diligence!$C$162=1,J$3&gt;i_conc_end),i_renew_fee,i_W_fee)*J178</f>
        <v/>
      </c>
      <c r="K181" s="19">
        <f>IF(AND(Diligence!$C$162=1,K$3&gt;i_conc_end),i_renew_fee,i_W_fee)*K178</f>
        <v/>
      </c>
      <c r="L181" s="19">
        <f>IF(AND(Diligence!$C$162=1,L$3&gt;i_conc_end),i_renew_fee,i_W_fee)*L178</f>
        <v/>
      </c>
      <c r="M181" s="19">
        <f>IF(AND(Diligence!$C$162=1,M$3&gt;i_conc_end),i_renew_fee,i_W_fee)*M178</f>
        <v/>
      </c>
      <c r="N181" s="19">
        <f>IF(AND(Diligence!$C$162=1,N$3&gt;i_conc_end),i_renew_fee,i_W_fee)*N178</f>
        <v/>
      </c>
      <c r="O181" s="19">
        <f>IF(AND(Diligence!$C$162=1,O$3&gt;i_conc_end),i_renew_fee,i_W_fee)*O178</f>
        <v/>
      </c>
      <c r="P181" s="19">
        <f>IF(AND(Diligence!$C$162=1,P$3&gt;i_conc_end),i_renew_fee,i_W_fee)*P178</f>
        <v/>
      </c>
      <c r="Q181" s="19">
        <f>IF(AND(Diligence!$C$162=1,Q$3&gt;i_conc_end),i_renew_fee,i_W_fee)*Q178</f>
        <v/>
      </c>
      <c r="R181" s="19">
        <f>IF(AND(Diligence!$C$162=1,R$3&gt;i_conc_end),i_renew_fee,i_W_fee)*R178</f>
        <v/>
      </c>
      <c r="S181" s="19">
        <f>IF(AND(Diligence!$C$162=1,S$3&gt;i_conc_end),i_renew_fee,i_W_fee)*S178</f>
        <v/>
      </c>
      <c r="T181" s="19">
        <f>IF(AND(Diligence!$C$162=1,T$3&gt;i_conc_end),i_renew_fee,i_W_fee)*T178</f>
        <v/>
      </c>
      <c r="U181" s="19">
        <f>IF(AND(Diligence!$C$162=1,U$3&gt;i_conc_end),i_renew_fee,i_W_fee)*U178</f>
        <v/>
      </c>
      <c r="V181" s="19">
        <f>IF(AND(Diligence!$C$162=1,V$3&gt;i_conc_end),i_renew_fee,i_W_fee)*V178</f>
        <v/>
      </c>
      <c r="W181" s="19">
        <f>IF(AND(Diligence!$C$162=1,W$3&gt;i_conc_end),i_renew_fee,i_W_fee)*W178</f>
        <v/>
      </c>
      <c r="X181" s="19">
        <f>IF(AND(Diligence!$C$162=1,X$3&gt;i_conc_end),i_renew_fee,i_W_fee)*X178</f>
        <v/>
      </c>
      <c r="Y181" s="19">
        <f>IF(AND(Diligence!$C$162=1,Y$3&gt;i_conc_end),i_renew_fee,i_W_fee)*Y178</f>
        <v/>
      </c>
      <c r="Z181" s="19">
        <f>IF(AND(Diligence!$C$162=1,Z$3&gt;i_conc_end),i_renew_fee,i_W_fee)*Z178</f>
        <v/>
      </c>
      <c r="AA181" s="19">
        <f>IF(AND(Diligence!$C$162=1,AA$3&gt;i_conc_end),i_renew_fee,i_W_fee)*AA178</f>
        <v/>
      </c>
      <c r="AB181" s="19">
        <f>IF(AND(Diligence!$C$162=1,AB$3&gt;i_conc_end),i_renew_fee,i_W_fee)*AB178</f>
        <v/>
      </c>
      <c r="AC181" s="19">
        <f>IF(AND(Diligence!$C$162=1,AC$3&gt;i_conc_end),i_renew_fee,i_W_fee)*AC178</f>
        <v/>
      </c>
      <c r="AD181" s="19">
        <f>IF(AND(Diligence!$C$162=1,AD$3&gt;i_conc_end),i_renew_fee,i_W_fee)*AD178</f>
        <v/>
      </c>
      <c r="AE181" s="19">
        <f>IF(AND(Diligence!$C$162=1,AE$3&gt;i_conc_end),i_renew_fee,i_W_fee)*AE178</f>
        <v/>
      </c>
      <c r="AF181" s="19">
        <f>IF(AND(Diligence!$C$162=1,AF$3&gt;i_conc_end),i_renew_fee,i_W_fee)*AF178</f>
        <v/>
      </c>
      <c r="AG181" s="19">
        <f>IF(AND(Diligence!$C$162=1,AG$3&gt;i_conc_end),i_renew_fee,i_W_fee)*AG178</f>
        <v/>
      </c>
      <c r="AH181" s="19">
        <f>IF(AND(Diligence!$C$162=1,AH$3&gt;i_conc_end),i_renew_fee,i_W_fee)*AH178</f>
        <v/>
      </c>
      <c r="AI181" s="19">
        <f>IF(AND(Diligence!$C$162=1,AI$3&gt;i_conc_end),i_renew_fee,i_W_fee)*AI178</f>
        <v/>
      </c>
    </row>
    <row r="182">
      <c r="B182" s="2" t="inlineStr">
        <is>
          <t xml:space="preserve">  Operating cost</t>
        </is>
      </c>
      <c r="D182" s="19">
        <f>D179+D180+D181</f>
        <v/>
      </c>
      <c r="E182" s="19">
        <f>E179+E180+E181</f>
        <v/>
      </c>
      <c r="F182" s="19">
        <f>F179+F180+F181</f>
        <v/>
      </c>
      <c r="G182" s="19">
        <f>G179+G180+G181</f>
        <v/>
      </c>
      <c r="H182" s="19">
        <f>H179+H180+H181</f>
        <v/>
      </c>
      <c r="I182" s="19">
        <f>I179+I180+I181</f>
        <v/>
      </c>
      <c r="J182" s="19">
        <f>J179+J180+J181</f>
        <v/>
      </c>
      <c r="K182" s="19">
        <f>K179+K180+K181</f>
        <v/>
      </c>
      <c r="L182" s="19">
        <f>L179+L180+L181</f>
        <v/>
      </c>
      <c r="M182" s="19">
        <f>M179+M180+M181</f>
        <v/>
      </c>
      <c r="N182" s="19">
        <f>N179+N180+N181</f>
        <v/>
      </c>
      <c r="O182" s="19">
        <f>O179+O180+O181</f>
        <v/>
      </c>
      <c r="P182" s="19">
        <f>P179+P180+P181</f>
        <v/>
      </c>
      <c r="Q182" s="19">
        <f>Q179+Q180+Q181</f>
        <v/>
      </c>
      <c r="R182" s="19">
        <f>R179+R180+R181</f>
        <v/>
      </c>
      <c r="S182" s="19">
        <f>S179+S180+S181</f>
        <v/>
      </c>
      <c r="T182" s="19">
        <f>T179+T180+T181</f>
        <v/>
      </c>
      <c r="U182" s="19">
        <f>U179+U180+U181</f>
        <v/>
      </c>
      <c r="V182" s="19">
        <f>V179+V180+V181</f>
        <v/>
      </c>
      <c r="W182" s="19">
        <f>W179+W180+W181</f>
        <v/>
      </c>
      <c r="X182" s="19">
        <f>X179+X180+X181</f>
        <v/>
      </c>
      <c r="Y182" s="19">
        <f>Y179+Y180+Y181</f>
        <v/>
      </c>
      <c r="Z182" s="19">
        <f>Z179+Z180+Z181</f>
        <v/>
      </c>
      <c r="AA182" s="19">
        <f>AA179+AA180+AA181</f>
        <v/>
      </c>
      <c r="AB182" s="19">
        <f>AB179+AB180+AB181</f>
        <v/>
      </c>
      <c r="AC182" s="19">
        <f>AC179+AC180+AC181</f>
        <v/>
      </c>
      <c r="AD182" s="19">
        <f>AD179+AD180+AD181</f>
        <v/>
      </c>
      <c r="AE182" s="19">
        <f>AE179+AE180+AE181</f>
        <v/>
      </c>
      <c r="AF182" s="19">
        <f>AF179+AF180+AF181</f>
        <v/>
      </c>
      <c r="AG182" s="19">
        <f>AG179+AG180+AG181</f>
        <v/>
      </c>
      <c r="AH182" s="19">
        <f>AH179+AH180+AH181</f>
        <v/>
      </c>
      <c r="AI182" s="19">
        <f>AI179+AI180+AI181</f>
        <v/>
      </c>
    </row>
    <row r="183">
      <c r="B183" s="3" t="inlineStr">
        <is>
          <t xml:space="preserve">  EBITDA</t>
        </is>
      </c>
      <c r="D183" s="31">
        <f>D178-D182</f>
        <v/>
      </c>
      <c r="E183" s="31">
        <f>E178-E182</f>
        <v/>
      </c>
      <c r="F183" s="31">
        <f>F178-F182</f>
        <v/>
      </c>
      <c r="G183" s="31">
        <f>G178-G182</f>
        <v/>
      </c>
      <c r="H183" s="31">
        <f>H178-H182</f>
        <v/>
      </c>
      <c r="I183" s="31">
        <f>I178-I182</f>
        <v/>
      </c>
      <c r="J183" s="31">
        <f>J178-J182</f>
        <v/>
      </c>
      <c r="K183" s="31">
        <f>K178-K182</f>
        <v/>
      </c>
      <c r="L183" s="31">
        <f>L178-L182</f>
        <v/>
      </c>
      <c r="M183" s="31">
        <f>M178-M182</f>
        <v/>
      </c>
      <c r="N183" s="31">
        <f>N178-N182</f>
        <v/>
      </c>
      <c r="O183" s="31">
        <f>O178-O182</f>
        <v/>
      </c>
      <c r="P183" s="31">
        <f>P178-P182</f>
        <v/>
      </c>
      <c r="Q183" s="31">
        <f>Q178-Q182</f>
        <v/>
      </c>
      <c r="R183" s="31">
        <f>R178-R182</f>
        <v/>
      </c>
      <c r="S183" s="31">
        <f>S178-S182</f>
        <v/>
      </c>
      <c r="T183" s="31">
        <f>T178-T182</f>
        <v/>
      </c>
      <c r="U183" s="31">
        <f>U178-U182</f>
        <v/>
      </c>
      <c r="V183" s="31">
        <f>V178-V182</f>
        <v/>
      </c>
      <c r="W183" s="31">
        <f>W178-W182</f>
        <v/>
      </c>
      <c r="X183" s="31">
        <f>X178-X182</f>
        <v/>
      </c>
      <c r="Y183" s="31">
        <f>Y178-Y182</f>
        <v/>
      </c>
      <c r="Z183" s="31">
        <f>Z178-Z182</f>
        <v/>
      </c>
      <c r="AA183" s="31">
        <f>AA178-AA182</f>
        <v/>
      </c>
      <c r="AB183" s="31">
        <f>AB178-AB182</f>
        <v/>
      </c>
      <c r="AC183" s="31">
        <f>AC178-AC182</f>
        <v/>
      </c>
      <c r="AD183" s="31">
        <f>AD178-AD182</f>
        <v/>
      </c>
      <c r="AE183" s="31">
        <f>AE178-AE182</f>
        <v/>
      </c>
      <c r="AF183" s="31">
        <f>AF178-AF182</f>
        <v/>
      </c>
      <c r="AG183" s="31">
        <f>AG178-AG182</f>
        <v/>
      </c>
      <c r="AH183" s="31">
        <f>AH178-AH182</f>
        <v/>
      </c>
      <c r="AI183" s="31">
        <f>AI178-AI182</f>
        <v/>
      </c>
    </row>
    <row r="184">
      <c r="B184" s="2" t="inlineStr">
        <is>
          <t xml:space="preserve">  Maintenance capex (with jetty 3)</t>
        </is>
      </c>
      <c r="D184" s="19">
        <f>D169*i_W_mc*D165+D168*Diligence!$C$157*SUMIF(i_jetty_years,D$3,i_jetty_vals)*D165</f>
        <v/>
      </c>
      <c r="E184" s="19">
        <f>E169*i_W_mc*E165+E168*Diligence!$C$157*SUMIF(i_jetty_years,E$3,i_jetty_vals)*E165</f>
        <v/>
      </c>
      <c r="F184" s="19">
        <f>F169*i_W_mc*F165+F168*Diligence!$C$157*SUMIF(i_jetty_years,F$3,i_jetty_vals)*F165</f>
        <v/>
      </c>
      <c r="G184" s="19">
        <f>G169*i_W_mc*G165+G168*Diligence!$C$157*SUMIF(i_jetty_years,G$3,i_jetty_vals)*G165</f>
        <v/>
      </c>
      <c r="H184" s="19">
        <f>H169*i_W_mc*H165+H168*Diligence!$C$157*SUMIF(i_jetty_years,H$3,i_jetty_vals)*H165</f>
        <v/>
      </c>
      <c r="I184" s="19">
        <f>I169*i_W_mc*I165+I168*Diligence!$C$157*SUMIF(i_jetty_years,I$3,i_jetty_vals)*I165</f>
        <v/>
      </c>
      <c r="J184" s="19">
        <f>J169*i_W_mc*J165+J168*Diligence!$C$157*SUMIF(i_jetty_years,J$3,i_jetty_vals)*J165</f>
        <v/>
      </c>
      <c r="K184" s="19">
        <f>K169*i_W_mc*K165+K168*Diligence!$C$157*SUMIF(i_jetty_years,K$3,i_jetty_vals)*K165</f>
        <v/>
      </c>
      <c r="L184" s="19">
        <f>L169*i_W_mc*L165+L168*Diligence!$C$157*SUMIF(i_jetty_years,L$3,i_jetty_vals)*L165</f>
        <v/>
      </c>
      <c r="M184" s="19">
        <f>M169*i_W_mc*M165+M168*Diligence!$C$157*SUMIF(i_jetty_years,M$3,i_jetty_vals)*M165</f>
        <v/>
      </c>
      <c r="N184" s="19">
        <f>N169*i_W_mc*N165+N168*Diligence!$C$157*SUMIF(i_jetty_years,N$3,i_jetty_vals)*N165</f>
        <v/>
      </c>
      <c r="O184" s="19">
        <f>O169*i_W_mc*O165+O168*Diligence!$C$157*SUMIF(i_jetty_years,O$3,i_jetty_vals)*O165</f>
        <v/>
      </c>
      <c r="P184" s="19">
        <f>P169*i_W_mc*P165+P168*Diligence!$C$157*SUMIF(i_jetty_years,P$3,i_jetty_vals)*P165</f>
        <v/>
      </c>
      <c r="Q184" s="19">
        <f>Q169*i_W_mc*Q165+Q168*Diligence!$C$157*SUMIF(i_jetty_years,Q$3,i_jetty_vals)*Q165</f>
        <v/>
      </c>
      <c r="R184" s="19">
        <f>R169*i_W_mc*R165+R168*Diligence!$C$157*SUMIF(i_jetty_years,R$3,i_jetty_vals)*R165</f>
        <v/>
      </c>
      <c r="S184" s="19">
        <f>S169*i_W_mc*S165+S168*Diligence!$C$157*SUMIF(i_jetty_years,S$3,i_jetty_vals)*S165</f>
        <v/>
      </c>
      <c r="T184" s="19">
        <f>T169*i_W_mc*T165+T168*Diligence!$C$157*SUMIF(i_jetty_years,T$3,i_jetty_vals)*T165</f>
        <v/>
      </c>
      <c r="U184" s="19">
        <f>U169*i_W_mc*U165+U168*Diligence!$C$157*SUMIF(i_jetty_years,U$3,i_jetty_vals)*U165</f>
        <v/>
      </c>
      <c r="V184" s="19">
        <f>V169*i_W_mc*V165+V168*Diligence!$C$157*SUMIF(i_jetty_years,V$3,i_jetty_vals)*V165</f>
        <v/>
      </c>
      <c r="W184" s="19">
        <f>W169*i_W_mc*W165+W168*Diligence!$C$157*SUMIF(i_jetty_years,W$3,i_jetty_vals)*W165</f>
        <v/>
      </c>
      <c r="X184" s="19">
        <f>X169*i_W_mc*X165+X168*Diligence!$C$157*SUMIF(i_jetty_years,X$3,i_jetty_vals)*X165</f>
        <v/>
      </c>
      <c r="Y184" s="19">
        <f>Y169*i_W_mc*Y165+Y168*Diligence!$C$157*SUMIF(i_jetty_years,Y$3,i_jetty_vals)*Y165</f>
        <v/>
      </c>
      <c r="Z184" s="19">
        <f>Z169*i_W_mc*Z165+Z168*Diligence!$C$157*SUMIF(i_jetty_years,Z$3,i_jetty_vals)*Z165</f>
        <v/>
      </c>
      <c r="AA184" s="19">
        <f>AA169*i_W_mc*AA165+AA168*Diligence!$C$157*SUMIF(i_jetty_years,AA$3,i_jetty_vals)*AA165</f>
        <v/>
      </c>
      <c r="AB184" s="19">
        <f>AB169*i_W_mc*AB165+AB168*Diligence!$C$157*SUMIF(i_jetty_years,AB$3,i_jetty_vals)*AB165</f>
        <v/>
      </c>
      <c r="AC184" s="19">
        <f>AC169*i_W_mc*AC165+AC168*Diligence!$C$157*SUMIF(i_jetty_years,AC$3,i_jetty_vals)*AC165</f>
        <v/>
      </c>
      <c r="AD184" s="19">
        <f>AD169*i_W_mc*AD165+AD168*Diligence!$C$157*SUMIF(i_jetty_years,AD$3,i_jetty_vals)*AD165</f>
        <v/>
      </c>
      <c r="AE184" s="19">
        <f>AE169*i_W_mc*AE165+AE168*Diligence!$C$157*SUMIF(i_jetty_years,AE$3,i_jetty_vals)*AE165</f>
        <v/>
      </c>
      <c r="AF184" s="19">
        <f>AF169*i_W_mc*AF165+AF168*Diligence!$C$157*SUMIF(i_jetty_years,AF$3,i_jetty_vals)*AF165</f>
        <v/>
      </c>
      <c r="AG184" s="19">
        <f>AG169*i_W_mc*AG165+AG168*Diligence!$C$157*SUMIF(i_jetty_years,AG$3,i_jetty_vals)*AG165</f>
        <v/>
      </c>
      <c r="AH184" s="19">
        <f>AH169*i_W_mc*AH165+AH168*Diligence!$C$157*SUMIF(i_jetty_years,AH$3,i_jetty_vals)*AH165</f>
        <v/>
      </c>
      <c r="AI184" s="19">
        <f>AI169*i_W_mc*AI165+AI168*Diligence!$C$157*SUMIF(i_jetty_years,AI$3,i_jetty_vals)*AI165</f>
        <v/>
      </c>
    </row>
    <row r="185">
      <c r="B185" s="3" t="inlineStr">
        <is>
          <t>Rhine Inland</t>
        </is>
      </c>
    </row>
    <row r="186">
      <c r="B186" s="2" t="inlineStr">
        <is>
          <t xml:space="preserve">  Capacity in service (million m3)</t>
        </is>
      </c>
      <c r="D186" s="24">
        <f>i_R_cap</f>
        <v/>
      </c>
      <c r="E186" s="24">
        <f>i_R_cap</f>
        <v/>
      </c>
      <c r="F186" s="24">
        <f>i_R_cap</f>
        <v/>
      </c>
      <c r="G186" s="24">
        <f>i_R_cap</f>
        <v/>
      </c>
      <c r="H186" s="24">
        <f>i_R_cap</f>
        <v/>
      </c>
      <c r="I186" s="24">
        <f>i_R_cap</f>
        <v/>
      </c>
      <c r="J186" s="24">
        <f>i_R_cap</f>
        <v/>
      </c>
      <c r="K186" s="24">
        <f>i_R_cap</f>
        <v/>
      </c>
      <c r="L186" s="24">
        <f>i_R_cap</f>
        <v/>
      </c>
      <c r="M186" s="24">
        <f>i_R_cap</f>
        <v/>
      </c>
      <c r="N186" s="24">
        <f>i_R_cap</f>
        <v/>
      </c>
      <c r="O186" s="24">
        <f>i_R_cap</f>
        <v/>
      </c>
      <c r="P186" s="24">
        <f>i_R_cap</f>
        <v/>
      </c>
      <c r="Q186" s="24">
        <f>i_R_cap</f>
        <v/>
      </c>
      <c r="R186" s="24">
        <f>i_R_cap</f>
        <v/>
      </c>
      <c r="S186" s="24">
        <f>i_R_cap</f>
        <v/>
      </c>
      <c r="T186" s="24">
        <f>i_R_cap</f>
        <v/>
      </c>
      <c r="U186" s="24">
        <f>i_R_cap</f>
        <v/>
      </c>
      <c r="V186" s="24">
        <f>i_R_cap</f>
        <v/>
      </c>
      <c r="W186" s="24">
        <f>i_R_cap</f>
        <v/>
      </c>
      <c r="X186" s="24">
        <f>i_R_cap</f>
        <v/>
      </c>
      <c r="Y186" s="24">
        <f>i_R_cap</f>
        <v/>
      </c>
      <c r="Z186" s="24">
        <f>i_R_cap</f>
        <v/>
      </c>
      <c r="AA186" s="24">
        <f>i_R_cap</f>
        <v/>
      </c>
      <c r="AB186" s="24">
        <f>i_R_cap</f>
        <v/>
      </c>
      <c r="AC186" s="24">
        <f>i_R_cap</f>
        <v/>
      </c>
      <c r="AD186" s="24">
        <f>i_R_cap</f>
        <v/>
      </c>
      <c r="AE186" s="24">
        <f>i_R_cap</f>
        <v/>
      </c>
      <c r="AF186" s="24">
        <f>i_R_cap</f>
        <v/>
      </c>
      <c r="AG186" s="24">
        <f>i_R_cap</f>
        <v/>
      </c>
      <c r="AH186" s="24">
        <f>i_R_cap</f>
        <v/>
      </c>
      <c r="AI186" s="24">
        <f>i_R_cap</f>
        <v/>
      </c>
    </row>
    <row r="187">
      <c r="B187" s="2" t="inlineStr">
        <is>
          <t xml:space="preserve">  Share on contracts signed before 2027</t>
        </is>
      </c>
      <c r="D187" s="21">
        <f>SUMIF(i_book_years,D$3,i_R_book)</f>
        <v/>
      </c>
      <c r="E187" s="21">
        <f>SUMIF(i_book_years,E$3,i_R_book)</f>
        <v/>
      </c>
      <c r="F187" s="21">
        <f>SUMIF(i_book_years,F$3,i_R_book)</f>
        <v/>
      </c>
      <c r="G187" s="21">
        <f>SUMIF(i_book_years,G$3,i_R_book)</f>
        <v/>
      </c>
      <c r="H187" s="21">
        <f>SUMIF(i_book_years,H$3,i_R_book)</f>
        <v/>
      </c>
      <c r="I187" s="21">
        <f>SUMIF(i_book_years,I$3,i_R_book)</f>
        <v/>
      </c>
      <c r="J187" s="21">
        <f>SUMIF(i_book_years,J$3,i_R_book)</f>
        <v/>
      </c>
      <c r="K187" s="21">
        <f>SUMIF(i_book_years,K$3,i_R_book)</f>
        <v/>
      </c>
      <c r="L187" s="21">
        <f>SUMIF(i_book_years,L$3,i_R_book)</f>
        <v/>
      </c>
      <c r="M187" s="21">
        <f>SUMIF(i_book_years,M$3,i_R_book)</f>
        <v/>
      </c>
      <c r="N187" s="21">
        <f>SUMIF(i_book_years,N$3,i_R_book)</f>
        <v/>
      </c>
      <c r="O187" s="21">
        <f>SUMIF(i_book_years,O$3,i_R_book)</f>
        <v/>
      </c>
      <c r="P187" s="21">
        <f>SUMIF(i_book_years,P$3,i_R_book)</f>
        <v/>
      </c>
      <c r="Q187" s="21">
        <f>SUMIF(i_book_years,Q$3,i_R_book)</f>
        <v/>
      </c>
      <c r="R187" s="21">
        <f>SUMIF(i_book_years,R$3,i_R_book)</f>
        <v/>
      </c>
      <c r="S187" s="21">
        <f>SUMIF(i_book_years,S$3,i_R_book)</f>
        <v/>
      </c>
      <c r="T187" s="21">
        <f>SUMIF(i_book_years,T$3,i_R_book)</f>
        <v/>
      </c>
      <c r="U187" s="21">
        <f>SUMIF(i_book_years,U$3,i_R_book)</f>
        <v/>
      </c>
      <c r="V187" s="21">
        <f>SUMIF(i_book_years,V$3,i_R_book)</f>
        <v/>
      </c>
      <c r="W187" s="21">
        <f>SUMIF(i_book_years,W$3,i_R_book)</f>
        <v/>
      </c>
      <c r="X187" s="21">
        <f>SUMIF(i_book_years,X$3,i_R_book)</f>
        <v/>
      </c>
      <c r="Y187" s="21">
        <f>SUMIF(i_book_years,Y$3,i_R_book)</f>
        <v/>
      </c>
      <c r="Z187" s="21">
        <f>SUMIF(i_book_years,Z$3,i_R_book)</f>
        <v/>
      </c>
      <c r="AA187" s="21">
        <f>SUMIF(i_book_years,AA$3,i_R_book)</f>
        <v/>
      </c>
      <c r="AB187" s="21">
        <f>SUMIF(i_book_years,AB$3,i_R_book)</f>
        <v/>
      </c>
      <c r="AC187" s="21">
        <f>SUMIF(i_book_years,AC$3,i_R_book)</f>
        <v/>
      </c>
      <c r="AD187" s="21">
        <f>SUMIF(i_book_years,AD$3,i_R_book)</f>
        <v/>
      </c>
      <c r="AE187" s="21">
        <f>SUMIF(i_book_years,AE$3,i_R_book)</f>
        <v/>
      </c>
      <c r="AF187" s="21">
        <f>SUMIF(i_book_years,AF$3,i_R_book)</f>
        <v/>
      </c>
      <c r="AG187" s="21">
        <f>SUMIF(i_book_years,AG$3,i_R_book)</f>
        <v/>
      </c>
      <c r="AH187" s="21">
        <f>SUMIF(i_book_years,AH$3,i_R_book)</f>
        <v/>
      </c>
      <c r="AI187" s="21">
        <f>SUMIF(i_book_years,AI$3,i_R_book)</f>
        <v/>
      </c>
    </row>
    <row r="188">
      <c r="B188" s="2" t="inlineStr">
        <is>
          <t xml:space="preserve">  Recontracting factor against current rates</t>
        </is>
      </c>
      <c r="D188" s="21">
        <f>IF(D$4=0,0,IF(Diligence!$C$155=1,i_R_mtm,i_R_mtm_plan)+Diligence!$C$161)</f>
        <v/>
      </c>
      <c r="E188" s="21">
        <f>IF(E$4=0,0,IF(Diligence!$C$155=1,i_R_mtm,i_R_mtm_plan)+Diligence!$C$161)</f>
        <v/>
      </c>
      <c r="F188" s="21">
        <f>IF(F$4=0,0,IF(Diligence!$C$155=1,i_R_mtm,i_R_mtm_plan)+Diligence!$C$161)</f>
        <v/>
      </c>
      <c r="G188" s="21">
        <f>IF(G$4=0,0,IF(Diligence!$C$155=1,i_R_mtm,i_R_mtm_plan)+Diligence!$C$161)</f>
        <v/>
      </c>
      <c r="H188" s="21">
        <f>IF(H$4=0,0,IF(Diligence!$C$155=1,i_R_mtm,i_R_mtm_plan)+Diligence!$C$161)</f>
        <v/>
      </c>
      <c r="I188" s="21">
        <f>IF(I$4=0,0,IF(Diligence!$C$155=1,i_R_mtm,i_R_mtm_plan)+Diligence!$C$161)</f>
        <v/>
      </c>
      <c r="J188" s="21">
        <f>IF(J$4=0,0,IF(Diligence!$C$155=1,i_R_mtm,i_R_mtm_plan)+Diligence!$C$161)</f>
        <v/>
      </c>
      <c r="K188" s="21">
        <f>IF(K$4=0,0,IF(Diligence!$C$155=1,i_R_mtm,i_R_mtm_plan)+Diligence!$C$161)</f>
        <v/>
      </c>
      <c r="L188" s="21">
        <f>IF(L$4=0,0,IF(Diligence!$C$155=1,i_R_mtm,i_R_mtm_plan)+Diligence!$C$161)</f>
        <v/>
      </c>
      <c r="M188" s="21">
        <f>IF(M$4=0,0,IF(Diligence!$C$155=1,i_R_mtm,i_R_mtm_plan)+Diligence!$C$161)</f>
        <v/>
      </c>
      <c r="N188" s="21">
        <f>IF(N$4=0,0,IF(Diligence!$C$155=1,i_R_mtm,i_R_mtm_plan)+Diligence!$C$161)</f>
        <v/>
      </c>
      <c r="O188" s="21">
        <f>IF(O$4=0,0,IF(Diligence!$C$155=1,i_R_mtm,i_R_mtm_plan)+Diligence!$C$161)</f>
        <v/>
      </c>
      <c r="P188" s="21">
        <f>IF(P$4=0,0,IF(Diligence!$C$155=1,i_R_mtm,i_R_mtm_plan)+Diligence!$C$161)</f>
        <v/>
      </c>
      <c r="Q188" s="21">
        <f>IF(Q$4=0,0,IF(Diligence!$C$155=1,i_R_mtm,i_R_mtm_plan)+Diligence!$C$161)</f>
        <v/>
      </c>
      <c r="R188" s="21">
        <f>IF(R$4=0,0,IF(Diligence!$C$155=1,i_R_mtm,i_R_mtm_plan)+Diligence!$C$161)</f>
        <v/>
      </c>
      <c r="S188" s="21">
        <f>IF(S$4=0,0,IF(Diligence!$C$155=1,i_R_mtm,i_R_mtm_plan)+Diligence!$C$161)</f>
        <v/>
      </c>
      <c r="T188" s="21">
        <f>IF(T$4=0,0,IF(Diligence!$C$155=1,i_R_mtm,i_R_mtm_plan)+Diligence!$C$161)</f>
        <v/>
      </c>
      <c r="U188" s="21">
        <f>IF(U$4=0,0,IF(Diligence!$C$155=1,i_R_mtm,i_R_mtm_plan)+Diligence!$C$161)</f>
        <v/>
      </c>
      <c r="V188" s="21">
        <f>IF(V$4=0,0,IF(Diligence!$C$155=1,i_R_mtm,i_R_mtm_plan)+Diligence!$C$161)</f>
        <v/>
      </c>
      <c r="W188" s="21">
        <f>IF(W$4=0,0,IF(Diligence!$C$155=1,i_R_mtm,i_R_mtm_plan)+Diligence!$C$161)</f>
        <v/>
      </c>
      <c r="X188" s="21">
        <f>IF(X$4=0,0,IF(Diligence!$C$155=1,i_R_mtm,i_R_mtm_plan)+Diligence!$C$161)</f>
        <v/>
      </c>
      <c r="Y188" s="21">
        <f>IF(Y$4=0,0,IF(Diligence!$C$155=1,i_R_mtm,i_R_mtm_plan)+Diligence!$C$161)</f>
        <v/>
      </c>
      <c r="Z188" s="21">
        <f>IF(Z$4=0,0,IF(Diligence!$C$155=1,i_R_mtm,i_R_mtm_plan)+Diligence!$C$161)</f>
        <v/>
      </c>
      <c r="AA188" s="21">
        <f>IF(AA$4=0,0,IF(Diligence!$C$155=1,i_R_mtm,i_R_mtm_plan)+Diligence!$C$161)</f>
        <v/>
      </c>
      <c r="AB188" s="21">
        <f>IF(AB$4=0,0,IF(Diligence!$C$155=1,i_R_mtm,i_R_mtm_plan)+Diligence!$C$161)</f>
        <v/>
      </c>
      <c r="AC188" s="21">
        <f>IF(AC$4=0,0,IF(Diligence!$C$155=1,i_R_mtm,i_R_mtm_plan)+Diligence!$C$161)</f>
        <v/>
      </c>
      <c r="AD188" s="21">
        <f>IF(AD$4=0,0,IF(Diligence!$C$155=1,i_R_mtm,i_R_mtm_plan)+Diligence!$C$161)</f>
        <v/>
      </c>
      <c r="AE188" s="21">
        <f>IF(AE$4=0,0,IF(Diligence!$C$155=1,i_R_mtm,i_R_mtm_plan)+Diligence!$C$161)</f>
        <v/>
      </c>
      <c r="AF188" s="21">
        <f>IF(AF$4=0,0,IF(Diligence!$C$155=1,i_R_mtm,i_R_mtm_plan)+Diligence!$C$161)</f>
        <v/>
      </c>
      <c r="AG188" s="21">
        <f>IF(AG$4=0,0,IF(Diligence!$C$155=1,i_R_mtm,i_R_mtm_plan)+Diligence!$C$161)</f>
        <v/>
      </c>
      <c r="AH188" s="21">
        <f>IF(AH$4=0,0,IF(Diligence!$C$155=1,i_R_mtm,i_R_mtm_plan)+Diligence!$C$161)</f>
        <v/>
      </c>
      <c r="AI188" s="21">
        <f>IF(AI$4=0,0,IF(Diligence!$C$155=1,i_R_mtm,i_R_mtm_plan)+Diligence!$C$161)</f>
        <v/>
      </c>
    </row>
    <row r="189">
      <c r="B189" s="2" t="inlineStr">
        <is>
          <t xml:space="preserve">  Average rate ($ per m3 per month)</t>
        </is>
      </c>
      <c r="D189" s="24">
        <f>i_R_rate*D166*(D187+(1-D187)*(1+D188))</f>
        <v/>
      </c>
      <c r="E189" s="24">
        <f>i_R_rate*E166*(E187+(1-E187)*(1+E188))</f>
        <v/>
      </c>
      <c r="F189" s="24">
        <f>i_R_rate*F166*(F187+(1-F187)*(1+F188))</f>
        <v/>
      </c>
      <c r="G189" s="24">
        <f>i_R_rate*G166*(G187+(1-G187)*(1+G188))</f>
        <v/>
      </c>
      <c r="H189" s="24">
        <f>i_R_rate*H166*(H187+(1-H187)*(1+H188))</f>
        <v/>
      </c>
      <c r="I189" s="24">
        <f>i_R_rate*I166*(I187+(1-I187)*(1+I188))</f>
        <v/>
      </c>
      <c r="J189" s="24">
        <f>i_R_rate*J166*(J187+(1-J187)*(1+J188))</f>
        <v/>
      </c>
      <c r="K189" s="24">
        <f>i_R_rate*K166*(K187+(1-K187)*(1+K188))</f>
        <v/>
      </c>
      <c r="L189" s="24">
        <f>i_R_rate*L166*(L187+(1-L187)*(1+L188))</f>
        <v/>
      </c>
      <c r="M189" s="24">
        <f>i_R_rate*M166*(M187+(1-M187)*(1+M188))</f>
        <v/>
      </c>
      <c r="N189" s="24">
        <f>i_R_rate*N166*(N187+(1-N187)*(1+N188))</f>
        <v/>
      </c>
      <c r="O189" s="24">
        <f>i_R_rate*O166*(O187+(1-O187)*(1+O188))</f>
        <v/>
      </c>
      <c r="P189" s="24">
        <f>i_R_rate*P166*(P187+(1-P187)*(1+P188))</f>
        <v/>
      </c>
      <c r="Q189" s="24">
        <f>i_R_rate*Q166*(Q187+(1-Q187)*(1+Q188))</f>
        <v/>
      </c>
      <c r="R189" s="24">
        <f>i_R_rate*R166*(R187+(1-R187)*(1+R188))</f>
        <v/>
      </c>
      <c r="S189" s="24">
        <f>i_R_rate*S166*(S187+(1-S187)*(1+S188))</f>
        <v/>
      </c>
      <c r="T189" s="24">
        <f>i_R_rate*T166*(T187+(1-T187)*(1+T188))</f>
        <v/>
      </c>
      <c r="U189" s="24">
        <f>i_R_rate*U166*(U187+(1-U187)*(1+U188))</f>
        <v/>
      </c>
      <c r="V189" s="24">
        <f>i_R_rate*V166*(V187+(1-V187)*(1+V188))</f>
        <v/>
      </c>
      <c r="W189" s="24">
        <f>i_R_rate*W166*(W187+(1-W187)*(1+W188))</f>
        <v/>
      </c>
      <c r="X189" s="24">
        <f>i_R_rate*X166*(X187+(1-X187)*(1+X188))</f>
        <v/>
      </c>
      <c r="Y189" s="24">
        <f>i_R_rate*Y166*(Y187+(1-Y187)*(1+Y188))</f>
        <v/>
      </c>
      <c r="Z189" s="24">
        <f>i_R_rate*Z166*(Z187+(1-Z187)*(1+Z188))</f>
        <v/>
      </c>
      <c r="AA189" s="24">
        <f>i_R_rate*AA166*(AA187+(1-AA187)*(1+AA188))</f>
        <v/>
      </c>
      <c r="AB189" s="24">
        <f>i_R_rate*AB166*(AB187+(1-AB187)*(1+AB188))</f>
        <v/>
      </c>
      <c r="AC189" s="24">
        <f>i_R_rate*AC166*(AC187+(1-AC187)*(1+AC188))</f>
        <v/>
      </c>
      <c r="AD189" s="24">
        <f>i_R_rate*AD166*(AD187+(1-AD187)*(1+AD188))</f>
        <v/>
      </c>
      <c r="AE189" s="24">
        <f>i_R_rate*AE166*(AE187+(1-AE187)*(1+AE188))</f>
        <v/>
      </c>
      <c r="AF189" s="24">
        <f>i_R_rate*AF166*(AF187+(1-AF187)*(1+AF188))</f>
        <v/>
      </c>
      <c r="AG189" s="24">
        <f>i_R_rate*AG166*(AG187+(1-AG187)*(1+AG188))</f>
        <v/>
      </c>
      <c r="AH189" s="24">
        <f>i_R_rate*AH166*(AH187+(1-AH187)*(1+AH188))</f>
        <v/>
      </c>
      <c r="AI189" s="24">
        <f>i_R_rate*AI166*(AI187+(1-AI187)*(1+AI188))</f>
        <v/>
      </c>
    </row>
    <row r="190">
      <c r="B190" s="2" t="inlineStr">
        <is>
          <t xml:space="preserve">  Occupancy after the transition decline and floor</t>
        </is>
      </c>
      <c r="D190" s="21">
        <f>IF(D$3&gt;i_trans_start,MAX(i_R_floor,i_R_occ-i_R_dec*(D$3-i_trans_start)),i_R_occ)</f>
        <v/>
      </c>
      <c r="E190" s="21">
        <f>IF(E$3&gt;i_trans_start,MAX(i_R_floor,i_R_occ-i_R_dec*(E$3-i_trans_start)),i_R_occ)</f>
        <v/>
      </c>
      <c r="F190" s="21">
        <f>IF(F$3&gt;i_trans_start,MAX(i_R_floor,i_R_occ-i_R_dec*(F$3-i_trans_start)),i_R_occ)</f>
        <v/>
      </c>
      <c r="G190" s="21">
        <f>IF(G$3&gt;i_trans_start,MAX(i_R_floor,i_R_occ-i_R_dec*(G$3-i_trans_start)),i_R_occ)</f>
        <v/>
      </c>
      <c r="H190" s="21">
        <f>IF(H$3&gt;i_trans_start,MAX(i_R_floor,i_R_occ-i_R_dec*(H$3-i_trans_start)),i_R_occ)</f>
        <v/>
      </c>
      <c r="I190" s="21">
        <f>IF(I$3&gt;i_trans_start,MAX(i_R_floor,i_R_occ-i_R_dec*(I$3-i_trans_start)),i_R_occ)</f>
        <v/>
      </c>
      <c r="J190" s="21">
        <f>IF(J$3&gt;i_trans_start,MAX(i_R_floor,i_R_occ-i_R_dec*(J$3-i_trans_start)),i_R_occ)</f>
        <v/>
      </c>
      <c r="K190" s="21">
        <f>IF(K$3&gt;i_trans_start,MAX(i_R_floor,i_R_occ-i_R_dec*(K$3-i_trans_start)),i_R_occ)</f>
        <v/>
      </c>
      <c r="L190" s="21">
        <f>IF(L$3&gt;i_trans_start,MAX(i_R_floor,i_R_occ-i_R_dec*(L$3-i_trans_start)),i_R_occ)</f>
        <v/>
      </c>
      <c r="M190" s="21">
        <f>IF(M$3&gt;i_trans_start,MAX(i_R_floor,i_R_occ-i_R_dec*(M$3-i_trans_start)),i_R_occ)</f>
        <v/>
      </c>
      <c r="N190" s="21">
        <f>IF(N$3&gt;i_trans_start,MAX(i_R_floor,i_R_occ-i_R_dec*(N$3-i_trans_start)),i_R_occ)</f>
        <v/>
      </c>
      <c r="O190" s="21">
        <f>IF(O$3&gt;i_trans_start,MAX(i_R_floor,i_R_occ-i_R_dec*(O$3-i_trans_start)),i_R_occ)</f>
        <v/>
      </c>
      <c r="P190" s="21">
        <f>IF(P$3&gt;i_trans_start,MAX(i_R_floor,i_R_occ-i_R_dec*(P$3-i_trans_start)),i_R_occ)</f>
        <v/>
      </c>
      <c r="Q190" s="21">
        <f>IF(Q$3&gt;i_trans_start,MAX(i_R_floor,i_R_occ-i_R_dec*(Q$3-i_trans_start)),i_R_occ)</f>
        <v/>
      </c>
      <c r="R190" s="21">
        <f>IF(R$3&gt;i_trans_start,MAX(i_R_floor,i_R_occ-i_R_dec*(R$3-i_trans_start)),i_R_occ)</f>
        <v/>
      </c>
      <c r="S190" s="21">
        <f>IF(S$3&gt;i_trans_start,MAX(i_R_floor,i_R_occ-i_R_dec*(S$3-i_trans_start)),i_R_occ)</f>
        <v/>
      </c>
      <c r="T190" s="21">
        <f>IF(T$3&gt;i_trans_start,MAX(i_R_floor,i_R_occ-i_R_dec*(T$3-i_trans_start)),i_R_occ)</f>
        <v/>
      </c>
      <c r="U190" s="21">
        <f>IF(U$3&gt;i_trans_start,MAX(i_R_floor,i_R_occ-i_R_dec*(U$3-i_trans_start)),i_R_occ)</f>
        <v/>
      </c>
      <c r="V190" s="21">
        <f>IF(V$3&gt;i_trans_start,MAX(i_R_floor,i_R_occ-i_R_dec*(V$3-i_trans_start)),i_R_occ)</f>
        <v/>
      </c>
      <c r="W190" s="21">
        <f>IF(W$3&gt;i_trans_start,MAX(i_R_floor,i_R_occ-i_R_dec*(W$3-i_trans_start)),i_R_occ)</f>
        <v/>
      </c>
      <c r="X190" s="21">
        <f>IF(X$3&gt;i_trans_start,MAX(i_R_floor,i_R_occ-i_R_dec*(X$3-i_trans_start)),i_R_occ)</f>
        <v/>
      </c>
      <c r="Y190" s="21">
        <f>IF(Y$3&gt;i_trans_start,MAX(i_R_floor,i_R_occ-i_R_dec*(Y$3-i_trans_start)),i_R_occ)</f>
        <v/>
      </c>
      <c r="Z190" s="21">
        <f>IF(Z$3&gt;i_trans_start,MAX(i_R_floor,i_R_occ-i_R_dec*(Z$3-i_trans_start)),i_R_occ)</f>
        <v/>
      </c>
      <c r="AA190" s="21">
        <f>IF(AA$3&gt;i_trans_start,MAX(i_R_floor,i_R_occ-i_R_dec*(AA$3-i_trans_start)),i_R_occ)</f>
        <v/>
      </c>
      <c r="AB190" s="21">
        <f>IF(AB$3&gt;i_trans_start,MAX(i_R_floor,i_R_occ-i_R_dec*(AB$3-i_trans_start)),i_R_occ)</f>
        <v/>
      </c>
      <c r="AC190" s="21">
        <f>IF(AC$3&gt;i_trans_start,MAX(i_R_floor,i_R_occ-i_R_dec*(AC$3-i_trans_start)),i_R_occ)</f>
        <v/>
      </c>
      <c r="AD190" s="21">
        <f>IF(AD$3&gt;i_trans_start,MAX(i_R_floor,i_R_occ-i_R_dec*(AD$3-i_trans_start)),i_R_occ)</f>
        <v/>
      </c>
      <c r="AE190" s="21">
        <f>IF(AE$3&gt;i_trans_start,MAX(i_R_floor,i_R_occ-i_R_dec*(AE$3-i_trans_start)),i_R_occ)</f>
        <v/>
      </c>
      <c r="AF190" s="21">
        <f>IF(AF$3&gt;i_trans_start,MAX(i_R_floor,i_R_occ-i_R_dec*(AF$3-i_trans_start)),i_R_occ)</f>
        <v/>
      </c>
      <c r="AG190" s="21">
        <f>IF(AG$3&gt;i_trans_start,MAX(i_R_floor,i_R_occ-i_R_dec*(AG$3-i_trans_start)),i_R_occ)</f>
        <v/>
      </c>
      <c r="AH190" s="21">
        <f>IF(AH$3&gt;i_trans_start,MAX(i_R_floor,i_R_occ-i_R_dec*(AH$3-i_trans_start)),i_R_occ)</f>
        <v/>
      </c>
      <c r="AI190" s="21">
        <f>IF(AI$3&gt;i_trans_start,MAX(i_R_floor,i_R_occ-i_R_dec*(AI$3-i_trans_start)),i_R_occ)</f>
        <v/>
      </c>
    </row>
    <row r="191">
      <c r="B191" s="2" t="inlineStr">
        <is>
          <t xml:space="preserve">  Occupancy (with the shift switch from 2027)</t>
        </is>
      </c>
      <c r="D191" s="21">
        <f>IF(D$4&gt;0,MIN(1,D190+Diligence!$C$160),D190)</f>
        <v/>
      </c>
      <c r="E191" s="21">
        <f>IF(E$4&gt;0,MIN(1,E190+Diligence!$C$160),E190)</f>
        <v/>
      </c>
      <c r="F191" s="21">
        <f>IF(F$4&gt;0,MIN(1,F190+Diligence!$C$160),F190)</f>
        <v/>
      </c>
      <c r="G191" s="21">
        <f>IF(G$4&gt;0,MIN(1,G190+Diligence!$C$160),G190)</f>
        <v/>
      </c>
      <c r="H191" s="21">
        <f>IF(H$4&gt;0,MIN(1,H190+Diligence!$C$160),H190)</f>
        <v/>
      </c>
      <c r="I191" s="21">
        <f>IF(I$4&gt;0,MIN(1,I190+Diligence!$C$160),I190)</f>
        <v/>
      </c>
      <c r="J191" s="21">
        <f>IF(J$4&gt;0,MIN(1,J190+Diligence!$C$160),J190)</f>
        <v/>
      </c>
      <c r="K191" s="21">
        <f>IF(K$4&gt;0,MIN(1,K190+Diligence!$C$160),K190)</f>
        <v/>
      </c>
      <c r="L191" s="21">
        <f>IF(L$4&gt;0,MIN(1,L190+Diligence!$C$160),L190)</f>
        <v/>
      </c>
      <c r="M191" s="21">
        <f>IF(M$4&gt;0,MIN(1,M190+Diligence!$C$160),M190)</f>
        <v/>
      </c>
      <c r="N191" s="21">
        <f>IF(N$4&gt;0,MIN(1,N190+Diligence!$C$160),N190)</f>
        <v/>
      </c>
      <c r="O191" s="21">
        <f>IF(O$4&gt;0,MIN(1,O190+Diligence!$C$160),O190)</f>
        <v/>
      </c>
      <c r="P191" s="21">
        <f>IF(P$4&gt;0,MIN(1,P190+Diligence!$C$160),P190)</f>
        <v/>
      </c>
      <c r="Q191" s="21">
        <f>IF(Q$4&gt;0,MIN(1,Q190+Diligence!$C$160),Q190)</f>
        <v/>
      </c>
      <c r="R191" s="21">
        <f>IF(R$4&gt;0,MIN(1,R190+Diligence!$C$160),R190)</f>
        <v/>
      </c>
      <c r="S191" s="21">
        <f>IF(S$4&gt;0,MIN(1,S190+Diligence!$C$160),S190)</f>
        <v/>
      </c>
      <c r="T191" s="21">
        <f>IF(T$4&gt;0,MIN(1,T190+Diligence!$C$160),T190)</f>
        <v/>
      </c>
      <c r="U191" s="21">
        <f>IF(U$4&gt;0,MIN(1,U190+Diligence!$C$160),U190)</f>
        <v/>
      </c>
      <c r="V191" s="21">
        <f>IF(V$4&gt;0,MIN(1,V190+Diligence!$C$160),V190)</f>
        <v/>
      </c>
      <c r="W191" s="21">
        <f>IF(W$4&gt;0,MIN(1,W190+Diligence!$C$160),W190)</f>
        <v/>
      </c>
      <c r="X191" s="21">
        <f>IF(X$4&gt;0,MIN(1,X190+Diligence!$C$160),X190)</f>
        <v/>
      </c>
      <c r="Y191" s="21">
        <f>IF(Y$4&gt;0,MIN(1,Y190+Diligence!$C$160),Y190)</f>
        <v/>
      </c>
      <c r="Z191" s="21">
        <f>IF(Z$4&gt;0,MIN(1,Z190+Diligence!$C$160),Z190)</f>
        <v/>
      </c>
      <c r="AA191" s="21">
        <f>IF(AA$4&gt;0,MIN(1,AA190+Diligence!$C$160),AA190)</f>
        <v/>
      </c>
      <c r="AB191" s="21">
        <f>IF(AB$4&gt;0,MIN(1,AB190+Diligence!$C$160),AB190)</f>
        <v/>
      </c>
      <c r="AC191" s="21">
        <f>IF(AC$4&gt;0,MIN(1,AC190+Diligence!$C$160),AC190)</f>
        <v/>
      </c>
      <c r="AD191" s="21">
        <f>IF(AD$4&gt;0,MIN(1,AD190+Diligence!$C$160),AD190)</f>
        <v/>
      </c>
      <c r="AE191" s="21">
        <f>IF(AE$4&gt;0,MIN(1,AE190+Diligence!$C$160),AE190)</f>
        <v/>
      </c>
      <c r="AF191" s="21">
        <f>IF(AF$4&gt;0,MIN(1,AF190+Diligence!$C$160),AF190)</f>
        <v/>
      </c>
      <c r="AG191" s="21">
        <f>IF(AG$4&gt;0,MIN(1,AG190+Diligence!$C$160),AG190)</f>
        <v/>
      </c>
      <c r="AH191" s="21">
        <f>IF(AH$4&gt;0,MIN(1,AH190+Diligence!$C$160),AH190)</f>
        <v/>
      </c>
      <c r="AI191" s="21">
        <f>IF(AI$4&gt;0,MIN(1,AI190+Diligence!$C$160),AI190)</f>
        <v/>
      </c>
    </row>
    <row r="192">
      <c r="B192" s="2" t="inlineStr">
        <is>
          <t xml:space="preserve">  Storage revenue</t>
        </is>
      </c>
      <c r="D192" s="19">
        <f>D186*D189*12*D191</f>
        <v/>
      </c>
      <c r="E192" s="19">
        <f>E186*E189*12*E191</f>
        <v/>
      </c>
      <c r="F192" s="19">
        <f>F186*F189*12*F191</f>
        <v/>
      </c>
      <c r="G192" s="19">
        <f>G186*G189*12*G191</f>
        <v/>
      </c>
      <c r="H192" s="19">
        <f>H186*H189*12*H191</f>
        <v/>
      </c>
      <c r="I192" s="19">
        <f>I186*I189*12*I191</f>
        <v/>
      </c>
      <c r="J192" s="19">
        <f>J186*J189*12*J191</f>
        <v/>
      </c>
      <c r="K192" s="19">
        <f>K186*K189*12*K191</f>
        <v/>
      </c>
      <c r="L192" s="19">
        <f>L186*L189*12*L191</f>
        <v/>
      </c>
      <c r="M192" s="19">
        <f>M186*M189*12*M191</f>
        <v/>
      </c>
      <c r="N192" s="19">
        <f>N186*N189*12*N191</f>
        <v/>
      </c>
      <c r="O192" s="19">
        <f>O186*O189*12*O191</f>
        <v/>
      </c>
      <c r="P192" s="19">
        <f>P186*P189*12*P191</f>
        <v/>
      </c>
      <c r="Q192" s="19">
        <f>Q186*Q189*12*Q191</f>
        <v/>
      </c>
      <c r="R192" s="19">
        <f>R186*R189*12*R191</f>
        <v/>
      </c>
      <c r="S192" s="19">
        <f>S186*S189*12*S191</f>
        <v/>
      </c>
      <c r="T192" s="19">
        <f>T186*T189*12*T191</f>
        <v/>
      </c>
      <c r="U192" s="19">
        <f>U186*U189*12*U191</f>
        <v/>
      </c>
      <c r="V192" s="19">
        <f>V186*V189*12*V191</f>
        <v/>
      </c>
      <c r="W192" s="19">
        <f>W186*W189*12*W191</f>
        <v/>
      </c>
      <c r="X192" s="19">
        <f>X186*X189*12*X191</f>
        <v/>
      </c>
      <c r="Y192" s="19">
        <f>Y186*Y189*12*Y191</f>
        <v/>
      </c>
      <c r="Z192" s="19">
        <f>Z186*Z189*12*Z191</f>
        <v/>
      </c>
      <c r="AA192" s="19">
        <f>AA186*AA189*12*AA191</f>
        <v/>
      </c>
      <c r="AB192" s="19">
        <f>AB186*AB189*12*AB191</f>
        <v/>
      </c>
      <c r="AC192" s="19">
        <f>AC186*AC189*12*AC191</f>
        <v/>
      </c>
      <c r="AD192" s="19">
        <f>AD186*AD189*12*AD191</f>
        <v/>
      </c>
      <c r="AE192" s="19">
        <f>AE186*AE189*12*AE191</f>
        <v/>
      </c>
      <c r="AF192" s="19">
        <f>AF186*AF189*12*AF191</f>
        <v/>
      </c>
      <c r="AG192" s="19">
        <f>AG186*AG189*12*AG191</f>
        <v/>
      </c>
      <c r="AH192" s="19">
        <f>AH186*AH189*12*AH191</f>
        <v/>
      </c>
      <c r="AI192" s="19">
        <f>AI186*AI189*12*AI191</f>
        <v/>
      </c>
    </row>
    <row r="193">
      <c r="B193" s="2" t="inlineStr">
        <is>
          <t xml:space="preserve">  Ancillary and throughput revenue</t>
        </is>
      </c>
      <c r="D193" s="19">
        <f>D192*i_R_anc</f>
        <v/>
      </c>
      <c r="E193" s="19">
        <f>E192*i_R_anc</f>
        <v/>
      </c>
      <c r="F193" s="19">
        <f>F192*i_R_anc</f>
        <v/>
      </c>
      <c r="G193" s="19">
        <f>G192*i_R_anc</f>
        <v/>
      </c>
      <c r="H193" s="19">
        <f>H192*i_R_anc</f>
        <v/>
      </c>
      <c r="I193" s="19">
        <f>I192*i_R_anc</f>
        <v/>
      </c>
      <c r="J193" s="19">
        <f>J192*i_R_anc</f>
        <v/>
      </c>
      <c r="K193" s="19">
        <f>K192*i_R_anc</f>
        <v/>
      </c>
      <c r="L193" s="19">
        <f>L192*i_R_anc</f>
        <v/>
      </c>
      <c r="M193" s="19">
        <f>M192*i_R_anc</f>
        <v/>
      </c>
      <c r="N193" s="19">
        <f>N192*i_R_anc</f>
        <v/>
      </c>
      <c r="O193" s="19">
        <f>O192*i_R_anc</f>
        <v/>
      </c>
      <c r="P193" s="19">
        <f>P192*i_R_anc</f>
        <v/>
      </c>
      <c r="Q193" s="19">
        <f>Q192*i_R_anc</f>
        <v/>
      </c>
      <c r="R193" s="19">
        <f>R192*i_R_anc</f>
        <v/>
      </c>
      <c r="S193" s="19">
        <f>S192*i_R_anc</f>
        <v/>
      </c>
      <c r="T193" s="19">
        <f>T192*i_R_anc</f>
        <v/>
      </c>
      <c r="U193" s="19">
        <f>U192*i_R_anc</f>
        <v/>
      </c>
      <c r="V193" s="19">
        <f>V192*i_R_anc</f>
        <v/>
      </c>
      <c r="W193" s="19">
        <f>W192*i_R_anc</f>
        <v/>
      </c>
      <c r="X193" s="19">
        <f>X192*i_R_anc</f>
        <v/>
      </c>
      <c r="Y193" s="19">
        <f>Y192*i_R_anc</f>
        <v/>
      </c>
      <c r="Z193" s="19">
        <f>Z192*i_R_anc</f>
        <v/>
      </c>
      <c r="AA193" s="19">
        <f>AA192*i_R_anc</f>
        <v/>
      </c>
      <c r="AB193" s="19">
        <f>AB192*i_R_anc</f>
        <v/>
      </c>
      <c r="AC193" s="19">
        <f>AC192*i_R_anc</f>
        <v/>
      </c>
      <c r="AD193" s="19">
        <f>AD192*i_R_anc</f>
        <v/>
      </c>
      <c r="AE193" s="19">
        <f>AE192*i_R_anc</f>
        <v/>
      </c>
      <c r="AF193" s="19">
        <f>AF192*i_R_anc</f>
        <v/>
      </c>
      <c r="AG193" s="19">
        <f>AG192*i_R_anc</f>
        <v/>
      </c>
      <c r="AH193" s="19">
        <f>AH192*i_R_anc</f>
        <v/>
      </c>
      <c r="AI193" s="19">
        <f>AI192*i_R_anc</f>
        <v/>
      </c>
    </row>
    <row r="194">
      <c r="B194" s="3" t="inlineStr">
        <is>
          <t xml:space="preserve">  Revenue</t>
        </is>
      </c>
      <c r="D194" s="31">
        <f>D192+D193</f>
        <v/>
      </c>
      <c r="E194" s="31">
        <f>E192+E193</f>
        <v/>
      </c>
      <c r="F194" s="31">
        <f>F192+F193</f>
        <v/>
      </c>
      <c r="G194" s="31">
        <f>G192+G193</f>
        <v/>
      </c>
      <c r="H194" s="31">
        <f>H192+H193</f>
        <v/>
      </c>
      <c r="I194" s="31">
        <f>I192+I193</f>
        <v/>
      </c>
      <c r="J194" s="31">
        <f>J192+J193</f>
        <v/>
      </c>
      <c r="K194" s="31">
        <f>K192+K193</f>
        <v/>
      </c>
      <c r="L194" s="31">
        <f>L192+L193</f>
        <v/>
      </c>
      <c r="M194" s="31">
        <f>M192+M193</f>
        <v/>
      </c>
      <c r="N194" s="31">
        <f>N192+N193</f>
        <v/>
      </c>
      <c r="O194" s="31">
        <f>O192+O193</f>
        <v/>
      </c>
      <c r="P194" s="31">
        <f>P192+P193</f>
        <v/>
      </c>
      <c r="Q194" s="31">
        <f>Q192+Q193</f>
        <v/>
      </c>
      <c r="R194" s="31">
        <f>R192+R193</f>
        <v/>
      </c>
      <c r="S194" s="31">
        <f>S192+S193</f>
        <v/>
      </c>
      <c r="T194" s="31">
        <f>T192+T193</f>
        <v/>
      </c>
      <c r="U194" s="31">
        <f>U192+U193</f>
        <v/>
      </c>
      <c r="V194" s="31">
        <f>V192+V193</f>
        <v/>
      </c>
      <c r="W194" s="31">
        <f>W192+W193</f>
        <v/>
      </c>
      <c r="X194" s="31">
        <f>X192+X193</f>
        <v/>
      </c>
      <c r="Y194" s="31">
        <f>Y192+Y193</f>
        <v/>
      </c>
      <c r="Z194" s="31">
        <f>Z192+Z193</f>
        <v/>
      </c>
      <c r="AA194" s="31">
        <f>AA192+AA193</f>
        <v/>
      </c>
      <c r="AB194" s="31">
        <f>AB192+AB193</f>
        <v/>
      </c>
      <c r="AC194" s="31">
        <f>AC192+AC193</f>
        <v/>
      </c>
      <c r="AD194" s="31">
        <f>AD192+AD193</f>
        <v/>
      </c>
      <c r="AE194" s="31">
        <f>AE192+AE193</f>
        <v/>
      </c>
      <c r="AF194" s="31">
        <f>AF192+AF193</f>
        <v/>
      </c>
      <c r="AG194" s="31">
        <f>AG192+AG193</f>
        <v/>
      </c>
      <c r="AH194" s="31">
        <f>AH192+AH193</f>
        <v/>
      </c>
      <c r="AI194" s="31">
        <f>AI192+AI193</f>
        <v/>
      </c>
    </row>
    <row r="195">
      <c r="B195" s="2" t="inlineStr">
        <is>
          <t xml:space="preserve">  Fixed cost</t>
        </is>
      </c>
      <c r="D195" s="19">
        <f>D186*i_R_fix*D165</f>
        <v/>
      </c>
      <c r="E195" s="19">
        <f>E186*i_R_fix*E165</f>
        <v/>
      </c>
      <c r="F195" s="19">
        <f>F186*i_R_fix*F165</f>
        <v/>
      </c>
      <c r="G195" s="19">
        <f>G186*i_R_fix*G165</f>
        <v/>
      </c>
      <c r="H195" s="19">
        <f>H186*i_R_fix*H165</f>
        <v/>
      </c>
      <c r="I195" s="19">
        <f>I186*i_R_fix*I165</f>
        <v/>
      </c>
      <c r="J195" s="19">
        <f>J186*i_R_fix*J165</f>
        <v/>
      </c>
      <c r="K195" s="19">
        <f>K186*i_R_fix*K165</f>
        <v/>
      </c>
      <c r="L195" s="19">
        <f>L186*i_R_fix*L165</f>
        <v/>
      </c>
      <c r="M195" s="19">
        <f>M186*i_R_fix*M165</f>
        <v/>
      </c>
      <c r="N195" s="19">
        <f>N186*i_R_fix*N165</f>
        <v/>
      </c>
      <c r="O195" s="19">
        <f>O186*i_R_fix*O165</f>
        <v/>
      </c>
      <c r="P195" s="19">
        <f>P186*i_R_fix*P165</f>
        <v/>
      </c>
      <c r="Q195" s="19">
        <f>Q186*i_R_fix*Q165</f>
        <v/>
      </c>
      <c r="R195" s="19">
        <f>R186*i_R_fix*R165</f>
        <v/>
      </c>
      <c r="S195" s="19">
        <f>S186*i_R_fix*S165</f>
        <v/>
      </c>
      <c r="T195" s="19">
        <f>T186*i_R_fix*T165</f>
        <v/>
      </c>
      <c r="U195" s="19">
        <f>U186*i_R_fix*U165</f>
        <v/>
      </c>
      <c r="V195" s="19">
        <f>V186*i_R_fix*V165</f>
        <v/>
      </c>
      <c r="W195" s="19">
        <f>W186*i_R_fix*W165</f>
        <v/>
      </c>
      <c r="X195" s="19">
        <f>X186*i_R_fix*X165</f>
        <v/>
      </c>
      <c r="Y195" s="19">
        <f>Y186*i_R_fix*Y165</f>
        <v/>
      </c>
      <c r="Z195" s="19">
        <f>Z186*i_R_fix*Z165</f>
        <v/>
      </c>
      <c r="AA195" s="19">
        <f>AA186*i_R_fix*AA165</f>
        <v/>
      </c>
      <c r="AB195" s="19">
        <f>AB186*i_R_fix*AB165</f>
        <v/>
      </c>
      <c r="AC195" s="19">
        <f>AC186*i_R_fix*AC165</f>
        <v/>
      </c>
      <c r="AD195" s="19">
        <f>AD186*i_R_fix*AD165</f>
        <v/>
      </c>
      <c r="AE195" s="19">
        <f>AE186*i_R_fix*AE165</f>
        <v/>
      </c>
      <c r="AF195" s="19">
        <f>AF186*i_R_fix*AF165</f>
        <v/>
      </c>
      <c r="AG195" s="19">
        <f>AG186*i_R_fix*AG165</f>
        <v/>
      </c>
      <c r="AH195" s="19">
        <f>AH186*i_R_fix*AH165</f>
        <v/>
      </c>
      <c r="AI195" s="19">
        <f>AI186*i_R_fix*AI165</f>
        <v/>
      </c>
    </row>
    <row r="196">
      <c r="B196" s="2" t="inlineStr">
        <is>
          <t xml:space="preserve">  Variable cost</t>
        </is>
      </c>
      <c r="D196" s="19">
        <f>i_R_var*D194</f>
        <v/>
      </c>
      <c r="E196" s="19">
        <f>i_R_var*E194</f>
        <v/>
      </c>
      <c r="F196" s="19">
        <f>i_R_var*F194</f>
        <v/>
      </c>
      <c r="G196" s="19">
        <f>i_R_var*G194</f>
        <v/>
      </c>
      <c r="H196" s="19">
        <f>i_R_var*H194</f>
        <v/>
      </c>
      <c r="I196" s="19">
        <f>i_R_var*I194</f>
        <v/>
      </c>
      <c r="J196" s="19">
        <f>i_R_var*J194</f>
        <v/>
      </c>
      <c r="K196" s="19">
        <f>i_R_var*K194</f>
        <v/>
      </c>
      <c r="L196" s="19">
        <f>i_R_var*L194</f>
        <v/>
      </c>
      <c r="M196" s="19">
        <f>i_R_var*M194</f>
        <v/>
      </c>
      <c r="N196" s="19">
        <f>i_R_var*N194</f>
        <v/>
      </c>
      <c r="O196" s="19">
        <f>i_R_var*O194</f>
        <v/>
      </c>
      <c r="P196" s="19">
        <f>i_R_var*P194</f>
        <v/>
      </c>
      <c r="Q196" s="19">
        <f>i_R_var*Q194</f>
        <v/>
      </c>
      <c r="R196" s="19">
        <f>i_R_var*R194</f>
        <v/>
      </c>
      <c r="S196" s="19">
        <f>i_R_var*S194</f>
        <v/>
      </c>
      <c r="T196" s="19">
        <f>i_R_var*T194</f>
        <v/>
      </c>
      <c r="U196" s="19">
        <f>i_R_var*U194</f>
        <v/>
      </c>
      <c r="V196" s="19">
        <f>i_R_var*V194</f>
        <v/>
      </c>
      <c r="W196" s="19">
        <f>i_R_var*W194</f>
        <v/>
      </c>
      <c r="X196" s="19">
        <f>i_R_var*X194</f>
        <v/>
      </c>
      <c r="Y196" s="19">
        <f>i_R_var*Y194</f>
        <v/>
      </c>
      <c r="Z196" s="19">
        <f>i_R_var*Z194</f>
        <v/>
      </c>
      <c r="AA196" s="19">
        <f>i_R_var*AA194</f>
        <v/>
      </c>
      <c r="AB196" s="19">
        <f>i_R_var*AB194</f>
        <v/>
      </c>
      <c r="AC196" s="19">
        <f>i_R_var*AC194</f>
        <v/>
      </c>
      <c r="AD196" s="19">
        <f>i_R_var*AD194</f>
        <v/>
      </c>
      <c r="AE196" s="19">
        <f>i_R_var*AE194</f>
        <v/>
      </c>
      <c r="AF196" s="19">
        <f>i_R_var*AF194</f>
        <v/>
      </c>
      <c r="AG196" s="19">
        <f>i_R_var*AG194</f>
        <v/>
      </c>
      <c r="AH196" s="19">
        <f>i_R_var*AH194</f>
        <v/>
      </c>
      <c r="AI196" s="19">
        <f>i_R_var*AI194</f>
        <v/>
      </c>
    </row>
    <row r="197">
      <c r="B197" s="2" t="inlineStr">
        <is>
          <t xml:space="preserve">  Operating cost</t>
        </is>
      </c>
      <c r="D197" s="19">
        <f>D195+D196</f>
        <v/>
      </c>
      <c r="E197" s="19">
        <f>E195+E196</f>
        <v/>
      </c>
      <c r="F197" s="19">
        <f>F195+F196</f>
        <v/>
      </c>
      <c r="G197" s="19">
        <f>G195+G196</f>
        <v/>
      </c>
      <c r="H197" s="19">
        <f>H195+H196</f>
        <v/>
      </c>
      <c r="I197" s="19">
        <f>I195+I196</f>
        <v/>
      </c>
      <c r="J197" s="19">
        <f>J195+J196</f>
        <v/>
      </c>
      <c r="K197" s="19">
        <f>K195+K196</f>
        <v/>
      </c>
      <c r="L197" s="19">
        <f>L195+L196</f>
        <v/>
      </c>
      <c r="M197" s="19">
        <f>M195+M196</f>
        <v/>
      </c>
      <c r="N197" s="19">
        <f>N195+N196</f>
        <v/>
      </c>
      <c r="O197" s="19">
        <f>O195+O196</f>
        <v/>
      </c>
      <c r="P197" s="19">
        <f>P195+P196</f>
        <v/>
      </c>
      <c r="Q197" s="19">
        <f>Q195+Q196</f>
        <v/>
      </c>
      <c r="R197" s="19">
        <f>R195+R196</f>
        <v/>
      </c>
      <c r="S197" s="19">
        <f>S195+S196</f>
        <v/>
      </c>
      <c r="T197" s="19">
        <f>T195+T196</f>
        <v/>
      </c>
      <c r="U197" s="19">
        <f>U195+U196</f>
        <v/>
      </c>
      <c r="V197" s="19">
        <f>V195+V196</f>
        <v/>
      </c>
      <c r="W197" s="19">
        <f>W195+W196</f>
        <v/>
      </c>
      <c r="X197" s="19">
        <f>X195+X196</f>
        <v/>
      </c>
      <c r="Y197" s="19">
        <f>Y195+Y196</f>
        <v/>
      </c>
      <c r="Z197" s="19">
        <f>Z195+Z196</f>
        <v/>
      </c>
      <c r="AA197" s="19">
        <f>AA195+AA196</f>
        <v/>
      </c>
      <c r="AB197" s="19">
        <f>AB195+AB196</f>
        <v/>
      </c>
      <c r="AC197" s="19">
        <f>AC195+AC196</f>
        <v/>
      </c>
      <c r="AD197" s="19">
        <f>AD195+AD196</f>
        <v/>
      </c>
      <c r="AE197" s="19">
        <f>AE195+AE196</f>
        <v/>
      </c>
      <c r="AF197" s="19">
        <f>AF195+AF196</f>
        <v/>
      </c>
      <c r="AG197" s="19">
        <f>AG195+AG196</f>
        <v/>
      </c>
      <c r="AH197" s="19">
        <f>AH195+AH196</f>
        <v/>
      </c>
      <c r="AI197" s="19">
        <f>AI195+AI196</f>
        <v/>
      </c>
    </row>
    <row r="198">
      <c r="B198" s="3" t="inlineStr">
        <is>
          <t xml:space="preserve">  EBITDA</t>
        </is>
      </c>
      <c r="D198" s="31">
        <f>D194-D197</f>
        <v/>
      </c>
      <c r="E198" s="31">
        <f>E194-E197</f>
        <v/>
      </c>
      <c r="F198" s="31">
        <f>F194-F197</f>
        <v/>
      </c>
      <c r="G198" s="31">
        <f>G194-G197</f>
        <v/>
      </c>
      <c r="H198" s="31">
        <f>H194-H197</f>
        <v/>
      </c>
      <c r="I198" s="31">
        <f>I194-I197</f>
        <v/>
      </c>
      <c r="J198" s="31">
        <f>J194-J197</f>
        <v/>
      </c>
      <c r="K198" s="31">
        <f>K194-K197</f>
        <v/>
      </c>
      <c r="L198" s="31">
        <f>L194-L197</f>
        <v/>
      </c>
      <c r="M198" s="31">
        <f>M194-M197</f>
        <v/>
      </c>
      <c r="N198" s="31">
        <f>N194-N197</f>
        <v/>
      </c>
      <c r="O198" s="31">
        <f>O194-O197</f>
        <v/>
      </c>
      <c r="P198" s="31">
        <f>P194-P197</f>
        <v/>
      </c>
      <c r="Q198" s="31">
        <f>Q194-Q197</f>
        <v/>
      </c>
      <c r="R198" s="31">
        <f>R194-R197</f>
        <v/>
      </c>
      <c r="S198" s="31">
        <f>S194-S197</f>
        <v/>
      </c>
      <c r="T198" s="31">
        <f>T194-T197</f>
        <v/>
      </c>
      <c r="U198" s="31">
        <f>U194-U197</f>
        <v/>
      </c>
      <c r="V198" s="31">
        <f>V194-V197</f>
        <v/>
      </c>
      <c r="W198" s="31">
        <f>W194-W197</f>
        <v/>
      </c>
      <c r="X198" s="31">
        <f>X194-X197</f>
        <v/>
      </c>
      <c r="Y198" s="31">
        <f>Y194-Y197</f>
        <v/>
      </c>
      <c r="Z198" s="31">
        <f>Z194-Z197</f>
        <v/>
      </c>
      <c r="AA198" s="31">
        <f>AA194-AA197</f>
        <v/>
      </c>
      <c r="AB198" s="31">
        <f>AB194-AB197</f>
        <v/>
      </c>
      <c r="AC198" s="31">
        <f>AC194-AC197</f>
        <v/>
      </c>
      <c r="AD198" s="31">
        <f>AD194-AD197</f>
        <v/>
      </c>
      <c r="AE198" s="31">
        <f>AE194-AE197</f>
        <v/>
      </c>
      <c r="AF198" s="31">
        <f>AF194-AF197</f>
        <v/>
      </c>
      <c r="AG198" s="31">
        <f>AG194-AG197</f>
        <v/>
      </c>
      <c r="AH198" s="31">
        <f>AH194-AH197</f>
        <v/>
      </c>
      <c r="AI198" s="31">
        <f>AI194-AI197</f>
        <v/>
      </c>
    </row>
    <row r="199">
      <c r="B199" s="2" t="inlineStr">
        <is>
          <t xml:space="preserve">  Maintenance capex</t>
        </is>
      </c>
      <c r="D199" s="19">
        <f>D186*i_R_mc*D165</f>
        <v/>
      </c>
      <c r="E199" s="19">
        <f>E186*i_R_mc*E165</f>
        <v/>
      </c>
      <c r="F199" s="19">
        <f>F186*i_R_mc*F165</f>
        <v/>
      </c>
      <c r="G199" s="19">
        <f>G186*i_R_mc*G165</f>
        <v/>
      </c>
      <c r="H199" s="19">
        <f>H186*i_R_mc*H165</f>
        <v/>
      </c>
      <c r="I199" s="19">
        <f>I186*i_R_mc*I165</f>
        <v/>
      </c>
      <c r="J199" s="19">
        <f>J186*i_R_mc*J165</f>
        <v/>
      </c>
      <c r="K199" s="19">
        <f>K186*i_R_mc*K165</f>
        <v/>
      </c>
      <c r="L199" s="19">
        <f>L186*i_R_mc*L165</f>
        <v/>
      </c>
      <c r="M199" s="19">
        <f>M186*i_R_mc*M165</f>
        <v/>
      </c>
      <c r="N199" s="19">
        <f>N186*i_R_mc*N165</f>
        <v/>
      </c>
      <c r="O199" s="19">
        <f>O186*i_R_mc*O165</f>
        <v/>
      </c>
      <c r="P199" s="19">
        <f>P186*i_R_mc*P165</f>
        <v/>
      </c>
      <c r="Q199" s="19">
        <f>Q186*i_R_mc*Q165</f>
        <v/>
      </c>
      <c r="R199" s="19">
        <f>R186*i_R_mc*R165</f>
        <v/>
      </c>
      <c r="S199" s="19">
        <f>S186*i_R_mc*S165</f>
        <v/>
      </c>
      <c r="T199" s="19">
        <f>T186*i_R_mc*T165</f>
        <v/>
      </c>
      <c r="U199" s="19">
        <f>U186*i_R_mc*U165</f>
        <v/>
      </c>
      <c r="V199" s="19">
        <f>V186*i_R_mc*V165</f>
        <v/>
      </c>
      <c r="W199" s="19">
        <f>W186*i_R_mc*W165</f>
        <v/>
      </c>
      <c r="X199" s="19">
        <f>X186*i_R_mc*X165</f>
        <v/>
      </c>
      <c r="Y199" s="19">
        <f>Y186*i_R_mc*Y165</f>
        <v/>
      </c>
      <c r="Z199" s="19">
        <f>Z186*i_R_mc*Z165</f>
        <v/>
      </c>
      <c r="AA199" s="19">
        <f>AA186*i_R_mc*AA165</f>
        <v/>
      </c>
      <c r="AB199" s="19">
        <f>AB186*i_R_mc*AB165</f>
        <v/>
      </c>
      <c r="AC199" s="19">
        <f>AC186*i_R_mc*AC165</f>
        <v/>
      </c>
      <c r="AD199" s="19">
        <f>AD186*i_R_mc*AD165</f>
        <v/>
      </c>
      <c r="AE199" s="19">
        <f>AE186*i_R_mc*AE165</f>
        <v/>
      </c>
      <c r="AF199" s="19">
        <f>AF186*i_R_mc*AF165</f>
        <v/>
      </c>
      <c r="AG199" s="19">
        <f>AG186*i_R_mc*AG165</f>
        <v/>
      </c>
      <c r="AH199" s="19">
        <f>AH186*i_R_mc*AH165</f>
        <v/>
      </c>
      <c r="AI199" s="19">
        <f>AI186*i_R_mc*AI165</f>
        <v/>
      </c>
    </row>
    <row r="200">
      <c r="B200" s="3" t="inlineStr">
        <is>
          <t>Thamesbridge</t>
        </is>
      </c>
    </row>
    <row r="201">
      <c r="B201" s="2" t="inlineStr">
        <is>
          <t xml:space="preserve">  Capacity in service (million m3)</t>
        </is>
      </c>
      <c r="D201" s="24">
        <f>i_T_cap</f>
        <v/>
      </c>
      <c r="E201" s="24">
        <f>i_T_cap</f>
        <v/>
      </c>
      <c r="F201" s="24">
        <f>i_T_cap</f>
        <v/>
      </c>
      <c r="G201" s="24">
        <f>i_T_cap</f>
        <v/>
      </c>
      <c r="H201" s="24">
        <f>i_T_cap</f>
        <v/>
      </c>
      <c r="I201" s="24">
        <f>i_T_cap</f>
        <v/>
      </c>
      <c r="J201" s="24">
        <f>i_T_cap</f>
        <v/>
      </c>
      <c r="K201" s="24">
        <f>i_T_cap</f>
        <v/>
      </c>
      <c r="L201" s="24">
        <f>i_T_cap</f>
        <v/>
      </c>
      <c r="M201" s="24">
        <f>i_T_cap</f>
        <v/>
      </c>
      <c r="N201" s="24">
        <f>i_T_cap</f>
        <v/>
      </c>
      <c r="O201" s="24">
        <f>i_T_cap</f>
        <v/>
      </c>
      <c r="P201" s="24">
        <f>i_T_cap</f>
        <v/>
      </c>
      <c r="Q201" s="24">
        <f>i_T_cap</f>
        <v/>
      </c>
      <c r="R201" s="24">
        <f>i_T_cap</f>
        <v/>
      </c>
      <c r="S201" s="24">
        <f>i_T_cap</f>
        <v/>
      </c>
      <c r="T201" s="24">
        <f>i_T_cap</f>
        <v/>
      </c>
      <c r="U201" s="24">
        <f>i_T_cap</f>
        <v/>
      </c>
      <c r="V201" s="24">
        <f>i_T_cap</f>
        <v/>
      </c>
      <c r="W201" s="24">
        <f>i_T_cap</f>
        <v/>
      </c>
      <c r="X201" s="24">
        <f>i_T_cap</f>
        <v/>
      </c>
      <c r="Y201" s="24">
        <f>i_T_cap</f>
        <v/>
      </c>
      <c r="Z201" s="24">
        <f>i_T_cap</f>
        <v/>
      </c>
      <c r="AA201" s="24">
        <f>i_T_cap</f>
        <v/>
      </c>
      <c r="AB201" s="24">
        <f>i_T_cap</f>
        <v/>
      </c>
      <c r="AC201" s="24">
        <f>i_T_cap</f>
        <v/>
      </c>
      <c r="AD201" s="24">
        <f>i_T_cap</f>
        <v/>
      </c>
      <c r="AE201" s="24">
        <f>i_T_cap</f>
        <v/>
      </c>
      <c r="AF201" s="24">
        <f>i_T_cap</f>
        <v/>
      </c>
      <c r="AG201" s="24">
        <f>i_T_cap</f>
        <v/>
      </c>
      <c r="AH201" s="24">
        <f>i_T_cap</f>
        <v/>
      </c>
      <c r="AI201" s="24">
        <f>i_T_cap</f>
        <v/>
      </c>
    </row>
    <row r="202">
      <c r="B202" s="2" t="inlineStr">
        <is>
          <t xml:space="preserve">  Share on contracts signed before 2027</t>
        </is>
      </c>
      <c r="D202" s="21">
        <f>SUMIF(i_book_years,D$3,i_T_book)</f>
        <v/>
      </c>
      <c r="E202" s="21">
        <f>SUMIF(i_book_years,E$3,i_T_book)</f>
        <v/>
      </c>
      <c r="F202" s="21">
        <f>SUMIF(i_book_years,F$3,i_T_book)</f>
        <v/>
      </c>
      <c r="G202" s="21">
        <f>SUMIF(i_book_years,G$3,i_T_book)</f>
        <v/>
      </c>
      <c r="H202" s="21">
        <f>SUMIF(i_book_years,H$3,i_T_book)</f>
        <v/>
      </c>
      <c r="I202" s="21">
        <f>SUMIF(i_book_years,I$3,i_T_book)</f>
        <v/>
      </c>
      <c r="J202" s="21">
        <f>SUMIF(i_book_years,J$3,i_T_book)</f>
        <v/>
      </c>
      <c r="K202" s="21">
        <f>SUMIF(i_book_years,K$3,i_T_book)</f>
        <v/>
      </c>
      <c r="L202" s="21">
        <f>SUMIF(i_book_years,L$3,i_T_book)</f>
        <v/>
      </c>
      <c r="M202" s="21">
        <f>SUMIF(i_book_years,M$3,i_T_book)</f>
        <v/>
      </c>
      <c r="N202" s="21">
        <f>SUMIF(i_book_years,N$3,i_T_book)</f>
        <v/>
      </c>
      <c r="O202" s="21">
        <f>SUMIF(i_book_years,O$3,i_T_book)</f>
        <v/>
      </c>
      <c r="P202" s="21">
        <f>SUMIF(i_book_years,P$3,i_T_book)</f>
        <v/>
      </c>
      <c r="Q202" s="21">
        <f>SUMIF(i_book_years,Q$3,i_T_book)</f>
        <v/>
      </c>
      <c r="R202" s="21">
        <f>SUMIF(i_book_years,R$3,i_T_book)</f>
        <v/>
      </c>
      <c r="S202" s="21">
        <f>SUMIF(i_book_years,S$3,i_T_book)</f>
        <v/>
      </c>
      <c r="T202" s="21">
        <f>SUMIF(i_book_years,T$3,i_T_book)</f>
        <v/>
      </c>
      <c r="U202" s="21">
        <f>SUMIF(i_book_years,U$3,i_T_book)</f>
        <v/>
      </c>
      <c r="V202" s="21">
        <f>SUMIF(i_book_years,V$3,i_T_book)</f>
        <v/>
      </c>
      <c r="W202" s="21">
        <f>SUMIF(i_book_years,W$3,i_T_book)</f>
        <v/>
      </c>
      <c r="X202" s="21">
        <f>SUMIF(i_book_years,X$3,i_T_book)</f>
        <v/>
      </c>
      <c r="Y202" s="21">
        <f>SUMIF(i_book_years,Y$3,i_T_book)</f>
        <v/>
      </c>
      <c r="Z202" s="21">
        <f>SUMIF(i_book_years,Z$3,i_T_book)</f>
        <v/>
      </c>
      <c r="AA202" s="21">
        <f>SUMIF(i_book_years,AA$3,i_T_book)</f>
        <v/>
      </c>
      <c r="AB202" s="21">
        <f>SUMIF(i_book_years,AB$3,i_T_book)</f>
        <v/>
      </c>
      <c r="AC202" s="21">
        <f>SUMIF(i_book_years,AC$3,i_T_book)</f>
        <v/>
      </c>
      <c r="AD202" s="21">
        <f>SUMIF(i_book_years,AD$3,i_T_book)</f>
        <v/>
      </c>
      <c r="AE202" s="21">
        <f>SUMIF(i_book_years,AE$3,i_T_book)</f>
        <v/>
      </c>
      <c r="AF202" s="21">
        <f>SUMIF(i_book_years,AF$3,i_T_book)</f>
        <v/>
      </c>
      <c r="AG202" s="21">
        <f>SUMIF(i_book_years,AG$3,i_T_book)</f>
        <v/>
      </c>
      <c r="AH202" s="21">
        <f>SUMIF(i_book_years,AH$3,i_T_book)</f>
        <v/>
      </c>
      <c r="AI202" s="21">
        <f>SUMIF(i_book_years,AI$3,i_T_book)</f>
        <v/>
      </c>
    </row>
    <row r="203">
      <c r="B203" s="2" t="inlineStr">
        <is>
          <t xml:space="preserve">  Recontracting factor against current rates</t>
        </is>
      </c>
      <c r="D203" s="21">
        <f>IF(D$4=0,0,IF(Diligence!$C$155=1,i_T_mtm,i_T_mtm_plan)+Diligence!$C$161)</f>
        <v/>
      </c>
      <c r="E203" s="21">
        <f>IF(E$4=0,0,IF(Diligence!$C$155=1,i_T_mtm,i_T_mtm_plan)+Diligence!$C$161)</f>
        <v/>
      </c>
      <c r="F203" s="21">
        <f>IF(F$4=0,0,IF(Diligence!$C$155=1,i_T_mtm,i_T_mtm_plan)+Diligence!$C$161)</f>
        <v/>
      </c>
      <c r="G203" s="21">
        <f>IF(G$4=0,0,IF(Diligence!$C$155=1,i_T_mtm,i_T_mtm_plan)+Diligence!$C$161)</f>
        <v/>
      </c>
      <c r="H203" s="21">
        <f>IF(H$4=0,0,IF(Diligence!$C$155=1,i_T_mtm,i_T_mtm_plan)+Diligence!$C$161)</f>
        <v/>
      </c>
      <c r="I203" s="21">
        <f>IF(I$4=0,0,IF(Diligence!$C$155=1,i_T_mtm,i_T_mtm_plan)+Diligence!$C$161)</f>
        <v/>
      </c>
      <c r="J203" s="21">
        <f>IF(J$4=0,0,IF(Diligence!$C$155=1,i_T_mtm,i_T_mtm_plan)+Diligence!$C$161)</f>
        <v/>
      </c>
      <c r="K203" s="21">
        <f>IF(K$4=0,0,IF(Diligence!$C$155=1,i_T_mtm,i_T_mtm_plan)+Diligence!$C$161)</f>
        <v/>
      </c>
      <c r="L203" s="21">
        <f>IF(L$4=0,0,IF(Diligence!$C$155=1,i_T_mtm,i_T_mtm_plan)+Diligence!$C$161)</f>
        <v/>
      </c>
      <c r="M203" s="21">
        <f>IF(M$4=0,0,IF(Diligence!$C$155=1,i_T_mtm,i_T_mtm_plan)+Diligence!$C$161)</f>
        <v/>
      </c>
      <c r="N203" s="21">
        <f>IF(N$4=0,0,IF(Diligence!$C$155=1,i_T_mtm,i_T_mtm_plan)+Diligence!$C$161)</f>
        <v/>
      </c>
      <c r="O203" s="21">
        <f>IF(O$4=0,0,IF(Diligence!$C$155=1,i_T_mtm,i_T_mtm_plan)+Diligence!$C$161)</f>
        <v/>
      </c>
      <c r="P203" s="21">
        <f>IF(P$4=0,0,IF(Diligence!$C$155=1,i_T_mtm,i_T_mtm_plan)+Diligence!$C$161)</f>
        <v/>
      </c>
      <c r="Q203" s="21">
        <f>IF(Q$4=0,0,IF(Diligence!$C$155=1,i_T_mtm,i_T_mtm_plan)+Diligence!$C$161)</f>
        <v/>
      </c>
      <c r="R203" s="21">
        <f>IF(R$4=0,0,IF(Diligence!$C$155=1,i_T_mtm,i_T_mtm_plan)+Diligence!$C$161)</f>
        <v/>
      </c>
      <c r="S203" s="21">
        <f>IF(S$4=0,0,IF(Diligence!$C$155=1,i_T_mtm,i_T_mtm_plan)+Diligence!$C$161)</f>
        <v/>
      </c>
      <c r="T203" s="21">
        <f>IF(T$4=0,0,IF(Diligence!$C$155=1,i_T_mtm,i_T_mtm_plan)+Diligence!$C$161)</f>
        <v/>
      </c>
      <c r="U203" s="21">
        <f>IF(U$4=0,0,IF(Diligence!$C$155=1,i_T_mtm,i_T_mtm_plan)+Diligence!$C$161)</f>
        <v/>
      </c>
      <c r="V203" s="21">
        <f>IF(V$4=0,0,IF(Diligence!$C$155=1,i_T_mtm,i_T_mtm_plan)+Diligence!$C$161)</f>
        <v/>
      </c>
      <c r="W203" s="21">
        <f>IF(W$4=0,0,IF(Diligence!$C$155=1,i_T_mtm,i_T_mtm_plan)+Diligence!$C$161)</f>
        <v/>
      </c>
      <c r="X203" s="21">
        <f>IF(X$4=0,0,IF(Diligence!$C$155=1,i_T_mtm,i_T_mtm_plan)+Diligence!$C$161)</f>
        <v/>
      </c>
      <c r="Y203" s="21">
        <f>IF(Y$4=0,0,IF(Diligence!$C$155=1,i_T_mtm,i_T_mtm_plan)+Diligence!$C$161)</f>
        <v/>
      </c>
      <c r="Z203" s="21">
        <f>IF(Z$4=0,0,IF(Diligence!$C$155=1,i_T_mtm,i_T_mtm_plan)+Diligence!$C$161)</f>
        <v/>
      </c>
      <c r="AA203" s="21">
        <f>IF(AA$4=0,0,IF(Diligence!$C$155=1,i_T_mtm,i_T_mtm_plan)+Diligence!$C$161)</f>
        <v/>
      </c>
      <c r="AB203" s="21">
        <f>IF(AB$4=0,0,IF(Diligence!$C$155=1,i_T_mtm,i_T_mtm_plan)+Diligence!$C$161)</f>
        <v/>
      </c>
      <c r="AC203" s="21">
        <f>IF(AC$4=0,0,IF(Diligence!$C$155=1,i_T_mtm,i_T_mtm_plan)+Diligence!$C$161)</f>
        <v/>
      </c>
      <c r="AD203" s="21">
        <f>IF(AD$4=0,0,IF(Diligence!$C$155=1,i_T_mtm,i_T_mtm_plan)+Diligence!$C$161)</f>
        <v/>
      </c>
      <c r="AE203" s="21">
        <f>IF(AE$4=0,0,IF(Diligence!$C$155=1,i_T_mtm,i_T_mtm_plan)+Diligence!$C$161)</f>
        <v/>
      </c>
      <c r="AF203" s="21">
        <f>IF(AF$4=0,0,IF(Diligence!$C$155=1,i_T_mtm,i_T_mtm_plan)+Diligence!$C$161)</f>
        <v/>
      </c>
      <c r="AG203" s="21">
        <f>IF(AG$4=0,0,IF(Diligence!$C$155=1,i_T_mtm,i_T_mtm_plan)+Diligence!$C$161)</f>
        <v/>
      </c>
      <c r="AH203" s="21">
        <f>IF(AH$4=0,0,IF(Diligence!$C$155=1,i_T_mtm,i_T_mtm_plan)+Diligence!$C$161)</f>
        <v/>
      </c>
      <c r="AI203" s="21">
        <f>IF(AI$4=0,0,IF(Diligence!$C$155=1,i_T_mtm,i_T_mtm_plan)+Diligence!$C$161)</f>
        <v/>
      </c>
    </row>
    <row r="204">
      <c r="B204" s="2" t="inlineStr">
        <is>
          <t xml:space="preserve">  Average rate ($ per m3 per month)</t>
        </is>
      </c>
      <c r="D204" s="24">
        <f>i_T_rate*D166*(D202+(1-D202)*(1+D203))</f>
        <v/>
      </c>
      <c r="E204" s="24">
        <f>i_T_rate*E166*(E202+(1-E202)*(1+E203))</f>
        <v/>
      </c>
      <c r="F204" s="24">
        <f>i_T_rate*F166*(F202+(1-F202)*(1+F203))</f>
        <v/>
      </c>
      <c r="G204" s="24">
        <f>i_T_rate*G166*(G202+(1-G202)*(1+G203))</f>
        <v/>
      </c>
      <c r="H204" s="24">
        <f>i_T_rate*H166*(H202+(1-H202)*(1+H203))</f>
        <v/>
      </c>
      <c r="I204" s="24">
        <f>i_T_rate*I166*(I202+(1-I202)*(1+I203))</f>
        <v/>
      </c>
      <c r="J204" s="24">
        <f>i_T_rate*J166*(J202+(1-J202)*(1+J203))</f>
        <v/>
      </c>
      <c r="K204" s="24">
        <f>i_T_rate*K166*(K202+(1-K202)*(1+K203))</f>
        <v/>
      </c>
      <c r="L204" s="24">
        <f>i_T_rate*L166*(L202+(1-L202)*(1+L203))</f>
        <v/>
      </c>
      <c r="M204" s="24">
        <f>i_T_rate*M166*(M202+(1-M202)*(1+M203))</f>
        <v/>
      </c>
      <c r="N204" s="24">
        <f>i_T_rate*N166*(N202+(1-N202)*(1+N203))</f>
        <v/>
      </c>
      <c r="O204" s="24">
        <f>i_T_rate*O166*(O202+(1-O202)*(1+O203))</f>
        <v/>
      </c>
      <c r="P204" s="24">
        <f>i_T_rate*P166*(P202+(1-P202)*(1+P203))</f>
        <v/>
      </c>
      <c r="Q204" s="24">
        <f>i_T_rate*Q166*(Q202+(1-Q202)*(1+Q203))</f>
        <v/>
      </c>
      <c r="R204" s="24">
        <f>i_T_rate*R166*(R202+(1-R202)*(1+R203))</f>
        <v/>
      </c>
      <c r="S204" s="24">
        <f>i_T_rate*S166*(S202+(1-S202)*(1+S203))</f>
        <v/>
      </c>
      <c r="T204" s="24">
        <f>i_T_rate*T166*(T202+(1-T202)*(1+T203))</f>
        <v/>
      </c>
      <c r="U204" s="24">
        <f>i_T_rate*U166*(U202+(1-U202)*(1+U203))</f>
        <v/>
      </c>
      <c r="V204" s="24">
        <f>i_T_rate*V166*(V202+(1-V202)*(1+V203))</f>
        <v/>
      </c>
      <c r="W204" s="24">
        <f>i_T_rate*W166*(W202+(1-W202)*(1+W203))</f>
        <v/>
      </c>
      <c r="X204" s="24">
        <f>i_T_rate*X166*(X202+(1-X202)*(1+X203))</f>
        <v/>
      </c>
      <c r="Y204" s="24">
        <f>i_T_rate*Y166*(Y202+(1-Y202)*(1+Y203))</f>
        <v/>
      </c>
      <c r="Z204" s="24">
        <f>i_T_rate*Z166*(Z202+(1-Z202)*(1+Z203))</f>
        <v/>
      </c>
      <c r="AA204" s="24">
        <f>i_T_rate*AA166*(AA202+(1-AA202)*(1+AA203))</f>
        <v/>
      </c>
      <c r="AB204" s="24">
        <f>i_T_rate*AB166*(AB202+(1-AB202)*(1+AB203))</f>
        <v/>
      </c>
      <c r="AC204" s="24">
        <f>i_T_rate*AC166*(AC202+(1-AC202)*(1+AC203))</f>
        <v/>
      </c>
      <c r="AD204" s="24">
        <f>i_T_rate*AD166*(AD202+(1-AD202)*(1+AD203))</f>
        <v/>
      </c>
      <c r="AE204" s="24">
        <f>i_T_rate*AE166*(AE202+(1-AE202)*(1+AE203))</f>
        <v/>
      </c>
      <c r="AF204" s="24">
        <f>i_T_rate*AF166*(AF202+(1-AF202)*(1+AF203))</f>
        <v/>
      </c>
      <c r="AG204" s="24">
        <f>i_T_rate*AG166*(AG202+(1-AG202)*(1+AG203))</f>
        <v/>
      </c>
      <c r="AH204" s="24">
        <f>i_T_rate*AH166*(AH202+(1-AH202)*(1+AH203))</f>
        <v/>
      </c>
      <c r="AI204" s="24">
        <f>i_T_rate*AI166*(AI202+(1-AI202)*(1+AI203))</f>
        <v/>
      </c>
    </row>
    <row r="205">
      <c r="B205" s="2" t="inlineStr">
        <is>
          <t xml:space="preserve">  Occupancy after the transition decline and floor</t>
        </is>
      </c>
      <c r="D205" s="21">
        <f>IF(D$3&gt;i_trans_start,MAX(i_T_floor,i_T_occ-i_T_dec*(D$3-i_trans_start)),i_T_occ)</f>
        <v/>
      </c>
      <c r="E205" s="21">
        <f>IF(E$3&gt;i_trans_start,MAX(i_T_floor,i_T_occ-i_T_dec*(E$3-i_trans_start)),i_T_occ)</f>
        <v/>
      </c>
      <c r="F205" s="21">
        <f>IF(F$3&gt;i_trans_start,MAX(i_T_floor,i_T_occ-i_T_dec*(F$3-i_trans_start)),i_T_occ)</f>
        <v/>
      </c>
      <c r="G205" s="21">
        <f>IF(G$3&gt;i_trans_start,MAX(i_T_floor,i_T_occ-i_T_dec*(G$3-i_trans_start)),i_T_occ)</f>
        <v/>
      </c>
      <c r="H205" s="21">
        <f>IF(H$3&gt;i_trans_start,MAX(i_T_floor,i_T_occ-i_T_dec*(H$3-i_trans_start)),i_T_occ)</f>
        <v/>
      </c>
      <c r="I205" s="21">
        <f>IF(I$3&gt;i_trans_start,MAX(i_T_floor,i_T_occ-i_T_dec*(I$3-i_trans_start)),i_T_occ)</f>
        <v/>
      </c>
      <c r="J205" s="21">
        <f>IF(J$3&gt;i_trans_start,MAX(i_T_floor,i_T_occ-i_T_dec*(J$3-i_trans_start)),i_T_occ)</f>
        <v/>
      </c>
      <c r="K205" s="21">
        <f>IF(K$3&gt;i_trans_start,MAX(i_T_floor,i_T_occ-i_T_dec*(K$3-i_trans_start)),i_T_occ)</f>
        <v/>
      </c>
      <c r="L205" s="21">
        <f>IF(L$3&gt;i_trans_start,MAX(i_T_floor,i_T_occ-i_T_dec*(L$3-i_trans_start)),i_T_occ)</f>
        <v/>
      </c>
      <c r="M205" s="21">
        <f>IF(M$3&gt;i_trans_start,MAX(i_T_floor,i_T_occ-i_T_dec*(M$3-i_trans_start)),i_T_occ)</f>
        <v/>
      </c>
      <c r="N205" s="21">
        <f>IF(N$3&gt;i_trans_start,MAX(i_T_floor,i_T_occ-i_T_dec*(N$3-i_trans_start)),i_T_occ)</f>
        <v/>
      </c>
      <c r="O205" s="21">
        <f>IF(O$3&gt;i_trans_start,MAX(i_T_floor,i_T_occ-i_T_dec*(O$3-i_trans_start)),i_T_occ)</f>
        <v/>
      </c>
      <c r="P205" s="21">
        <f>IF(P$3&gt;i_trans_start,MAX(i_T_floor,i_T_occ-i_T_dec*(P$3-i_trans_start)),i_T_occ)</f>
        <v/>
      </c>
      <c r="Q205" s="21">
        <f>IF(Q$3&gt;i_trans_start,MAX(i_T_floor,i_T_occ-i_T_dec*(Q$3-i_trans_start)),i_T_occ)</f>
        <v/>
      </c>
      <c r="R205" s="21">
        <f>IF(R$3&gt;i_trans_start,MAX(i_T_floor,i_T_occ-i_T_dec*(R$3-i_trans_start)),i_T_occ)</f>
        <v/>
      </c>
      <c r="S205" s="21">
        <f>IF(S$3&gt;i_trans_start,MAX(i_T_floor,i_T_occ-i_T_dec*(S$3-i_trans_start)),i_T_occ)</f>
        <v/>
      </c>
      <c r="T205" s="21">
        <f>IF(T$3&gt;i_trans_start,MAX(i_T_floor,i_T_occ-i_T_dec*(T$3-i_trans_start)),i_T_occ)</f>
        <v/>
      </c>
      <c r="U205" s="21">
        <f>IF(U$3&gt;i_trans_start,MAX(i_T_floor,i_T_occ-i_T_dec*(U$3-i_trans_start)),i_T_occ)</f>
        <v/>
      </c>
      <c r="V205" s="21">
        <f>IF(V$3&gt;i_trans_start,MAX(i_T_floor,i_T_occ-i_T_dec*(V$3-i_trans_start)),i_T_occ)</f>
        <v/>
      </c>
      <c r="W205" s="21">
        <f>IF(W$3&gt;i_trans_start,MAX(i_T_floor,i_T_occ-i_T_dec*(W$3-i_trans_start)),i_T_occ)</f>
        <v/>
      </c>
      <c r="X205" s="21">
        <f>IF(X$3&gt;i_trans_start,MAX(i_T_floor,i_T_occ-i_T_dec*(X$3-i_trans_start)),i_T_occ)</f>
        <v/>
      </c>
      <c r="Y205" s="21">
        <f>IF(Y$3&gt;i_trans_start,MAX(i_T_floor,i_T_occ-i_T_dec*(Y$3-i_trans_start)),i_T_occ)</f>
        <v/>
      </c>
      <c r="Z205" s="21">
        <f>IF(Z$3&gt;i_trans_start,MAX(i_T_floor,i_T_occ-i_T_dec*(Z$3-i_trans_start)),i_T_occ)</f>
        <v/>
      </c>
      <c r="AA205" s="21">
        <f>IF(AA$3&gt;i_trans_start,MAX(i_T_floor,i_T_occ-i_T_dec*(AA$3-i_trans_start)),i_T_occ)</f>
        <v/>
      </c>
      <c r="AB205" s="21">
        <f>IF(AB$3&gt;i_trans_start,MAX(i_T_floor,i_T_occ-i_T_dec*(AB$3-i_trans_start)),i_T_occ)</f>
        <v/>
      </c>
      <c r="AC205" s="21">
        <f>IF(AC$3&gt;i_trans_start,MAX(i_T_floor,i_T_occ-i_T_dec*(AC$3-i_trans_start)),i_T_occ)</f>
        <v/>
      </c>
      <c r="AD205" s="21">
        <f>IF(AD$3&gt;i_trans_start,MAX(i_T_floor,i_T_occ-i_T_dec*(AD$3-i_trans_start)),i_T_occ)</f>
        <v/>
      </c>
      <c r="AE205" s="21">
        <f>IF(AE$3&gt;i_trans_start,MAX(i_T_floor,i_T_occ-i_T_dec*(AE$3-i_trans_start)),i_T_occ)</f>
        <v/>
      </c>
      <c r="AF205" s="21">
        <f>IF(AF$3&gt;i_trans_start,MAX(i_T_floor,i_T_occ-i_T_dec*(AF$3-i_trans_start)),i_T_occ)</f>
        <v/>
      </c>
      <c r="AG205" s="21">
        <f>IF(AG$3&gt;i_trans_start,MAX(i_T_floor,i_T_occ-i_T_dec*(AG$3-i_trans_start)),i_T_occ)</f>
        <v/>
      </c>
      <c r="AH205" s="21">
        <f>IF(AH$3&gt;i_trans_start,MAX(i_T_floor,i_T_occ-i_T_dec*(AH$3-i_trans_start)),i_T_occ)</f>
        <v/>
      </c>
      <c r="AI205" s="21">
        <f>IF(AI$3&gt;i_trans_start,MAX(i_T_floor,i_T_occ-i_T_dec*(AI$3-i_trans_start)),i_T_occ)</f>
        <v/>
      </c>
    </row>
    <row r="206">
      <c r="B206" s="2" t="inlineStr">
        <is>
          <t xml:space="preserve">  Occupancy (with the shift switch from 2027)</t>
        </is>
      </c>
      <c r="D206" s="21">
        <f>IF(D$4&gt;0,MIN(1,D205+Diligence!$C$160),D205)</f>
        <v/>
      </c>
      <c r="E206" s="21">
        <f>IF(E$4&gt;0,MIN(1,E205+Diligence!$C$160),E205)</f>
        <v/>
      </c>
      <c r="F206" s="21">
        <f>IF(F$4&gt;0,MIN(1,F205+Diligence!$C$160),F205)</f>
        <v/>
      </c>
      <c r="G206" s="21">
        <f>IF(G$4&gt;0,MIN(1,G205+Diligence!$C$160),G205)</f>
        <v/>
      </c>
      <c r="H206" s="21">
        <f>IF(H$4&gt;0,MIN(1,H205+Diligence!$C$160),H205)</f>
        <v/>
      </c>
      <c r="I206" s="21">
        <f>IF(I$4&gt;0,MIN(1,I205+Diligence!$C$160),I205)</f>
        <v/>
      </c>
      <c r="J206" s="21">
        <f>IF(J$4&gt;0,MIN(1,J205+Diligence!$C$160),J205)</f>
        <v/>
      </c>
      <c r="K206" s="21">
        <f>IF(K$4&gt;0,MIN(1,K205+Diligence!$C$160),K205)</f>
        <v/>
      </c>
      <c r="L206" s="21">
        <f>IF(L$4&gt;0,MIN(1,L205+Diligence!$C$160),L205)</f>
        <v/>
      </c>
      <c r="M206" s="21">
        <f>IF(M$4&gt;0,MIN(1,M205+Diligence!$C$160),M205)</f>
        <v/>
      </c>
      <c r="N206" s="21">
        <f>IF(N$4&gt;0,MIN(1,N205+Diligence!$C$160),N205)</f>
        <v/>
      </c>
      <c r="O206" s="21">
        <f>IF(O$4&gt;0,MIN(1,O205+Diligence!$C$160),O205)</f>
        <v/>
      </c>
      <c r="P206" s="21">
        <f>IF(P$4&gt;0,MIN(1,P205+Diligence!$C$160),P205)</f>
        <v/>
      </c>
      <c r="Q206" s="21">
        <f>IF(Q$4&gt;0,MIN(1,Q205+Diligence!$C$160),Q205)</f>
        <v/>
      </c>
      <c r="R206" s="21">
        <f>IF(R$4&gt;0,MIN(1,R205+Diligence!$C$160),R205)</f>
        <v/>
      </c>
      <c r="S206" s="21">
        <f>IF(S$4&gt;0,MIN(1,S205+Diligence!$C$160),S205)</f>
        <v/>
      </c>
      <c r="T206" s="21">
        <f>IF(T$4&gt;0,MIN(1,T205+Diligence!$C$160),T205)</f>
        <v/>
      </c>
      <c r="U206" s="21">
        <f>IF(U$4&gt;0,MIN(1,U205+Diligence!$C$160),U205)</f>
        <v/>
      </c>
      <c r="V206" s="21">
        <f>IF(V$4&gt;0,MIN(1,V205+Diligence!$C$160),V205)</f>
        <v/>
      </c>
      <c r="W206" s="21">
        <f>IF(W$4&gt;0,MIN(1,W205+Diligence!$C$160),W205)</f>
        <v/>
      </c>
      <c r="X206" s="21">
        <f>IF(X$4&gt;0,MIN(1,X205+Diligence!$C$160),X205)</f>
        <v/>
      </c>
      <c r="Y206" s="21">
        <f>IF(Y$4&gt;0,MIN(1,Y205+Diligence!$C$160),Y205)</f>
        <v/>
      </c>
      <c r="Z206" s="21">
        <f>IF(Z$4&gt;0,MIN(1,Z205+Diligence!$C$160),Z205)</f>
        <v/>
      </c>
      <c r="AA206" s="21">
        <f>IF(AA$4&gt;0,MIN(1,AA205+Diligence!$C$160),AA205)</f>
        <v/>
      </c>
      <c r="AB206" s="21">
        <f>IF(AB$4&gt;0,MIN(1,AB205+Diligence!$C$160),AB205)</f>
        <v/>
      </c>
      <c r="AC206" s="21">
        <f>IF(AC$4&gt;0,MIN(1,AC205+Diligence!$C$160),AC205)</f>
        <v/>
      </c>
      <c r="AD206" s="21">
        <f>IF(AD$4&gt;0,MIN(1,AD205+Diligence!$C$160),AD205)</f>
        <v/>
      </c>
      <c r="AE206" s="21">
        <f>IF(AE$4&gt;0,MIN(1,AE205+Diligence!$C$160),AE205)</f>
        <v/>
      </c>
      <c r="AF206" s="21">
        <f>IF(AF$4&gt;0,MIN(1,AF205+Diligence!$C$160),AF205)</f>
        <v/>
      </c>
      <c r="AG206" s="21">
        <f>IF(AG$4&gt;0,MIN(1,AG205+Diligence!$C$160),AG205)</f>
        <v/>
      </c>
      <c r="AH206" s="21">
        <f>IF(AH$4&gt;0,MIN(1,AH205+Diligence!$C$160),AH205)</f>
        <v/>
      </c>
      <c r="AI206" s="21">
        <f>IF(AI$4&gt;0,MIN(1,AI205+Diligence!$C$160),AI205)</f>
        <v/>
      </c>
    </row>
    <row r="207">
      <c r="B207" s="2" t="inlineStr">
        <is>
          <t xml:space="preserve">  Storage revenue</t>
        </is>
      </c>
      <c r="D207" s="19">
        <f>D201*D204*12*D206</f>
        <v/>
      </c>
      <c r="E207" s="19">
        <f>E201*E204*12*E206</f>
        <v/>
      </c>
      <c r="F207" s="19">
        <f>F201*F204*12*F206</f>
        <v/>
      </c>
      <c r="G207" s="19">
        <f>G201*G204*12*G206</f>
        <v/>
      </c>
      <c r="H207" s="19">
        <f>H201*H204*12*H206</f>
        <v/>
      </c>
      <c r="I207" s="19">
        <f>I201*I204*12*I206</f>
        <v/>
      </c>
      <c r="J207" s="19">
        <f>J201*J204*12*J206</f>
        <v/>
      </c>
      <c r="K207" s="19">
        <f>K201*K204*12*K206</f>
        <v/>
      </c>
      <c r="L207" s="19">
        <f>L201*L204*12*L206</f>
        <v/>
      </c>
      <c r="M207" s="19">
        <f>M201*M204*12*M206</f>
        <v/>
      </c>
      <c r="N207" s="19">
        <f>N201*N204*12*N206</f>
        <v/>
      </c>
      <c r="O207" s="19">
        <f>O201*O204*12*O206</f>
        <v/>
      </c>
      <c r="P207" s="19">
        <f>P201*P204*12*P206</f>
        <v/>
      </c>
      <c r="Q207" s="19">
        <f>Q201*Q204*12*Q206</f>
        <v/>
      </c>
      <c r="R207" s="19">
        <f>R201*R204*12*R206</f>
        <v/>
      </c>
      <c r="S207" s="19">
        <f>S201*S204*12*S206</f>
        <v/>
      </c>
      <c r="T207" s="19">
        <f>T201*T204*12*T206</f>
        <v/>
      </c>
      <c r="U207" s="19">
        <f>U201*U204*12*U206</f>
        <v/>
      </c>
      <c r="V207" s="19">
        <f>V201*V204*12*V206</f>
        <v/>
      </c>
      <c r="W207" s="19">
        <f>W201*W204*12*W206</f>
        <v/>
      </c>
      <c r="X207" s="19">
        <f>X201*X204*12*X206</f>
        <v/>
      </c>
      <c r="Y207" s="19">
        <f>Y201*Y204*12*Y206</f>
        <v/>
      </c>
      <c r="Z207" s="19">
        <f>Z201*Z204*12*Z206</f>
        <v/>
      </c>
      <c r="AA207" s="19">
        <f>AA201*AA204*12*AA206</f>
        <v/>
      </c>
      <c r="AB207" s="19">
        <f>AB201*AB204*12*AB206</f>
        <v/>
      </c>
      <c r="AC207" s="19">
        <f>AC201*AC204*12*AC206</f>
        <v/>
      </c>
      <c r="AD207" s="19">
        <f>AD201*AD204*12*AD206</f>
        <v/>
      </c>
      <c r="AE207" s="19">
        <f>AE201*AE204*12*AE206</f>
        <v/>
      </c>
      <c r="AF207" s="19">
        <f>AF201*AF204*12*AF206</f>
        <v/>
      </c>
      <c r="AG207" s="19">
        <f>AG201*AG204*12*AG206</f>
        <v/>
      </c>
      <c r="AH207" s="19">
        <f>AH201*AH204*12*AH206</f>
        <v/>
      </c>
      <c r="AI207" s="19">
        <f>AI201*AI204*12*AI206</f>
        <v/>
      </c>
    </row>
    <row r="208">
      <c r="B208" s="2" t="inlineStr">
        <is>
          <t xml:space="preserve">  Ancillary and throughput revenue</t>
        </is>
      </c>
      <c r="D208" s="19">
        <f>D207*i_T_anc</f>
        <v/>
      </c>
      <c r="E208" s="19">
        <f>E207*i_T_anc</f>
        <v/>
      </c>
      <c r="F208" s="19">
        <f>F207*i_T_anc</f>
        <v/>
      </c>
      <c r="G208" s="19">
        <f>G207*i_T_anc</f>
        <v/>
      </c>
      <c r="H208" s="19">
        <f>H207*i_T_anc</f>
        <v/>
      </c>
      <c r="I208" s="19">
        <f>I207*i_T_anc</f>
        <v/>
      </c>
      <c r="J208" s="19">
        <f>J207*i_T_anc</f>
        <v/>
      </c>
      <c r="K208" s="19">
        <f>K207*i_T_anc</f>
        <v/>
      </c>
      <c r="L208" s="19">
        <f>L207*i_T_anc</f>
        <v/>
      </c>
      <c r="M208" s="19">
        <f>M207*i_T_anc</f>
        <v/>
      </c>
      <c r="N208" s="19">
        <f>N207*i_T_anc</f>
        <v/>
      </c>
      <c r="O208" s="19">
        <f>O207*i_T_anc</f>
        <v/>
      </c>
      <c r="P208" s="19">
        <f>P207*i_T_anc</f>
        <v/>
      </c>
      <c r="Q208" s="19">
        <f>Q207*i_T_anc</f>
        <v/>
      </c>
      <c r="R208" s="19">
        <f>R207*i_T_anc</f>
        <v/>
      </c>
      <c r="S208" s="19">
        <f>S207*i_T_anc</f>
        <v/>
      </c>
      <c r="T208" s="19">
        <f>T207*i_T_anc</f>
        <v/>
      </c>
      <c r="U208" s="19">
        <f>U207*i_T_anc</f>
        <v/>
      </c>
      <c r="V208" s="19">
        <f>V207*i_T_anc</f>
        <v/>
      </c>
      <c r="W208" s="19">
        <f>W207*i_T_anc</f>
        <v/>
      </c>
      <c r="X208" s="19">
        <f>X207*i_T_anc</f>
        <v/>
      </c>
      <c r="Y208" s="19">
        <f>Y207*i_T_anc</f>
        <v/>
      </c>
      <c r="Z208" s="19">
        <f>Z207*i_T_anc</f>
        <v/>
      </c>
      <c r="AA208" s="19">
        <f>AA207*i_T_anc</f>
        <v/>
      </c>
      <c r="AB208" s="19">
        <f>AB207*i_T_anc</f>
        <v/>
      </c>
      <c r="AC208" s="19">
        <f>AC207*i_T_anc</f>
        <v/>
      </c>
      <c r="AD208" s="19">
        <f>AD207*i_T_anc</f>
        <v/>
      </c>
      <c r="AE208" s="19">
        <f>AE207*i_T_anc</f>
        <v/>
      </c>
      <c r="AF208" s="19">
        <f>AF207*i_T_anc</f>
        <v/>
      </c>
      <c r="AG208" s="19">
        <f>AG207*i_T_anc</f>
        <v/>
      </c>
      <c r="AH208" s="19">
        <f>AH207*i_T_anc</f>
        <v/>
      </c>
      <c r="AI208" s="19">
        <f>AI207*i_T_anc</f>
        <v/>
      </c>
    </row>
    <row r="209">
      <c r="B209" s="3" t="inlineStr">
        <is>
          <t xml:space="preserve">  Revenue</t>
        </is>
      </c>
      <c r="D209" s="31">
        <f>D207+D208</f>
        <v/>
      </c>
      <c r="E209" s="31">
        <f>E207+E208</f>
        <v/>
      </c>
      <c r="F209" s="31">
        <f>F207+F208</f>
        <v/>
      </c>
      <c r="G209" s="31">
        <f>G207+G208</f>
        <v/>
      </c>
      <c r="H209" s="31">
        <f>H207+H208</f>
        <v/>
      </c>
      <c r="I209" s="31">
        <f>I207+I208</f>
        <v/>
      </c>
      <c r="J209" s="31">
        <f>J207+J208</f>
        <v/>
      </c>
      <c r="K209" s="31">
        <f>K207+K208</f>
        <v/>
      </c>
      <c r="L209" s="31">
        <f>L207+L208</f>
        <v/>
      </c>
      <c r="M209" s="31">
        <f>M207+M208</f>
        <v/>
      </c>
      <c r="N209" s="31">
        <f>N207+N208</f>
        <v/>
      </c>
      <c r="O209" s="31">
        <f>O207+O208</f>
        <v/>
      </c>
      <c r="P209" s="31">
        <f>P207+P208</f>
        <v/>
      </c>
      <c r="Q209" s="31">
        <f>Q207+Q208</f>
        <v/>
      </c>
      <c r="R209" s="31">
        <f>R207+R208</f>
        <v/>
      </c>
      <c r="S209" s="31">
        <f>S207+S208</f>
        <v/>
      </c>
      <c r="T209" s="31">
        <f>T207+T208</f>
        <v/>
      </c>
      <c r="U209" s="31">
        <f>U207+U208</f>
        <v/>
      </c>
      <c r="V209" s="31">
        <f>V207+V208</f>
        <v/>
      </c>
      <c r="W209" s="31">
        <f>W207+W208</f>
        <v/>
      </c>
      <c r="X209" s="31">
        <f>X207+X208</f>
        <v/>
      </c>
      <c r="Y209" s="31">
        <f>Y207+Y208</f>
        <v/>
      </c>
      <c r="Z209" s="31">
        <f>Z207+Z208</f>
        <v/>
      </c>
      <c r="AA209" s="31">
        <f>AA207+AA208</f>
        <v/>
      </c>
      <c r="AB209" s="31">
        <f>AB207+AB208</f>
        <v/>
      </c>
      <c r="AC209" s="31">
        <f>AC207+AC208</f>
        <v/>
      </c>
      <c r="AD209" s="31">
        <f>AD207+AD208</f>
        <v/>
      </c>
      <c r="AE209" s="31">
        <f>AE207+AE208</f>
        <v/>
      </c>
      <c r="AF209" s="31">
        <f>AF207+AF208</f>
        <v/>
      </c>
      <c r="AG209" s="31">
        <f>AG207+AG208</f>
        <v/>
      </c>
      <c r="AH209" s="31">
        <f>AH207+AH208</f>
        <v/>
      </c>
      <c r="AI209" s="31">
        <f>AI207+AI208</f>
        <v/>
      </c>
    </row>
    <row r="210">
      <c r="B210" s="2" t="inlineStr">
        <is>
          <t xml:space="preserve">  Fixed cost</t>
        </is>
      </c>
      <c r="D210" s="19">
        <f>D201*i_T_fix*D165</f>
        <v/>
      </c>
      <c r="E210" s="19">
        <f>E201*i_T_fix*E165</f>
        <v/>
      </c>
      <c r="F210" s="19">
        <f>F201*i_T_fix*F165</f>
        <v/>
      </c>
      <c r="G210" s="19">
        <f>G201*i_T_fix*G165</f>
        <v/>
      </c>
      <c r="H210" s="19">
        <f>H201*i_T_fix*H165</f>
        <v/>
      </c>
      <c r="I210" s="19">
        <f>I201*i_T_fix*I165</f>
        <v/>
      </c>
      <c r="J210" s="19">
        <f>J201*i_T_fix*J165</f>
        <v/>
      </c>
      <c r="K210" s="19">
        <f>K201*i_T_fix*K165</f>
        <v/>
      </c>
      <c r="L210" s="19">
        <f>L201*i_T_fix*L165</f>
        <v/>
      </c>
      <c r="M210" s="19">
        <f>M201*i_T_fix*M165</f>
        <v/>
      </c>
      <c r="N210" s="19">
        <f>N201*i_T_fix*N165</f>
        <v/>
      </c>
      <c r="O210" s="19">
        <f>O201*i_T_fix*O165</f>
        <v/>
      </c>
      <c r="P210" s="19">
        <f>P201*i_T_fix*P165</f>
        <v/>
      </c>
      <c r="Q210" s="19">
        <f>Q201*i_T_fix*Q165</f>
        <v/>
      </c>
      <c r="R210" s="19">
        <f>R201*i_T_fix*R165</f>
        <v/>
      </c>
      <c r="S210" s="19">
        <f>S201*i_T_fix*S165</f>
        <v/>
      </c>
      <c r="T210" s="19">
        <f>T201*i_T_fix*T165</f>
        <v/>
      </c>
      <c r="U210" s="19">
        <f>U201*i_T_fix*U165</f>
        <v/>
      </c>
      <c r="V210" s="19">
        <f>V201*i_T_fix*V165</f>
        <v/>
      </c>
      <c r="W210" s="19">
        <f>W201*i_T_fix*W165</f>
        <v/>
      </c>
      <c r="X210" s="19">
        <f>X201*i_T_fix*X165</f>
        <v/>
      </c>
      <c r="Y210" s="19">
        <f>Y201*i_T_fix*Y165</f>
        <v/>
      </c>
      <c r="Z210" s="19">
        <f>Z201*i_T_fix*Z165</f>
        <v/>
      </c>
      <c r="AA210" s="19">
        <f>AA201*i_T_fix*AA165</f>
        <v/>
      </c>
      <c r="AB210" s="19">
        <f>AB201*i_T_fix*AB165</f>
        <v/>
      </c>
      <c r="AC210" s="19">
        <f>AC201*i_T_fix*AC165</f>
        <v/>
      </c>
      <c r="AD210" s="19">
        <f>AD201*i_T_fix*AD165</f>
        <v/>
      </c>
      <c r="AE210" s="19">
        <f>AE201*i_T_fix*AE165</f>
        <v/>
      </c>
      <c r="AF210" s="19">
        <f>AF201*i_T_fix*AF165</f>
        <v/>
      </c>
      <c r="AG210" s="19">
        <f>AG201*i_T_fix*AG165</f>
        <v/>
      </c>
      <c r="AH210" s="19">
        <f>AH201*i_T_fix*AH165</f>
        <v/>
      </c>
      <c r="AI210" s="19">
        <f>AI201*i_T_fix*AI165</f>
        <v/>
      </c>
    </row>
    <row r="211">
      <c r="B211" s="2" t="inlineStr">
        <is>
          <t xml:space="preserve">  Variable cost</t>
        </is>
      </c>
      <c r="D211" s="19">
        <f>i_T_var*D209</f>
        <v/>
      </c>
      <c r="E211" s="19">
        <f>i_T_var*E209</f>
        <v/>
      </c>
      <c r="F211" s="19">
        <f>i_T_var*F209</f>
        <v/>
      </c>
      <c r="G211" s="19">
        <f>i_T_var*G209</f>
        <v/>
      </c>
      <c r="H211" s="19">
        <f>i_T_var*H209</f>
        <v/>
      </c>
      <c r="I211" s="19">
        <f>i_T_var*I209</f>
        <v/>
      </c>
      <c r="J211" s="19">
        <f>i_T_var*J209</f>
        <v/>
      </c>
      <c r="K211" s="19">
        <f>i_T_var*K209</f>
        <v/>
      </c>
      <c r="L211" s="19">
        <f>i_T_var*L209</f>
        <v/>
      </c>
      <c r="M211" s="19">
        <f>i_T_var*M209</f>
        <v/>
      </c>
      <c r="N211" s="19">
        <f>i_T_var*N209</f>
        <v/>
      </c>
      <c r="O211" s="19">
        <f>i_T_var*O209</f>
        <v/>
      </c>
      <c r="P211" s="19">
        <f>i_T_var*P209</f>
        <v/>
      </c>
      <c r="Q211" s="19">
        <f>i_T_var*Q209</f>
        <v/>
      </c>
      <c r="R211" s="19">
        <f>i_T_var*R209</f>
        <v/>
      </c>
      <c r="S211" s="19">
        <f>i_T_var*S209</f>
        <v/>
      </c>
      <c r="T211" s="19">
        <f>i_T_var*T209</f>
        <v/>
      </c>
      <c r="U211" s="19">
        <f>i_T_var*U209</f>
        <v/>
      </c>
      <c r="V211" s="19">
        <f>i_T_var*V209</f>
        <v/>
      </c>
      <c r="W211" s="19">
        <f>i_T_var*W209</f>
        <v/>
      </c>
      <c r="X211" s="19">
        <f>i_T_var*X209</f>
        <v/>
      </c>
      <c r="Y211" s="19">
        <f>i_T_var*Y209</f>
        <v/>
      </c>
      <c r="Z211" s="19">
        <f>i_T_var*Z209</f>
        <v/>
      </c>
      <c r="AA211" s="19">
        <f>i_T_var*AA209</f>
        <v/>
      </c>
      <c r="AB211" s="19">
        <f>i_T_var*AB209</f>
        <v/>
      </c>
      <c r="AC211" s="19">
        <f>i_T_var*AC209</f>
        <v/>
      </c>
      <c r="AD211" s="19">
        <f>i_T_var*AD209</f>
        <v/>
      </c>
      <c r="AE211" s="19">
        <f>i_T_var*AE209</f>
        <v/>
      </c>
      <c r="AF211" s="19">
        <f>i_T_var*AF209</f>
        <v/>
      </c>
      <c r="AG211" s="19">
        <f>i_T_var*AG209</f>
        <v/>
      </c>
      <c r="AH211" s="19">
        <f>i_T_var*AH209</f>
        <v/>
      </c>
      <c r="AI211" s="19">
        <f>i_T_var*AI209</f>
        <v/>
      </c>
    </row>
    <row r="212">
      <c r="B212" s="2" t="inlineStr">
        <is>
          <t xml:space="preserve">  Operating cost</t>
        </is>
      </c>
      <c r="D212" s="19">
        <f>D210+D211</f>
        <v/>
      </c>
      <c r="E212" s="19">
        <f>E210+E211</f>
        <v/>
      </c>
      <c r="F212" s="19">
        <f>F210+F211</f>
        <v/>
      </c>
      <c r="G212" s="19">
        <f>G210+G211</f>
        <v/>
      </c>
      <c r="H212" s="19">
        <f>H210+H211</f>
        <v/>
      </c>
      <c r="I212" s="19">
        <f>I210+I211</f>
        <v/>
      </c>
      <c r="J212" s="19">
        <f>J210+J211</f>
        <v/>
      </c>
      <c r="K212" s="19">
        <f>K210+K211</f>
        <v/>
      </c>
      <c r="L212" s="19">
        <f>L210+L211</f>
        <v/>
      </c>
      <c r="M212" s="19">
        <f>M210+M211</f>
        <v/>
      </c>
      <c r="N212" s="19">
        <f>N210+N211</f>
        <v/>
      </c>
      <c r="O212" s="19">
        <f>O210+O211</f>
        <v/>
      </c>
      <c r="P212" s="19">
        <f>P210+P211</f>
        <v/>
      </c>
      <c r="Q212" s="19">
        <f>Q210+Q211</f>
        <v/>
      </c>
      <c r="R212" s="19">
        <f>R210+R211</f>
        <v/>
      </c>
      <c r="S212" s="19">
        <f>S210+S211</f>
        <v/>
      </c>
      <c r="T212" s="19">
        <f>T210+T211</f>
        <v/>
      </c>
      <c r="U212" s="19">
        <f>U210+U211</f>
        <v/>
      </c>
      <c r="V212" s="19">
        <f>V210+V211</f>
        <v/>
      </c>
      <c r="W212" s="19">
        <f>W210+W211</f>
        <v/>
      </c>
      <c r="X212" s="19">
        <f>X210+X211</f>
        <v/>
      </c>
      <c r="Y212" s="19">
        <f>Y210+Y211</f>
        <v/>
      </c>
      <c r="Z212" s="19">
        <f>Z210+Z211</f>
        <v/>
      </c>
      <c r="AA212" s="19">
        <f>AA210+AA211</f>
        <v/>
      </c>
      <c r="AB212" s="19">
        <f>AB210+AB211</f>
        <v/>
      </c>
      <c r="AC212" s="19">
        <f>AC210+AC211</f>
        <v/>
      </c>
      <c r="AD212" s="19">
        <f>AD210+AD211</f>
        <v/>
      </c>
      <c r="AE212" s="19">
        <f>AE210+AE211</f>
        <v/>
      </c>
      <c r="AF212" s="19">
        <f>AF210+AF211</f>
        <v/>
      </c>
      <c r="AG212" s="19">
        <f>AG210+AG211</f>
        <v/>
      </c>
      <c r="AH212" s="19">
        <f>AH210+AH211</f>
        <v/>
      </c>
      <c r="AI212" s="19">
        <f>AI210+AI211</f>
        <v/>
      </c>
    </row>
    <row r="213">
      <c r="B213" s="3" t="inlineStr">
        <is>
          <t xml:space="preserve">  EBITDA</t>
        </is>
      </c>
      <c r="D213" s="31">
        <f>D209-D212</f>
        <v/>
      </c>
      <c r="E213" s="31">
        <f>E209-E212</f>
        <v/>
      </c>
      <c r="F213" s="31">
        <f>F209-F212</f>
        <v/>
      </c>
      <c r="G213" s="31">
        <f>G209-G212</f>
        <v/>
      </c>
      <c r="H213" s="31">
        <f>H209-H212</f>
        <v/>
      </c>
      <c r="I213" s="31">
        <f>I209-I212</f>
        <v/>
      </c>
      <c r="J213" s="31">
        <f>J209-J212</f>
        <v/>
      </c>
      <c r="K213" s="31">
        <f>K209-K212</f>
        <v/>
      </c>
      <c r="L213" s="31">
        <f>L209-L212</f>
        <v/>
      </c>
      <c r="M213" s="31">
        <f>M209-M212</f>
        <v/>
      </c>
      <c r="N213" s="31">
        <f>N209-N212</f>
        <v/>
      </c>
      <c r="O213" s="31">
        <f>O209-O212</f>
        <v/>
      </c>
      <c r="P213" s="31">
        <f>P209-P212</f>
        <v/>
      </c>
      <c r="Q213" s="31">
        <f>Q209-Q212</f>
        <v/>
      </c>
      <c r="R213" s="31">
        <f>R209-R212</f>
        <v/>
      </c>
      <c r="S213" s="31">
        <f>S209-S212</f>
        <v/>
      </c>
      <c r="T213" s="31">
        <f>T209-T212</f>
        <v/>
      </c>
      <c r="U213" s="31">
        <f>U209-U212</f>
        <v/>
      </c>
      <c r="V213" s="31">
        <f>V209-V212</f>
        <v/>
      </c>
      <c r="W213" s="31">
        <f>W209-W212</f>
        <v/>
      </c>
      <c r="X213" s="31">
        <f>X209-X212</f>
        <v/>
      </c>
      <c r="Y213" s="31">
        <f>Y209-Y212</f>
        <v/>
      </c>
      <c r="Z213" s="31">
        <f>Z209-Z212</f>
        <v/>
      </c>
      <c r="AA213" s="31">
        <f>AA209-AA212</f>
        <v/>
      </c>
      <c r="AB213" s="31">
        <f>AB209-AB212</f>
        <v/>
      </c>
      <c r="AC213" s="31">
        <f>AC209-AC212</f>
        <v/>
      </c>
      <c r="AD213" s="31">
        <f>AD209-AD212</f>
        <v/>
      </c>
      <c r="AE213" s="31">
        <f>AE209-AE212</f>
        <v/>
      </c>
      <c r="AF213" s="31">
        <f>AF209-AF212</f>
        <v/>
      </c>
      <c r="AG213" s="31">
        <f>AG209-AG212</f>
        <v/>
      </c>
      <c r="AH213" s="31">
        <f>AH209-AH212</f>
        <v/>
      </c>
      <c r="AI213" s="31">
        <f>AI209-AI212</f>
        <v/>
      </c>
    </row>
    <row r="214">
      <c r="B214" s="2" t="inlineStr">
        <is>
          <t xml:space="preserve">  Maintenance capex</t>
        </is>
      </c>
      <c r="D214" s="19">
        <f>D201*i_T_mc*D165</f>
        <v/>
      </c>
      <c r="E214" s="19">
        <f>E201*i_T_mc*E165</f>
        <v/>
      </c>
      <c r="F214" s="19">
        <f>F201*i_T_mc*F165</f>
        <v/>
      </c>
      <c r="G214" s="19">
        <f>G201*i_T_mc*G165</f>
        <v/>
      </c>
      <c r="H214" s="19">
        <f>H201*i_T_mc*H165</f>
        <v/>
      </c>
      <c r="I214" s="19">
        <f>I201*i_T_mc*I165</f>
        <v/>
      </c>
      <c r="J214" s="19">
        <f>J201*i_T_mc*J165</f>
        <v/>
      </c>
      <c r="K214" s="19">
        <f>K201*i_T_mc*K165</f>
        <v/>
      </c>
      <c r="L214" s="19">
        <f>L201*i_T_mc*L165</f>
        <v/>
      </c>
      <c r="M214" s="19">
        <f>M201*i_T_mc*M165</f>
        <v/>
      </c>
      <c r="N214" s="19">
        <f>N201*i_T_mc*N165</f>
        <v/>
      </c>
      <c r="O214" s="19">
        <f>O201*i_T_mc*O165</f>
        <v/>
      </c>
      <c r="P214" s="19">
        <f>P201*i_T_mc*P165</f>
        <v/>
      </c>
      <c r="Q214" s="19">
        <f>Q201*i_T_mc*Q165</f>
        <v/>
      </c>
      <c r="R214" s="19">
        <f>R201*i_T_mc*R165</f>
        <v/>
      </c>
      <c r="S214" s="19">
        <f>S201*i_T_mc*S165</f>
        <v/>
      </c>
      <c r="T214" s="19">
        <f>T201*i_T_mc*T165</f>
        <v/>
      </c>
      <c r="U214" s="19">
        <f>U201*i_T_mc*U165</f>
        <v/>
      </c>
      <c r="V214" s="19">
        <f>V201*i_T_mc*V165</f>
        <v/>
      </c>
      <c r="W214" s="19">
        <f>W201*i_T_mc*W165</f>
        <v/>
      </c>
      <c r="X214" s="19">
        <f>X201*i_T_mc*X165</f>
        <v/>
      </c>
      <c r="Y214" s="19">
        <f>Y201*i_T_mc*Y165</f>
        <v/>
      </c>
      <c r="Z214" s="19">
        <f>Z201*i_T_mc*Z165</f>
        <v/>
      </c>
      <c r="AA214" s="19">
        <f>AA201*i_T_mc*AA165</f>
        <v/>
      </c>
      <c r="AB214" s="19">
        <f>AB201*i_T_mc*AB165</f>
        <v/>
      </c>
      <c r="AC214" s="19">
        <f>AC201*i_T_mc*AC165</f>
        <v/>
      </c>
      <c r="AD214" s="19">
        <f>AD201*i_T_mc*AD165</f>
        <v/>
      </c>
      <c r="AE214" s="19">
        <f>AE201*i_T_mc*AE165</f>
        <v/>
      </c>
      <c r="AF214" s="19">
        <f>AF201*i_T_mc*AF165</f>
        <v/>
      </c>
      <c r="AG214" s="19">
        <f>AG201*i_T_mc*AG165</f>
        <v/>
      </c>
      <c r="AH214" s="19">
        <f>AH201*i_T_mc*AH165</f>
        <v/>
      </c>
      <c r="AI214" s="19">
        <f>AI201*i_T_mc*AI165</f>
        <v/>
      </c>
    </row>
    <row r="215">
      <c r="B215" s="3" t="inlineStr">
        <is>
          <t>Sabine Bend</t>
        </is>
      </c>
    </row>
    <row r="216">
      <c r="B216" s="2" t="inlineStr">
        <is>
          <t xml:space="preserve">  Capacity in service (million m3)</t>
        </is>
      </c>
      <c r="D216" s="24">
        <f>i_G_cap</f>
        <v/>
      </c>
      <c r="E216" s="24">
        <f>i_G_cap</f>
        <v/>
      </c>
      <c r="F216" s="24">
        <f>i_G_cap</f>
        <v/>
      </c>
      <c r="G216" s="24">
        <f>i_G_cap</f>
        <v/>
      </c>
      <c r="H216" s="24">
        <f>i_G_cap</f>
        <v/>
      </c>
      <c r="I216" s="24">
        <f>i_G_cap</f>
        <v/>
      </c>
      <c r="J216" s="24">
        <f>i_G_cap</f>
        <v/>
      </c>
      <c r="K216" s="24">
        <f>i_G_cap</f>
        <v/>
      </c>
      <c r="L216" s="24">
        <f>i_G_cap</f>
        <v/>
      </c>
      <c r="M216" s="24">
        <f>i_G_cap</f>
        <v/>
      </c>
      <c r="N216" s="24">
        <f>i_G_cap</f>
        <v/>
      </c>
      <c r="O216" s="24">
        <f>i_G_cap</f>
        <v/>
      </c>
      <c r="P216" s="24">
        <f>i_G_cap</f>
        <v/>
      </c>
      <c r="Q216" s="24">
        <f>i_G_cap</f>
        <v/>
      </c>
      <c r="R216" s="24">
        <f>i_G_cap</f>
        <v/>
      </c>
      <c r="S216" s="24">
        <f>i_G_cap</f>
        <v/>
      </c>
      <c r="T216" s="24">
        <f>i_G_cap</f>
        <v/>
      </c>
      <c r="U216" s="24">
        <f>i_G_cap</f>
        <v/>
      </c>
      <c r="V216" s="24">
        <f>i_G_cap</f>
        <v/>
      </c>
      <c r="W216" s="24">
        <f>i_G_cap</f>
        <v/>
      </c>
      <c r="X216" s="24">
        <f>i_G_cap</f>
        <v/>
      </c>
      <c r="Y216" s="24">
        <f>i_G_cap</f>
        <v/>
      </c>
      <c r="Z216" s="24">
        <f>i_G_cap</f>
        <v/>
      </c>
      <c r="AA216" s="24">
        <f>i_G_cap</f>
        <v/>
      </c>
      <c r="AB216" s="24">
        <f>i_G_cap</f>
        <v/>
      </c>
      <c r="AC216" s="24">
        <f>i_G_cap</f>
        <v/>
      </c>
      <c r="AD216" s="24">
        <f>i_G_cap</f>
        <v/>
      </c>
      <c r="AE216" s="24">
        <f>i_G_cap</f>
        <v/>
      </c>
      <c r="AF216" s="24">
        <f>i_G_cap</f>
        <v/>
      </c>
      <c r="AG216" s="24">
        <f>i_G_cap</f>
        <v/>
      </c>
      <c r="AH216" s="24">
        <f>i_G_cap</f>
        <v/>
      </c>
      <c r="AI216" s="24">
        <f>i_G_cap</f>
        <v/>
      </c>
    </row>
    <row r="217">
      <c r="B217" s="2" t="inlineStr">
        <is>
          <t xml:space="preserve">  Share on contracts signed before 2027</t>
        </is>
      </c>
      <c r="D217" s="21">
        <f>SUMIF(i_book_years,D$3,i_G_book)</f>
        <v/>
      </c>
      <c r="E217" s="21">
        <f>SUMIF(i_book_years,E$3,i_G_book)</f>
        <v/>
      </c>
      <c r="F217" s="21">
        <f>SUMIF(i_book_years,F$3,i_G_book)</f>
        <v/>
      </c>
      <c r="G217" s="21">
        <f>SUMIF(i_book_years,G$3,i_G_book)</f>
        <v/>
      </c>
      <c r="H217" s="21">
        <f>SUMIF(i_book_years,H$3,i_G_book)</f>
        <v/>
      </c>
      <c r="I217" s="21">
        <f>SUMIF(i_book_years,I$3,i_G_book)</f>
        <v/>
      </c>
      <c r="J217" s="21">
        <f>SUMIF(i_book_years,J$3,i_G_book)</f>
        <v/>
      </c>
      <c r="K217" s="21">
        <f>SUMIF(i_book_years,K$3,i_G_book)</f>
        <v/>
      </c>
      <c r="L217" s="21">
        <f>SUMIF(i_book_years,L$3,i_G_book)</f>
        <v/>
      </c>
      <c r="M217" s="21">
        <f>SUMIF(i_book_years,M$3,i_G_book)</f>
        <v/>
      </c>
      <c r="N217" s="21">
        <f>SUMIF(i_book_years,N$3,i_G_book)</f>
        <v/>
      </c>
      <c r="O217" s="21">
        <f>SUMIF(i_book_years,O$3,i_G_book)</f>
        <v/>
      </c>
      <c r="P217" s="21">
        <f>SUMIF(i_book_years,P$3,i_G_book)</f>
        <v/>
      </c>
      <c r="Q217" s="21">
        <f>SUMIF(i_book_years,Q$3,i_G_book)</f>
        <v/>
      </c>
      <c r="R217" s="21">
        <f>SUMIF(i_book_years,R$3,i_G_book)</f>
        <v/>
      </c>
      <c r="S217" s="21">
        <f>SUMIF(i_book_years,S$3,i_G_book)</f>
        <v/>
      </c>
      <c r="T217" s="21">
        <f>SUMIF(i_book_years,T$3,i_G_book)</f>
        <v/>
      </c>
      <c r="U217" s="21">
        <f>SUMIF(i_book_years,U$3,i_G_book)</f>
        <v/>
      </c>
      <c r="V217" s="21">
        <f>SUMIF(i_book_years,V$3,i_G_book)</f>
        <v/>
      </c>
      <c r="W217" s="21">
        <f>SUMIF(i_book_years,W$3,i_G_book)</f>
        <v/>
      </c>
      <c r="X217" s="21">
        <f>SUMIF(i_book_years,X$3,i_G_book)</f>
        <v/>
      </c>
      <c r="Y217" s="21">
        <f>SUMIF(i_book_years,Y$3,i_G_book)</f>
        <v/>
      </c>
      <c r="Z217" s="21">
        <f>SUMIF(i_book_years,Z$3,i_G_book)</f>
        <v/>
      </c>
      <c r="AA217" s="21">
        <f>SUMIF(i_book_years,AA$3,i_G_book)</f>
        <v/>
      </c>
      <c r="AB217" s="21">
        <f>SUMIF(i_book_years,AB$3,i_G_book)</f>
        <v/>
      </c>
      <c r="AC217" s="21">
        <f>SUMIF(i_book_years,AC$3,i_G_book)</f>
        <v/>
      </c>
      <c r="AD217" s="21">
        <f>SUMIF(i_book_years,AD$3,i_G_book)</f>
        <v/>
      </c>
      <c r="AE217" s="21">
        <f>SUMIF(i_book_years,AE$3,i_G_book)</f>
        <v/>
      </c>
      <c r="AF217" s="21">
        <f>SUMIF(i_book_years,AF$3,i_G_book)</f>
        <v/>
      </c>
      <c r="AG217" s="21">
        <f>SUMIF(i_book_years,AG$3,i_G_book)</f>
        <v/>
      </c>
      <c r="AH217" s="21">
        <f>SUMIF(i_book_years,AH$3,i_G_book)</f>
        <v/>
      </c>
      <c r="AI217" s="21">
        <f>SUMIF(i_book_years,AI$3,i_G_book)</f>
        <v/>
      </c>
    </row>
    <row r="218">
      <c r="B218" s="2" t="inlineStr">
        <is>
          <t xml:space="preserve">  Recontracting factor against current rates</t>
        </is>
      </c>
      <c r="D218" s="21">
        <f>IF(D$4=0,0,IF(Diligence!$C$155=1,i_G_mtm,i_G_mtm_plan)+Diligence!$C$161)</f>
        <v/>
      </c>
      <c r="E218" s="21">
        <f>IF(E$4=0,0,IF(Diligence!$C$155=1,i_G_mtm,i_G_mtm_plan)+Diligence!$C$161)</f>
        <v/>
      </c>
      <c r="F218" s="21">
        <f>IF(F$4=0,0,IF(Diligence!$C$155=1,i_G_mtm,i_G_mtm_plan)+Diligence!$C$161)</f>
        <v/>
      </c>
      <c r="G218" s="21">
        <f>IF(G$4=0,0,IF(Diligence!$C$155=1,i_G_mtm,i_G_mtm_plan)+Diligence!$C$161)</f>
        <v/>
      </c>
      <c r="H218" s="21">
        <f>IF(H$4=0,0,IF(Diligence!$C$155=1,i_G_mtm,i_G_mtm_plan)+Diligence!$C$161)</f>
        <v/>
      </c>
      <c r="I218" s="21">
        <f>IF(I$4=0,0,IF(Diligence!$C$155=1,i_G_mtm,i_G_mtm_plan)+Diligence!$C$161)</f>
        <v/>
      </c>
      <c r="J218" s="21">
        <f>IF(J$4=0,0,IF(Diligence!$C$155=1,i_G_mtm,i_G_mtm_plan)+Diligence!$C$161)</f>
        <v/>
      </c>
      <c r="K218" s="21">
        <f>IF(K$4=0,0,IF(Diligence!$C$155=1,i_G_mtm,i_G_mtm_plan)+Diligence!$C$161)</f>
        <v/>
      </c>
      <c r="L218" s="21">
        <f>IF(L$4=0,0,IF(Diligence!$C$155=1,i_G_mtm,i_G_mtm_plan)+Diligence!$C$161)</f>
        <v/>
      </c>
      <c r="M218" s="21">
        <f>IF(M$4=0,0,IF(Diligence!$C$155=1,i_G_mtm,i_G_mtm_plan)+Diligence!$C$161)</f>
        <v/>
      </c>
      <c r="N218" s="21">
        <f>IF(N$4=0,0,IF(Diligence!$C$155=1,i_G_mtm,i_G_mtm_plan)+Diligence!$C$161)</f>
        <v/>
      </c>
      <c r="O218" s="21">
        <f>IF(O$4=0,0,IF(Diligence!$C$155=1,i_G_mtm,i_G_mtm_plan)+Diligence!$C$161)</f>
        <v/>
      </c>
      <c r="P218" s="21">
        <f>IF(P$4=0,0,IF(Diligence!$C$155=1,i_G_mtm,i_G_mtm_plan)+Diligence!$C$161)</f>
        <v/>
      </c>
      <c r="Q218" s="21">
        <f>IF(Q$4=0,0,IF(Diligence!$C$155=1,i_G_mtm,i_G_mtm_plan)+Diligence!$C$161)</f>
        <v/>
      </c>
      <c r="R218" s="21">
        <f>IF(R$4=0,0,IF(Diligence!$C$155=1,i_G_mtm,i_G_mtm_plan)+Diligence!$C$161)</f>
        <v/>
      </c>
      <c r="S218" s="21">
        <f>IF(S$4=0,0,IF(Diligence!$C$155=1,i_G_mtm,i_G_mtm_plan)+Diligence!$C$161)</f>
        <v/>
      </c>
      <c r="T218" s="21">
        <f>IF(T$4=0,0,IF(Diligence!$C$155=1,i_G_mtm,i_G_mtm_plan)+Diligence!$C$161)</f>
        <v/>
      </c>
      <c r="U218" s="21">
        <f>IF(U$4=0,0,IF(Diligence!$C$155=1,i_G_mtm,i_G_mtm_plan)+Diligence!$C$161)</f>
        <v/>
      </c>
      <c r="V218" s="21">
        <f>IF(V$4=0,0,IF(Diligence!$C$155=1,i_G_mtm,i_G_mtm_plan)+Diligence!$C$161)</f>
        <v/>
      </c>
      <c r="W218" s="21">
        <f>IF(W$4=0,0,IF(Diligence!$C$155=1,i_G_mtm,i_G_mtm_plan)+Diligence!$C$161)</f>
        <v/>
      </c>
      <c r="X218" s="21">
        <f>IF(X$4=0,0,IF(Diligence!$C$155=1,i_G_mtm,i_G_mtm_plan)+Diligence!$C$161)</f>
        <v/>
      </c>
      <c r="Y218" s="21">
        <f>IF(Y$4=0,0,IF(Diligence!$C$155=1,i_G_mtm,i_G_mtm_plan)+Diligence!$C$161)</f>
        <v/>
      </c>
      <c r="Z218" s="21">
        <f>IF(Z$4=0,0,IF(Diligence!$C$155=1,i_G_mtm,i_G_mtm_plan)+Diligence!$C$161)</f>
        <v/>
      </c>
      <c r="AA218" s="21">
        <f>IF(AA$4=0,0,IF(Diligence!$C$155=1,i_G_mtm,i_G_mtm_plan)+Diligence!$C$161)</f>
        <v/>
      </c>
      <c r="AB218" s="21">
        <f>IF(AB$4=0,0,IF(Diligence!$C$155=1,i_G_mtm,i_G_mtm_plan)+Diligence!$C$161)</f>
        <v/>
      </c>
      <c r="AC218" s="21">
        <f>IF(AC$4=0,0,IF(Diligence!$C$155=1,i_G_mtm,i_G_mtm_plan)+Diligence!$C$161)</f>
        <v/>
      </c>
      <c r="AD218" s="21">
        <f>IF(AD$4=0,0,IF(Diligence!$C$155=1,i_G_mtm,i_G_mtm_plan)+Diligence!$C$161)</f>
        <v/>
      </c>
      <c r="AE218" s="21">
        <f>IF(AE$4=0,0,IF(Diligence!$C$155=1,i_G_mtm,i_G_mtm_plan)+Diligence!$C$161)</f>
        <v/>
      </c>
      <c r="AF218" s="21">
        <f>IF(AF$4=0,0,IF(Diligence!$C$155=1,i_G_mtm,i_G_mtm_plan)+Diligence!$C$161)</f>
        <v/>
      </c>
      <c r="AG218" s="21">
        <f>IF(AG$4=0,0,IF(Diligence!$C$155=1,i_G_mtm,i_G_mtm_plan)+Diligence!$C$161)</f>
        <v/>
      </c>
      <c r="AH218" s="21">
        <f>IF(AH$4=0,0,IF(Diligence!$C$155=1,i_G_mtm,i_G_mtm_plan)+Diligence!$C$161)</f>
        <v/>
      </c>
      <c r="AI218" s="21">
        <f>IF(AI$4=0,0,IF(Diligence!$C$155=1,i_G_mtm,i_G_mtm_plan)+Diligence!$C$161)</f>
        <v/>
      </c>
    </row>
    <row r="219">
      <c r="B219" s="2" t="inlineStr">
        <is>
          <t xml:space="preserve">  Average rate ($ per m3 per month)</t>
        </is>
      </c>
      <c r="D219" s="24">
        <f>i_G_rate*D166*(D217+(1-D217)*(1+D218))</f>
        <v/>
      </c>
      <c r="E219" s="24">
        <f>i_G_rate*E166*(E217+(1-E217)*(1+E218))</f>
        <v/>
      </c>
      <c r="F219" s="24">
        <f>i_G_rate*F166*(F217+(1-F217)*(1+F218))</f>
        <v/>
      </c>
      <c r="G219" s="24">
        <f>i_G_rate*G166*(G217+(1-G217)*(1+G218))</f>
        <v/>
      </c>
      <c r="H219" s="24">
        <f>i_G_rate*H166*(H217+(1-H217)*(1+H218))</f>
        <v/>
      </c>
      <c r="I219" s="24">
        <f>i_G_rate*I166*(I217+(1-I217)*(1+I218))</f>
        <v/>
      </c>
      <c r="J219" s="24">
        <f>i_G_rate*J166*(J217+(1-J217)*(1+J218))</f>
        <v/>
      </c>
      <c r="K219" s="24">
        <f>i_G_rate*K166*(K217+(1-K217)*(1+K218))</f>
        <v/>
      </c>
      <c r="L219" s="24">
        <f>i_G_rate*L166*(L217+(1-L217)*(1+L218))</f>
        <v/>
      </c>
      <c r="M219" s="24">
        <f>i_G_rate*M166*(M217+(1-M217)*(1+M218))</f>
        <v/>
      </c>
      <c r="N219" s="24">
        <f>i_G_rate*N166*(N217+(1-N217)*(1+N218))</f>
        <v/>
      </c>
      <c r="O219" s="24">
        <f>i_G_rate*O166*(O217+(1-O217)*(1+O218))</f>
        <v/>
      </c>
      <c r="P219" s="24">
        <f>i_G_rate*P166*(P217+(1-P217)*(1+P218))</f>
        <v/>
      </c>
      <c r="Q219" s="24">
        <f>i_G_rate*Q166*(Q217+(1-Q217)*(1+Q218))</f>
        <v/>
      </c>
      <c r="R219" s="24">
        <f>i_G_rate*R166*(R217+(1-R217)*(1+R218))</f>
        <v/>
      </c>
      <c r="S219" s="24">
        <f>i_G_rate*S166*(S217+(1-S217)*(1+S218))</f>
        <v/>
      </c>
      <c r="T219" s="24">
        <f>i_G_rate*T166*(T217+(1-T217)*(1+T218))</f>
        <v/>
      </c>
      <c r="U219" s="24">
        <f>i_G_rate*U166*(U217+(1-U217)*(1+U218))</f>
        <v/>
      </c>
      <c r="V219" s="24">
        <f>i_G_rate*V166*(V217+(1-V217)*(1+V218))</f>
        <v/>
      </c>
      <c r="W219" s="24">
        <f>i_G_rate*W166*(W217+(1-W217)*(1+W218))</f>
        <v/>
      </c>
      <c r="X219" s="24">
        <f>i_G_rate*X166*(X217+(1-X217)*(1+X218))</f>
        <v/>
      </c>
      <c r="Y219" s="24">
        <f>i_G_rate*Y166*(Y217+(1-Y217)*(1+Y218))</f>
        <v/>
      </c>
      <c r="Z219" s="24">
        <f>i_G_rate*Z166*(Z217+(1-Z217)*(1+Z218))</f>
        <v/>
      </c>
      <c r="AA219" s="24">
        <f>i_G_rate*AA166*(AA217+(1-AA217)*(1+AA218))</f>
        <v/>
      </c>
      <c r="AB219" s="24">
        <f>i_G_rate*AB166*(AB217+(1-AB217)*(1+AB218))</f>
        <v/>
      </c>
      <c r="AC219" s="24">
        <f>i_G_rate*AC166*(AC217+(1-AC217)*(1+AC218))</f>
        <v/>
      </c>
      <c r="AD219" s="24">
        <f>i_G_rate*AD166*(AD217+(1-AD217)*(1+AD218))</f>
        <v/>
      </c>
      <c r="AE219" s="24">
        <f>i_G_rate*AE166*(AE217+(1-AE217)*(1+AE218))</f>
        <v/>
      </c>
      <c r="AF219" s="24">
        <f>i_G_rate*AF166*(AF217+(1-AF217)*(1+AF218))</f>
        <v/>
      </c>
      <c r="AG219" s="24">
        <f>i_G_rate*AG166*(AG217+(1-AG217)*(1+AG218))</f>
        <v/>
      </c>
      <c r="AH219" s="24">
        <f>i_G_rate*AH166*(AH217+(1-AH217)*(1+AH218))</f>
        <v/>
      </c>
      <c r="AI219" s="24">
        <f>i_G_rate*AI166*(AI217+(1-AI217)*(1+AI218))</f>
        <v/>
      </c>
    </row>
    <row r="220">
      <c r="B220" s="2" t="inlineStr">
        <is>
          <t xml:space="preserve">  Occupancy after the transition decline and floor</t>
        </is>
      </c>
      <c r="D220" s="21">
        <f>IF(D$3&gt;i_trans_start,MAX(i_G_floor,i_G_occ-i_G_dec*(D$3-i_trans_start)),i_G_occ)</f>
        <v/>
      </c>
      <c r="E220" s="21">
        <f>IF(E$3&gt;i_trans_start,MAX(i_G_floor,i_G_occ-i_G_dec*(E$3-i_trans_start)),i_G_occ)</f>
        <v/>
      </c>
      <c r="F220" s="21">
        <f>IF(F$3&gt;i_trans_start,MAX(i_G_floor,i_G_occ-i_G_dec*(F$3-i_trans_start)),i_G_occ)</f>
        <v/>
      </c>
      <c r="G220" s="21">
        <f>IF(G$3&gt;i_trans_start,MAX(i_G_floor,i_G_occ-i_G_dec*(G$3-i_trans_start)),i_G_occ)</f>
        <v/>
      </c>
      <c r="H220" s="21">
        <f>IF(H$3&gt;i_trans_start,MAX(i_G_floor,i_G_occ-i_G_dec*(H$3-i_trans_start)),i_G_occ)</f>
        <v/>
      </c>
      <c r="I220" s="21">
        <f>IF(I$3&gt;i_trans_start,MAX(i_G_floor,i_G_occ-i_G_dec*(I$3-i_trans_start)),i_G_occ)</f>
        <v/>
      </c>
      <c r="J220" s="21">
        <f>IF(J$3&gt;i_trans_start,MAX(i_G_floor,i_G_occ-i_G_dec*(J$3-i_trans_start)),i_G_occ)</f>
        <v/>
      </c>
      <c r="K220" s="21">
        <f>IF(K$3&gt;i_trans_start,MAX(i_G_floor,i_G_occ-i_G_dec*(K$3-i_trans_start)),i_G_occ)</f>
        <v/>
      </c>
      <c r="L220" s="21">
        <f>IF(L$3&gt;i_trans_start,MAX(i_G_floor,i_G_occ-i_G_dec*(L$3-i_trans_start)),i_G_occ)</f>
        <v/>
      </c>
      <c r="M220" s="21">
        <f>IF(M$3&gt;i_trans_start,MAX(i_G_floor,i_G_occ-i_G_dec*(M$3-i_trans_start)),i_G_occ)</f>
        <v/>
      </c>
      <c r="N220" s="21">
        <f>IF(N$3&gt;i_trans_start,MAX(i_G_floor,i_G_occ-i_G_dec*(N$3-i_trans_start)),i_G_occ)</f>
        <v/>
      </c>
      <c r="O220" s="21">
        <f>IF(O$3&gt;i_trans_start,MAX(i_G_floor,i_G_occ-i_G_dec*(O$3-i_trans_start)),i_G_occ)</f>
        <v/>
      </c>
      <c r="P220" s="21">
        <f>IF(P$3&gt;i_trans_start,MAX(i_G_floor,i_G_occ-i_G_dec*(P$3-i_trans_start)),i_G_occ)</f>
        <v/>
      </c>
      <c r="Q220" s="21">
        <f>IF(Q$3&gt;i_trans_start,MAX(i_G_floor,i_G_occ-i_G_dec*(Q$3-i_trans_start)),i_G_occ)</f>
        <v/>
      </c>
      <c r="R220" s="21">
        <f>IF(R$3&gt;i_trans_start,MAX(i_G_floor,i_G_occ-i_G_dec*(R$3-i_trans_start)),i_G_occ)</f>
        <v/>
      </c>
      <c r="S220" s="21">
        <f>IF(S$3&gt;i_trans_start,MAX(i_G_floor,i_G_occ-i_G_dec*(S$3-i_trans_start)),i_G_occ)</f>
        <v/>
      </c>
      <c r="T220" s="21">
        <f>IF(T$3&gt;i_trans_start,MAX(i_G_floor,i_G_occ-i_G_dec*(T$3-i_trans_start)),i_G_occ)</f>
        <v/>
      </c>
      <c r="U220" s="21">
        <f>IF(U$3&gt;i_trans_start,MAX(i_G_floor,i_G_occ-i_G_dec*(U$3-i_trans_start)),i_G_occ)</f>
        <v/>
      </c>
      <c r="V220" s="21">
        <f>IF(V$3&gt;i_trans_start,MAX(i_G_floor,i_G_occ-i_G_dec*(V$3-i_trans_start)),i_G_occ)</f>
        <v/>
      </c>
      <c r="W220" s="21">
        <f>IF(W$3&gt;i_trans_start,MAX(i_G_floor,i_G_occ-i_G_dec*(W$3-i_trans_start)),i_G_occ)</f>
        <v/>
      </c>
      <c r="X220" s="21">
        <f>IF(X$3&gt;i_trans_start,MAX(i_G_floor,i_G_occ-i_G_dec*(X$3-i_trans_start)),i_G_occ)</f>
        <v/>
      </c>
      <c r="Y220" s="21">
        <f>IF(Y$3&gt;i_trans_start,MAX(i_G_floor,i_G_occ-i_G_dec*(Y$3-i_trans_start)),i_G_occ)</f>
        <v/>
      </c>
      <c r="Z220" s="21">
        <f>IF(Z$3&gt;i_trans_start,MAX(i_G_floor,i_G_occ-i_G_dec*(Z$3-i_trans_start)),i_G_occ)</f>
        <v/>
      </c>
      <c r="AA220" s="21">
        <f>IF(AA$3&gt;i_trans_start,MAX(i_G_floor,i_G_occ-i_G_dec*(AA$3-i_trans_start)),i_G_occ)</f>
        <v/>
      </c>
      <c r="AB220" s="21">
        <f>IF(AB$3&gt;i_trans_start,MAX(i_G_floor,i_G_occ-i_G_dec*(AB$3-i_trans_start)),i_G_occ)</f>
        <v/>
      </c>
      <c r="AC220" s="21">
        <f>IF(AC$3&gt;i_trans_start,MAX(i_G_floor,i_G_occ-i_G_dec*(AC$3-i_trans_start)),i_G_occ)</f>
        <v/>
      </c>
      <c r="AD220" s="21">
        <f>IF(AD$3&gt;i_trans_start,MAX(i_G_floor,i_G_occ-i_G_dec*(AD$3-i_trans_start)),i_G_occ)</f>
        <v/>
      </c>
      <c r="AE220" s="21">
        <f>IF(AE$3&gt;i_trans_start,MAX(i_G_floor,i_G_occ-i_G_dec*(AE$3-i_trans_start)),i_G_occ)</f>
        <v/>
      </c>
      <c r="AF220" s="21">
        <f>IF(AF$3&gt;i_trans_start,MAX(i_G_floor,i_G_occ-i_G_dec*(AF$3-i_trans_start)),i_G_occ)</f>
        <v/>
      </c>
      <c r="AG220" s="21">
        <f>IF(AG$3&gt;i_trans_start,MAX(i_G_floor,i_G_occ-i_G_dec*(AG$3-i_trans_start)),i_G_occ)</f>
        <v/>
      </c>
      <c r="AH220" s="21">
        <f>IF(AH$3&gt;i_trans_start,MAX(i_G_floor,i_G_occ-i_G_dec*(AH$3-i_trans_start)),i_G_occ)</f>
        <v/>
      </c>
      <c r="AI220" s="21">
        <f>IF(AI$3&gt;i_trans_start,MAX(i_G_floor,i_G_occ-i_G_dec*(AI$3-i_trans_start)),i_G_occ)</f>
        <v/>
      </c>
    </row>
    <row r="221">
      <c r="B221" s="2" t="inlineStr">
        <is>
          <t xml:space="preserve">  Occupancy (with the shift switch from 2027)</t>
        </is>
      </c>
      <c r="D221" s="21">
        <f>IF(D$4&gt;0,MIN(1,D220+Diligence!$C$160),D220)</f>
        <v/>
      </c>
      <c r="E221" s="21">
        <f>IF(E$4&gt;0,MIN(1,E220+Diligence!$C$160),E220)</f>
        <v/>
      </c>
      <c r="F221" s="21">
        <f>IF(F$4&gt;0,MIN(1,F220+Diligence!$C$160),F220)</f>
        <v/>
      </c>
      <c r="G221" s="21">
        <f>IF(G$4&gt;0,MIN(1,G220+Diligence!$C$160),G220)</f>
        <v/>
      </c>
      <c r="H221" s="21">
        <f>IF(H$4&gt;0,MIN(1,H220+Diligence!$C$160),H220)</f>
        <v/>
      </c>
      <c r="I221" s="21">
        <f>IF(I$4&gt;0,MIN(1,I220+Diligence!$C$160),I220)</f>
        <v/>
      </c>
      <c r="J221" s="21">
        <f>IF(J$4&gt;0,MIN(1,J220+Diligence!$C$160),J220)</f>
        <v/>
      </c>
      <c r="K221" s="21">
        <f>IF(K$4&gt;0,MIN(1,K220+Diligence!$C$160),K220)</f>
        <v/>
      </c>
      <c r="L221" s="21">
        <f>IF(L$4&gt;0,MIN(1,L220+Diligence!$C$160),L220)</f>
        <v/>
      </c>
      <c r="M221" s="21">
        <f>IF(M$4&gt;0,MIN(1,M220+Diligence!$C$160),M220)</f>
        <v/>
      </c>
      <c r="N221" s="21">
        <f>IF(N$4&gt;0,MIN(1,N220+Diligence!$C$160),N220)</f>
        <v/>
      </c>
      <c r="O221" s="21">
        <f>IF(O$4&gt;0,MIN(1,O220+Diligence!$C$160),O220)</f>
        <v/>
      </c>
      <c r="P221" s="21">
        <f>IF(P$4&gt;0,MIN(1,P220+Diligence!$C$160),P220)</f>
        <v/>
      </c>
      <c r="Q221" s="21">
        <f>IF(Q$4&gt;0,MIN(1,Q220+Diligence!$C$160),Q220)</f>
        <v/>
      </c>
      <c r="R221" s="21">
        <f>IF(R$4&gt;0,MIN(1,R220+Diligence!$C$160),R220)</f>
        <v/>
      </c>
      <c r="S221" s="21">
        <f>IF(S$4&gt;0,MIN(1,S220+Diligence!$C$160),S220)</f>
        <v/>
      </c>
      <c r="T221" s="21">
        <f>IF(T$4&gt;0,MIN(1,T220+Diligence!$C$160),T220)</f>
        <v/>
      </c>
      <c r="U221" s="21">
        <f>IF(U$4&gt;0,MIN(1,U220+Diligence!$C$160),U220)</f>
        <v/>
      </c>
      <c r="V221" s="21">
        <f>IF(V$4&gt;0,MIN(1,V220+Diligence!$C$160),V220)</f>
        <v/>
      </c>
      <c r="W221" s="21">
        <f>IF(W$4&gt;0,MIN(1,W220+Diligence!$C$160),W220)</f>
        <v/>
      </c>
      <c r="X221" s="21">
        <f>IF(X$4&gt;0,MIN(1,X220+Diligence!$C$160),X220)</f>
        <v/>
      </c>
      <c r="Y221" s="21">
        <f>IF(Y$4&gt;0,MIN(1,Y220+Diligence!$C$160),Y220)</f>
        <v/>
      </c>
      <c r="Z221" s="21">
        <f>IF(Z$4&gt;0,MIN(1,Z220+Diligence!$C$160),Z220)</f>
        <v/>
      </c>
      <c r="AA221" s="21">
        <f>IF(AA$4&gt;0,MIN(1,AA220+Diligence!$C$160),AA220)</f>
        <v/>
      </c>
      <c r="AB221" s="21">
        <f>IF(AB$4&gt;0,MIN(1,AB220+Diligence!$C$160),AB220)</f>
        <v/>
      </c>
      <c r="AC221" s="21">
        <f>IF(AC$4&gt;0,MIN(1,AC220+Diligence!$C$160),AC220)</f>
        <v/>
      </c>
      <c r="AD221" s="21">
        <f>IF(AD$4&gt;0,MIN(1,AD220+Diligence!$C$160),AD220)</f>
        <v/>
      </c>
      <c r="AE221" s="21">
        <f>IF(AE$4&gt;0,MIN(1,AE220+Diligence!$C$160),AE220)</f>
        <v/>
      </c>
      <c r="AF221" s="21">
        <f>IF(AF$4&gt;0,MIN(1,AF220+Diligence!$C$160),AF220)</f>
        <v/>
      </c>
      <c r="AG221" s="21">
        <f>IF(AG$4&gt;0,MIN(1,AG220+Diligence!$C$160),AG220)</f>
        <v/>
      </c>
      <c r="AH221" s="21">
        <f>IF(AH$4&gt;0,MIN(1,AH220+Diligence!$C$160),AH220)</f>
        <v/>
      </c>
      <c r="AI221" s="21">
        <f>IF(AI$4&gt;0,MIN(1,AI220+Diligence!$C$160),AI220)</f>
        <v/>
      </c>
    </row>
    <row r="222">
      <c r="B222" s="2" t="inlineStr">
        <is>
          <t xml:space="preserve">  Storage revenue</t>
        </is>
      </c>
      <c r="D222" s="19">
        <f>D216*D219*12*D221</f>
        <v/>
      </c>
      <c r="E222" s="19">
        <f>E216*E219*12*E221</f>
        <v/>
      </c>
      <c r="F222" s="19">
        <f>F216*F219*12*F221</f>
        <v/>
      </c>
      <c r="G222" s="19">
        <f>G216*G219*12*G221</f>
        <v/>
      </c>
      <c r="H222" s="19">
        <f>H216*H219*12*H221</f>
        <v/>
      </c>
      <c r="I222" s="19">
        <f>I216*I219*12*I221</f>
        <v/>
      </c>
      <c r="J222" s="19">
        <f>J216*J219*12*J221</f>
        <v/>
      </c>
      <c r="K222" s="19">
        <f>K216*K219*12*K221</f>
        <v/>
      </c>
      <c r="L222" s="19">
        <f>L216*L219*12*L221</f>
        <v/>
      </c>
      <c r="M222" s="19">
        <f>M216*M219*12*M221</f>
        <v/>
      </c>
      <c r="N222" s="19">
        <f>N216*N219*12*N221</f>
        <v/>
      </c>
      <c r="O222" s="19">
        <f>O216*O219*12*O221</f>
        <v/>
      </c>
      <c r="P222" s="19">
        <f>P216*P219*12*P221</f>
        <v/>
      </c>
      <c r="Q222" s="19">
        <f>Q216*Q219*12*Q221</f>
        <v/>
      </c>
      <c r="R222" s="19">
        <f>R216*R219*12*R221</f>
        <v/>
      </c>
      <c r="S222" s="19">
        <f>S216*S219*12*S221</f>
        <v/>
      </c>
      <c r="T222" s="19">
        <f>T216*T219*12*T221</f>
        <v/>
      </c>
      <c r="U222" s="19">
        <f>U216*U219*12*U221</f>
        <v/>
      </c>
      <c r="V222" s="19">
        <f>V216*V219*12*V221</f>
        <v/>
      </c>
      <c r="W222" s="19">
        <f>W216*W219*12*W221</f>
        <v/>
      </c>
      <c r="X222" s="19">
        <f>X216*X219*12*X221</f>
        <v/>
      </c>
      <c r="Y222" s="19">
        <f>Y216*Y219*12*Y221</f>
        <v/>
      </c>
      <c r="Z222" s="19">
        <f>Z216*Z219*12*Z221</f>
        <v/>
      </c>
      <c r="AA222" s="19">
        <f>AA216*AA219*12*AA221</f>
        <v/>
      </c>
      <c r="AB222" s="19">
        <f>AB216*AB219*12*AB221</f>
        <v/>
      </c>
      <c r="AC222" s="19">
        <f>AC216*AC219*12*AC221</f>
        <v/>
      </c>
      <c r="AD222" s="19">
        <f>AD216*AD219*12*AD221</f>
        <v/>
      </c>
      <c r="AE222" s="19">
        <f>AE216*AE219*12*AE221</f>
        <v/>
      </c>
      <c r="AF222" s="19">
        <f>AF216*AF219*12*AF221</f>
        <v/>
      </c>
      <c r="AG222" s="19">
        <f>AG216*AG219*12*AG221</f>
        <v/>
      </c>
      <c r="AH222" s="19">
        <f>AH216*AH219*12*AH221</f>
        <v/>
      </c>
      <c r="AI222" s="19">
        <f>AI216*AI219*12*AI221</f>
        <v/>
      </c>
    </row>
    <row r="223">
      <c r="B223" s="2" t="inlineStr">
        <is>
          <t xml:space="preserve">  Ancillary and throughput revenue</t>
        </is>
      </c>
      <c r="D223" s="19">
        <f>D222*i_G_anc</f>
        <v/>
      </c>
      <c r="E223" s="19">
        <f>E222*i_G_anc</f>
        <v/>
      </c>
      <c r="F223" s="19">
        <f>F222*i_G_anc</f>
        <v/>
      </c>
      <c r="G223" s="19">
        <f>G222*i_G_anc</f>
        <v/>
      </c>
      <c r="H223" s="19">
        <f>H222*i_G_anc</f>
        <v/>
      </c>
      <c r="I223" s="19">
        <f>I222*i_G_anc</f>
        <v/>
      </c>
      <c r="J223" s="19">
        <f>J222*i_G_anc</f>
        <v/>
      </c>
      <c r="K223" s="19">
        <f>K222*i_G_anc</f>
        <v/>
      </c>
      <c r="L223" s="19">
        <f>L222*i_G_anc</f>
        <v/>
      </c>
      <c r="M223" s="19">
        <f>M222*i_G_anc</f>
        <v/>
      </c>
      <c r="N223" s="19">
        <f>N222*i_G_anc</f>
        <v/>
      </c>
      <c r="O223" s="19">
        <f>O222*i_G_anc</f>
        <v/>
      </c>
      <c r="P223" s="19">
        <f>P222*i_G_anc</f>
        <v/>
      </c>
      <c r="Q223" s="19">
        <f>Q222*i_G_anc</f>
        <v/>
      </c>
      <c r="R223" s="19">
        <f>R222*i_G_anc</f>
        <v/>
      </c>
      <c r="S223" s="19">
        <f>S222*i_G_anc</f>
        <v/>
      </c>
      <c r="T223" s="19">
        <f>T222*i_G_anc</f>
        <v/>
      </c>
      <c r="U223" s="19">
        <f>U222*i_G_anc</f>
        <v/>
      </c>
      <c r="V223" s="19">
        <f>V222*i_G_anc</f>
        <v/>
      </c>
      <c r="W223" s="19">
        <f>W222*i_G_anc</f>
        <v/>
      </c>
      <c r="X223" s="19">
        <f>X222*i_G_anc</f>
        <v/>
      </c>
      <c r="Y223" s="19">
        <f>Y222*i_G_anc</f>
        <v/>
      </c>
      <c r="Z223" s="19">
        <f>Z222*i_G_anc</f>
        <v/>
      </c>
      <c r="AA223" s="19">
        <f>AA222*i_G_anc</f>
        <v/>
      </c>
      <c r="AB223" s="19">
        <f>AB222*i_G_anc</f>
        <v/>
      </c>
      <c r="AC223" s="19">
        <f>AC222*i_G_anc</f>
        <v/>
      </c>
      <c r="AD223" s="19">
        <f>AD222*i_G_anc</f>
        <v/>
      </c>
      <c r="AE223" s="19">
        <f>AE222*i_G_anc</f>
        <v/>
      </c>
      <c r="AF223" s="19">
        <f>AF222*i_G_anc</f>
        <v/>
      </c>
      <c r="AG223" s="19">
        <f>AG222*i_G_anc</f>
        <v/>
      </c>
      <c r="AH223" s="19">
        <f>AH222*i_G_anc</f>
        <v/>
      </c>
      <c r="AI223" s="19">
        <f>AI222*i_G_anc</f>
        <v/>
      </c>
    </row>
    <row r="224">
      <c r="B224" s="3" t="inlineStr">
        <is>
          <t xml:space="preserve">  Revenue</t>
        </is>
      </c>
      <c r="D224" s="31">
        <f>D222+D223</f>
        <v/>
      </c>
      <c r="E224" s="31">
        <f>E222+E223</f>
        <v/>
      </c>
      <c r="F224" s="31">
        <f>F222+F223</f>
        <v/>
      </c>
      <c r="G224" s="31">
        <f>G222+G223</f>
        <v/>
      </c>
      <c r="H224" s="31">
        <f>H222+H223</f>
        <v/>
      </c>
      <c r="I224" s="31">
        <f>I222+I223</f>
        <v/>
      </c>
      <c r="J224" s="31">
        <f>J222+J223</f>
        <v/>
      </c>
      <c r="K224" s="31">
        <f>K222+K223</f>
        <v/>
      </c>
      <c r="L224" s="31">
        <f>L222+L223</f>
        <v/>
      </c>
      <c r="M224" s="31">
        <f>M222+M223</f>
        <v/>
      </c>
      <c r="N224" s="31">
        <f>N222+N223</f>
        <v/>
      </c>
      <c r="O224" s="31">
        <f>O222+O223</f>
        <v/>
      </c>
      <c r="P224" s="31">
        <f>P222+P223</f>
        <v/>
      </c>
      <c r="Q224" s="31">
        <f>Q222+Q223</f>
        <v/>
      </c>
      <c r="R224" s="31">
        <f>R222+R223</f>
        <v/>
      </c>
      <c r="S224" s="31">
        <f>S222+S223</f>
        <v/>
      </c>
      <c r="T224" s="31">
        <f>T222+T223</f>
        <v/>
      </c>
      <c r="U224" s="31">
        <f>U222+U223</f>
        <v/>
      </c>
      <c r="V224" s="31">
        <f>V222+V223</f>
        <v/>
      </c>
      <c r="W224" s="31">
        <f>W222+W223</f>
        <v/>
      </c>
      <c r="X224" s="31">
        <f>X222+X223</f>
        <v/>
      </c>
      <c r="Y224" s="31">
        <f>Y222+Y223</f>
        <v/>
      </c>
      <c r="Z224" s="31">
        <f>Z222+Z223</f>
        <v/>
      </c>
      <c r="AA224" s="31">
        <f>AA222+AA223</f>
        <v/>
      </c>
      <c r="AB224" s="31">
        <f>AB222+AB223</f>
        <v/>
      </c>
      <c r="AC224" s="31">
        <f>AC222+AC223</f>
        <v/>
      </c>
      <c r="AD224" s="31">
        <f>AD222+AD223</f>
        <v/>
      </c>
      <c r="AE224" s="31">
        <f>AE222+AE223</f>
        <v/>
      </c>
      <c r="AF224" s="31">
        <f>AF222+AF223</f>
        <v/>
      </c>
      <c r="AG224" s="31">
        <f>AG222+AG223</f>
        <v/>
      </c>
      <c r="AH224" s="31">
        <f>AH222+AH223</f>
        <v/>
      </c>
      <c r="AI224" s="31">
        <f>AI222+AI223</f>
        <v/>
      </c>
    </row>
    <row r="225">
      <c r="B225" s="2" t="inlineStr">
        <is>
          <t xml:space="preserve">  Fixed cost</t>
        </is>
      </c>
      <c r="D225" s="19">
        <f>D216*i_G_fix*D165</f>
        <v/>
      </c>
      <c r="E225" s="19">
        <f>E216*i_G_fix*E165</f>
        <v/>
      </c>
      <c r="F225" s="19">
        <f>F216*i_G_fix*F165</f>
        <v/>
      </c>
      <c r="G225" s="19">
        <f>G216*i_G_fix*G165</f>
        <v/>
      </c>
      <c r="H225" s="19">
        <f>H216*i_G_fix*H165</f>
        <v/>
      </c>
      <c r="I225" s="19">
        <f>I216*i_G_fix*I165</f>
        <v/>
      </c>
      <c r="J225" s="19">
        <f>J216*i_G_fix*J165</f>
        <v/>
      </c>
      <c r="K225" s="19">
        <f>K216*i_G_fix*K165</f>
        <v/>
      </c>
      <c r="L225" s="19">
        <f>L216*i_G_fix*L165</f>
        <v/>
      </c>
      <c r="M225" s="19">
        <f>M216*i_G_fix*M165</f>
        <v/>
      </c>
      <c r="N225" s="19">
        <f>N216*i_G_fix*N165</f>
        <v/>
      </c>
      <c r="O225" s="19">
        <f>O216*i_G_fix*O165</f>
        <v/>
      </c>
      <c r="P225" s="19">
        <f>P216*i_G_fix*P165</f>
        <v/>
      </c>
      <c r="Q225" s="19">
        <f>Q216*i_G_fix*Q165</f>
        <v/>
      </c>
      <c r="R225" s="19">
        <f>R216*i_G_fix*R165</f>
        <v/>
      </c>
      <c r="S225" s="19">
        <f>S216*i_G_fix*S165</f>
        <v/>
      </c>
      <c r="T225" s="19">
        <f>T216*i_G_fix*T165</f>
        <v/>
      </c>
      <c r="U225" s="19">
        <f>U216*i_G_fix*U165</f>
        <v/>
      </c>
      <c r="V225" s="19">
        <f>V216*i_G_fix*V165</f>
        <v/>
      </c>
      <c r="W225" s="19">
        <f>W216*i_G_fix*W165</f>
        <v/>
      </c>
      <c r="X225" s="19">
        <f>X216*i_G_fix*X165</f>
        <v/>
      </c>
      <c r="Y225" s="19">
        <f>Y216*i_G_fix*Y165</f>
        <v/>
      </c>
      <c r="Z225" s="19">
        <f>Z216*i_G_fix*Z165</f>
        <v/>
      </c>
      <c r="AA225" s="19">
        <f>AA216*i_G_fix*AA165</f>
        <v/>
      </c>
      <c r="AB225" s="19">
        <f>AB216*i_G_fix*AB165</f>
        <v/>
      </c>
      <c r="AC225" s="19">
        <f>AC216*i_G_fix*AC165</f>
        <v/>
      </c>
      <c r="AD225" s="19">
        <f>AD216*i_G_fix*AD165</f>
        <v/>
      </c>
      <c r="AE225" s="19">
        <f>AE216*i_G_fix*AE165</f>
        <v/>
      </c>
      <c r="AF225" s="19">
        <f>AF216*i_G_fix*AF165</f>
        <v/>
      </c>
      <c r="AG225" s="19">
        <f>AG216*i_G_fix*AG165</f>
        <v/>
      </c>
      <c r="AH225" s="19">
        <f>AH216*i_G_fix*AH165</f>
        <v/>
      </c>
      <c r="AI225" s="19">
        <f>AI216*i_G_fix*AI165</f>
        <v/>
      </c>
    </row>
    <row r="226">
      <c r="B226" s="2" t="inlineStr">
        <is>
          <t xml:space="preserve">  Variable cost</t>
        </is>
      </c>
      <c r="D226" s="19">
        <f>i_G_var*D224</f>
        <v/>
      </c>
      <c r="E226" s="19">
        <f>i_G_var*E224</f>
        <v/>
      </c>
      <c r="F226" s="19">
        <f>i_G_var*F224</f>
        <v/>
      </c>
      <c r="G226" s="19">
        <f>i_G_var*G224</f>
        <v/>
      </c>
      <c r="H226" s="19">
        <f>i_G_var*H224</f>
        <v/>
      </c>
      <c r="I226" s="19">
        <f>i_G_var*I224</f>
        <v/>
      </c>
      <c r="J226" s="19">
        <f>i_G_var*J224</f>
        <v/>
      </c>
      <c r="K226" s="19">
        <f>i_G_var*K224</f>
        <v/>
      </c>
      <c r="L226" s="19">
        <f>i_G_var*L224</f>
        <v/>
      </c>
      <c r="M226" s="19">
        <f>i_G_var*M224</f>
        <v/>
      </c>
      <c r="N226" s="19">
        <f>i_G_var*N224</f>
        <v/>
      </c>
      <c r="O226" s="19">
        <f>i_G_var*O224</f>
        <v/>
      </c>
      <c r="P226" s="19">
        <f>i_G_var*P224</f>
        <v/>
      </c>
      <c r="Q226" s="19">
        <f>i_G_var*Q224</f>
        <v/>
      </c>
      <c r="R226" s="19">
        <f>i_G_var*R224</f>
        <v/>
      </c>
      <c r="S226" s="19">
        <f>i_G_var*S224</f>
        <v/>
      </c>
      <c r="T226" s="19">
        <f>i_G_var*T224</f>
        <v/>
      </c>
      <c r="U226" s="19">
        <f>i_G_var*U224</f>
        <v/>
      </c>
      <c r="V226" s="19">
        <f>i_G_var*V224</f>
        <v/>
      </c>
      <c r="W226" s="19">
        <f>i_G_var*W224</f>
        <v/>
      </c>
      <c r="X226" s="19">
        <f>i_G_var*X224</f>
        <v/>
      </c>
      <c r="Y226" s="19">
        <f>i_G_var*Y224</f>
        <v/>
      </c>
      <c r="Z226" s="19">
        <f>i_G_var*Z224</f>
        <v/>
      </c>
      <c r="AA226" s="19">
        <f>i_G_var*AA224</f>
        <v/>
      </c>
      <c r="AB226" s="19">
        <f>i_G_var*AB224</f>
        <v/>
      </c>
      <c r="AC226" s="19">
        <f>i_G_var*AC224</f>
        <v/>
      </c>
      <c r="AD226" s="19">
        <f>i_G_var*AD224</f>
        <v/>
      </c>
      <c r="AE226" s="19">
        <f>i_G_var*AE224</f>
        <v/>
      </c>
      <c r="AF226" s="19">
        <f>i_G_var*AF224</f>
        <v/>
      </c>
      <c r="AG226" s="19">
        <f>i_G_var*AG224</f>
        <v/>
      </c>
      <c r="AH226" s="19">
        <f>i_G_var*AH224</f>
        <v/>
      </c>
      <c r="AI226" s="19">
        <f>i_G_var*AI224</f>
        <v/>
      </c>
    </row>
    <row r="227">
      <c r="B227" s="2" t="inlineStr">
        <is>
          <t xml:space="preserve">  Extra windstorm insurance</t>
        </is>
      </c>
      <c r="D227" s="19">
        <f>IF(D$4&gt;0,Diligence!$C$158*i_g_ins*D165,0)</f>
        <v/>
      </c>
      <c r="E227" s="19">
        <f>IF(E$4&gt;0,Diligence!$C$158*i_g_ins*E165,0)</f>
        <v/>
      </c>
      <c r="F227" s="19">
        <f>IF(F$4&gt;0,Diligence!$C$158*i_g_ins*F165,0)</f>
        <v/>
      </c>
      <c r="G227" s="19">
        <f>IF(G$4&gt;0,Diligence!$C$158*i_g_ins*G165,0)</f>
        <v/>
      </c>
      <c r="H227" s="19">
        <f>IF(H$4&gt;0,Diligence!$C$158*i_g_ins*H165,0)</f>
        <v/>
      </c>
      <c r="I227" s="19">
        <f>IF(I$4&gt;0,Diligence!$C$158*i_g_ins*I165,0)</f>
        <v/>
      </c>
      <c r="J227" s="19">
        <f>IF(J$4&gt;0,Diligence!$C$158*i_g_ins*J165,0)</f>
        <v/>
      </c>
      <c r="K227" s="19">
        <f>IF(K$4&gt;0,Diligence!$C$158*i_g_ins*K165,0)</f>
        <v/>
      </c>
      <c r="L227" s="19">
        <f>IF(L$4&gt;0,Diligence!$C$158*i_g_ins*L165,0)</f>
        <v/>
      </c>
      <c r="M227" s="19">
        <f>IF(M$4&gt;0,Diligence!$C$158*i_g_ins*M165,0)</f>
        <v/>
      </c>
      <c r="N227" s="19">
        <f>IF(N$4&gt;0,Diligence!$C$158*i_g_ins*N165,0)</f>
        <v/>
      </c>
      <c r="O227" s="19">
        <f>IF(O$4&gt;0,Diligence!$C$158*i_g_ins*O165,0)</f>
        <v/>
      </c>
      <c r="P227" s="19">
        <f>IF(P$4&gt;0,Diligence!$C$158*i_g_ins*P165,0)</f>
        <v/>
      </c>
      <c r="Q227" s="19">
        <f>IF(Q$4&gt;0,Diligence!$C$158*i_g_ins*Q165,0)</f>
        <v/>
      </c>
      <c r="R227" s="19">
        <f>IF(R$4&gt;0,Diligence!$C$158*i_g_ins*R165,0)</f>
        <v/>
      </c>
      <c r="S227" s="19">
        <f>IF(S$4&gt;0,Diligence!$C$158*i_g_ins*S165,0)</f>
        <v/>
      </c>
      <c r="T227" s="19">
        <f>IF(T$4&gt;0,Diligence!$C$158*i_g_ins*T165,0)</f>
        <v/>
      </c>
      <c r="U227" s="19">
        <f>IF(U$4&gt;0,Diligence!$C$158*i_g_ins*U165,0)</f>
        <v/>
      </c>
      <c r="V227" s="19">
        <f>IF(V$4&gt;0,Diligence!$C$158*i_g_ins*V165,0)</f>
        <v/>
      </c>
      <c r="W227" s="19">
        <f>IF(W$4&gt;0,Diligence!$C$158*i_g_ins*W165,0)</f>
        <v/>
      </c>
      <c r="X227" s="19">
        <f>IF(X$4&gt;0,Diligence!$C$158*i_g_ins*X165,0)</f>
        <v/>
      </c>
      <c r="Y227" s="19">
        <f>IF(Y$4&gt;0,Diligence!$C$158*i_g_ins*Y165,0)</f>
        <v/>
      </c>
      <c r="Z227" s="19">
        <f>IF(Z$4&gt;0,Diligence!$C$158*i_g_ins*Z165,0)</f>
        <v/>
      </c>
      <c r="AA227" s="19">
        <f>IF(AA$4&gt;0,Diligence!$C$158*i_g_ins*AA165,0)</f>
        <v/>
      </c>
      <c r="AB227" s="19">
        <f>IF(AB$4&gt;0,Diligence!$C$158*i_g_ins*AB165,0)</f>
        <v/>
      </c>
      <c r="AC227" s="19">
        <f>IF(AC$4&gt;0,Diligence!$C$158*i_g_ins*AC165,0)</f>
        <v/>
      </c>
      <c r="AD227" s="19">
        <f>IF(AD$4&gt;0,Diligence!$C$158*i_g_ins*AD165,0)</f>
        <v/>
      </c>
      <c r="AE227" s="19">
        <f>IF(AE$4&gt;0,Diligence!$C$158*i_g_ins*AE165,0)</f>
        <v/>
      </c>
      <c r="AF227" s="19">
        <f>IF(AF$4&gt;0,Diligence!$C$158*i_g_ins*AF165,0)</f>
        <v/>
      </c>
      <c r="AG227" s="19">
        <f>IF(AG$4&gt;0,Diligence!$C$158*i_g_ins*AG165,0)</f>
        <v/>
      </c>
      <c r="AH227" s="19">
        <f>IF(AH$4&gt;0,Diligence!$C$158*i_g_ins*AH165,0)</f>
        <v/>
      </c>
      <c r="AI227" s="19">
        <f>IF(AI$4&gt;0,Diligence!$C$158*i_g_ins*AI165,0)</f>
        <v/>
      </c>
    </row>
    <row r="228">
      <c r="B228" s="2" t="inlineStr">
        <is>
          <t xml:space="preserve">  Operating cost</t>
        </is>
      </c>
      <c r="D228" s="19">
        <f>D225+D226+D227</f>
        <v/>
      </c>
      <c r="E228" s="19">
        <f>E225+E226+E227</f>
        <v/>
      </c>
      <c r="F228" s="19">
        <f>F225+F226+F227</f>
        <v/>
      </c>
      <c r="G228" s="19">
        <f>G225+G226+G227</f>
        <v/>
      </c>
      <c r="H228" s="19">
        <f>H225+H226+H227</f>
        <v/>
      </c>
      <c r="I228" s="19">
        <f>I225+I226+I227</f>
        <v/>
      </c>
      <c r="J228" s="19">
        <f>J225+J226+J227</f>
        <v/>
      </c>
      <c r="K228" s="19">
        <f>K225+K226+K227</f>
        <v/>
      </c>
      <c r="L228" s="19">
        <f>L225+L226+L227</f>
        <v/>
      </c>
      <c r="M228" s="19">
        <f>M225+M226+M227</f>
        <v/>
      </c>
      <c r="N228" s="19">
        <f>N225+N226+N227</f>
        <v/>
      </c>
      <c r="O228" s="19">
        <f>O225+O226+O227</f>
        <v/>
      </c>
      <c r="P228" s="19">
        <f>P225+P226+P227</f>
        <v/>
      </c>
      <c r="Q228" s="19">
        <f>Q225+Q226+Q227</f>
        <v/>
      </c>
      <c r="R228" s="19">
        <f>R225+R226+R227</f>
        <v/>
      </c>
      <c r="S228" s="19">
        <f>S225+S226+S227</f>
        <v/>
      </c>
      <c r="T228" s="19">
        <f>T225+T226+T227</f>
        <v/>
      </c>
      <c r="U228" s="19">
        <f>U225+U226+U227</f>
        <v/>
      </c>
      <c r="V228" s="19">
        <f>V225+V226+V227</f>
        <v/>
      </c>
      <c r="W228" s="19">
        <f>W225+W226+W227</f>
        <v/>
      </c>
      <c r="X228" s="19">
        <f>X225+X226+X227</f>
        <v/>
      </c>
      <c r="Y228" s="19">
        <f>Y225+Y226+Y227</f>
        <v/>
      </c>
      <c r="Z228" s="19">
        <f>Z225+Z226+Z227</f>
        <v/>
      </c>
      <c r="AA228" s="19">
        <f>AA225+AA226+AA227</f>
        <v/>
      </c>
      <c r="AB228" s="19">
        <f>AB225+AB226+AB227</f>
        <v/>
      </c>
      <c r="AC228" s="19">
        <f>AC225+AC226+AC227</f>
        <v/>
      </c>
      <c r="AD228" s="19">
        <f>AD225+AD226+AD227</f>
        <v/>
      </c>
      <c r="AE228" s="19">
        <f>AE225+AE226+AE227</f>
        <v/>
      </c>
      <c r="AF228" s="19">
        <f>AF225+AF226+AF227</f>
        <v/>
      </c>
      <c r="AG228" s="19">
        <f>AG225+AG226+AG227</f>
        <v/>
      </c>
      <c r="AH228" s="19">
        <f>AH225+AH226+AH227</f>
        <v/>
      </c>
      <c r="AI228" s="19">
        <f>AI225+AI226+AI227</f>
        <v/>
      </c>
    </row>
    <row r="229">
      <c r="B229" s="3" t="inlineStr">
        <is>
          <t xml:space="preserve">  EBITDA</t>
        </is>
      </c>
      <c r="D229" s="31">
        <f>D224-D228</f>
        <v/>
      </c>
      <c r="E229" s="31">
        <f>E224-E228</f>
        <v/>
      </c>
      <c r="F229" s="31">
        <f>F224-F228</f>
        <v/>
      </c>
      <c r="G229" s="31">
        <f>G224-G228</f>
        <v/>
      </c>
      <c r="H229" s="31">
        <f>H224-H228</f>
        <v/>
      </c>
      <c r="I229" s="31">
        <f>I224-I228</f>
        <v/>
      </c>
      <c r="J229" s="31">
        <f>J224-J228</f>
        <v/>
      </c>
      <c r="K229" s="31">
        <f>K224-K228</f>
        <v/>
      </c>
      <c r="L229" s="31">
        <f>L224-L228</f>
        <v/>
      </c>
      <c r="M229" s="31">
        <f>M224-M228</f>
        <v/>
      </c>
      <c r="N229" s="31">
        <f>N224-N228</f>
        <v/>
      </c>
      <c r="O229" s="31">
        <f>O224-O228</f>
        <v/>
      </c>
      <c r="P229" s="31">
        <f>P224-P228</f>
        <v/>
      </c>
      <c r="Q229" s="31">
        <f>Q224-Q228</f>
        <v/>
      </c>
      <c r="R229" s="31">
        <f>R224-R228</f>
        <v/>
      </c>
      <c r="S229" s="31">
        <f>S224-S228</f>
        <v/>
      </c>
      <c r="T229" s="31">
        <f>T224-T228</f>
        <v/>
      </c>
      <c r="U229" s="31">
        <f>U224-U228</f>
        <v/>
      </c>
      <c r="V229" s="31">
        <f>V224-V228</f>
        <v/>
      </c>
      <c r="W229" s="31">
        <f>W224-W228</f>
        <v/>
      </c>
      <c r="X229" s="31">
        <f>X224-X228</f>
        <v/>
      </c>
      <c r="Y229" s="31">
        <f>Y224-Y228</f>
        <v/>
      </c>
      <c r="Z229" s="31">
        <f>Z224-Z228</f>
        <v/>
      </c>
      <c r="AA229" s="31">
        <f>AA224-AA228</f>
        <v/>
      </c>
      <c r="AB229" s="31">
        <f>AB224-AB228</f>
        <v/>
      </c>
      <c r="AC229" s="31">
        <f>AC224-AC228</f>
        <v/>
      </c>
      <c r="AD229" s="31">
        <f>AD224-AD228</f>
        <v/>
      </c>
      <c r="AE229" s="31">
        <f>AE224-AE228</f>
        <v/>
      </c>
      <c r="AF229" s="31">
        <f>AF224-AF228</f>
        <v/>
      </c>
      <c r="AG229" s="31">
        <f>AG224-AG228</f>
        <v/>
      </c>
      <c r="AH229" s="31">
        <f>AH224-AH228</f>
        <v/>
      </c>
      <c r="AI229" s="31">
        <f>AI224-AI228</f>
        <v/>
      </c>
    </row>
    <row r="230">
      <c r="B230" s="2" t="inlineStr">
        <is>
          <t xml:space="preserve">  Maintenance capex</t>
        </is>
      </c>
      <c r="D230" s="19">
        <f>D216*i_G_mc*D165</f>
        <v/>
      </c>
      <c r="E230" s="19">
        <f>E216*i_G_mc*E165</f>
        <v/>
      </c>
      <c r="F230" s="19">
        <f>F216*i_G_mc*F165</f>
        <v/>
      </c>
      <c r="G230" s="19">
        <f>G216*i_G_mc*G165</f>
        <v/>
      </c>
      <c r="H230" s="19">
        <f>H216*i_G_mc*H165</f>
        <v/>
      </c>
      <c r="I230" s="19">
        <f>I216*i_G_mc*I165</f>
        <v/>
      </c>
      <c r="J230" s="19">
        <f>J216*i_G_mc*J165</f>
        <v/>
      </c>
      <c r="K230" s="19">
        <f>K216*i_G_mc*K165</f>
        <v/>
      </c>
      <c r="L230" s="19">
        <f>L216*i_G_mc*L165</f>
        <v/>
      </c>
      <c r="M230" s="19">
        <f>M216*i_G_mc*M165</f>
        <v/>
      </c>
      <c r="N230" s="19">
        <f>N216*i_G_mc*N165</f>
        <v/>
      </c>
      <c r="O230" s="19">
        <f>O216*i_G_mc*O165</f>
        <v/>
      </c>
      <c r="P230" s="19">
        <f>P216*i_G_mc*P165</f>
        <v/>
      </c>
      <c r="Q230" s="19">
        <f>Q216*i_G_mc*Q165</f>
        <v/>
      </c>
      <c r="R230" s="19">
        <f>R216*i_G_mc*R165</f>
        <v/>
      </c>
      <c r="S230" s="19">
        <f>S216*i_G_mc*S165</f>
        <v/>
      </c>
      <c r="T230" s="19">
        <f>T216*i_G_mc*T165</f>
        <v/>
      </c>
      <c r="U230" s="19">
        <f>U216*i_G_mc*U165</f>
        <v/>
      </c>
      <c r="V230" s="19">
        <f>V216*i_G_mc*V165</f>
        <v/>
      </c>
      <c r="W230" s="19">
        <f>W216*i_G_mc*W165</f>
        <v/>
      </c>
      <c r="X230" s="19">
        <f>X216*i_G_mc*X165</f>
        <v/>
      </c>
      <c r="Y230" s="19">
        <f>Y216*i_G_mc*Y165</f>
        <v/>
      </c>
      <c r="Z230" s="19">
        <f>Z216*i_G_mc*Z165</f>
        <v/>
      </c>
      <c r="AA230" s="19">
        <f>AA216*i_G_mc*AA165</f>
        <v/>
      </c>
      <c r="AB230" s="19">
        <f>AB216*i_G_mc*AB165</f>
        <v/>
      </c>
      <c r="AC230" s="19">
        <f>AC216*i_G_mc*AC165</f>
        <v/>
      </c>
      <c r="AD230" s="19">
        <f>AD216*i_G_mc*AD165</f>
        <v/>
      </c>
      <c r="AE230" s="19">
        <f>AE216*i_G_mc*AE165</f>
        <v/>
      </c>
      <c r="AF230" s="19">
        <f>AF216*i_G_mc*AF165</f>
        <v/>
      </c>
      <c r="AG230" s="19">
        <f>AG216*i_G_mc*AG165</f>
        <v/>
      </c>
      <c r="AH230" s="19">
        <f>AH216*i_G_mc*AH165</f>
        <v/>
      </c>
      <c r="AI230" s="19">
        <f>AI216*i_G_mc*AI165</f>
        <v/>
      </c>
    </row>
    <row r="231">
      <c r="B231" s="3" t="inlineStr">
        <is>
          <t>Sabine Bend expansion (renewable fuels)</t>
        </is>
      </c>
    </row>
    <row r="232">
      <c r="B232" s="2" t="inlineStr">
        <is>
          <t xml:space="preserve">  Growth capex</t>
        </is>
      </c>
      <c r="D232" s="19">
        <f>Diligence!$C$159*SUMIF(i_exp_capex_years,D$3,i_exp_capex_vals)*D165</f>
        <v/>
      </c>
      <c r="E232" s="19">
        <f>Diligence!$C$159*SUMIF(i_exp_capex_years,E$3,i_exp_capex_vals)*E165</f>
        <v/>
      </c>
      <c r="F232" s="19">
        <f>Diligence!$C$159*SUMIF(i_exp_capex_years,F$3,i_exp_capex_vals)*F165</f>
        <v/>
      </c>
      <c r="G232" s="19">
        <f>Diligence!$C$159*SUMIF(i_exp_capex_years,G$3,i_exp_capex_vals)*G165</f>
        <v/>
      </c>
      <c r="H232" s="19">
        <f>Diligence!$C$159*SUMIF(i_exp_capex_years,H$3,i_exp_capex_vals)*H165</f>
        <v/>
      </c>
      <c r="I232" s="19">
        <f>Diligence!$C$159*SUMIF(i_exp_capex_years,I$3,i_exp_capex_vals)*I165</f>
        <v/>
      </c>
      <c r="J232" s="19">
        <f>Diligence!$C$159*SUMIF(i_exp_capex_years,J$3,i_exp_capex_vals)*J165</f>
        <v/>
      </c>
      <c r="K232" s="19">
        <f>Diligence!$C$159*SUMIF(i_exp_capex_years,K$3,i_exp_capex_vals)*K165</f>
        <v/>
      </c>
      <c r="L232" s="19">
        <f>Diligence!$C$159*SUMIF(i_exp_capex_years,L$3,i_exp_capex_vals)*L165</f>
        <v/>
      </c>
      <c r="M232" s="19">
        <f>Diligence!$C$159*SUMIF(i_exp_capex_years,M$3,i_exp_capex_vals)*M165</f>
        <v/>
      </c>
      <c r="N232" s="19">
        <f>Diligence!$C$159*SUMIF(i_exp_capex_years,N$3,i_exp_capex_vals)*N165</f>
        <v/>
      </c>
      <c r="O232" s="19">
        <f>Diligence!$C$159*SUMIF(i_exp_capex_years,O$3,i_exp_capex_vals)*O165</f>
        <v/>
      </c>
      <c r="P232" s="19">
        <f>Diligence!$C$159*SUMIF(i_exp_capex_years,P$3,i_exp_capex_vals)*P165</f>
        <v/>
      </c>
      <c r="Q232" s="19">
        <f>Diligence!$C$159*SUMIF(i_exp_capex_years,Q$3,i_exp_capex_vals)*Q165</f>
        <v/>
      </c>
      <c r="R232" s="19">
        <f>Diligence!$C$159*SUMIF(i_exp_capex_years,R$3,i_exp_capex_vals)*R165</f>
        <v/>
      </c>
      <c r="S232" s="19">
        <f>Diligence!$C$159*SUMIF(i_exp_capex_years,S$3,i_exp_capex_vals)*S165</f>
        <v/>
      </c>
      <c r="T232" s="19">
        <f>Diligence!$C$159*SUMIF(i_exp_capex_years,T$3,i_exp_capex_vals)*T165</f>
        <v/>
      </c>
      <c r="U232" s="19">
        <f>Diligence!$C$159*SUMIF(i_exp_capex_years,U$3,i_exp_capex_vals)*U165</f>
        <v/>
      </c>
      <c r="V232" s="19">
        <f>Diligence!$C$159*SUMIF(i_exp_capex_years,V$3,i_exp_capex_vals)*V165</f>
        <v/>
      </c>
      <c r="W232" s="19">
        <f>Diligence!$C$159*SUMIF(i_exp_capex_years,W$3,i_exp_capex_vals)*W165</f>
        <v/>
      </c>
      <c r="X232" s="19">
        <f>Diligence!$C$159*SUMIF(i_exp_capex_years,X$3,i_exp_capex_vals)*X165</f>
        <v/>
      </c>
      <c r="Y232" s="19">
        <f>Diligence!$C$159*SUMIF(i_exp_capex_years,Y$3,i_exp_capex_vals)*Y165</f>
        <v/>
      </c>
      <c r="Z232" s="19">
        <f>Diligence!$C$159*SUMIF(i_exp_capex_years,Z$3,i_exp_capex_vals)*Z165</f>
        <v/>
      </c>
      <c r="AA232" s="19">
        <f>Diligence!$C$159*SUMIF(i_exp_capex_years,AA$3,i_exp_capex_vals)*AA165</f>
        <v/>
      </c>
      <c r="AB232" s="19">
        <f>Diligence!$C$159*SUMIF(i_exp_capex_years,AB$3,i_exp_capex_vals)*AB165</f>
        <v/>
      </c>
      <c r="AC232" s="19">
        <f>Diligence!$C$159*SUMIF(i_exp_capex_years,AC$3,i_exp_capex_vals)*AC165</f>
        <v/>
      </c>
      <c r="AD232" s="19">
        <f>Diligence!$C$159*SUMIF(i_exp_capex_years,AD$3,i_exp_capex_vals)*AD165</f>
        <v/>
      </c>
      <c r="AE232" s="19">
        <f>Diligence!$C$159*SUMIF(i_exp_capex_years,AE$3,i_exp_capex_vals)*AE165</f>
        <v/>
      </c>
      <c r="AF232" s="19">
        <f>Diligence!$C$159*SUMIF(i_exp_capex_years,AF$3,i_exp_capex_vals)*AF165</f>
        <v/>
      </c>
      <c r="AG232" s="19">
        <f>Diligence!$C$159*SUMIF(i_exp_capex_years,AG$3,i_exp_capex_vals)*AG165</f>
        <v/>
      </c>
      <c r="AH232" s="19">
        <f>Diligence!$C$159*SUMIF(i_exp_capex_years,AH$3,i_exp_capex_vals)*AH165</f>
        <v/>
      </c>
      <c r="AI232" s="19">
        <f>Diligence!$C$159*SUMIF(i_exp_capex_years,AI$3,i_exp_capex_vals)*AI165</f>
        <v/>
      </c>
    </row>
    <row r="233">
      <c r="B233" s="2" t="inlineStr">
        <is>
          <t xml:space="preserve">  Operating (1/0)</t>
        </is>
      </c>
      <c r="D233" s="22">
        <f>IF(D$3&gt;=i_exp_start,Diligence!$C$159,0)</f>
        <v/>
      </c>
      <c r="E233" s="22">
        <f>IF(E$3&gt;=i_exp_start,Diligence!$C$159,0)</f>
        <v/>
      </c>
      <c r="F233" s="22">
        <f>IF(F$3&gt;=i_exp_start,Diligence!$C$159,0)</f>
        <v/>
      </c>
      <c r="G233" s="22">
        <f>IF(G$3&gt;=i_exp_start,Diligence!$C$159,0)</f>
        <v/>
      </c>
      <c r="H233" s="22">
        <f>IF(H$3&gt;=i_exp_start,Diligence!$C$159,0)</f>
        <v/>
      </c>
      <c r="I233" s="22">
        <f>IF(I$3&gt;=i_exp_start,Diligence!$C$159,0)</f>
        <v/>
      </c>
      <c r="J233" s="22">
        <f>IF(J$3&gt;=i_exp_start,Diligence!$C$159,0)</f>
        <v/>
      </c>
      <c r="K233" s="22">
        <f>IF(K$3&gt;=i_exp_start,Diligence!$C$159,0)</f>
        <v/>
      </c>
      <c r="L233" s="22">
        <f>IF(L$3&gt;=i_exp_start,Diligence!$C$159,0)</f>
        <v/>
      </c>
      <c r="M233" s="22">
        <f>IF(M$3&gt;=i_exp_start,Diligence!$C$159,0)</f>
        <v/>
      </c>
      <c r="N233" s="22">
        <f>IF(N$3&gt;=i_exp_start,Diligence!$C$159,0)</f>
        <v/>
      </c>
      <c r="O233" s="22">
        <f>IF(O$3&gt;=i_exp_start,Diligence!$C$159,0)</f>
        <v/>
      </c>
      <c r="P233" s="22">
        <f>IF(P$3&gt;=i_exp_start,Diligence!$C$159,0)</f>
        <v/>
      </c>
      <c r="Q233" s="22">
        <f>IF(Q$3&gt;=i_exp_start,Diligence!$C$159,0)</f>
        <v/>
      </c>
      <c r="R233" s="22">
        <f>IF(R$3&gt;=i_exp_start,Diligence!$C$159,0)</f>
        <v/>
      </c>
      <c r="S233" s="22">
        <f>IF(S$3&gt;=i_exp_start,Diligence!$C$159,0)</f>
        <v/>
      </c>
      <c r="T233" s="22">
        <f>IF(T$3&gt;=i_exp_start,Diligence!$C$159,0)</f>
        <v/>
      </c>
      <c r="U233" s="22">
        <f>IF(U$3&gt;=i_exp_start,Diligence!$C$159,0)</f>
        <v/>
      </c>
      <c r="V233" s="22">
        <f>IF(V$3&gt;=i_exp_start,Diligence!$C$159,0)</f>
        <v/>
      </c>
      <c r="W233" s="22">
        <f>IF(W$3&gt;=i_exp_start,Diligence!$C$159,0)</f>
        <v/>
      </c>
      <c r="X233" s="22">
        <f>IF(X$3&gt;=i_exp_start,Diligence!$C$159,0)</f>
        <v/>
      </c>
      <c r="Y233" s="22">
        <f>IF(Y$3&gt;=i_exp_start,Diligence!$C$159,0)</f>
        <v/>
      </c>
      <c r="Z233" s="22">
        <f>IF(Z$3&gt;=i_exp_start,Diligence!$C$159,0)</f>
        <v/>
      </c>
      <c r="AA233" s="22">
        <f>IF(AA$3&gt;=i_exp_start,Diligence!$C$159,0)</f>
        <v/>
      </c>
      <c r="AB233" s="22">
        <f>IF(AB$3&gt;=i_exp_start,Diligence!$C$159,0)</f>
        <v/>
      </c>
      <c r="AC233" s="22">
        <f>IF(AC$3&gt;=i_exp_start,Diligence!$C$159,0)</f>
        <v/>
      </c>
      <c r="AD233" s="22">
        <f>IF(AD$3&gt;=i_exp_start,Diligence!$C$159,0)</f>
        <v/>
      </c>
      <c r="AE233" s="22">
        <f>IF(AE$3&gt;=i_exp_start,Diligence!$C$159,0)</f>
        <v/>
      </c>
      <c r="AF233" s="22">
        <f>IF(AF$3&gt;=i_exp_start,Diligence!$C$159,0)</f>
        <v/>
      </c>
      <c r="AG233" s="22">
        <f>IF(AG$3&gt;=i_exp_start,Diligence!$C$159,0)</f>
        <v/>
      </c>
      <c r="AH233" s="22">
        <f>IF(AH$3&gt;=i_exp_start,Diligence!$C$159,0)</f>
        <v/>
      </c>
      <c r="AI233" s="22">
        <f>IF(AI$3&gt;=i_exp_start,Diligence!$C$159,0)</f>
        <v/>
      </c>
    </row>
    <row r="234">
      <c r="B234" s="2" t="inlineStr">
        <is>
          <t xml:space="preserve">  Under the anchor contract (1/0)</t>
        </is>
      </c>
      <c r="D234" s="22">
        <f>IF(D$3&lt;i_exp_start+i_exp_years,1,0)</f>
        <v/>
      </c>
      <c r="E234" s="22">
        <f>IF(E$3&lt;i_exp_start+i_exp_years,1,0)</f>
        <v/>
      </c>
      <c r="F234" s="22">
        <f>IF(F$3&lt;i_exp_start+i_exp_years,1,0)</f>
        <v/>
      </c>
      <c r="G234" s="22">
        <f>IF(G$3&lt;i_exp_start+i_exp_years,1,0)</f>
        <v/>
      </c>
      <c r="H234" s="22">
        <f>IF(H$3&lt;i_exp_start+i_exp_years,1,0)</f>
        <v/>
      </c>
      <c r="I234" s="22">
        <f>IF(I$3&lt;i_exp_start+i_exp_years,1,0)</f>
        <v/>
      </c>
      <c r="J234" s="22">
        <f>IF(J$3&lt;i_exp_start+i_exp_years,1,0)</f>
        <v/>
      </c>
      <c r="K234" s="22">
        <f>IF(K$3&lt;i_exp_start+i_exp_years,1,0)</f>
        <v/>
      </c>
      <c r="L234" s="22">
        <f>IF(L$3&lt;i_exp_start+i_exp_years,1,0)</f>
        <v/>
      </c>
      <c r="M234" s="22">
        <f>IF(M$3&lt;i_exp_start+i_exp_years,1,0)</f>
        <v/>
      </c>
      <c r="N234" s="22">
        <f>IF(N$3&lt;i_exp_start+i_exp_years,1,0)</f>
        <v/>
      </c>
      <c r="O234" s="22">
        <f>IF(O$3&lt;i_exp_start+i_exp_years,1,0)</f>
        <v/>
      </c>
      <c r="P234" s="22">
        <f>IF(P$3&lt;i_exp_start+i_exp_years,1,0)</f>
        <v/>
      </c>
      <c r="Q234" s="22">
        <f>IF(Q$3&lt;i_exp_start+i_exp_years,1,0)</f>
        <v/>
      </c>
      <c r="R234" s="22">
        <f>IF(R$3&lt;i_exp_start+i_exp_years,1,0)</f>
        <v/>
      </c>
      <c r="S234" s="22">
        <f>IF(S$3&lt;i_exp_start+i_exp_years,1,0)</f>
        <v/>
      </c>
      <c r="T234" s="22">
        <f>IF(T$3&lt;i_exp_start+i_exp_years,1,0)</f>
        <v/>
      </c>
      <c r="U234" s="22">
        <f>IF(U$3&lt;i_exp_start+i_exp_years,1,0)</f>
        <v/>
      </c>
      <c r="V234" s="22">
        <f>IF(V$3&lt;i_exp_start+i_exp_years,1,0)</f>
        <v/>
      </c>
      <c r="W234" s="22">
        <f>IF(W$3&lt;i_exp_start+i_exp_years,1,0)</f>
        <v/>
      </c>
      <c r="X234" s="22">
        <f>IF(X$3&lt;i_exp_start+i_exp_years,1,0)</f>
        <v/>
      </c>
      <c r="Y234" s="22">
        <f>IF(Y$3&lt;i_exp_start+i_exp_years,1,0)</f>
        <v/>
      </c>
      <c r="Z234" s="22">
        <f>IF(Z$3&lt;i_exp_start+i_exp_years,1,0)</f>
        <v/>
      </c>
      <c r="AA234" s="22">
        <f>IF(AA$3&lt;i_exp_start+i_exp_years,1,0)</f>
        <v/>
      </c>
      <c r="AB234" s="22">
        <f>IF(AB$3&lt;i_exp_start+i_exp_years,1,0)</f>
        <v/>
      </c>
      <c r="AC234" s="22">
        <f>IF(AC$3&lt;i_exp_start+i_exp_years,1,0)</f>
        <v/>
      </c>
      <c r="AD234" s="22">
        <f>IF(AD$3&lt;i_exp_start+i_exp_years,1,0)</f>
        <v/>
      </c>
      <c r="AE234" s="22">
        <f>IF(AE$3&lt;i_exp_start+i_exp_years,1,0)</f>
        <v/>
      </c>
      <c r="AF234" s="22">
        <f>IF(AF$3&lt;i_exp_start+i_exp_years,1,0)</f>
        <v/>
      </c>
      <c r="AG234" s="22">
        <f>IF(AG$3&lt;i_exp_start+i_exp_years,1,0)</f>
        <v/>
      </c>
      <c r="AH234" s="22">
        <f>IF(AH$3&lt;i_exp_start+i_exp_years,1,0)</f>
        <v/>
      </c>
      <c r="AI234" s="22">
        <f>IF(AI$3&lt;i_exp_start+i_exp_years,1,0)</f>
        <v/>
      </c>
    </row>
    <row r="235">
      <c r="B235" s="2" t="inlineStr">
        <is>
          <t xml:space="preserve">  Rate ($ per m3 per month)</t>
        </is>
      </c>
      <c r="D235" s="24">
        <f>i_exp_rate*D166*IF(D234=1,1,1+i_exp_mtm)</f>
        <v/>
      </c>
      <c r="E235" s="24">
        <f>i_exp_rate*E166*IF(E234=1,1,1+i_exp_mtm)</f>
        <v/>
      </c>
      <c r="F235" s="24">
        <f>i_exp_rate*F166*IF(F234=1,1,1+i_exp_mtm)</f>
        <v/>
      </c>
      <c r="G235" s="24">
        <f>i_exp_rate*G166*IF(G234=1,1,1+i_exp_mtm)</f>
        <v/>
      </c>
      <c r="H235" s="24">
        <f>i_exp_rate*H166*IF(H234=1,1,1+i_exp_mtm)</f>
        <v/>
      </c>
      <c r="I235" s="24">
        <f>i_exp_rate*I166*IF(I234=1,1,1+i_exp_mtm)</f>
        <v/>
      </c>
      <c r="J235" s="24">
        <f>i_exp_rate*J166*IF(J234=1,1,1+i_exp_mtm)</f>
        <v/>
      </c>
      <c r="K235" s="24">
        <f>i_exp_rate*K166*IF(K234=1,1,1+i_exp_mtm)</f>
        <v/>
      </c>
      <c r="L235" s="24">
        <f>i_exp_rate*L166*IF(L234=1,1,1+i_exp_mtm)</f>
        <v/>
      </c>
      <c r="M235" s="24">
        <f>i_exp_rate*M166*IF(M234=1,1,1+i_exp_mtm)</f>
        <v/>
      </c>
      <c r="N235" s="24">
        <f>i_exp_rate*N166*IF(N234=1,1,1+i_exp_mtm)</f>
        <v/>
      </c>
      <c r="O235" s="24">
        <f>i_exp_rate*O166*IF(O234=1,1,1+i_exp_mtm)</f>
        <v/>
      </c>
      <c r="P235" s="24">
        <f>i_exp_rate*P166*IF(P234=1,1,1+i_exp_mtm)</f>
        <v/>
      </c>
      <c r="Q235" s="24">
        <f>i_exp_rate*Q166*IF(Q234=1,1,1+i_exp_mtm)</f>
        <v/>
      </c>
      <c r="R235" s="24">
        <f>i_exp_rate*R166*IF(R234=1,1,1+i_exp_mtm)</f>
        <v/>
      </c>
      <c r="S235" s="24">
        <f>i_exp_rate*S166*IF(S234=1,1,1+i_exp_mtm)</f>
        <v/>
      </c>
      <c r="T235" s="24">
        <f>i_exp_rate*T166*IF(T234=1,1,1+i_exp_mtm)</f>
        <v/>
      </c>
      <c r="U235" s="24">
        <f>i_exp_rate*U166*IF(U234=1,1,1+i_exp_mtm)</f>
        <v/>
      </c>
      <c r="V235" s="24">
        <f>i_exp_rate*V166*IF(V234=1,1,1+i_exp_mtm)</f>
        <v/>
      </c>
      <c r="W235" s="24">
        <f>i_exp_rate*W166*IF(W234=1,1,1+i_exp_mtm)</f>
        <v/>
      </c>
      <c r="X235" s="24">
        <f>i_exp_rate*X166*IF(X234=1,1,1+i_exp_mtm)</f>
        <v/>
      </c>
      <c r="Y235" s="24">
        <f>i_exp_rate*Y166*IF(Y234=1,1,1+i_exp_mtm)</f>
        <v/>
      </c>
      <c r="Z235" s="24">
        <f>i_exp_rate*Z166*IF(Z234=1,1,1+i_exp_mtm)</f>
        <v/>
      </c>
      <c r="AA235" s="24">
        <f>i_exp_rate*AA166*IF(AA234=1,1,1+i_exp_mtm)</f>
        <v/>
      </c>
      <c r="AB235" s="24">
        <f>i_exp_rate*AB166*IF(AB234=1,1,1+i_exp_mtm)</f>
        <v/>
      </c>
      <c r="AC235" s="24">
        <f>i_exp_rate*AC166*IF(AC234=1,1,1+i_exp_mtm)</f>
        <v/>
      </c>
      <c r="AD235" s="24">
        <f>i_exp_rate*AD166*IF(AD234=1,1,1+i_exp_mtm)</f>
        <v/>
      </c>
      <c r="AE235" s="24">
        <f>i_exp_rate*AE166*IF(AE234=1,1,1+i_exp_mtm)</f>
        <v/>
      </c>
      <c r="AF235" s="24">
        <f>i_exp_rate*AF166*IF(AF234=1,1,1+i_exp_mtm)</f>
        <v/>
      </c>
      <c r="AG235" s="24">
        <f>i_exp_rate*AG166*IF(AG234=1,1,1+i_exp_mtm)</f>
        <v/>
      </c>
      <c r="AH235" s="24">
        <f>i_exp_rate*AH166*IF(AH234=1,1,1+i_exp_mtm)</f>
        <v/>
      </c>
      <c r="AI235" s="24">
        <f>i_exp_rate*AI166*IF(AI234=1,1,1+i_exp_mtm)</f>
        <v/>
      </c>
    </row>
    <row r="236">
      <c r="B236" s="2" t="inlineStr">
        <is>
          <t xml:space="preserve">  Occupancy</t>
        </is>
      </c>
      <c r="D236" s="21">
        <f>IF(D234=1,i_exp_occ_c,i_exp_occ_m)</f>
        <v/>
      </c>
      <c r="E236" s="21">
        <f>IF(E234=1,i_exp_occ_c,i_exp_occ_m)</f>
        <v/>
      </c>
      <c r="F236" s="21">
        <f>IF(F234=1,i_exp_occ_c,i_exp_occ_m)</f>
        <v/>
      </c>
      <c r="G236" s="21">
        <f>IF(G234=1,i_exp_occ_c,i_exp_occ_m)</f>
        <v/>
      </c>
      <c r="H236" s="21">
        <f>IF(H234=1,i_exp_occ_c,i_exp_occ_m)</f>
        <v/>
      </c>
      <c r="I236" s="21">
        <f>IF(I234=1,i_exp_occ_c,i_exp_occ_m)</f>
        <v/>
      </c>
      <c r="J236" s="21">
        <f>IF(J234=1,i_exp_occ_c,i_exp_occ_m)</f>
        <v/>
      </c>
      <c r="K236" s="21">
        <f>IF(K234=1,i_exp_occ_c,i_exp_occ_m)</f>
        <v/>
      </c>
      <c r="L236" s="21">
        <f>IF(L234=1,i_exp_occ_c,i_exp_occ_m)</f>
        <v/>
      </c>
      <c r="M236" s="21">
        <f>IF(M234=1,i_exp_occ_c,i_exp_occ_m)</f>
        <v/>
      </c>
      <c r="N236" s="21">
        <f>IF(N234=1,i_exp_occ_c,i_exp_occ_m)</f>
        <v/>
      </c>
      <c r="O236" s="21">
        <f>IF(O234=1,i_exp_occ_c,i_exp_occ_m)</f>
        <v/>
      </c>
      <c r="P236" s="21">
        <f>IF(P234=1,i_exp_occ_c,i_exp_occ_m)</f>
        <v/>
      </c>
      <c r="Q236" s="21">
        <f>IF(Q234=1,i_exp_occ_c,i_exp_occ_m)</f>
        <v/>
      </c>
      <c r="R236" s="21">
        <f>IF(R234=1,i_exp_occ_c,i_exp_occ_m)</f>
        <v/>
      </c>
      <c r="S236" s="21">
        <f>IF(S234=1,i_exp_occ_c,i_exp_occ_m)</f>
        <v/>
      </c>
      <c r="T236" s="21">
        <f>IF(T234=1,i_exp_occ_c,i_exp_occ_m)</f>
        <v/>
      </c>
      <c r="U236" s="21">
        <f>IF(U234=1,i_exp_occ_c,i_exp_occ_m)</f>
        <v/>
      </c>
      <c r="V236" s="21">
        <f>IF(V234=1,i_exp_occ_c,i_exp_occ_m)</f>
        <v/>
      </c>
      <c r="W236" s="21">
        <f>IF(W234=1,i_exp_occ_c,i_exp_occ_m)</f>
        <v/>
      </c>
      <c r="X236" s="21">
        <f>IF(X234=1,i_exp_occ_c,i_exp_occ_m)</f>
        <v/>
      </c>
      <c r="Y236" s="21">
        <f>IF(Y234=1,i_exp_occ_c,i_exp_occ_m)</f>
        <v/>
      </c>
      <c r="Z236" s="21">
        <f>IF(Z234=1,i_exp_occ_c,i_exp_occ_m)</f>
        <v/>
      </c>
      <c r="AA236" s="21">
        <f>IF(AA234=1,i_exp_occ_c,i_exp_occ_m)</f>
        <v/>
      </c>
      <c r="AB236" s="21">
        <f>IF(AB234=1,i_exp_occ_c,i_exp_occ_m)</f>
        <v/>
      </c>
      <c r="AC236" s="21">
        <f>IF(AC234=1,i_exp_occ_c,i_exp_occ_m)</f>
        <v/>
      </c>
      <c r="AD236" s="21">
        <f>IF(AD234=1,i_exp_occ_c,i_exp_occ_m)</f>
        <v/>
      </c>
      <c r="AE236" s="21">
        <f>IF(AE234=1,i_exp_occ_c,i_exp_occ_m)</f>
        <v/>
      </c>
      <c r="AF236" s="21">
        <f>IF(AF234=1,i_exp_occ_c,i_exp_occ_m)</f>
        <v/>
      </c>
      <c r="AG236" s="21">
        <f>IF(AG234=1,i_exp_occ_c,i_exp_occ_m)</f>
        <v/>
      </c>
      <c r="AH236" s="21">
        <f>IF(AH234=1,i_exp_occ_c,i_exp_occ_m)</f>
        <v/>
      </c>
      <c r="AI236" s="21">
        <f>IF(AI234=1,i_exp_occ_c,i_exp_occ_m)</f>
        <v/>
      </c>
    </row>
    <row r="237">
      <c r="B237" s="2" t="inlineStr">
        <is>
          <t xml:space="preserve">  Storage revenue</t>
        </is>
      </c>
      <c r="D237" s="19">
        <f>D233*i_exp_cap*D235*12*D236</f>
        <v/>
      </c>
      <c r="E237" s="19">
        <f>E233*i_exp_cap*E235*12*E236</f>
        <v/>
      </c>
      <c r="F237" s="19">
        <f>F233*i_exp_cap*F235*12*F236</f>
        <v/>
      </c>
      <c r="G237" s="19">
        <f>G233*i_exp_cap*G235*12*G236</f>
        <v/>
      </c>
      <c r="H237" s="19">
        <f>H233*i_exp_cap*H235*12*H236</f>
        <v/>
      </c>
      <c r="I237" s="19">
        <f>I233*i_exp_cap*I235*12*I236</f>
        <v/>
      </c>
      <c r="J237" s="19">
        <f>J233*i_exp_cap*J235*12*J236</f>
        <v/>
      </c>
      <c r="K237" s="19">
        <f>K233*i_exp_cap*K235*12*K236</f>
        <v/>
      </c>
      <c r="L237" s="19">
        <f>L233*i_exp_cap*L235*12*L236</f>
        <v/>
      </c>
      <c r="M237" s="19">
        <f>M233*i_exp_cap*M235*12*M236</f>
        <v/>
      </c>
      <c r="N237" s="19">
        <f>N233*i_exp_cap*N235*12*N236</f>
        <v/>
      </c>
      <c r="O237" s="19">
        <f>O233*i_exp_cap*O235*12*O236</f>
        <v/>
      </c>
      <c r="P237" s="19">
        <f>P233*i_exp_cap*P235*12*P236</f>
        <v/>
      </c>
      <c r="Q237" s="19">
        <f>Q233*i_exp_cap*Q235*12*Q236</f>
        <v/>
      </c>
      <c r="R237" s="19">
        <f>R233*i_exp_cap*R235*12*R236</f>
        <v/>
      </c>
      <c r="S237" s="19">
        <f>S233*i_exp_cap*S235*12*S236</f>
        <v/>
      </c>
      <c r="T237" s="19">
        <f>T233*i_exp_cap*T235*12*T236</f>
        <v/>
      </c>
      <c r="U237" s="19">
        <f>U233*i_exp_cap*U235*12*U236</f>
        <v/>
      </c>
      <c r="V237" s="19">
        <f>V233*i_exp_cap*V235*12*V236</f>
        <v/>
      </c>
      <c r="W237" s="19">
        <f>W233*i_exp_cap*W235*12*W236</f>
        <v/>
      </c>
      <c r="X237" s="19">
        <f>X233*i_exp_cap*X235*12*X236</f>
        <v/>
      </c>
      <c r="Y237" s="19">
        <f>Y233*i_exp_cap*Y235*12*Y236</f>
        <v/>
      </c>
      <c r="Z237" s="19">
        <f>Z233*i_exp_cap*Z235*12*Z236</f>
        <v/>
      </c>
      <c r="AA237" s="19">
        <f>AA233*i_exp_cap*AA235*12*AA236</f>
        <v/>
      </c>
      <c r="AB237" s="19">
        <f>AB233*i_exp_cap*AB235*12*AB236</f>
        <v/>
      </c>
      <c r="AC237" s="19">
        <f>AC233*i_exp_cap*AC235*12*AC236</f>
        <v/>
      </c>
      <c r="AD237" s="19">
        <f>AD233*i_exp_cap*AD235*12*AD236</f>
        <v/>
      </c>
      <c r="AE237" s="19">
        <f>AE233*i_exp_cap*AE235*12*AE236</f>
        <v/>
      </c>
      <c r="AF237" s="19">
        <f>AF233*i_exp_cap*AF235*12*AF236</f>
        <v/>
      </c>
      <c r="AG237" s="19">
        <f>AG233*i_exp_cap*AG235*12*AG236</f>
        <v/>
      </c>
      <c r="AH237" s="19">
        <f>AH233*i_exp_cap*AH235*12*AH236</f>
        <v/>
      </c>
      <c r="AI237" s="19">
        <f>AI233*i_exp_cap*AI235*12*AI236</f>
        <v/>
      </c>
    </row>
    <row r="238">
      <c r="B238" s="3" t="inlineStr">
        <is>
          <t xml:space="preserve">  Revenue</t>
        </is>
      </c>
      <c r="D238" s="31">
        <f>D237*(1+i_exp_anc)</f>
        <v/>
      </c>
      <c r="E238" s="31">
        <f>E237*(1+i_exp_anc)</f>
        <v/>
      </c>
      <c r="F238" s="31">
        <f>F237*(1+i_exp_anc)</f>
        <v/>
      </c>
      <c r="G238" s="31">
        <f>G237*(1+i_exp_anc)</f>
        <v/>
      </c>
      <c r="H238" s="31">
        <f>H237*(1+i_exp_anc)</f>
        <v/>
      </c>
      <c r="I238" s="31">
        <f>I237*(1+i_exp_anc)</f>
        <v/>
      </c>
      <c r="J238" s="31">
        <f>J237*(1+i_exp_anc)</f>
        <v/>
      </c>
      <c r="K238" s="31">
        <f>K237*(1+i_exp_anc)</f>
        <v/>
      </c>
      <c r="L238" s="31">
        <f>L237*(1+i_exp_anc)</f>
        <v/>
      </c>
      <c r="M238" s="31">
        <f>M237*(1+i_exp_anc)</f>
        <v/>
      </c>
      <c r="N238" s="31">
        <f>N237*(1+i_exp_anc)</f>
        <v/>
      </c>
      <c r="O238" s="31">
        <f>O237*(1+i_exp_anc)</f>
        <v/>
      </c>
      <c r="P238" s="31">
        <f>P237*(1+i_exp_anc)</f>
        <v/>
      </c>
      <c r="Q238" s="31">
        <f>Q237*(1+i_exp_anc)</f>
        <v/>
      </c>
      <c r="R238" s="31">
        <f>R237*(1+i_exp_anc)</f>
        <v/>
      </c>
      <c r="S238" s="31">
        <f>S237*(1+i_exp_anc)</f>
        <v/>
      </c>
      <c r="T238" s="31">
        <f>T237*(1+i_exp_anc)</f>
        <v/>
      </c>
      <c r="U238" s="31">
        <f>U237*(1+i_exp_anc)</f>
        <v/>
      </c>
      <c r="V238" s="31">
        <f>V237*(1+i_exp_anc)</f>
        <v/>
      </c>
      <c r="W238" s="31">
        <f>W237*(1+i_exp_anc)</f>
        <v/>
      </c>
      <c r="X238" s="31">
        <f>X237*(1+i_exp_anc)</f>
        <v/>
      </c>
      <c r="Y238" s="31">
        <f>Y237*(1+i_exp_anc)</f>
        <v/>
      </c>
      <c r="Z238" s="31">
        <f>Z237*(1+i_exp_anc)</f>
        <v/>
      </c>
      <c r="AA238" s="31">
        <f>AA237*(1+i_exp_anc)</f>
        <v/>
      </c>
      <c r="AB238" s="31">
        <f>AB237*(1+i_exp_anc)</f>
        <v/>
      </c>
      <c r="AC238" s="31">
        <f>AC237*(1+i_exp_anc)</f>
        <v/>
      </c>
      <c r="AD238" s="31">
        <f>AD237*(1+i_exp_anc)</f>
        <v/>
      </c>
      <c r="AE238" s="31">
        <f>AE237*(1+i_exp_anc)</f>
        <v/>
      </c>
      <c r="AF238" s="31">
        <f>AF237*(1+i_exp_anc)</f>
        <v/>
      </c>
      <c r="AG238" s="31">
        <f>AG237*(1+i_exp_anc)</f>
        <v/>
      </c>
      <c r="AH238" s="31">
        <f>AH237*(1+i_exp_anc)</f>
        <v/>
      </c>
      <c r="AI238" s="31">
        <f>AI237*(1+i_exp_anc)</f>
        <v/>
      </c>
    </row>
    <row r="239">
      <c r="B239" s="2" t="inlineStr">
        <is>
          <t xml:space="preserve">  Operating cost</t>
        </is>
      </c>
      <c r="D239" s="19">
        <f>D233*i_exp_fix*i_exp_cap*D165+i_exp_var*D238</f>
        <v/>
      </c>
      <c r="E239" s="19">
        <f>E233*i_exp_fix*i_exp_cap*E165+i_exp_var*E238</f>
        <v/>
      </c>
      <c r="F239" s="19">
        <f>F233*i_exp_fix*i_exp_cap*F165+i_exp_var*F238</f>
        <v/>
      </c>
      <c r="G239" s="19">
        <f>G233*i_exp_fix*i_exp_cap*G165+i_exp_var*G238</f>
        <v/>
      </c>
      <c r="H239" s="19">
        <f>H233*i_exp_fix*i_exp_cap*H165+i_exp_var*H238</f>
        <v/>
      </c>
      <c r="I239" s="19">
        <f>I233*i_exp_fix*i_exp_cap*I165+i_exp_var*I238</f>
        <v/>
      </c>
      <c r="J239" s="19">
        <f>J233*i_exp_fix*i_exp_cap*J165+i_exp_var*J238</f>
        <v/>
      </c>
      <c r="K239" s="19">
        <f>K233*i_exp_fix*i_exp_cap*K165+i_exp_var*K238</f>
        <v/>
      </c>
      <c r="L239" s="19">
        <f>L233*i_exp_fix*i_exp_cap*L165+i_exp_var*L238</f>
        <v/>
      </c>
      <c r="M239" s="19">
        <f>M233*i_exp_fix*i_exp_cap*M165+i_exp_var*M238</f>
        <v/>
      </c>
      <c r="N239" s="19">
        <f>N233*i_exp_fix*i_exp_cap*N165+i_exp_var*N238</f>
        <v/>
      </c>
      <c r="O239" s="19">
        <f>O233*i_exp_fix*i_exp_cap*O165+i_exp_var*O238</f>
        <v/>
      </c>
      <c r="P239" s="19">
        <f>P233*i_exp_fix*i_exp_cap*P165+i_exp_var*P238</f>
        <v/>
      </c>
      <c r="Q239" s="19">
        <f>Q233*i_exp_fix*i_exp_cap*Q165+i_exp_var*Q238</f>
        <v/>
      </c>
      <c r="R239" s="19">
        <f>R233*i_exp_fix*i_exp_cap*R165+i_exp_var*R238</f>
        <v/>
      </c>
      <c r="S239" s="19">
        <f>S233*i_exp_fix*i_exp_cap*S165+i_exp_var*S238</f>
        <v/>
      </c>
      <c r="T239" s="19">
        <f>T233*i_exp_fix*i_exp_cap*T165+i_exp_var*T238</f>
        <v/>
      </c>
      <c r="U239" s="19">
        <f>U233*i_exp_fix*i_exp_cap*U165+i_exp_var*U238</f>
        <v/>
      </c>
      <c r="V239" s="19">
        <f>V233*i_exp_fix*i_exp_cap*V165+i_exp_var*V238</f>
        <v/>
      </c>
      <c r="W239" s="19">
        <f>W233*i_exp_fix*i_exp_cap*W165+i_exp_var*W238</f>
        <v/>
      </c>
      <c r="X239" s="19">
        <f>X233*i_exp_fix*i_exp_cap*X165+i_exp_var*X238</f>
        <v/>
      </c>
      <c r="Y239" s="19">
        <f>Y233*i_exp_fix*i_exp_cap*Y165+i_exp_var*Y238</f>
        <v/>
      </c>
      <c r="Z239" s="19">
        <f>Z233*i_exp_fix*i_exp_cap*Z165+i_exp_var*Z238</f>
        <v/>
      </c>
      <c r="AA239" s="19">
        <f>AA233*i_exp_fix*i_exp_cap*AA165+i_exp_var*AA238</f>
        <v/>
      </c>
      <c r="AB239" s="19">
        <f>AB233*i_exp_fix*i_exp_cap*AB165+i_exp_var*AB238</f>
        <v/>
      </c>
      <c r="AC239" s="19">
        <f>AC233*i_exp_fix*i_exp_cap*AC165+i_exp_var*AC238</f>
        <v/>
      </c>
      <c r="AD239" s="19">
        <f>AD233*i_exp_fix*i_exp_cap*AD165+i_exp_var*AD238</f>
        <v/>
      </c>
      <c r="AE239" s="19">
        <f>AE233*i_exp_fix*i_exp_cap*AE165+i_exp_var*AE238</f>
        <v/>
      </c>
      <c r="AF239" s="19">
        <f>AF233*i_exp_fix*i_exp_cap*AF165+i_exp_var*AF238</f>
        <v/>
      </c>
      <c r="AG239" s="19">
        <f>AG233*i_exp_fix*i_exp_cap*AG165+i_exp_var*AG238</f>
        <v/>
      </c>
      <c r="AH239" s="19">
        <f>AH233*i_exp_fix*i_exp_cap*AH165+i_exp_var*AH238</f>
        <v/>
      </c>
      <c r="AI239" s="19">
        <f>AI233*i_exp_fix*i_exp_cap*AI165+i_exp_var*AI238</f>
        <v/>
      </c>
    </row>
    <row r="240">
      <c r="B240" s="3" t="inlineStr">
        <is>
          <t xml:space="preserve">  EBITDA</t>
        </is>
      </c>
      <c r="D240" s="31">
        <f>D238-D239</f>
        <v/>
      </c>
      <c r="E240" s="31">
        <f>E238-E239</f>
        <v/>
      </c>
      <c r="F240" s="31">
        <f>F238-F239</f>
        <v/>
      </c>
      <c r="G240" s="31">
        <f>G238-G239</f>
        <v/>
      </c>
      <c r="H240" s="31">
        <f>H238-H239</f>
        <v/>
      </c>
      <c r="I240" s="31">
        <f>I238-I239</f>
        <v/>
      </c>
      <c r="J240" s="31">
        <f>J238-J239</f>
        <v/>
      </c>
      <c r="K240" s="31">
        <f>K238-K239</f>
        <v/>
      </c>
      <c r="L240" s="31">
        <f>L238-L239</f>
        <v/>
      </c>
      <c r="M240" s="31">
        <f>M238-M239</f>
        <v/>
      </c>
      <c r="N240" s="31">
        <f>N238-N239</f>
        <v/>
      </c>
      <c r="O240" s="31">
        <f>O238-O239</f>
        <v/>
      </c>
      <c r="P240" s="31">
        <f>P238-P239</f>
        <v/>
      </c>
      <c r="Q240" s="31">
        <f>Q238-Q239</f>
        <v/>
      </c>
      <c r="R240" s="31">
        <f>R238-R239</f>
        <v/>
      </c>
      <c r="S240" s="31">
        <f>S238-S239</f>
        <v/>
      </c>
      <c r="T240" s="31">
        <f>T238-T239</f>
        <v/>
      </c>
      <c r="U240" s="31">
        <f>U238-U239</f>
        <v/>
      </c>
      <c r="V240" s="31">
        <f>V238-V239</f>
        <v/>
      </c>
      <c r="W240" s="31">
        <f>W238-W239</f>
        <v/>
      </c>
      <c r="X240" s="31">
        <f>X238-X239</f>
        <v/>
      </c>
      <c r="Y240" s="31">
        <f>Y238-Y239</f>
        <v/>
      </c>
      <c r="Z240" s="31">
        <f>Z238-Z239</f>
        <v/>
      </c>
      <c r="AA240" s="31">
        <f>AA238-AA239</f>
        <v/>
      </c>
      <c r="AB240" s="31">
        <f>AB238-AB239</f>
        <v/>
      </c>
      <c r="AC240" s="31">
        <f>AC238-AC239</f>
        <v/>
      </c>
      <c r="AD240" s="31">
        <f>AD238-AD239</f>
        <v/>
      </c>
      <c r="AE240" s="31">
        <f>AE238-AE239</f>
        <v/>
      </c>
      <c r="AF240" s="31">
        <f>AF238-AF239</f>
        <v/>
      </c>
      <c r="AG240" s="31">
        <f>AG238-AG239</f>
        <v/>
      </c>
      <c r="AH240" s="31">
        <f>AH238-AH239</f>
        <v/>
      </c>
      <c r="AI240" s="31">
        <f>AI238-AI239</f>
        <v/>
      </c>
    </row>
    <row r="241">
      <c r="B241" s="2" t="inlineStr">
        <is>
          <t xml:space="preserve">  Maintenance capex</t>
        </is>
      </c>
      <c r="D241" s="19">
        <f>D233*i_exp_mc*i_exp_cap*D165</f>
        <v/>
      </c>
      <c r="E241" s="19">
        <f>E233*i_exp_mc*i_exp_cap*E165</f>
        <v/>
      </c>
      <c r="F241" s="19">
        <f>F233*i_exp_mc*i_exp_cap*F165</f>
        <v/>
      </c>
      <c r="G241" s="19">
        <f>G233*i_exp_mc*i_exp_cap*G165</f>
        <v/>
      </c>
      <c r="H241" s="19">
        <f>H233*i_exp_mc*i_exp_cap*H165</f>
        <v/>
      </c>
      <c r="I241" s="19">
        <f>I233*i_exp_mc*i_exp_cap*I165</f>
        <v/>
      </c>
      <c r="J241" s="19">
        <f>J233*i_exp_mc*i_exp_cap*J165</f>
        <v/>
      </c>
      <c r="K241" s="19">
        <f>K233*i_exp_mc*i_exp_cap*K165</f>
        <v/>
      </c>
      <c r="L241" s="19">
        <f>L233*i_exp_mc*i_exp_cap*L165</f>
        <v/>
      </c>
      <c r="M241" s="19">
        <f>M233*i_exp_mc*i_exp_cap*M165</f>
        <v/>
      </c>
      <c r="N241" s="19">
        <f>N233*i_exp_mc*i_exp_cap*N165</f>
        <v/>
      </c>
      <c r="O241" s="19">
        <f>O233*i_exp_mc*i_exp_cap*O165</f>
        <v/>
      </c>
      <c r="P241" s="19">
        <f>P233*i_exp_mc*i_exp_cap*P165</f>
        <v/>
      </c>
      <c r="Q241" s="19">
        <f>Q233*i_exp_mc*i_exp_cap*Q165</f>
        <v/>
      </c>
      <c r="R241" s="19">
        <f>R233*i_exp_mc*i_exp_cap*R165</f>
        <v/>
      </c>
      <c r="S241" s="19">
        <f>S233*i_exp_mc*i_exp_cap*S165</f>
        <v/>
      </c>
      <c r="T241" s="19">
        <f>T233*i_exp_mc*i_exp_cap*T165</f>
        <v/>
      </c>
      <c r="U241" s="19">
        <f>U233*i_exp_mc*i_exp_cap*U165</f>
        <v/>
      </c>
      <c r="V241" s="19">
        <f>V233*i_exp_mc*i_exp_cap*V165</f>
        <v/>
      </c>
      <c r="W241" s="19">
        <f>W233*i_exp_mc*i_exp_cap*W165</f>
        <v/>
      </c>
      <c r="X241" s="19">
        <f>X233*i_exp_mc*i_exp_cap*X165</f>
        <v/>
      </c>
      <c r="Y241" s="19">
        <f>Y233*i_exp_mc*i_exp_cap*Y165</f>
        <v/>
      </c>
      <c r="Z241" s="19">
        <f>Z233*i_exp_mc*i_exp_cap*Z165</f>
        <v/>
      </c>
      <c r="AA241" s="19">
        <f>AA233*i_exp_mc*i_exp_cap*AA165</f>
        <v/>
      </c>
      <c r="AB241" s="19">
        <f>AB233*i_exp_mc*i_exp_cap*AB165</f>
        <v/>
      </c>
      <c r="AC241" s="19">
        <f>AC233*i_exp_mc*i_exp_cap*AC165</f>
        <v/>
      </c>
      <c r="AD241" s="19">
        <f>AD233*i_exp_mc*i_exp_cap*AD165</f>
        <v/>
      </c>
      <c r="AE241" s="19">
        <f>AE233*i_exp_mc*i_exp_cap*AE165</f>
        <v/>
      </c>
      <c r="AF241" s="19">
        <f>AF233*i_exp_mc*i_exp_cap*AF165</f>
        <v/>
      </c>
      <c r="AG241" s="19">
        <f>AG233*i_exp_mc*i_exp_cap*AG165</f>
        <v/>
      </c>
      <c r="AH241" s="19">
        <f>AH233*i_exp_mc*i_exp_cap*AH165</f>
        <v/>
      </c>
      <c r="AI241" s="19">
        <f>AI233*i_exp_mc*i_exp_cap*AI165</f>
        <v/>
      </c>
    </row>
    <row r="243">
      <c r="B243" s="5" t="inlineStr">
        <is>
          <t>Consolidated</t>
        </is>
      </c>
    </row>
    <row r="244">
      <c r="B244" s="2" t="inlineStr">
        <is>
          <t>Revenue</t>
        </is>
      </c>
      <c r="D244" s="19">
        <f>D178+D194+D209+D224+D238</f>
        <v/>
      </c>
      <c r="E244" s="19">
        <f>E178+E194+E209+E224+E238</f>
        <v/>
      </c>
      <c r="F244" s="19">
        <f>F178+F194+F209+F224+F238</f>
        <v/>
      </c>
      <c r="G244" s="19">
        <f>G178+G194+G209+G224+G238</f>
        <v/>
      </c>
      <c r="H244" s="19">
        <f>H178+H194+H209+H224+H238</f>
        <v/>
      </c>
      <c r="I244" s="19">
        <f>I178+I194+I209+I224+I238</f>
        <v/>
      </c>
      <c r="J244" s="19">
        <f>J178+J194+J209+J224+J238</f>
        <v/>
      </c>
      <c r="K244" s="19">
        <f>K178+K194+K209+K224+K238</f>
        <v/>
      </c>
      <c r="L244" s="19">
        <f>L178+L194+L209+L224+L238</f>
        <v/>
      </c>
      <c r="M244" s="19">
        <f>M178+M194+M209+M224+M238</f>
        <v/>
      </c>
      <c r="N244" s="19">
        <f>N178+N194+N209+N224+N238</f>
        <v/>
      </c>
      <c r="O244" s="19">
        <f>O178+O194+O209+O224+O238</f>
        <v/>
      </c>
      <c r="P244" s="19">
        <f>P178+P194+P209+P224+P238</f>
        <v/>
      </c>
      <c r="Q244" s="19">
        <f>Q178+Q194+Q209+Q224+Q238</f>
        <v/>
      </c>
      <c r="R244" s="19">
        <f>R178+R194+R209+R224+R238</f>
        <v/>
      </c>
      <c r="S244" s="19">
        <f>S178+S194+S209+S224+S238</f>
        <v/>
      </c>
      <c r="T244" s="19">
        <f>T178+T194+T209+T224+T238</f>
        <v/>
      </c>
      <c r="U244" s="19">
        <f>U178+U194+U209+U224+U238</f>
        <v/>
      </c>
      <c r="V244" s="19">
        <f>V178+V194+V209+V224+V238</f>
        <v/>
      </c>
      <c r="W244" s="19">
        <f>W178+W194+W209+W224+W238</f>
        <v/>
      </c>
      <c r="X244" s="19">
        <f>X178+X194+X209+X224+X238</f>
        <v/>
      </c>
      <c r="Y244" s="19">
        <f>Y178+Y194+Y209+Y224+Y238</f>
        <v/>
      </c>
      <c r="Z244" s="19">
        <f>Z178+Z194+Z209+Z224+Z238</f>
        <v/>
      </c>
      <c r="AA244" s="19">
        <f>AA178+AA194+AA209+AA224+AA238</f>
        <v/>
      </c>
      <c r="AB244" s="19">
        <f>AB178+AB194+AB209+AB224+AB238</f>
        <v/>
      </c>
      <c r="AC244" s="19">
        <f>AC178+AC194+AC209+AC224+AC238</f>
        <v/>
      </c>
      <c r="AD244" s="19">
        <f>AD178+AD194+AD209+AD224+AD238</f>
        <v/>
      </c>
      <c r="AE244" s="19">
        <f>AE178+AE194+AE209+AE224+AE238</f>
        <v/>
      </c>
      <c r="AF244" s="19">
        <f>AF178+AF194+AF209+AF224+AF238</f>
        <v/>
      </c>
      <c r="AG244" s="19">
        <f>AG178+AG194+AG209+AG224+AG238</f>
        <v/>
      </c>
      <c r="AH244" s="19">
        <f>AH178+AH194+AH209+AH224+AH238</f>
        <v/>
      </c>
      <c r="AI244" s="19">
        <f>AI178+AI194+AI209+AI224+AI238</f>
        <v/>
      </c>
    </row>
    <row r="245">
      <c r="B245" s="2" t="inlineStr">
        <is>
          <t>Business unit EBITDA (with the expansion)</t>
        </is>
      </c>
      <c r="D245" s="19">
        <f>D183+D198+D213+D229+D240</f>
        <v/>
      </c>
      <c r="E245" s="19">
        <f>E183+E198+E213+E229+E240</f>
        <v/>
      </c>
      <c r="F245" s="19">
        <f>F183+F198+F213+F229+F240</f>
        <v/>
      </c>
      <c r="G245" s="19">
        <f>G183+G198+G213+G229+G240</f>
        <v/>
      </c>
      <c r="H245" s="19">
        <f>H183+H198+H213+H229+H240</f>
        <v/>
      </c>
      <c r="I245" s="19">
        <f>I183+I198+I213+I229+I240</f>
        <v/>
      </c>
      <c r="J245" s="19">
        <f>J183+J198+J213+J229+J240</f>
        <v/>
      </c>
      <c r="K245" s="19">
        <f>K183+K198+K213+K229+K240</f>
        <v/>
      </c>
      <c r="L245" s="19">
        <f>L183+L198+L213+L229+L240</f>
        <v/>
      </c>
      <c r="M245" s="19">
        <f>M183+M198+M213+M229+M240</f>
        <v/>
      </c>
      <c r="N245" s="19">
        <f>N183+N198+N213+N229+N240</f>
        <v/>
      </c>
      <c r="O245" s="19">
        <f>O183+O198+O213+O229+O240</f>
        <v/>
      </c>
      <c r="P245" s="19">
        <f>P183+P198+P213+P229+P240</f>
        <v/>
      </c>
      <c r="Q245" s="19">
        <f>Q183+Q198+Q213+Q229+Q240</f>
        <v/>
      </c>
      <c r="R245" s="19">
        <f>R183+R198+R213+R229+R240</f>
        <v/>
      </c>
      <c r="S245" s="19">
        <f>S183+S198+S213+S229+S240</f>
        <v/>
      </c>
      <c r="T245" s="19">
        <f>T183+T198+T213+T229+T240</f>
        <v/>
      </c>
      <c r="U245" s="19">
        <f>U183+U198+U213+U229+U240</f>
        <v/>
      </c>
      <c r="V245" s="19">
        <f>V183+V198+V213+V229+V240</f>
        <v/>
      </c>
      <c r="W245" s="19">
        <f>W183+W198+W213+W229+W240</f>
        <v/>
      </c>
      <c r="X245" s="19">
        <f>X183+X198+X213+X229+X240</f>
        <v/>
      </c>
      <c r="Y245" s="19">
        <f>Y183+Y198+Y213+Y229+Y240</f>
        <v/>
      </c>
      <c r="Z245" s="19">
        <f>Z183+Z198+Z213+Z229+Z240</f>
        <v/>
      </c>
      <c r="AA245" s="19">
        <f>AA183+AA198+AA213+AA229+AA240</f>
        <v/>
      </c>
      <c r="AB245" s="19">
        <f>AB183+AB198+AB213+AB229+AB240</f>
        <v/>
      </c>
      <c r="AC245" s="19">
        <f>AC183+AC198+AC213+AC229+AC240</f>
        <v/>
      </c>
      <c r="AD245" s="19">
        <f>AD183+AD198+AD213+AD229+AD240</f>
        <v/>
      </c>
      <c r="AE245" s="19">
        <f>AE183+AE198+AE213+AE229+AE240</f>
        <v/>
      </c>
      <c r="AF245" s="19">
        <f>AF183+AF198+AF213+AF229+AF240</f>
        <v/>
      </c>
      <c r="AG245" s="19">
        <f>AG183+AG198+AG213+AG229+AG240</f>
        <v/>
      </c>
      <c r="AH245" s="19">
        <f>AH183+AH198+AH213+AH229+AH240</f>
        <v/>
      </c>
      <c r="AI245" s="19">
        <f>AI183+AI198+AI213+AI229+AI240</f>
        <v/>
      </c>
    </row>
    <row r="246">
      <c r="B246" s="2" t="inlineStr">
        <is>
          <t>Corporate costs</t>
        </is>
      </c>
      <c r="D246" s="19">
        <f>i_corp*D165*IF(OR(Diligence!$C$162=1,D$3&lt;=i_conc_end),1,i_corp_after_w)+IF(D$3&gt;=i_mitig_start,Diligence!$C$164*D165,0)</f>
        <v/>
      </c>
      <c r="E246" s="19">
        <f>i_corp*E165*IF(OR(Diligence!$C$162=1,E$3&lt;=i_conc_end),1,i_corp_after_w)+IF(E$3&gt;=i_mitig_start,Diligence!$C$164*E165,0)</f>
        <v/>
      </c>
      <c r="F246" s="19">
        <f>i_corp*F165*IF(OR(Diligence!$C$162=1,F$3&lt;=i_conc_end),1,i_corp_after_w)+IF(F$3&gt;=i_mitig_start,Diligence!$C$164*F165,0)</f>
        <v/>
      </c>
      <c r="G246" s="19">
        <f>i_corp*G165*IF(OR(Diligence!$C$162=1,G$3&lt;=i_conc_end),1,i_corp_after_w)+IF(G$3&gt;=i_mitig_start,Diligence!$C$164*G165,0)</f>
        <v/>
      </c>
      <c r="H246" s="19">
        <f>i_corp*H165*IF(OR(Diligence!$C$162=1,H$3&lt;=i_conc_end),1,i_corp_after_w)+IF(H$3&gt;=i_mitig_start,Diligence!$C$164*H165,0)</f>
        <v/>
      </c>
      <c r="I246" s="19">
        <f>i_corp*I165*IF(OR(Diligence!$C$162=1,I$3&lt;=i_conc_end),1,i_corp_after_w)+IF(I$3&gt;=i_mitig_start,Diligence!$C$164*I165,0)</f>
        <v/>
      </c>
      <c r="J246" s="19">
        <f>i_corp*J165*IF(OR(Diligence!$C$162=1,J$3&lt;=i_conc_end),1,i_corp_after_w)+IF(J$3&gt;=i_mitig_start,Diligence!$C$164*J165,0)</f>
        <v/>
      </c>
      <c r="K246" s="19">
        <f>i_corp*K165*IF(OR(Diligence!$C$162=1,K$3&lt;=i_conc_end),1,i_corp_after_w)+IF(K$3&gt;=i_mitig_start,Diligence!$C$164*K165,0)</f>
        <v/>
      </c>
      <c r="L246" s="19">
        <f>i_corp*L165*IF(OR(Diligence!$C$162=1,L$3&lt;=i_conc_end),1,i_corp_after_w)+IF(L$3&gt;=i_mitig_start,Diligence!$C$164*L165,0)</f>
        <v/>
      </c>
      <c r="M246" s="19">
        <f>i_corp*M165*IF(OR(Diligence!$C$162=1,M$3&lt;=i_conc_end),1,i_corp_after_w)+IF(M$3&gt;=i_mitig_start,Diligence!$C$164*M165,0)</f>
        <v/>
      </c>
      <c r="N246" s="19">
        <f>i_corp*N165*IF(OR(Diligence!$C$162=1,N$3&lt;=i_conc_end),1,i_corp_after_w)+IF(N$3&gt;=i_mitig_start,Diligence!$C$164*N165,0)</f>
        <v/>
      </c>
      <c r="O246" s="19">
        <f>i_corp*O165*IF(OR(Diligence!$C$162=1,O$3&lt;=i_conc_end),1,i_corp_after_w)+IF(O$3&gt;=i_mitig_start,Diligence!$C$164*O165,0)</f>
        <v/>
      </c>
      <c r="P246" s="19">
        <f>i_corp*P165*IF(OR(Diligence!$C$162=1,P$3&lt;=i_conc_end),1,i_corp_after_w)+IF(P$3&gt;=i_mitig_start,Diligence!$C$164*P165,0)</f>
        <v/>
      </c>
      <c r="Q246" s="19">
        <f>i_corp*Q165*IF(OR(Diligence!$C$162=1,Q$3&lt;=i_conc_end),1,i_corp_after_w)+IF(Q$3&gt;=i_mitig_start,Diligence!$C$164*Q165,0)</f>
        <v/>
      </c>
      <c r="R246" s="19">
        <f>i_corp*R165*IF(OR(Diligence!$C$162=1,R$3&lt;=i_conc_end),1,i_corp_after_w)+IF(R$3&gt;=i_mitig_start,Diligence!$C$164*R165,0)</f>
        <v/>
      </c>
      <c r="S246" s="19">
        <f>i_corp*S165*IF(OR(Diligence!$C$162=1,S$3&lt;=i_conc_end),1,i_corp_after_w)+IF(S$3&gt;=i_mitig_start,Diligence!$C$164*S165,0)</f>
        <v/>
      </c>
      <c r="T246" s="19">
        <f>i_corp*T165*IF(OR(Diligence!$C$162=1,T$3&lt;=i_conc_end),1,i_corp_after_w)+IF(T$3&gt;=i_mitig_start,Diligence!$C$164*T165,0)</f>
        <v/>
      </c>
      <c r="U246" s="19">
        <f>i_corp*U165*IF(OR(Diligence!$C$162=1,U$3&lt;=i_conc_end),1,i_corp_after_w)+IF(U$3&gt;=i_mitig_start,Diligence!$C$164*U165,0)</f>
        <v/>
      </c>
      <c r="V246" s="19">
        <f>i_corp*V165*IF(OR(Diligence!$C$162=1,V$3&lt;=i_conc_end),1,i_corp_after_w)+IF(V$3&gt;=i_mitig_start,Diligence!$C$164*V165,0)</f>
        <v/>
      </c>
      <c r="W246" s="19">
        <f>i_corp*W165*IF(OR(Diligence!$C$162=1,W$3&lt;=i_conc_end),1,i_corp_after_w)+IF(W$3&gt;=i_mitig_start,Diligence!$C$164*W165,0)</f>
        <v/>
      </c>
      <c r="X246" s="19">
        <f>i_corp*X165*IF(OR(Diligence!$C$162=1,X$3&lt;=i_conc_end),1,i_corp_after_w)+IF(X$3&gt;=i_mitig_start,Diligence!$C$164*X165,0)</f>
        <v/>
      </c>
      <c r="Y246" s="19">
        <f>i_corp*Y165*IF(OR(Diligence!$C$162=1,Y$3&lt;=i_conc_end),1,i_corp_after_w)+IF(Y$3&gt;=i_mitig_start,Diligence!$C$164*Y165,0)</f>
        <v/>
      </c>
      <c r="Z246" s="19">
        <f>i_corp*Z165*IF(OR(Diligence!$C$162=1,Z$3&lt;=i_conc_end),1,i_corp_after_w)+IF(Z$3&gt;=i_mitig_start,Diligence!$C$164*Z165,0)</f>
        <v/>
      </c>
      <c r="AA246" s="19">
        <f>i_corp*AA165*IF(OR(Diligence!$C$162=1,AA$3&lt;=i_conc_end),1,i_corp_after_w)+IF(AA$3&gt;=i_mitig_start,Diligence!$C$164*AA165,0)</f>
        <v/>
      </c>
      <c r="AB246" s="19">
        <f>i_corp*AB165*IF(OR(Diligence!$C$162=1,AB$3&lt;=i_conc_end),1,i_corp_after_w)+IF(AB$3&gt;=i_mitig_start,Diligence!$C$164*AB165,0)</f>
        <v/>
      </c>
      <c r="AC246" s="19">
        <f>i_corp*AC165*IF(OR(Diligence!$C$162=1,AC$3&lt;=i_conc_end),1,i_corp_after_w)+IF(AC$3&gt;=i_mitig_start,Diligence!$C$164*AC165,0)</f>
        <v/>
      </c>
      <c r="AD246" s="19">
        <f>i_corp*AD165*IF(OR(Diligence!$C$162=1,AD$3&lt;=i_conc_end),1,i_corp_after_w)+IF(AD$3&gt;=i_mitig_start,Diligence!$C$164*AD165,0)</f>
        <v/>
      </c>
      <c r="AE246" s="19">
        <f>i_corp*AE165*IF(OR(Diligence!$C$162=1,AE$3&lt;=i_conc_end),1,i_corp_after_w)+IF(AE$3&gt;=i_mitig_start,Diligence!$C$164*AE165,0)</f>
        <v/>
      </c>
      <c r="AF246" s="19">
        <f>i_corp*AF165*IF(OR(Diligence!$C$162=1,AF$3&lt;=i_conc_end),1,i_corp_after_w)+IF(AF$3&gt;=i_mitig_start,Diligence!$C$164*AF165,0)</f>
        <v/>
      </c>
      <c r="AG246" s="19">
        <f>i_corp*AG165*IF(OR(Diligence!$C$162=1,AG$3&lt;=i_conc_end),1,i_corp_after_w)+IF(AG$3&gt;=i_mitig_start,Diligence!$C$164*AG165,0)</f>
        <v/>
      </c>
      <c r="AH246" s="19">
        <f>i_corp*AH165*IF(OR(Diligence!$C$162=1,AH$3&lt;=i_conc_end),1,i_corp_after_w)+IF(AH$3&gt;=i_mitig_start,Diligence!$C$164*AH165,0)</f>
        <v/>
      </c>
      <c r="AI246" s="19">
        <f>i_corp*AI165*IF(OR(Diligence!$C$162=1,AI$3&lt;=i_conc_end),1,i_corp_after_w)+IF(AI$3&gt;=i_mitig_start,Diligence!$C$164*AI165,0)</f>
        <v/>
      </c>
    </row>
    <row r="247">
      <c r="B247" s="3" t="inlineStr">
        <is>
          <t>EBITDA</t>
        </is>
      </c>
      <c r="D247" s="31">
        <f>D245-D246</f>
        <v/>
      </c>
      <c r="E247" s="31">
        <f>E245-E246</f>
        <v/>
      </c>
      <c r="F247" s="31">
        <f>F245-F246</f>
        <v/>
      </c>
      <c r="G247" s="31">
        <f>G245-G246</f>
        <v/>
      </c>
      <c r="H247" s="31">
        <f>H245-H246</f>
        <v/>
      </c>
      <c r="I247" s="31">
        <f>I245-I246</f>
        <v/>
      </c>
      <c r="J247" s="31">
        <f>J245-J246</f>
        <v/>
      </c>
      <c r="K247" s="31">
        <f>K245-K246</f>
        <v/>
      </c>
      <c r="L247" s="31">
        <f>L245-L246</f>
        <v/>
      </c>
      <c r="M247" s="31">
        <f>M245-M246</f>
        <v/>
      </c>
      <c r="N247" s="31">
        <f>N245-N246</f>
        <v/>
      </c>
      <c r="O247" s="31">
        <f>O245-O246</f>
        <v/>
      </c>
      <c r="P247" s="31">
        <f>P245-P246</f>
        <v/>
      </c>
      <c r="Q247" s="31">
        <f>Q245-Q246</f>
        <v/>
      </c>
      <c r="R247" s="31">
        <f>R245-R246</f>
        <v/>
      </c>
      <c r="S247" s="31">
        <f>S245-S246</f>
        <v/>
      </c>
      <c r="T247" s="31">
        <f>T245-T246</f>
        <v/>
      </c>
      <c r="U247" s="31">
        <f>U245-U246</f>
        <v/>
      </c>
      <c r="V247" s="31">
        <f>V245-V246</f>
        <v/>
      </c>
      <c r="W247" s="31">
        <f>W245-W246</f>
        <v/>
      </c>
      <c r="X247" s="31">
        <f>X245-X246</f>
        <v/>
      </c>
      <c r="Y247" s="31">
        <f>Y245-Y246</f>
        <v/>
      </c>
      <c r="Z247" s="31">
        <f>Z245-Z246</f>
        <v/>
      </c>
      <c r="AA247" s="31">
        <f>AA245-AA246</f>
        <v/>
      </c>
      <c r="AB247" s="31">
        <f>AB245-AB246</f>
        <v/>
      </c>
      <c r="AC247" s="31">
        <f>AC245-AC246</f>
        <v/>
      </c>
      <c r="AD247" s="31">
        <f>AD245-AD246</f>
        <v/>
      </c>
      <c r="AE247" s="31">
        <f>AE245-AE246</f>
        <v/>
      </c>
      <c r="AF247" s="31">
        <f>AF245-AF246</f>
        <v/>
      </c>
      <c r="AG247" s="31">
        <f>AG245-AG246</f>
        <v/>
      </c>
      <c r="AH247" s="31">
        <f>AH245-AH246</f>
        <v/>
      </c>
      <c r="AI247" s="31">
        <f>AI245-AI246</f>
        <v/>
      </c>
    </row>
    <row r="248">
      <c r="B248" s="2" t="inlineStr">
        <is>
          <t>Maintenance capex</t>
        </is>
      </c>
      <c r="D248" s="19">
        <f>D184+D199+D214+D230+D241</f>
        <v/>
      </c>
      <c r="E248" s="19">
        <f>E184+E199+E214+E230+E241</f>
        <v/>
      </c>
      <c r="F248" s="19">
        <f>F184+F199+F214+F230+F241</f>
        <v/>
      </c>
      <c r="G248" s="19">
        <f>G184+G199+G214+G230+G241</f>
        <v/>
      </c>
      <c r="H248" s="19">
        <f>H184+H199+H214+H230+H241</f>
        <v/>
      </c>
      <c r="I248" s="19">
        <f>I184+I199+I214+I230+I241</f>
        <v/>
      </c>
      <c r="J248" s="19">
        <f>J184+J199+J214+J230+J241</f>
        <v/>
      </c>
      <c r="K248" s="19">
        <f>K184+K199+K214+K230+K241</f>
        <v/>
      </c>
      <c r="L248" s="19">
        <f>L184+L199+L214+L230+L241</f>
        <v/>
      </c>
      <c r="M248" s="19">
        <f>M184+M199+M214+M230+M241</f>
        <v/>
      </c>
      <c r="N248" s="19">
        <f>N184+N199+N214+N230+N241</f>
        <v/>
      </c>
      <c r="O248" s="19">
        <f>O184+O199+O214+O230+O241</f>
        <v/>
      </c>
      <c r="P248" s="19">
        <f>P184+P199+P214+P230+P241</f>
        <v/>
      </c>
      <c r="Q248" s="19">
        <f>Q184+Q199+Q214+Q230+Q241</f>
        <v/>
      </c>
      <c r="R248" s="19">
        <f>R184+R199+R214+R230+R241</f>
        <v/>
      </c>
      <c r="S248" s="19">
        <f>S184+S199+S214+S230+S241</f>
        <v/>
      </c>
      <c r="T248" s="19">
        <f>T184+T199+T214+T230+T241</f>
        <v/>
      </c>
      <c r="U248" s="19">
        <f>U184+U199+U214+U230+U241</f>
        <v/>
      </c>
      <c r="V248" s="19">
        <f>V184+V199+V214+V230+V241</f>
        <v/>
      </c>
      <c r="W248" s="19">
        <f>W184+W199+W214+W230+W241</f>
        <v/>
      </c>
      <c r="X248" s="19">
        <f>X184+X199+X214+X230+X241</f>
        <v/>
      </c>
      <c r="Y248" s="19">
        <f>Y184+Y199+Y214+Y230+Y241</f>
        <v/>
      </c>
      <c r="Z248" s="19">
        <f>Z184+Z199+Z214+Z230+Z241</f>
        <v/>
      </c>
      <c r="AA248" s="19">
        <f>AA184+AA199+AA214+AA230+AA241</f>
        <v/>
      </c>
      <c r="AB248" s="19">
        <f>AB184+AB199+AB214+AB230+AB241</f>
        <v/>
      </c>
      <c r="AC248" s="19">
        <f>AC184+AC199+AC214+AC230+AC241</f>
        <v/>
      </c>
      <c r="AD248" s="19">
        <f>AD184+AD199+AD214+AD230+AD241</f>
        <v/>
      </c>
      <c r="AE248" s="19">
        <f>AE184+AE199+AE214+AE230+AE241</f>
        <v/>
      </c>
      <c r="AF248" s="19">
        <f>AF184+AF199+AF214+AF230+AF241</f>
        <v/>
      </c>
      <c r="AG248" s="19">
        <f>AG184+AG199+AG214+AG230+AG241</f>
        <v/>
      </c>
      <c r="AH248" s="19">
        <f>AH184+AH199+AH214+AH230+AH241</f>
        <v/>
      </c>
      <c r="AI248" s="19">
        <f>AI184+AI199+AI214+AI230+AI241</f>
        <v/>
      </c>
    </row>
    <row r="249">
      <c r="B249" s="2" t="inlineStr">
        <is>
          <t>Growth capex</t>
        </is>
      </c>
      <c r="D249" s="19">
        <f>D232</f>
        <v/>
      </c>
      <c r="E249" s="19">
        <f>E232</f>
        <v/>
      </c>
      <c r="F249" s="19">
        <f>F232</f>
        <v/>
      </c>
      <c r="G249" s="19">
        <f>G232</f>
        <v/>
      </c>
      <c r="H249" s="19">
        <f>H232</f>
        <v/>
      </c>
      <c r="I249" s="19">
        <f>I232</f>
        <v/>
      </c>
      <c r="J249" s="19">
        <f>J232</f>
        <v/>
      </c>
      <c r="K249" s="19">
        <f>K232</f>
        <v/>
      </c>
      <c r="L249" s="19">
        <f>L232</f>
        <v/>
      </c>
      <c r="M249" s="19">
        <f>M232</f>
        <v/>
      </c>
      <c r="N249" s="19">
        <f>N232</f>
        <v/>
      </c>
      <c r="O249" s="19">
        <f>O232</f>
        <v/>
      </c>
      <c r="P249" s="19">
        <f>P232</f>
        <v/>
      </c>
      <c r="Q249" s="19">
        <f>Q232</f>
        <v/>
      </c>
      <c r="R249" s="19">
        <f>R232</f>
        <v/>
      </c>
      <c r="S249" s="19">
        <f>S232</f>
        <v/>
      </c>
      <c r="T249" s="19">
        <f>T232</f>
        <v/>
      </c>
      <c r="U249" s="19">
        <f>U232</f>
        <v/>
      </c>
      <c r="V249" s="19">
        <f>V232</f>
        <v/>
      </c>
      <c r="W249" s="19">
        <f>W232</f>
        <v/>
      </c>
      <c r="X249" s="19">
        <f>X232</f>
        <v/>
      </c>
      <c r="Y249" s="19">
        <f>Y232</f>
        <v/>
      </c>
      <c r="Z249" s="19">
        <f>Z232</f>
        <v/>
      </c>
      <c r="AA249" s="19">
        <f>AA232</f>
        <v/>
      </c>
      <c r="AB249" s="19">
        <f>AB232</f>
        <v/>
      </c>
      <c r="AC249" s="19">
        <f>AC232</f>
        <v/>
      </c>
      <c r="AD249" s="19">
        <f>AD232</f>
        <v/>
      </c>
      <c r="AE249" s="19">
        <f>AE232</f>
        <v/>
      </c>
      <c r="AF249" s="19">
        <f>AF232</f>
        <v/>
      </c>
      <c r="AG249" s="19">
        <f>AG232</f>
        <v/>
      </c>
      <c r="AH249" s="19">
        <f>AH232</f>
        <v/>
      </c>
      <c r="AI249" s="19">
        <f>AI232</f>
        <v/>
      </c>
    </row>
    <row r="250">
      <c r="B250" s="2" t="inlineStr">
        <is>
          <t>Tax depreciation</t>
        </is>
      </c>
      <c r="D250" s="19">
        <f>D248+IF(D$3&lt;=i_tax_dep_end,i_tax_dep_extra,0)</f>
        <v/>
      </c>
      <c r="E250" s="19">
        <f>E248+IF(E$3&lt;=i_tax_dep_end,i_tax_dep_extra,0)</f>
        <v/>
      </c>
      <c r="F250" s="19">
        <f>F248+IF(F$3&lt;=i_tax_dep_end,i_tax_dep_extra,0)</f>
        <v/>
      </c>
      <c r="G250" s="19">
        <f>G248+IF(G$3&lt;=i_tax_dep_end,i_tax_dep_extra,0)</f>
        <v/>
      </c>
      <c r="H250" s="19">
        <f>H248+IF(H$3&lt;=i_tax_dep_end,i_tax_dep_extra,0)</f>
        <v/>
      </c>
      <c r="I250" s="19">
        <f>I248+IF(I$3&lt;=i_tax_dep_end,i_tax_dep_extra,0)</f>
        <v/>
      </c>
      <c r="J250" s="19">
        <f>J248+IF(J$3&lt;=i_tax_dep_end,i_tax_dep_extra,0)</f>
        <v/>
      </c>
      <c r="K250" s="19">
        <f>K248+IF(K$3&lt;=i_tax_dep_end,i_tax_dep_extra,0)</f>
        <v/>
      </c>
      <c r="L250" s="19">
        <f>L248+IF(L$3&lt;=i_tax_dep_end,i_tax_dep_extra,0)</f>
        <v/>
      </c>
      <c r="M250" s="19">
        <f>M248+IF(M$3&lt;=i_tax_dep_end,i_tax_dep_extra,0)</f>
        <v/>
      </c>
      <c r="N250" s="19">
        <f>N248+IF(N$3&lt;=i_tax_dep_end,i_tax_dep_extra,0)</f>
        <v/>
      </c>
      <c r="O250" s="19">
        <f>O248+IF(O$3&lt;=i_tax_dep_end,i_tax_dep_extra,0)</f>
        <v/>
      </c>
      <c r="P250" s="19">
        <f>P248+IF(P$3&lt;=i_tax_dep_end,i_tax_dep_extra,0)</f>
        <v/>
      </c>
      <c r="Q250" s="19">
        <f>Q248+IF(Q$3&lt;=i_tax_dep_end,i_tax_dep_extra,0)</f>
        <v/>
      </c>
      <c r="R250" s="19">
        <f>R248+IF(R$3&lt;=i_tax_dep_end,i_tax_dep_extra,0)</f>
        <v/>
      </c>
      <c r="S250" s="19">
        <f>S248+IF(S$3&lt;=i_tax_dep_end,i_tax_dep_extra,0)</f>
        <v/>
      </c>
      <c r="T250" s="19">
        <f>T248+IF(T$3&lt;=i_tax_dep_end,i_tax_dep_extra,0)</f>
        <v/>
      </c>
      <c r="U250" s="19">
        <f>U248+IF(U$3&lt;=i_tax_dep_end,i_tax_dep_extra,0)</f>
        <v/>
      </c>
      <c r="V250" s="19">
        <f>V248+IF(V$3&lt;=i_tax_dep_end,i_tax_dep_extra,0)</f>
        <v/>
      </c>
      <c r="W250" s="19">
        <f>W248+IF(W$3&lt;=i_tax_dep_end,i_tax_dep_extra,0)</f>
        <v/>
      </c>
      <c r="X250" s="19">
        <f>X248+IF(X$3&lt;=i_tax_dep_end,i_tax_dep_extra,0)</f>
        <v/>
      </c>
      <c r="Y250" s="19">
        <f>Y248+IF(Y$3&lt;=i_tax_dep_end,i_tax_dep_extra,0)</f>
        <v/>
      </c>
      <c r="Z250" s="19">
        <f>Z248+IF(Z$3&lt;=i_tax_dep_end,i_tax_dep_extra,0)</f>
        <v/>
      </c>
      <c r="AA250" s="19">
        <f>AA248+IF(AA$3&lt;=i_tax_dep_end,i_tax_dep_extra,0)</f>
        <v/>
      </c>
      <c r="AB250" s="19">
        <f>AB248+IF(AB$3&lt;=i_tax_dep_end,i_tax_dep_extra,0)</f>
        <v/>
      </c>
      <c r="AC250" s="19">
        <f>AC248+IF(AC$3&lt;=i_tax_dep_end,i_tax_dep_extra,0)</f>
        <v/>
      </c>
      <c r="AD250" s="19">
        <f>AD248+IF(AD$3&lt;=i_tax_dep_end,i_tax_dep_extra,0)</f>
        <v/>
      </c>
      <c r="AE250" s="19">
        <f>AE248+IF(AE$3&lt;=i_tax_dep_end,i_tax_dep_extra,0)</f>
        <v/>
      </c>
      <c r="AF250" s="19">
        <f>AF248+IF(AF$3&lt;=i_tax_dep_end,i_tax_dep_extra,0)</f>
        <v/>
      </c>
      <c r="AG250" s="19">
        <f>AG248+IF(AG$3&lt;=i_tax_dep_end,i_tax_dep_extra,0)</f>
        <v/>
      </c>
      <c r="AH250" s="19">
        <f>AH248+IF(AH$3&lt;=i_tax_dep_end,i_tax_dep_extra,0)</f>
        <v/>
      </c>
      <c r="AI250" s="19">
        <f>AI248+IF(AI$3&lt;=i_tax_dep_end,i_tax_dep_extra,0)</f>
        <v/>
      </c>
    </row>
    <row r="251">
      <c r="B251" s="2" t="inlineStr">
        <is>
          <t>Unlevered cash tax</t>
        </is>
      </c>
      <c r="D251" s="19">
        <f>i_tax*MAX(0,D247-D250)</f>
        <v/>
      </c>
      <c r="E251" s="19">
        <f>i_tax*MAX(0,E247-E250)</f>
        <v/>
      </c>
      <c r="F251" s="19">
        <f>i_tax*MAX(0,F247-F250)</f>
        <v/>
      </c>
      <c r="G251" s="19">
        <f>i_tax*MAX(0,G247-G250)</f>
        <v/>
      </c>
      <c r="H251" s="19">
        <f>i_tax*MAX(0,H247-H250)</f>
        <v/>
      </c>
      <c r="I251" s="19">
        <f>i_tax*MAX(0,I247-I250)</f>
        <v/>
      </c>
      <c r="J251" s="19">
        <f>i_tax*MAX(0,J247-J250)</f>
        <v/>
      </c>
      <c r="K251" s="19">
        <f>i_tax*MAX(0,K247-K250)</f>
        <v/>
      </c>
      <c r="L251" s="19">
        <f>i_tax*MAX(0,L247-L250)</f>
        <v/>
      </c>
      <c r="M251" s="19">
        <f>i_tax*MAX(0,M247-M250)</f>
        <v/>
      </c>
      <c r="N251" s="19">
        <f>i_tax*MAX(0,N247-N250)</f>
        <v/>
      </c>
      <c r="O251" s="19">
        <f>i_tax*MAX(0,O247-O250)</f>
        <v/>
      </c>
      <c r="P251" s="19">
        <f>i_tax*MAX(0,P247-P250)</f>
        <v/>
      </c>
      <c r="Q251" s="19">
        <f>i_tax*MAX(0,Q247-Q250)</f>
        <v/>
      </c>
      <c r="R251" s="19">
        <f>i_tax*MAX(0,R247-R250)</f>
        <v/>
      </c>
      <c r="S251" s="19">
        <f>i_tax*MAX(0,S247-S250)</f>
        <v/>
      </c>
      <c r="T251" s="19">
        <f>i_tax*MAX(0,T247-T250)</f>
        <v/>
      </c>
      <c r="U251" s="19">
        <f>i_tax*MAX(0,U247-U250)</f>
        <v/>
      </c>
      <c r="V251" s="19">
        <f>i_tax*MAX(0,V247-V250)</f>
        <v/>
      </c>
      <c r="W251" s="19">
        <f>i_tax*MAX(0,W247-W250)</f>
        <v/>
      </c>
      <c r="X251" s="19">
        <f>i_tax*MAX(0,X247-X250)</f>
        <v/>
      </c>
      <c r="Y251" s="19">
        <f>i_tax*MAX(0,Y247-Y250)</f>
        <v/>
      </c>
      <c r="Z251" s="19">
        <f>i_tax*MAX(0,Z247-Z250)</f>
        <v/>
      </c>
      <c r="AA251" s="19">
        <f>i_tax*MAX(0,AA247-AA250)</f>
        <v/>
      </c>
      <c r="AB251" s="19">
        <f>i_tax*MAX(0,AB247-AB250)</f>
        <v/>
      </c>
      <c r="AC251" s="19">
        <f>i_tax*MAX(0,AC247-AC250)</f>
        <v/>
      </c>
      <c r="AD251" s="19">
        <f>i_tax*MAX(0,AD247-AD250)</f>
        <v/>
      </c>
      <c r="AE251" s="19">
        <f>i_tax*MAX(0,AE247-AE250)</f>
        <v/>
      </c>
      <c r="AF251" s="19">
        <f>i_tax*MAX(0,AF247-AF250)</f>
        <v/>
      </c>
      <c r="AG251" s="19">
        <f>i_tax*MAX(0,AG247-AG250)</f>
        <v/>
      </c>
      <c r="AH251" s="19">
        <f>i_tax*MAX(0,AH247-AH250)</f>
        <v/>
      </c>
      <c r="AI251" s="19">
        <f>i_tax*MAX(0,AI247-AI250)</f>
        <v/>
      </c>
    </row>
    <row r="252">
      <c r="B252" s="2" t="inlineStr">
        <is>
          <t>Westerhaven handback works</t>
        </is>
      </c>
      <c r="D252" s="19">
        <f>IF(AND(Diligence!$C$162=0,D$3=i_conc_end),i_handback*D165,0)</f>
        <v/>
      </c>
      <c r="E252" s="19">
        <f>IF(AND(Diligence!$C$162=0,E$3=i_conc_end),i_handback*E165,0)</f>
        <v/>
      </c>
      <c r="F252" s="19">
        <f>IF(AND(Diligence!$C$162=0,F$3=i_conc_end),i_handback*F165,0)</f>
        <v/>
      </c>
      <c r="G252" s="19">
        <f>IF(AND(Diligence!$C$162=0,G$3=i_conc_end),i_handback*G165,0)</f>
        <v/>
      </c>
      <c r="H252" s="19">
        <f>IF(AND(Diligence!$C$162=0,H$3=i_conc_end),i_handback*H165,0)</f>
        <v/>
      </c>
      <c r="I252" s="19">
        <f>IF(AND(Diligence!$C$162=0,I$3=i_conc_end),i_handback*I165,0)</f>
        <v/>
      </c>
      <c r="J252" s="19">
        <f>IF(AND(Diligence!$C$162=0,J$3=i_conc_end),i_handback*J165,0)</f>
        <v/>
      </c>
      <c r="K252" s="19">
        <f>IF(AND(Diligence!$C$162=0,K$3=i_conc_end),i_handback*K165,0)</f>
        <v/>
      </c>
      <c r="L252" s="19">
        <f>IF(AND(Diligence!$C$162=0,L$3=i_conc_end),i_handback*L165,0)</f>
        <v/>
      </c>
      <c r="M252" s="19">
        <f>IF(AND(Diligence!$C$162=0,M$3=i_conc_end),i_handback*M165,0)</f>
        <v/>
      </c>
      <c r="N252" s="19">
        <f>IF(AND(Diligence!$C$162=0,N$3=i_conc_end),i_handback*N165,0)</f>
        <v/>
      </c>
      <c r="O252" s="19">
        <f>IF(AND(Diligence!$C$162=0,O$3=i_conc_end),i_handback*O165,0)</f>
        <v/>
      </c>
      <c r="P252" s="19">
        <f>IF(AND(Diligence!$C$162=0,P$3=i_conc_end),i_handback*P165,0)</f>
        <v/>
      </c>
      <c r="Q252" s="19">
        <f>IF(AND(Diligence!$C$162=0,Q$3=i_conc_end),i_handback*Q165,0)</f>
        <v/>
      </c>
      <c r="R252" s="19">
        <f>IF(AND(Diligence!$C$162=0,R$3=i_conc_end),i_handback*R165,0)</f>
        <v/>
      </c>
      <c r="S252" s="19">
        <f>IF(AND(Diligence!$C$162=0,S$3=i_conc_end),i_handback*S165,0)</f>
        <v/>
      </c>
      <c r="T252" s="19">
        <f>IF(AND(Diligence!$C$162=0,T$3=i_conc_end),i_handback*T165,0)</f>
        <v/>
      </c>
      <c r="U252" s="19">
        <f>IF(AND(Diligence!$C$162=0,U$3=i_conc_end),i_handback*U165,0)</f>
        <v/>
      </c>
      <c r="V252" s="19">
        <f>IF(AND(Diligence!$C$162=0,V$3=i_conc_end),i_handback*V165,0)</f>
        <v/>
      </c>
      <c r="W252" s="19">
        <f>IF(AND(Diligence!$C$162=0,W$3=i_conc_end),i_handback*W165,0)</f>
        <v/>
      </c>
      <c r="X252" s="19">
        <f>IF(AND(Diligence!$C$162=0,X$3=i_conc_end),i_handback*X165,0)</f>
        <v/>
      </c>
      <c r="Y252" s="19">
        <f>IF(AND(Diligence!$C$162=0,Y$3=i_conc_end),i_handback*Y165,0)</f>
        <v/>
      </c>
      <c r="Z252" s="19">
        <f>IF(AND(Diligence!$C$162=0,Z$3=i_conc_end),i_handback*Z165,0)</f>
        <v/>
      </c>
      <c r="AA252" s="19">
        <f>IF(AND(Diligence!$C$162=0,AA$3=i_conc_end),i_handback*AA165,0)</f>
        <v/>
      </c>
      <c r="AB252" s="19">
        <f>IF(AND(Diligence!$C$162=0,AB$3=i_conc_end),i_handback*AB165,0)</f>
        <v/>
      </c>
      <c r="AC252" s="19">
        <f>IF(AND(Diligence!$C$162=0,AC$3=i_conc_end),i_handback*AC165,0)</f>
        <v/>
      </c>
      <c r="AD252" s="19">
        <f>IF(AND(Diligence!$C$162=0,AD$3=i_conc_end),i_handback*AD165,0)</f>
        <v/>
      </c>
      <c r="AE252" s="19">
        <f>IF(AND(Diligence!$C$162=0,AE$3=i_conc_end),i_handback*AE165,0)</f>
        <v/>
      </c>
      <c r="AF252" s="19">
        <f>IF(AND(Diligence!$C$162=0,AF$3=i_conc_end),i_handback*AF165,0)</f>
        <v/>
      </c>
      <c r="AG252" s="19">
        <f>IF(AND(Diligence!$C$162=0,AG$3=i_conc_end),i_handback*AG165,0)</f>
        <v/>
      </c>
      <c r="AH252" s="19">
        <f>IF(AND(Diligence!$C$162=0,AH$3=i_conc_end),i_handback*AH165,0)</f>
        <v/>
      </c>
      <c r="AI252" s="19">
        <f>IF(AND(Diligence!$C$162=0,AI$3=i_conc_end),i_handback*AI165,0)</f>
        <v/>
      </c>
    </row>
    <row r="253">
      <c r="B253" s="3" t="inlineStr">
        <is>
          <t>Free cash flow (unlevered)</t>
        </is>
      </c>
      <c r="D253" s="31">
        <f>D247-D248-D249-D251-D252</f>
        <v/>
      </c>
      <c r="E253" s="31">
        <f>E247-E248-E249-E251-E252</f>
        <v/>
      </c>
      <c r="F253" s="31">
        <f>F247-F248-F249-F251-F252</f>
        <v/>
      </c>
      <c r="G253" s="31">
        <f>G247-G248-G249-G251-G252</f>
        <v/>
      </c>
      <c r="H253" s="31">
        <f>H247-H248-H249-H251-H252</f>
        <v/>
      </c>
      <c r="I253" s="31">
        <f>I247-I248-I249-I251-I252</f>
        <v/>
      </c>
      <c r="J253" s="31">
        <f>J247-J248-J249-J251-J252</f>
        <v/>
      </c>
      <c r="K253" s="31">
        <f>K247-K248-K249-K251-K252</f>
        <v/>
      </c>
      <c r="L253" s="31">
        <f>L247-L248-L249-L251-L252</f>
        <v/>
      </c>
      <c r="M253" s="31">
        <f>M247-M248-M249-M251-M252</f>
        <v/>
      </c>
      <c r="N253" s="31">
        <f>N247-N248-N249-N251-N252</f>
        <v/>
      </c>
      <c r="O253" s="31">
        <f>O247-O248-O249-O251-O252</f>
        <v/>
      </c>
      <c r="P253" s="31">
        <f>P247-P248-P249-P251-P252</f>
        <v/>
      </c>
      <c r="Q253" s="31">
        <f>Q247-Q248-Q249-Q251-Q252</f>
        <v/>
      </c>
      <c r="R253" s="31">
        <f>R247-R248-R249-R251-R252</f>
        <v/>
      </c>
      <c r="S253" s="31">
        <f>S247-S248-S249-S251-S252</f>
        <v/>
      </c>
      <c r="T253" s="31">
        <f>T247-T248-T249-T251-T252</f>
        <v/>
      </c>
      <c r="U253" s="31">
        <f>U247-U248-U249-U251-U252</f>
        <v/>
      </c>
      <c r="V253" s="31">
        <f>V247-V248-V249-V251-V252</f>
        <v/>
      </c>
      <c r="W253" s="31">
        <f>W247-W248-W249-W251-W252</f>
        <v/>
      </c>
      <c r="X253" s="31">
        <f>X247-X248-X249-X251-X252</f>
        <v/>
      </c>
      <c r="Y253" s="31">
        <f>Y247-Y248-Y249-Y251-Y252</f>
        <v/>
      </c>
      <c r="Z253" s="31">
        <f>Z247-Z248-Z249-Z251-Z252</f>
        <v/>
      </c>
      <c r="AA253" s="31">
        <f>AA247-AA248-AA249-AA251-AA252</f>
        <v/>
      </c>
      <c r="AB253" s="31">
        <f>AB247-AB248-AB249-AB251-AB252</f>
        <v/>
      </c>
      <c r="AC253" s="31">
        <f>AC247-AC248-AC249-AC251-AC252</f>
        <v/>
      </c>
      <c r="AD253" s="31">
        <f>AD247-AD248-AD249-AD251-AD252</f>
        <v/>
      </c>
      <c r="AE253" s="31">
        <f>AE247-AE248-AE249-AE251-AE252</f>
        <v/>
      </c>
      <c r="AF253" s="31">
        <f>AF247-AF248-AF249-AF251-AF252</f>
        <v/>
      </c>
      <c r="AG253" s="31">
        <f>AG247-AG248-AG249-AG251-AG252</f>
        <v/>
      </c>
      <c r="AH253" s="31">
        <f>AH247-AH248-AH249-AH251-AH252</f>
        <v/>
      </c>
      <c r="AI253" s="31">
        <f>AI247-AI248-AI249-AI251-AI252</f>
        <v/>
      </c>
    </row>
    <row r="254">
      <c r="B254" s="2" t="inlineStr">
        <is>
          <t>Present value at the discount rate (2027 to 2056)</t>
        </is>
      </c>
      <c r="D254" s="19">
        <f>IF(AND(D$3&gt;i_base_year,D$3&lt;=i_last),D253/(1+i_r)^D$4,0)</f>
        <v/>
      </c>
      <c r="E254" s="19">
        <f>IF(AND(E$3&gt;i_base_year,E$3&lt;=i_last),E253/(1+i_r)^E$4,0)</f>
        <v/>
      </c>
      <c r="F254" s="19">
        <f>IF(AND(F$3&gt;i_base_year,F$3&lt;=i_last),F253/(1+i_r)^F$4,0)</f>
        <v/>
      </c>
      <c r="G254" s="19">
        <f>IF(AND(G$3&gt;i_base_year,G$3&lt;=i_last),G253/(1+i_r)^G$4,0)</f>
        <v/>
      </c>
      <c r="H254" s="19">
        <f>IF(AND(H$3&gt;i_base_year,H$3&lt;=i_last),H253/(1+i_r)^H$4,0)</f>
        <v/>
      </c>
      <c r="I254" s="19">
        <f>IF(AND(I$3&gt;i_base_year,I$3&lt;=i_last),I253/(1+i_r)^I$4,0)</f>
        <v/>
      </c>
      <c r="J254" s="19">
        <f>IF(AND(J$3&gt;i_base_year,J$3&lt;=i_last),J253/(1+i_r)^J$4,0)</f>
        <v/>
      </c>
      <c r="K254" s="19">
        <f>IF(AND(K$3&gt;i_base_year,K$3&lt;=i_last),K253/(1+i_r)^K$4,0)</f>
        <v/>
      </c>
      <c r="L254" s="19">
        <f>IF(AND(L$3&gt;i_base_year,L$3&lt;=i_last),L253/(1+i_r)^L$4,0)</f>
        <v/>
      </c>
      <c r="M254" s="19">
        <f>IF(AND(M$3&gt;i_base_year,M$3&lt;=i_last),M253/(1+i_r)^M$4,0)</f>
        <v/>
      </c>
      <c r="N254" s="19">
        <f>IF(AND(N$3&gt;i_base_year,N$3&lt;=i_last),N253/(1+i_r)^N$4,0)</f>
        <v/>
      </c>
      <c r="O254" s="19">
        <f>IF(AND(O$3&gt;i_base_year,O$3&lt;=i_last),O253/(1+i_r)^O$4,0)</f>
        <v/>
      </c>
      <c r="P254" s="19">
        <f>IF(AND(P$3&gt;i_base_year,P$3&lt;=i_last),P253/(1+i_r)^P$4,0)</f>
        <v/>
      </c>
      <c r="Q254" s="19">
        <f>IF(AND(Q$3&gt;i_base_year,Q$3&lt;=i_last),Q253/(1+i_r)^Q$4,0)</f>
        <v/>
      </c>
      <c r="R254" s="19">
        <f>IF(AND(R$3&gt;i_base_year,R$3&lt;=i_last),R253/(1+i_r)^R$4,0)</f>
        <v/>
      </c>
      <c r="S254" s="19">
        <f>IF(AND(S$3&gt;i_base_year,S$3&lt;=i_last),S253/(1+i_r)^S$4,0)</f>
        <v/>
      </c>
      <c r="T254" s="19">
        <f>IF(AND(T$3&gt;i_base_year,T$3&lt;=i_last),T253/(1+i_r)^T$4,0)</f>
        <v/>
      </c>
      <c r="U254" s="19">
        <f>IF(AND(U$3&gt;i_base_year,U$3&lt;=i_last),U253/(1+i_r)^U$4,0)</f>
        <v/>
      </c>
      <c r="V254" s="19">
        <f>IF(AND(V$3&gt;i_base_year,V$3&lt;=i_last),V253/(1+i_r)^V$4,0)</f>
        <v/>
      </c>
      <c r="W254" s="19">
        <f>IF(AND(W$3&gt;i_base_year,W$3&lt;=i_last),W253/(1+i_r)^W$4,0)</f>
        <v/>
      </c>
      <c r="X254" s="19">
        <f>IF(AND(X$3&gt;i_base_year,X$3&lt;=i_last),X253/(1+i_r)^X$4,0)</f>
        <v/>
      </c>
      <c r="Y254" s="19">
        <f>IF(AND(Y$3&gt;i_base_year,Y$3&lt;=i_last),Y253/(1+i_r)^Y$4,0)</f>
        <v/>
      </c>
      <c r="Z254" s="19">
        <f>IF(AND(Z$3&gt;i_base_year,Z$3&lt;=i_last),Z253/(1+i_r)^Z$4,0)</f>
        <v/>
      </c>
      <c r="AA254" s="19">
        <f>IF(AND(AA$3&gt;i_base_year,AA$3&lt;=i_last),AA253/(1+i_r)^AA$4,0)</f>
        <v/>
      </c>
      <c r="AB254" s="19">
        <f>IF(AND(AB$3&gt;i_base_year,AB$3&lt;=i_last),AB253/(1+i_r)^AB$4,0)</f>
        <v/>
      </c>
      <c r="AC254" s="19">
        <f>IF(AND(AC$3&gt;i_base_year,AC$3&lt;=i_last),AC253/(1+i_r)^AC$4,0)</f>
        <v/>
      </c>
      <c r="AD254" s="19">
        <f>IF(AND(AD$3&gt;i_base_year,AD$3&lt;=i_last),AD253/(1+i_r)^AD$4,0)</f>
        <v/>
      </c>
      <c r="AE254" s="19">
        <f>IF(AND(AE$3&gt;i_base_year,AE$3&lt;=i_last),AE253/(1+i_r)^AE$4,0)</f>
        <v/>
      </c>
      <c r="AF254" s="19">
        <f>IF(AND(AF$3&gt;i_base_year,AF$3&lt;=i_last),AF253/(1+i_r)^AF$4,0)</f>
        <v/>
      </c>
      <c r="AG254" s="19">
        <f>IF(AND(AG$3&gt;i_base_year,AG$3&lt;=i_last),AG253/(1+i_r)^AG$4,0)</f>
        <v/>
      </c>
      <c r="AH254" s="19">
        <f>IF(AND(AH$3&gt;i_base_year,AH$3&lt;=i_last),AH253/(1+i_r)^AH$4,0)</f>
        <v/>
      </c>
      <c r="AI254" s="19">
        <f>IF(AND(AI$3&gt;i_base_year,AI$3&lt;=i_last),AI253/(1+i_r)^AI$4,0)</f>
        <v/>
      </c>
    </row>
    <row r="255">
      <c r="B255" s="2" t="inlineStr">
        <is>
          <t>Present value of 2027 to 2056 free cash flow</t>
        </is>
      </c>
      <c r="C255" s="19">
        <f>SUM(D254:AI254)</f>
        <v/>
      </c>
    </row>
    <row r="256">
      <c r="B256" s="2" t="inlineStr">
        <is>
          <t>Terminal value at the end of 2056 (on 2057 free cash flow)</t>
        </is>
      </c>
      <c r="C256" s="19">
        <f>AI253/(i_r-i_g)</f>
        <v/>
      </c>
    </row>
    <row r="257">
      <c r="B257" s="2" t="inlineStr">
        <is>
          <t>Present value of the terminal value</t>
        </is>
      </c>
      <c r="C257" s="19">
        <f>C256/(1+i_r)^(i_last-i_base_year)</f>
        <v/>
      </c>
    </row>
    <row r="258">
      <c r="B258" s="3" t="inlineStr">
        <is>
          <t>Enterprise value at 31 December 2026</t>
        </is>
      </c>
      <c r="C258" s="31">
        <f>C255+C257</f>
        <v/>
      </c>
    </row>
    <row r="261">
      <c r="B261" s="5" t="inlineStr">
        <is>
          <t>Platform case: Bridge step 2: plus the customer loss</t>
        </is>
      </c>
    </row>
    <row r="262">
      <c r="B262" s="4" t="inlineStr">
        <is>
          <t>Inflation</t>
        </is>
      </c>
      <c r="C262" s="27">
        <f>Inputs!$H$219</f>
        <v/>
      </c>
    </row>
    <row r="263">
      <c r="B263" s="4" t="inlineStr">
        <is>
          <t>Buyer's recontracting rates (1) or seller's plan rates (0)</t>
        </is>
      </c>
      <c r="C263" s="26">
        <f>Inputs!$H$220</f>
        <v/>
      </c>
    </row>
    <row r="264">
      <c r="B264" s="4" t="inlineStr">
        <is>
          <t>Largest Westerhaven customer leaves (1/0)</t>
        </is>
      </c>
      <c r="C264" s="26">
        <f>Inputs!$H$221</f>
        <v/>
      </c>
    </row>
    <row r="265">
      <c r="B265" s="4" t="inlineStr">
        <is>
          <t>Jetty 3 refurbishment (1/0)</t>
        </is>
      </c>
      <c r="C265" s="26">
        <f>Inputs!$H$222</f>
        <v/>
      </c>
    </row>
    <row r="266">
      <c r="B266" s="4" t="inlineStr">
        <is>
          <t>Sabine Bend extra insurance (1/0)</t>
        </is>
      </c>
      <c r="C266" s="26">
        <f>Inputs!$H$223</f>
        <v/>
      </c>
    </row>
    <row r="267">
      <c r="B267" s="4" t="inlineStr">
        <is>
          <t>Expansion built (1/0)</t>
        </is>
      </c>
      <c r="C267" s="26">
        <f>Inputs!$H$224</f>
        <v/>
      </c>
    </row>
    <row r="268">
      <c r="B268" s="4" t="inlineStr">
        <is>
          <t>Occupancy shift from 2027</t>
        </is>
      </c>
      <c r="C268" s="27">
        <f>Inputs!$H$225</f>
        <v/>
      </c>
    </row>
    <row r="269">
      <c r="B269" s="4" t="inlineStr">
        <is>
          <t>Recontracting shift</t>
        </is>
      </c>
      <c r="C269" s="27">
        <f>Inputs!$H$226</f>
        <v/>
      </c>
    </row>
    <row r="270">
      <c r="B270" s="4" t="inlineStr">
        <is>
          <t>Concession renewed (1/0)</t>
        </is>
      </c>
      <c r="C270" s="26">
        <f>Inputs!$H$227</f>
        <v/>
      </c>
    </row>
    <row r="271">
      <c r="B271" s="4" t="inlineStr">
        <is>
          <t>Westerhaven capacity multiplier</t>
        </is>
      </c>
      <c r="C271" s="28">
        <f>Inputs!$H$228</f>
        <v/>
      </c>
    </row>
    <row r="272">
      <c r="B272" s="4" t="inlineStr">
        <is>
          <t>Extra yearly cost from 2028 ($m, 2026 dollars)</t>
        </is>
      </c>
      <c r="C272" s="29">
        <f>Inputs!$H$229</f>
        <v/>
      </c>
    </row>
    <row r="273">
      <c r="B273" s="2" t="inlineStr">
        <is>
          <t>Cost index (inflation)</t>
        </is>
      </c>
      <c r="D273" s="30">
        <f>(1+Diligence!$C$262)^D$4</f>
        <v/>
      </c>
      <c r="E273" s="30">
        <f>(1+Diligence!$C$262)^E$4</f>
        <v/>
      </c>
      <c r="F273" s="30">
        <f>(1+Diligence!$C$262)^F$4</f>
        <v/>
      </c>
      <c r="G273" s="30">
        <f>(1+Diligence!$C$262)^G$4</f>
        <v/>
      </c>
      <c r="H273" s="30">
        <f>(1+Diligence!$C$262)^H$4</f>
        <v/>
      </c>
      <c r="I273" s="30">
        <f>(1+Diligence!$C$262)^I$4</f>
        <v/>
      </c>
      <c r="J273" s="30">
        <f>(1+Diligence!$C$262)^J$4</f>
        <v/>
      </c>
      <c r="K273" s="30">
        <f>(1+Diligence!$C$262)^K$4</f>
        <v/>
      </c>
      <c r="L273" s="30">
        <f>(1+Diligence!$C$262)^L$4</f>
        <v/>
      </c>
      <c r="M273" s="30">
        <f>(1+Diligence!$C$262)^M$4</f>
        <v/>
      </c>
      <c r="N273" s="30">
        <f>(1+Diligence!$C$262)^N$4</f>
        <v/>
      </c>
      <c r="O273" s="30">
        <f>(1+Diligence!$C$262)^O$4</f>
        <v/>
      </c>
      <c r="P273" s="30">
        <f>(1+Diligence!$C$262)^P$4</f>
        <v/>
      </c>
      <c r="Q273" s="30">
        <f>(1+Diligence!$C$262)^Q$4</f>
        <v/>
      </c>
      <c r="R273" s="30">
        <f>(1+Diligence!$C$262)^R$4</f>
        <v/>
      </c>
      <c r="S273" s="30">
        <f>(1+Diligence!$C$262)^S$4</f>
        <v/>
      </c>
      <c r="T273" s="30">
        <f>(1+Diligence!$C$262)^T$4</f>
        <v/>
      </c>
      <c r="U273" s="30">
        <f>(1+Diligence!$C$262)^U$4</f>
        <v/>
      </c>
      <c r="V273" s="30">
        <f>(1+Diligence!$C$262)^V$4</f>
        <v/>
      </c>
      <c r="W273" s="30">
        <f>(1+Diligence!$C$262)^W$4</f>
        <v/>
      </c>
      <c r="X273" s="30">
        <f>(1+Diligence!$C$262)^X$4</f>
        <v/>
      </c>
      <c r="Y273" s="30">
        <f>(1+Diligence!$C$262)^Y$4</f>
        <v/>
      </c>
      <c r="Z273" s="30">
        <f>(1+Diligence!$C$262)^Z$4</f>
        <v/>
      </c>
      <c r="AA273" s="30">
        <f>(1+Diligence!$C$262)^AA$4</f>
        <v/>
      </c>
      <c r="AB273" s="30">
        <f>(1+Diligence!$C$262)^AB$4</f>
        <v/>
      </c>
      <c r="AC273" s="30">
        <f>(1+Diligence!$C$262)^AC$4</f>
        <v/>
      </c>
      <c r="AD273" s="30">
        <f>(1+Diligence!$C$262)^AD$4</f>
        <v/>
      </c>
      <c r="AE273" s="30">
        <f>(1+Diligence!$C$262)^AE$4</f>
        <v/>
      </c>
      <c r="AF273" s="30">
        <f>(1+Diligence!$C$262)^AF$4</f>
        <v/>
      </c>
      <c r="AG273" s="30">
        <f>(1+Diligence!$C$262)^AG$4</f>
        <v/>
      </c>
      <c r="AH273" s="30">
        <f>(1+Diligence!$C$262)^AH$4</f>
        <v/>
      </c>
      <c r="AI273" s="30">
        <f>(1+Diligence!$C$262)^AI$4</f>
        <v/>
      </c>
    </row>
    <row r="274">
      <c r="B274" s="2" t="inlineStr">
        <is>
          <t>Rate index (inflation x pass-through)</t>
        </is>
      </c>
      <c r="D274" s="30">
        <f>(1+Diligence!$C$262*i_index_share)^D$4</f>
        <v/>
      </c>
      <c r="E274" s="30">
        <f>(1+Diligence!$C$262*i_index_share)^E$4</f>
        <v/>
      </c>
      <c r="F274" s="30">
        <f>(1+Diligence!$C$262*i_index_share)^F$4</f>
        <v/>
      </c>
      <c r="G274" s="30">
        <f>(1+Diligence!$C$262*i_index_share)^G$4</f>
        <v/>
      </c>
      <c r="H274" s="30">
        <f>(1+Diligence!$C$262*i_index_share)^H$4</f>
        <v/>
      </c>
      <c r="I274" s="30">
        <f>(1+Diligence!$C$262*i_index_share)^I$4</f>
        <v/>
      </c>
      <c r="J274" s="30">
        <f>(1+Diligence!$C$262*i_index_share)^J$4</f>
        <v/>
      </c>
      <c r="K274" s="30">
        <f>(1+Diligence!$C$262*i_index_share)^K$4</f>
        <v/>
      </c>
      <c r="L274" s="30">
        <f>(1+Diligence!$C$262*i_index_share)^L$4</f>
        <v/>
      </c>
      <c r="M274" s="30">
        <f>(1+Diligence!$C$262*i_index_share)^M$4</f>
        <v/>
      </c>
      <c r="N274" s="30">
        <f>(1+Diligence!$C$262*i_index_share)^N$4</f>
        <v/>
      </c>
      <c r="O274" s="30">
        <f>(1+Diligence!$C$262*i_index_share)^O$4</f>
        <v/>
      </c>
      <c r="P274" s="30">
        <f>(1+Diligence!$C$262*i_index_share)^P$4</f>
        <v/>
      </c>
      <c r="Q274" s="30">
        <f>(1+Diligence!$C$262*i_index_share)^Q$4</f>
        <v/>
      </c>
      <c r="R274" s="30">
        <f>(1+Diligence!$C$262*i_index_share)^R$4</f>
        <v/>
      </c>
      <c r="S274" s="30">
        <f>(1+Diligence!$C$262*i_index_share)^S$4</f>
        <v/>
      </c>
      <c r="T274" s="30">
        <f>(1+Diligence!$C$262*i_index_share)^T$4</f>
        <v/>
      </c>
      <c r="U274" s="30">
        <f>(1+Diligence!$C$262*i_index_share)^U$4</f>
        <v/>
      </c>
      <c r="V274" s="30">
        <f>(1+Diligence!$C$262*i_index_share)^V$4</f>
        <v/>
      </c>
      <c r="W274" s="30">
        <f>(1+Diligence!$C$262*i_index_share)^W$4</f>
        <v/>
      </c>
      <c r="X274" s="30">
        <f>(1+Diligence!$C$262*i_index_share)^X$4</f>
        <v/>
      </c>
      <c r="Y274" s="30">
        <f>(1+Diligence!$C$262*i_index_share)^Y$4</f>
        <v/>
      </c>
      <c r="Z274" s="30">
        <f>(1+Diligence!$C$262*i_index_share)^Z$4</f>
        <v/>
      </c>
      <c r="AA274" s="30">
        <f>(1+Diligence!$C$262*i_index_share)^AA$4</f>
        <v/>
      </c>
      <c r="AB274" s="30">
        <f>(1+Diligence!$C$262*i_index_share)^AB$4</f>
        <v/>
      </c>
      <c r="AC274" s="30">
        <f>(1+Diligence!$C$262*i_index_share)^AC$4</f>
        <v/>
      </c>
      <c r="AD274" s="30">
        <f>(1+Diligence!$C$262*i_index_share)^AD$4</f>
        <v/>
      </c>
      <c r="AE274" s="30">
        <f>(1+Diligence!$C$262*i_index_share)^AE$4</f>
        <v/>
      </c>
      <c r="AF274" s="30">
        <f>(1+Diligence!$C$262*i_index_share)^AF$4</f>
        <v/>
      </c>
      <c r="AG274" s="30">
        <f>(1+Diligence!$C$262*i_index_share)^AG$4</f>
        <v/>
      </c>
      <c r="AH274" s="30">
        <f>(1+Diligence!$C$262*i_index_share)^AH$4</f>
        <v/>
      </c>
      <c r="AI274" s="30">
        <f>(1+Diligence!$C$262*i_index_share)^AI$4</f>
        <v/>
      </c>
    </row>
    <row r="275">
      <c r="B275" s="3" t="inlineStr">
        <is>
          <t>Westerhaven</t>
        </is>
      </c>
    </row>
    <row r="276">
      <c r="B276" s="2" t="inlineStr">
        <is>
          <t xml:space="preserve">  Concession in force (1/0)</t>
        </is>
      </c>
      <c r="D276" s="22">
        <f>IF(Diligence!$C$270=1,1,IF(D$3&lt;=i_conc_end,1,0))</f>
        <v/>
      </c>
      <c r="E276" s="22">
        <f>IF(Diligence!$C$270=1,1,IF(E$3&lt;=i_conc_end,1,0))</f>
        <v/>
      </c>
      <c r="F276" s="22">
        <f>IF(Diligence!$C$270=1,1,IF(F$3&lt;=i_conc_end,1,0))</f>
        <v/>
      </c>
      <c r="G276" s="22">
        <f>IF(Diligence!$C$270=1,1,IF(G$3&lt;=i_conc_end,1,0))</f>
        <v/>
      </c>
      <c r="H276" s="22">
        <f>IF(Diligence!$C$270=1,1,IF(H$3&lt;=i_conc_end,1,0))</f>
        <v/>
      </c>
      <c r="I276" s="22">
        <f>IF(Diligence!$C$270=1,1,IF(I$3&lt;=i_conc_end,1,0))</f>
        <v/>
      </c>
      <c r="J276" s="22">
        <f>IF(Diligence!$C$270=1,1,IF(J$3&lt;=i_conc_end,1,0))</f>
        <v/>
      </c>
      <c r="K276" s="22">
        <f>IF(Diligence!$C$270=1,1,IF(K$3&lt;=i_conc_end,1,0))</f>
        <v/>
      </c>
      <c r="L276" s="22">
        <f>IF(Diligence!$C$270=1,1,IF(L$3&lt;=i_conc_end,1,0))</f>
        <v/>
      </c>
      <c r="M276" s="22">
        <f>IF(Diligence!$C$270=1,1,IF(M$3&lt;=i_conc_end,1,0))</f>
        <v/>
      </c>
      <c r="N276" s="22">
        <f>IF(Diligence!$C$270=1,1,IF(N$3&lt;=i_conc_end,1,0))</f>
        <v/>
      </c>
      <c r="O276" s="22">
        <f>IF(Diligence!$C$270=1,1,IF(O$3&lt;=i_conc_end,1,0))</f>
        <v/>
      </c>
      <c r="P276" s="22">
        <f>IF(Diligence!$C$270=1,1,IF(P$3&lt;=i_conc_end,1,0))</f>
        <v/>
      </c>
      <c r="Q276" s="22">
        <f>IF(Diligence!$C$270=1,1,IF(Q$3&lt;=i_conc_end,1,0))</f>
        <v/>
      </c>
      <c r="R276" s="22">
        <f>IF(Diligence!$C$270=1,1,IF(R$3&lt;=i_conc_end,1,0))</f>
        <v/>
      </c>
      <c r="S276" s="22">
        <f>IF(Diligence!$C$270=1,1,IF(S$3&lt;=i_conc_end,1,0))</f>
        <v/>
      </c>
      <c r="T276" s="22">
        <f>IF(Diligence!$C$270=1,1,IF(T$3&lt;=i_conc_end,1,0))</f>
        <v/>
      </c>
      <c r="U276" s="22">
        <f>IF(Diligence!$C$270=1,1,IF(U$3&lt;=i_conc_end,1,0))</f>
        <v/>
      </c>
      <c r="V276" s="22">
        <f>IF(Diligence!$C$270=1,1,IF(V$3&lt;=i_conc_end,1,0))</f>
        <v/>
      </c>
      <c r="W276" s="22">
        <f>IF(Diligence!$C$270=1,1,IF(W$3&lt;=i_conc_end,1,0))</f>
        <v/>
      </c>
      <c r="X276" s="22">
        <f>IF(Diligence!$C$270=1,1,IF(X$3&lt;=i_conc_end,1,0))</f>
        <v/>
      </c>
      <c r="Y276" s="22">
        <f>IF(Diligence!$C$270=1,1,IF(Y$3&lt;=i_conc_end,1,0))</f>
        <v/>
      </c>
      <c r="Z276" s="22">
        <f>IF(Diligence!$C$270=1,1,IF(Z$3&lt;=i_conc_end,1,0))</f>
        <v/>
      </c>
      <c r="AA276" s="22">
        <f>IF(Diligence!$C$270=1,1,IF(AA$3&lt;=i_conc_end,1,0))</f>
        <v/>
      </c>
      <c r="AB276" s="22">
        <f>IF(Diligence!$C$270=1,1,IF(AB$3&lt;=i_conc_end,1,0))</f>
        <v/>
      </c>
      <c r="AC276" s="22">
        <f>IF(Diligence!$C$270=1,1,IF(AC$3&lt;=i_conc_end,1,0))</f>
        <v/>
      </c>
      <c r="AD276" s="22">
        <f>IF(Diligence!$C$270=1,1,IF(AD$3&lt;=i_conc_end,1,0))</f>
        <v/>
      </c>
      <c r="AE276" s="22">
        <f>IF(Diligence!$C$270=1,1,IF(AE$3&lt;=i_conc_end,1,0))</f>
        <v/>
      </c>
      <c r="AF276" s="22">
        <f>IF(Diligence!$C$270=1,1,IF(AF$3&lt;=i_conc_end,1,0))</f>
        <v/>
      </c>
      <c r="AG276" s="22">
        <f>IF(Diligence!$C$270=1,1,IF(AG$3&lt;=i_conc_end,1,0))</f>
        <v/>
      </c>
      <c r="AH276" s="22">
        <f>IF(Diligence!$C$270=1,1,IF(AH$3&lt;=i_conc_end,1,0))</f>
        <v/>
      </c>
      <c r="AI276" s="22">
        <f>IF(Diligence!$C$270=1,1,IF(AI$3&lt;=i_conc_end,1,0))</f>
        <v/>
      </c>
    </row>
    <row r="277">
      <c r="B277" s="2" t="inlineStr">
        <is>
          <t xml:space="preserve">  Capacity in service (million m3)</t>
        </is>
      </c>
      <c r="D277" s="24">
        <f>i_W_cap*Diligence!$C$271*D276</f>
        <v/>
      </c>
      <c r="E277" s="24">
        <f>i_W_cap*Diligence!$C$271*E276</f>
        <v/>
      </c>
      <c r="F277" s="24">
        <f>i_W_cap*Diligence!$C$271*F276</f>
        <v/>
      </c>
      <c r="G277" s="24">
        <f>i_W_cap*Diligence!$C$271*G276</f>
        <v/>
      </c>
      <c r="H277" s="24">
        <f>i_W_cap*Diligence!$C$271*H276</f>
        <v/>
      </c>
      <c r="I277" s="24">
        <f>i_W_cap*Diligence!$C$271*I276</f>
        <v/>
      </c>
      <c r="J277" s="24">
        <f>i_W_cap*Diligence!$C$271*J276</f>
        <v/>
      </c>
      <c r="K277" s="24">
        <f>i_W_cap*Diligence!$C$271*K276</f>
        <v/>
      </c>
      <c r="L277" s="24">
        <f>i_W_cap*Diligence!$C$271*L276</f>
        <v/>
      </c>
      <c r="M277" s="24">
        <f>i_W_cap*Diligence!$C$271*M276</f>
        <v/>
      </c>
      <c r="N277" s="24">
        <f>i_W_cap*Diligence!$C$271*N276</f>
        <v/>
      </c>
      <c r="O277" s="24">
        <f>i_W_cap*Diligence!$C$271*O276</f>
        <v/>
      </c>
      <c r="P277" s="24">
        <f>i_W_cap*Diligence!$C$271*P276</f>
        <v/>
      </c>
      <c r="Q277" s="24">
        <f>i_W_cap*Diligence!$C$271*Q276</f>
        <v/>
      </c>
      <c r="R277" s="24">
        <f>i_W_cap*Diligence!$C$271*R276</f>
        <v/>
      </c>
      <c r="S277" s="24">
        <f>i_W_cap*Diligence!$C$271*S276</f>
        <v/>
      </c>
      <c r="T277" s="24">
        <f>i_W_cap*Diligence!$C$271*T276</f>
        <v/>
      </c>
      <c r="U277" s="24">
        <f>i_W_cap*Diligence!$C$271*U276</f>
        <v/>
      </c>
      <c r="V277" s="24">
        <f>i_W_cap*Diligence!$C$271*V276</f>
        <v/>
      </c>
      <c r="W277" s="24">
        <f>i_W_cap*Diligence!$C$271*W276</f>
        <v/>
      </c>
      <c r="X277" s="24">
        <f>i_W_cap*Diligence!$C$271*X276</f>
        <v/>
      </c>
      <c r="Y277" s="24">
        <f>i_W_cap*Diligence!$C$271*Y276</f>
        <v/>
      </c>
      <c r="Z277" s="24">
        <f>i_W_cap*Diligence!$C$271*Z276</f>
        <v/>
      </c>
      <c r="AA277" s="24">
        <f>i_W_cap*Diligence!$C$271*AA276</f>
        <v/>
      </c>
      <c r="AB277" s="24">
        <f>i_W_cap*Diligence!$C$271*AB276</f>
        <v/>
      </c>
      <c r="AC277" s="24">
        <f>i_W_cap*Diligence!$C$271*AC276</f>
        <v/>
      </c>
      <c r="AD277" s="24">
        <f>i_W_cap*Diligence!$C$271*AD276</f>
        <v/>
      </c>
      <c r="AE277" s="24">
        <f>i_W_cap*Diligence!$C$271*AE276</f>
        <v/>
      </c>
      <c r="AF277" s="24">
        <f>i_W_cap*Diligence!$C$271*AF276</f>
        <v/>
      </c>
      <c r="AG277" s="24">
        <f>i_W_cap*Diligence!$C$271*AG276</f>
        <v/>
      </c>
      <c r="AH277" s="24">
        <f>i_W_cap*Diligence!$C$271*AH276</f>
        <v/>
      </c>
      <c r="AI277" s="24">
        <f>i_W_cap*Diligence!$C$271*AI276</f>
        <v/>
      </c>
    </row>
    <row r="278">
      <c r="B278" s="2" t="inlineStr">
        <is>
          <t xml:space="preserve">  Share on contracts signed before 2027</t>
        </is>
      </c>
      <c r="D278" s="21">
        <f>SUMIF(i_book_years,D$3,i_W_book)</f>
        <v/>
      </c>
      <c r="E278" s="21">
        <f>SUMIF(i_book_years,E$3,i_W_book)</f>
        <v/>
      </c>
      <c r="F278" s="21">
        <f>SUMIF(i_book_years,F$3,i_W_book)</f>
        <v/>
      </c>
      <c r="G278" s="21">
        <f>SUMIF(i_book_years,G$3,i_W_book)</f>
        <v/>
      </c>
      <c r="H278" s="21">
        <f>SUMIF(i_book_years,H$3,i_W_book)</f>
        <v/>
      </c>
      <c r="I278" s="21">
        <f>SUMIF(i_book_years,I$3,i_W_book)</f>
        <v/>
      </c>
      <c r="J278" s="21">
        <f>SUMIF(i_book_years,J$3,i_W_book)</f>
        <v/>
      </c>
      <c r="K278" s="21">
        <f>SUMIF(i_book_years,K$3,i_W_book)</f>
        <v/>
      </c>
      <c r="L278" s="21">
        <f>SUMIF(i_book_years,L$3,i_W_book)</f>
        <v/>
      </c>
      <c r="M278" s="21">
        <f>SUMIF(i_book_years,M$3,i_W_book)</f>
        <v/>
      </c>
      <c r="N278" s="21">
        <f>SUMIF(i_book_years,N$3,i_W_book)</f>
        <v/>
      </c>
      <c r="O278" s="21">
        <f>SUMIF(i_book_years,O$3,i_W_book)</f>
        <v/>
      </c>
      <c r="P278" s="21">
        <f>SUMIF(i_book_years,P$3,i_W_book)</f>
        <v/>
      </c>
      <c r="Q278" s="21">
        <f>SUMIF(i_book_years,Q$3,i_W_book)</f>
        <v/>
      </c>
      <c r="R278" s="21">
        <f>SUMIF(i_book_years,R$3,i_W_book)</f>
        <v/>
      </c>
      <c r="S278" s="21">
        <f>SUMIF(i_book_years,S$3,i_W_book)</f>
        <v/>
      </c>
      <c r="T278" s="21">
        <f>SUMIF(i_book_years,T$3,i_W_book)</f>
        <v/>
      </c>
      <c r="U278" s="21">
        <f>SUMIF(i_book_years,U$3,i_W_book)</f>
        <v/>
      </c>
      <c r="V278" s="21">
        <f>SUMIF(i_book_years,V$3,i_W_book)</f>
        <v/>
      </c>
      <c r="W278" s="21">
        <f>SUMIF(i_book_years,W$3,i_W_book)</f>
        <v/>
      </c>
      <c r="X278" s="21">
        <f>SUMIF(i_book_years,X$3,i_W_book)</f>
        <v/>
      </c>
      <c r="Y278" s="21">
        <f>SUMIF(i_book_years,Y$3,i_W_book)</f>
        <v/>
      </c>
      <c r="Z278" s="21">
        <f>SUMIF(i_book_years,Z$3,i_W_book)</f>
        <v/>
      </c>
      <c r="AA278" s="21">
        <f>SUMIF(i_book_years,AA$3,i_W_book)</f>
        <v/>
      </c>
      <c r="AB278" s="21">
        <f>SUMIF(i_book_years,AB$3,i_W_book)</f>
        <v/>
      </c>
      <c r="AC278" s="21">
        <f>SUMIF(i_book_years,AC$3,i_W_book)</f>
        <v/>
      </c>
      <c r="AD278" s="21">
        <f>SUMIF(i_book_years,AD$3,i_W_book)</f>
        <v/>
      </c>
      <c r="AE278" s="21">
        <f>SUMIF(i_book_years,AE$3,i_W_book)</f>
        <v/>
      </c>
      <c r="AF278" s="21">
        <f>SUMIF(i_book_years,AF$3,i_W_book)</f>
        <v/>
      </c>
      <c r="AG278" s="21">
        <f>SUMIF(i_book_years,AG$3,i_W_book)</f>
        <v/>
      </c>
      <c r="AH278" s="21">
        <f>SUMIF(i_book_years,AH$3,i_W_book)</f>
        <v/>
      </c>
      <c r="AI278" s="21">
        <f>SUMIF(i_book_years,AI$3,i_W_book)</f>
        <v/>
      </c>
    </row>
    <row r="279">
      <c r="B279" s="2" t="inlineStr">
        <is>
          <t xml:space="preserve">  Recontracting factor against current rates</t>
        </is>
      </c>
      <c r="D279" s="21">
        <f>IF(D$4=0,0,IF(Diligence!$C$263=1,i_W_mtm,i_W_mtm_plan)+Diligence!$C$269)</f>
        <v/>
      </c>
      <c r="E279" s="21">
        <f>IF(E$4=0,0,IF(Diligence!$C$263=1,i_W_mtm,i_W_mtm_plan)+Diligence!$C$269)</f>
        <v/>
      </c>
      <c r="F279" s="21">
        <f>IF(F$4=0,0,IF(Diligence!$C$263=1,i_W_mtm,i_W_mtm_plan)+Diligence!$C$269)</f>
        <v/>
      </c>
      <c r="G279" s="21">
        <f>IF(G$4=0,0,IF(Diligence!$C$263=1,i_W_mtm,i_W_mtm_plan)+Diligence!$C$269)</f>
        <v/>
      </c>
      <c r="H279" s="21">
        <f>IF(H$4=0,0,IF(Diligence!$C$263=1,i_W_mtm,i_W_mtm_plan)+Diligence!$C$269)</f>
        <v/>
      </c>
      <c r="I279" s="21">
        <f>IF(I$4=0,0,IF(Diligence!$C$263=1,i_W_mtm,i_W_mtm_plan)+Diligence!$C$269)</f>
        <v/>
      </c>
      <c r="J279" s="21">
        <f>IF(J$4=0,0,IF(Diligence!$C$263=1,i_W_mtm,i_W_mtm_plan)+Diligence!$C$269)</f>
        <v/>
      </c>
      <c r="K279" s="21">
        <f>IF(K$4=0,0,IF(Diligence!$C$263=1,i_W_mtm,i_W_mtm_plan)+Diligence!$C$269)</f>
        <v/>
      </c>
      <c r="L279" s="21">
        <f>IF(L$4=0,0,IF(Diligence!$C$263=1,i_W_mtm,i_W_mtm_plan)+Diligence!$C$269)</f>
        <v/>
      </c>
      <c r="M279" s="21">
        <f>IF(M$4=0,0,IF(Diligence!$C$263=1,i_W_mtm,i_W_mtm_plan)+Diligence!$C$269)</f>
        <v/>
      </c>
      <c r="N279" s="21">
        <f>IF(N$4=0,0,IF(Diligence!$C$263=1,i_W_mtm,i_W_mtm_plan)+Diligence!$C$269)</f>
        <v/>
      </c>
      <c r="O279" s="21">
        <f>IF(O$4=0,0,IF(Diligence!$C$263=1,i_W_mtm,i_W_mtm_plan)+Diligence!$C$269)</f>
        <v/>
      </c>
      <c r="P279" s="21">
        <f>IF(P$4=0,0,IF(Diligence!$C$263=1,i_W_mtm,i_W_mtm_plan)+Diligence!$C$269)</f>
        <v/>
      </c>
      <c r="Q279" s="21">
        <f>IF(Q$4=0,0,IF(Diligence!$C$263=1,i_W_mtm,i_W_mtm_plan)+Diligence!$C$269)</f>
        <v/>
      </c>
      <c r="R279" s="21">
        <f>IF(R$4=0,0,IF(Diligence!$C$263=1,i_W_mtm,i_W_mtm_plan)+Diligence!$C$269)</f>
        <v/>
      </c>
      <c r="S279" s="21">
        <f>IF(S$4=0,0,IF(Diligence!$C$263=1,i_W_mtm,i_W_mtm_plan)+Diligence!$C$269)</f>
        <v/>
      </c>
      <c r="T279" s="21">
        <f>IF(T$4=0,0,IF(Diligence!$C$263=1,i_W_mtm,i_W_mtm_plan)+Diligence!$C$269)</f>
        <v/>
      </c>
      <c r="U279" s="21">
        <f>IF(U$4=0,0,IF(Diligence!$C$263=1,i_W_mtm,i_W_mtm_plan)+Diligence!$C$269)</f>
        <v/>
      </c>
      <c r="V279" s="21">
        <f>IF(V$4=0,0,IF(Diligence!$C$263=1,i_W_mtm,i_W_mtm_plan)+Diligence!$C$269)</f>
        <v/>
      </c>
      <c r="W279" s="21">
        <f>IF(W$4=0,0,IF(Diligence!$C$263=1,i_W_mtm,i_W_mtm_plan)+Diligence!$C$269)</f>
        <v/>
      </c>
      <c r="X279" s="21">
        <f>IF(X$4=0,0,IF(Diligence!$C$263=1,i_W_mtm,i_W_mtm_plan)+Diligence!$C$269)</f>
        <v/>
      </c>
      <c r="Y279" s="21">
        <f>IF(Y$4=0,0,IF(Diligence!$C$263=1,i_W_mtm,i_W_mtm_plan)+Diligence!$C$269)</f>
        <v/>
      </c>
      <c r="Z279" s="21">
        <f>IF(Z$4=0,0,IF(Diligence!$C$263=1,i_W_mtm,i_W_mtm_plan)+Diligence!$C$269)</f>
        <v/>
      </c>
      <c r="AA279" s="21">
        <f>IF(AA$4=0,0,IF(Diligence!$C$263=1,i_W_mtm,i_W_mtm_plan)+Diligence!$C$269)</f>
        <v/>
      </c>
      <c r="AB279" s="21">
        <f>IF(AB$4=0,0,IF(Diligence!$C$263=1,i_W_mtm,i_W_mtm_plan)+Diligence!$C$269)</f>
        <v/>
      </c>
      <c r="AC279" s="21">
        <f>IF(AC$4=0,0,IF(Diligence!$C$263=1,i_W_mtm,i_W_mtm_plan)+Diligence!$C$269)</f>
        <v/>
      </c>
      <c r="AD279" s="21">
        <f>IF(AD$4=0,0,IF(Diligence!$C$263=1,i_W_mtm,i_W_mtm_plan)+Diligence!$C$269)</f>
        <v/>
      </c>
      <c r="AE279" s="21">
        <f>IF(AE$4=0,0,IF(Diligence!$C$263=1,i_W_mtm,i_W_mtm_plan)+Diligence!$C$269)</f>
        <v/>
      </c>
      <c r="AF279" s="21">
        <f>IF(AF$4=0,0,IF(Diligence!$C$263=1,i_W_mtm,i_W_mtm_plan)+Diligence!$C$269)</f>
        <v/>
      </c>
      <c r="AG279" s="21">
        <f>IF(AG$4=0,0,IF(Diligence!$C$263=1,i_W_mtm,i_W_mtm_plan)+Diligence!$C$269)</f>
        <v/>
      </c>
      <c r="AH279" s="21">
        <f>IF(AH$4=0,0,IF(Diligence!$C$263=1,i_W_mtm,i_W_mtm_plan)+Diligence!$C$269)</f>
        <v/>
      </c>
      <c r="AI279" s="21">
        <f>IF(AI$4=0,0,IF(Diligence!$C$263=1,i_W_mtm,i_W_mtm_plan)+Diligence!$C$269)</f>
        <v/>
      </c>
    </row>
    <row r="280">
      <c r="B280" s="2" t="inlineStr">
        <is>
          <t xml:space="preserve">  Average rate ($ per m3 per month)</t>
        </is>
      </c>
      <c r="D280" s="24">
        <f>i_W_rate*D274*(D278+(1-D278)*(1+D279))</f>
        <v/>
      </c>
      <c r="E280" s="24">
        <f>i_W_rate*E274*(E278+(1-E278)*(1+E279))</f>
        <v/>
      </c>
      <c r="F280" s="24">
        <f>i_W_rate*F274*(F278+(1-F278)*(1+F279))</f>
        <v/>
      </c>
      <c r="G280" s="24">
        <f>i_W_rate*G274*(G278+(1-G278)*(1+G279))</f>
        <v/>
      </c>
      <c r="H280" s="24">
        <f>i_W_rate*H274*(H278+(1-H278)*(1+H279))</f>
        <v/>
      </c>
      <c r="I280" s="24">
        <f>i_W_rate*I274*(I278+(1-I278)*(1+I279))</f>
        <v/>
      </c>
      <c r="J280" s="24">
        <f>i_W_rate*J274*(J278+(1-J278)*(1+J279))</f>
        <v/>
      </c>
      <c r="K280" s="24">
        <f>i_W_rate*K274*(K278+(1-K278)*(1+K279))</f>
        <v/>
      </c>
      <c r="L280" s="24">
        <f>i_W_rate*L274*(L278+(1-L278)*(1+L279))</f>
        <v/>
      </c>
      <c r="M280" s="24">
        <f>i_W_rate*M274*(M278+(1-M278)*(1+M279))</f>
        <v/>
      </c>
      <c r="N280" s="24">
        <f>i_W_rate*N274*(N278+(1-N278)*(1+N279))</f>
        <v/>
      </c>
      <c r="O280" s="24">
        <f>i_W_rate*O274*(O278+(1-O278)*(1+O279))</f>
        <v/>
      </c>
      <c r="P280" s="24">
        <f>i_W_rate*P274*(P278+(1-P278)*(1+P279))</f>
        <v/>
      </c>
      <c r="Q280" s="24">
        <f>i_W_rate*Q274*(Q278+(1-Q278)*(1+Q279))</f>
        <v/>
      </c>
      <c r="R280" s="24">
        <f>i_W_rate*R274*(R278+(1-R278)*(1+R279))</f>
        <v/>
      </c>
      <c r="S280" s="24">
        <f>i_W_rate*S274*(S278+(1-S278)*(1+S279))</f>
        <v/>
      </c>
      <c r="T280" s="24">
        <f>i_W_rate*T274*(T278+(1-T278)*(1+T279))</f>
        <v/>
      </c>
      <c r="U280" s="24">
        <f>i_W_rate*U274*(U278+(1-U278)*(1+U279))</f>
        <v/>
      </c>
      <c r="V280" s="24">
        <f>i_W_rate*V274*(V278+(1-V278)*(1+V279))</f>
        <v/>
      </c>
      <c r="W280" s="24">
        <f>i_W_rate*W274*(W278+(1-W278)*(1+W279))</f>
        <v/>
      </c>
      <c r="X280" s="24">
        <f>i_W_rate*X274*(X278+(1-X278)*(1+X279))</f>
        <v/>
      </c>
      <c r="Y280" s="24">
        <f>i_W_rate*Y274*(Y278+(1-Y278)*(1+Y279))</f>
        <v/>
      </c>
      <c r="Z280" s="24">
        <f>i_W_rate*Z274*(Z278+(1-Z278)*(1+Z279))</f>
        <v/>
      </c>
      <c r="AA280" s="24">
        <f>i_W_rate*AA274*(AA278+(1-AA278)*(1+AA279))</f>
        <v/>
      </c>
      <c r="AB280" s="24">
        <f>i_W_rate*AB274*(AB278+(1-AB278)*(1+AB279))</f>
        <v/>
      </c>
      <c r="AC280" s="24">
        <f>i_W_rate*AC274*(AC278+(1-AC278)*(1+AC279))</f>
        <v/>
      </c>
      <c r="AD280" s="24">
        <f>i_W_rate*AD274*(AD278+(1-AD278)*(1+AD279))</f>
        <v/>
      </c>
      <c r="AE280" s="24">
        <f>i_W_rate*AE274*(AE278+(1-AE278)*(1+AE279))</f>
        <v/>
      </c>
      <c r="AF280" s="24">
        <f>i_W_rate*AF274*(AF278+(1-AF278)*(1+AF279))</f>
        <v/>
      </c>
      <c r="AG280" s="24">
        <f>i_W_rate*AG274*(AG278+(1-AG278)*(1+AG279))</f>
        <v/>
      </c>
      <c r="AH280" s="24">
        <f>i_W_rate*AH274*(AH278+(1-AH278)*(1+AH279))</f>
        <v/>
      </c>
      <c r="AI280" s="24">
        <f>i_W_rate*AI274*(AI278+(1-AI278)*(1+AI279))</f>
        <v/>
      </c>
    </row>
    <row r="281">
      <c r="B281" s="2" t="inlineStr">
        <is>
          <t xml:space="preserve">  Occupancy after the transition decline and floor</t>
        </is>
      </c>
      <c r="D281" s="21">
        <f>IF(D$3&gt;i_trans_start,MAX(i_W_floor,i_W_occ-i_W_dec*(D$3-i_trans_start)),i_W_occ)</f>
        <v/>
      </c>
      <c r="E281" s="21">
        <f>IF(E$3&gt;i_trans_start,MAX(i_W_floor,i_W_occ-i_W_dec*(E$3-i_trans_start)),i_W_occ)</f>
        <v/>
      </c>
      <c r="F281" s="21">
        <f>IF(F$3&gt;i_trans_start,MAX(i_W_floor,i_W_occ-i_W_dec*(F$3-i_trans_start)),i_W_occ)</f>
        <v/>
      </c>
      <c r="G281" s="21">
        <f>IF(G$3&gt;i_trans_start,MAX(i_W_floor,i_W_occ-i_W_dec*(G$3-i_trans_start)),i_W_occ)</f>
        <v/>
      </c>
      <c r="H281" s="21">
        <f>IF(H$3&gt;i_trans_start,MAX(i_W_floor,i_W_occ-i_W_dec*(H$3-i_trans_start)),i_W_occ)</f>
        <v/>
      </c>
      <c r="I281" s="21">
        <f>IF(I$3&gt;i_trans_start,MAX(i_W_floor,i_W_occ-i_W_dec*(I$3-i_trans_start)),i_W_occ)</f>
        <v/>
      </c>
      <c r="J281" s="21">
        <f>IF(J$3&gt;i_trans_start,MAX(i_W_floor,i_W_occ-i_W_dec*(J$3-i_trans_start)),i_W_occ)</f>
        <v/>
      </c>
      <c r="K281" s="21">
        <f>IF(K$3&gt;i_trans_start,MAX(i_W_floor,i_W_occ-i_W_dec*(K$3-i_trans_start)),i_W_occ)</f>
        <v/>
      </c>
      <c r="L281" s="21">
        <f>IF(L$3&gt;i_trans_start,MAX(i_W_floor,i_W_occ-i_W_dec*(L$3-i_trans_start)),i_W_occ)</f>
        <v/>
      </c>
      <c r="M281" s="21">
        <f>IF(M$3&gt;i_trans_start,MAX(i_W_floor,i_W_occ-i_W_dec*(M$3-i_trans_start)),i_W_occ)</f>
        <v/>
      </c>
      <c r="N281" s="21">
        <f>IF(N$3&gt;i_trans_start,MAX(i_W_floor,i_W_occ-i_W_dec*(N$3-i_trans_start)),i_W_occ)</f>
        <v/>
      </c>
      <c r="O281" s="21">
        <f>IF(O$3&gt;i_trans_start,MAX(i_W_floor,i_W_occ-i_W_dec*(O$3-i_trans_start)),i_W_occ)</f>
        <v/>
      </c>
      <c r="P281" s="21">
        <f>IF(P$3&gt;i_trans_start,MAX(i_W_floor,i_W_occ-i_W_dec*(P$3-i_trans_start)),i_W_occ)</f>
        <v/>
      </c>
      <c r="Q281" s="21">
        <f>IF(Q$3&gt;i_trans_start,MAX(i_W_floor,i_W_occ-i_W_dec*(Q$3-i_trans_start)),i_W_occ)</f>
        <v/>
      </c>
      <c r="R281" s="21">
        <f>IF(R$3&gt;i_trans_start,MAX(i_W_floor,i_W_occ-i_W_dec*(R$3-i_trans_start)),i_W_occ)</f>
        <v/>
      </c>
      <c r="S281" s="21">
        <f>IF(S$3&gt;i_trans_start,MAX(i_W_floor,i_W_occ-i_W_dec*(S$3-i_trans_start)),i_W_occ)</f>
        <v/>
      </c>
      <c r="T281" s="21">
        <f>IF(T$3&gt;i_trans_start,MAX(i_W_floor,i_W_occ-i_W_dec*(T$3-i_trans_start)),i_W_occ)</f>
        <v/>
      </c>
      <c r="U281" s="21">
        <f>IF(U$3&gt;i_trans_start,MAX(i_W_floor,i_W_occ-i_W_dec*(U$3-i_trans_start)),i_W_occ)</f>
        <v/>
      </c>
      <c r="V281" s="21">
        <f>IF(V$3&gt;i_trans_start,MAX(i_W_floor,i_W_occ-i_W_dec*(V$3-i_trans_start)),i_W_occ)</f>
        <v/>
      </c>
      <c r="W281" s="21">
        <f>IF(W$3&gt;i_trans_start,MAX(i_W_floor,i_W_occ-i_W_dec*(W$3-i_trans_start)),i_W_occ)</f>
        <v/>
      </c>
      <c r="X281" s="21">
        <f>IF(X$3&gt;i_trans_start,MAX(i_W_floor,i_W_occ-i_W_dec*(X$3-i_trans_start)),i_W_occ)</f>
        <v/>
      </c>
      <c r="Y281" s="21">
        <f>IF(Y$3&gt;i_trans_start,MAX(i_W_floor,i_W_occ-i_W_dec*(Y$3-i_trans_start)),i_W_occ)</f>
        <v/>
      </c>
      <c r="Z281" s="21">
        <f>IF(Z$3&gt;i_trans_start,MAX(i_W_floor,i_W_occ-i_W_dec*(Z$3-i_trans_start)),i_W_occ)</f>
        <v/>
      </c>
      <c r="AA281" s="21">
        <f>IF(AA$3&gt;i_trans_start,MAX(i_W_floor,i_W_occ-i_W_dec*(AA$3-i_trans_start)),i_W_occ)</f>
        <v/>
      </c>
      <c r="AB281" s="21">
        <f>IF(AB$3&gt;i_trans_start,MAX(i_W_floor,i_W_occ-i_W_dec*(AB$3-i_trans_start)),i_W_occ)</f>
        <v/>
      </c>
      <c r="AC281" s="21">
        <f>IF(AC$3&gt;i_trans_start,MAX(i_W_floor,i_W_occ-i_W_dec*(AC$3-i_trans_start)),i_W_occ)</f>
        <v/>
      </c>
      <c r="AD281" s="21">
        <f>IF(AD$3&gt;i_trans_start,MAX(i_W_floor,i_W_occ-i_W_dec*(AD$3-i_trans_start)),i_W_occ)</f>
        <v/>
      </c>
      <c r="AE281" s="21">
        <f>IF(AE$3&gt;i_trans_start,MAX(i_W_floor,i_W_occ-i_W_dec*(AE$3-i_trans_start)),i_W_occ)</f>
        <v/>
      </c>
      <c r="AF281" s="21">
        <f>IF(AF$3&gt;i_trans_start,MAX(i_W_floor,i_W_occ-i_W_dec*(AF$3-i_trans_start)),i_W_occ)</f>
        <v/>
      </c>
      <c r="AG281" s="21">
        <f>IF(AG$3&gt;i_trans_start,MAX(i_W_floor,i_W_occ-i_W_dec*(AG$3-i_trans_start)),i_W_occ)</f>
        <v/>
      </c>
      <c r="AH281" s="21">
        <f>IF(AH$3&gt;i_trans_start,MAX(i_W_floor,i_W_occ-i_W_dec*(AH$3-i_trans_start)),i_W_occ)</f>
        <v/>
      </c>
      <c r="AI281" s="21">
        <f>IF(AI$3&gt;i_trans_start,MAX(i_W_floor,i_W_occ-i_W_dec*(AI$3-i_trans_start)),i_W_occ)</f>
        <v/>
      </c>
    </row>
    <row r="282">
      <c r="B282" s="2" t="inlineStr">
        <is>
          <t xml:space="preserve">  Customer loss (points)</t>
        </is>
      </c>
      <c r="D282" s="21">
        <f>Diligence!$C$264*SUMIF(i_dip_years,D$3,i_dip_vals)</f>
        <v/>
      </c>
      <c r="E282" s="21">
        <f>Diligence!$C$264*SUMIF(i_dip_years,E$3,i_dip_vals)</f>
        <v/>
      </c>
      <c r="F282" s="21">
        <f>Diligence!$C$264*SUMIF(i_dip_years,F$3,i_dip_vals)</f>
        <v/>
      </c>
      <c r="G282" s="21">
        <f>Diligence!$C$264*SUMIF(i_dip_years,G$3,i_dip_vals)</f>
        <v/>
      </c>
      <c r="H282" s="21">
        <f>Diligence!$C$264*SUMIF(i_dip_years,H$3,i_dip_vals)</f>
        <v/>
      </c>
      <c r="I282" s="21">
        <f>Diligence!$C$264*SUMIF(i_dip_years,I$3,i_dip_vals)</f>
        <v/>
      </c>
      <c r="J282" s="21">
        <f>Diligence!$C$264*SUMIF(i_dip_years,J$3,i_dip_vals)</f>
        <v/>
      </c>
      <c r="K282" s="21">
        <f>Diligence!$C$264*SUMIF(i_dip_years,K$3,i_dip_vals)</f>
        <v/>
      </c>
      <c r="L282" s="21">
        <f>Diligence!$C$264*SUMIF(i_dip_years,L$3,i_dip_vals)</f>
        <v/>
      </c>
      <c r="M282" s="21">
        <f>Diligence!$C$264*SUMIF(i_dip_years,M$3,i_dip_vals)</f>
        <v/>
      </c>
      <c r="N282" s="21">
        <f>Diligence!$C$264*SUMIF(i_dip_years,N$3,i_dip_vals)</f>
        <v/>
      </c>
      <c r="O282" s="21">
        <f>Diligence!$C$264*SUMIF(i_dip_years,O$3,i_dip_vals)</f>
        <v/>
      </c>
      <c r="P282" s="21">
        <f>Diligence!$C$264*SUMIF(i_dip_years,P$3,i_dip_vals)</f>
        <v/>
      </c>
      <c r="Q282" s="21">
        <f>Diligence!$C$264*SUMIF(i_dip_years,Q$3,i_dip_vals)</f>
        <v/>
      </c>
      <c r="R282" s="21">
        <f>Diligence!$C$264*SUMIF(i_dip_years,R$3,i_dip_vals)</f>
        <v/>
      </c>
      <c r="S282" s="21">
        <f>Diligence!$C$264*SUMIF(i_dip_years,S$3,i_dip_vals)</f>
        <v/>
      </c>
      <c r="T282" s="21">
        <f>Diligence!$C$264*SUMIF(i_dip_years,T$3,i_dip_vals)</f>
        <v/>
      </c>
      <c r="U282" s="21">
        <f>Diligence!$C$264*SUMIF(i_dip_years,U$3,i_dip_vals)</f>
        <v/>
      </c>
      <c r="V282" s="21">
        <f>Diligence!$C$264*SUMIF(i_dip_years,V$3,i_dip_vals)</f>
        <v/>
      </c>
      <c r="W282" s="21">
        <f>Diligence!$C$264*SUMIF(i_dip_years,W$3,i_dip_vals)</f>
        <v/>
      </c>
      <c r="X282" s="21">
        <f>Diligence!$C$264*SUMIF(i_dip_years,X$3,i_dip_vals)</f>
        <v/>
      </c>
      <c r="Y282" s="21">
        <f>Diligence!$C$264*SUMIF(i_dip_years,Y$3,i_dip_vals)</f>
        <v/>
      </c>
      <c r="Z282" s="21">
        <f>Diligence!$C$264*SUMIF(i_dip_years,Z$3,i_dip_vals)</f>
        <v/>
      </c>
      <c r="AA282" s="21">
        <f>Diligence!$C$264*SUMIF(i_dip_years,AA$3,i_dip_vals)</f>
        <v/>
      </c>
      <c r="AB282" s="21">
        <f>Diligence!$C$264*SUMIF(i_dip_years,AB$3,i_dip_vals)</f>
        <v/>
      </c>
      <c r="AC282" s="21">
        <f>Diligence!$C$264*SUMIF(i_dip_years,AC$3,i_dip_vals)</f>
        <v/>
      </c>
      <c r="AD282" s="21">
        <f>Diligence!$C$264*SUMIF(i_dip_years,AD$3,i_dip_vals)</f>
        <v/>
      </c>
      <c r="AE282" s="21">
        <f>Diligence!$C$264*SUMIF(i_dip_years,AE$3,i_dip_vals)</f>
        <v/>
      </c>
      <c r="AF282" s="21">
        <f>Diligence!$C$264*SUMIF(i_dip_years,AF$3,i_dip_vals)</f>
        <v/>
      </c>
      <c r="AG282" s="21">
        <f>Diligence!$C$264*SUMIF(i_dip_years,AG$3,i_dip_vals)</f>
        <v/>
      </c>
      <c r="AH282" s="21">
        <f>Diligence!$C$264*SUMIF(i_dip_years,AH$3,i_dip_vals)</f>
        <v/>
      </c>
      <c r="AI282" s="21">
        <f>Diligence!$C$264*SUMIF(i_dip_years,AI$3,i_dip_vals)</f>
        <v/>
      </c>
    </row>
    <row r="283">
      <c r="B283" s="2" t="inlineStr">
        <is>
          <t xml:space="preserve">  Occupancy (with the shift switch from 2027)</t>
        </is>
      </c>
      <c r="D283" s="21">
        <f>IF(D$4&gt;0,MIN(1,D281-D282+Diligence!$C$268),D281-D282)</f>
        <v/>
      </c>
      <c r="E283" s="21">
        <f>IF(E$4&gt;0,MIN(1,E281-E282+Diligence!$C$268),E281-E282)</f>
        <v/>
      </c>
      <c r="F283" s="21">
        <f>IF(F$4&gt;0,MIN(1,F281-F282+Diligence!$C$268),F281-F282)</f>
        <v/>
      </c>
      <c r="G283" s="21">
        <f>IF(G$4&gt;0,MIN(1,G281-G282+Diligence!$C$268),G281-G282)</f>
        <v/>
      </c>
      <c r="H283" s="21">
        <f>IF(H$4&gt;0,MIN(1,H281-H282+Diligence!$C$268),H281-H282)</f>
        <v/>
      </c>
      <c r="I283" s="21">
        <f>IF(I$4&gt;0,MIN(1,I281-I282+Diligence!$C$268),I281-I282)</f>
        <v/>
      </c>
      <c r="J283" s="21">
        <f>IF(J$4&gt;0,MIN(1,J281-J282+Diligence!$C$268),J281-J282)</f>
        <v/>
      </c>
      <c r="K283" s="21">
        <f>IF(K$4&gt;0,MIN(1,K281-K282+Diligence!$C$268),K281-K282)</f>
        <v/>
      </c>
      <c r="L283" s="21">
        <f>IF(L$4&gt;0,MIN(1,L281-L282+Diligence!$C$268),L281-L282)</f>
        <v/>
      </c>
      <c r="M283" s="21">
        <f>IF(M$4&gt;0,MIN(1,M281-M282+Diligence!$C$268),M281-M282)</f>
        <v/>
      </c>
      <c r="N283" s="21">
        <f>IF(N$4&gt;0,MIN(1,N281-N282+Diligence!$C$268),N281-N282)</f>
        <v/>
      </c>
      <c r="O283" s="21">
        <f>IF(O$4&gt;0,MIN(1,O281-O282+Diligence!$C$268),O281-O282)</f>
        <v/>
      </c>
      <c r="P283" s="21">
        <f>IF(P$4&gt;0,MIN(1,P281-P282+Diligence!$C$268),P281-P282)</f>
        <v/>
      </c>
      <c r="Q283" s="21">
        <f>IF(Q$4&gt;0,MIN(1,Q281-Q282+Diligence!$C$268),Q281-Q282)</f>
        <v/>
      </c>
      <c r="R283" s="21">
        <f>IF(R$4&gt;0,MIN(1,R281-R282+Diligence!$C$268),R281-R282)</f>
        <v/>
      </c>
      <c r="S283" s="21">
        <f>IF(S$4&gt;0,MIN(1,S281-S282+Diligence!$C$268),S281-S282)</f>
        <v/>
      </c>
      <c r="T283" s="21">
        <f>IF(T$4&gt;0,MIN(1,T281-T282+Diligence!$C$268),T281-T282)</f>
        <v/>
      </c>
      <c r="U283" s="21">
        <f>IF(U$4&gt;0,MIN(1,U281-U282+Diligence!$C$268),U281-U282)</f>
        <v/>
      </c>
      <c r="V283" s="21">
        <f>IF(V$4&gt;0,MIN(1,V281-V282+Diligence!$C$268),V281-V282)</f>
        <v/>
      </c>
      <c r="W283" s="21">
        <f>IF(W$4&gt;0,MIN(1,W281-W282+Diligence!$C$268),W281-W282)</f>
        <v/>
      </c>
      <c r="X283" s="21">
        <f>IF(X$4&gt;0,MIN(1,X281-X282+Diligence!$C$268),X281-X282)</f>
        <v/>
      </c>
      <c r="Y283" s="21">
        <f>IF(Y$4&gt;0,MIN(1,Y281-Y282+Diligence!$C$268),Y281-Y282)</f>
        <v/>
      </c>
      <c r="Z283" s="21">
        <f>IF(Z$4&gt;0,MIN(1,Z281-Z282+Diligence!$C$268),Z281-Z282)</f>
        <v/>
      </c>
      <c r="AA283" s="21">
        <f>IF(AA$4&gt;0,MIN(1,AA281-AA282+Diligence!$C$268),AA281-AA282)</f>
        <v/>
      </c>
      <c r="AB283" s="21">
        <f>IF(AB$4&gt;0,MIN(1,AB281-AB282+Diligence!$C$268),AB281-AB282)</f>
        <v/>
      </c>
      <c r="AC283" s="21">
        <f>IF(AC$4&gt;0,MIN(1,AC281-AC282+Diligence!$C$268),AC281-AC282)</f>
        <v/>
      </c>
      <c r="AD283" s="21">
        <f>IF(AD$4&gt;0,MIN(1,AD281-AD282+Diligence!$C$268),AD281-AD282)</f>
        <v/>
      </c>
      <c r="AE283" s="21">
        <f>IF(AE$4&gt;0,MIN(1,AE281-AE282+Diligence!$C$268),AE281-AE282)</f>
        <v/>
      </c>
      <c r="AF283" s="21">
        <f>IF(AF$4&gt;0,MIN(1,AF281-AF282+Diligence!$C$268),AF281-AF282)</f>
        <v/>
      </c>
      <c r="AG283" s="21">
        <f>IF(AG$4&gt;0,MIN(1,AG281-AG282+Diligence!$C$268),AG281-AG282)</f>
        <v/>
      </c>
      <c r="AH283" s="21">
        <f>IF(AH$4&gt;0,MIN(1,AH281-AH282+Diligence!$C$268),AH281-AH282)</f>
        <v/>
      </c>
      <c r="AI283" s="21">
        <f>IF(AI$4&gt;0,MIN(1,AI281-AI282+Diligence!$C$268),AI281-AI282)</f>
        <v/>
      </c>
    </row>
    <row r="284">
      <c r="B284" s="2" t="inlineStr">
        <is>
          <t xml:space="preserve">  Storage revenue</t>
        </is>
      </c>
      <c r="D284" s="19">
        <f>D277*D280*12*D283</f>
        <v/>
      </c>
      <c r="E284" s="19">
        <f>E277*E280*12*E283</f>
        <v/>
      </c>
      <c r="F284" s="19">
        <f>F277*F280*12*F283</f>
        <v/>
      </c>
      <c r="G284" s="19">
        <f>G277*G280*12*G283</f>
        <v/>
      </c>
      <c r="H284" s="19">
        <f>H277*H280*12*H283</f>
        <v/>
      </c>
      <c r="I284" s="19">
        <f>I277*I280*12*I283</f>
        <v/>
      </c>
      <c r="J284" s="19">
        <f>J277*J280*12*J283</f>
        <v/>
      </c>
      <c r="K284" s="19">
        <f>K277*K280*12*K283</f>
        <v/>
      </c>
      <c r="L284" s="19">
        <f>L277*L280*12*L283</f>
        <v/>
      </c>
      <c r="M284" s="19">
        <f>M277*M280*12*M283</f>
        <v/>
      </c>
      <c r="N284" s="19">
        <f>N277*N280*12*N283</f>
        <v/>
      </c>
      <c r="O284" s="19">
        <f>O277*O280*12*O283</f>
        <v/>
      </c>
      <c r="P284" s="19">
        <f>P277*P280*12*P283</f>
        <v/>
      </c>
      <c r="Q284" s="19">
        <f>Q277*Q280*12*Q283</f>
        <v/>
      </c>
      <c r="R284" s="19">
        <f>R277*R280*12*R283</f>
        <v/>
      </c>
      <c r="S284" s="19">
        <f>S277*S280*12*S283</f>
        <v/>
      </c>
      <c r="T284" s="19">
        <f>T277*T280*12*T283</f>
        <v/>
      </c>
      <c r="U284" s="19">
        <f>U277*U280*12*U283</f>
        <v/>
      </c>
      <c r="V284" s="19">
        <f>V277*V280*12*V283</f>
        <v/>
      </c>
      <c r="W284" s="19">
        <f>W277*W280*12*W283</f>
        <v/>
      </c>
      <c r="X284" s="19">
        <f>X277*X280*12*X283</f>
        <v/>
      </c>
      <c r="Y284" s="19">
        <f>Y277*Y280*12*Y283</f>
        <v/>
      </c>
      <c r="Z284" s="19">
        <f>Z277*Z280*12*Z283</f>
        <v/>
      </c>
      <c r="AA284" s="19">
        <f>AA277*AA280*12*AA283</f>
        <v/>
      </c>
      <c r="AB284" s="19">
        <f>AB277*AB280*12*AB283</f>
        <v/>
      </c>
      <c r="AC284" s="19">
        <f>AC277*AC280*12*AC283</f>
        <v/>
      </c>
      <c r="AD284" s="19">
        <f>AD277*AD280*12*AD283</f>
        <v/>
      </c>
      <c r="AE284" s="19">
        <f>AE277*AE280*12*AE283</f>
        <v/>
      </c>
      <c r="AF284" s="19">
        <f>AF277*AF280*12*AF283</f>
        <v/>
      </c>
      <c r="AG284" s="19">
        <f>AG277*AG280*12*AG283</f>
        <v/>
      </c>
      <c r="AH284" s="19">
        <f>AH277*AH280*12*AH283</f>
        <v/>
      </c>
      <c r="AI284" s="19">
        <f>AI277*AI280*12*AI283</f>
        <v/>
      </c>
    </row>
    <row r="285">
      <c r="B285" s="2" t="inlineStr">
        <is>
          <t xml:space="preserve">  Ancillary and throughput revenue</t>
        </is>
      </c>
      <c r="D285" s="19">
        <f>D284*i_W_anc</f>
        <v/>
      </c>
      <c r="E285" s="19">
        <f>E284*i_W_anc</f>
        <v/>
      </c>
      <c r="F285" s="19">
        <f>F284*i_W_anc</f>
        <v/>
      </c>
      <c r="G285" s="19">
        <f>G284*i_W_anc</f>
        <v/>
      </c>
      <c r="H285" s="19">
        <f>H284*i_W_anc</f>
        <v/>
      </c>
      <c r="I285" s="19">
        <f>I284*i_W_anc</f>
        <v/>
      </c>
      <c r="J285" s="19">
        <f>J284*i_W_anc</f>
        <v/>
      </c>
      <c r="K285" s="19">
        <f>K284*i_W_anc</f>
        <v/>
      </c>
      <c r="L285" s="19">
        <f>L284*i_W_anc</f>
        <v/>
      </c>
      <c r="M285" s="19">
        <f>M284*i_W_anc</f>
        <v/>
      </c>
      <c r="N285" s="19">
        <f>N284*i_W_anc</f>
        <v/>
      </c>
      <c r="O285" s="19">
        <f>O284*i_W_anc</f>
        <v/>
      </c>
      <c r="P285" s="19">
        <f>P284*i_W_anc</f>
        <v/>
      </c>
      <c r="Q285" s="19">
        <f>Q284*i_W_anc</f>
        <v/>
      </c>
      <c r="R285" s="19">
        <f>R284*i_W_anc</f>
        <v/>
      </c>
      <c r="S285" s="19">
        <f>S284*i_W_anc</f>
        <v/>
      </c>
      <c r="T285" s="19">
        <f>T284*i_W_anc</f>
        <v/>
      </c>
      <c r="U285" s="19">
        <f>U284*i_W_anc</f>
        <v/>
      </c>
      <c r="V285" s="19">
        <f>V284*i_W_anc</f>
        <v/>
      </c>
      <c r="W285" s="19">
        <f>W284*i_W_anc</f>
        <v/>
      </c>
      <c r="X285" s="19">
        <f>X284*i_W_anc</f>
        <v/>
      </c>
      <c r="Y285" s="19">
        <f>Y284*i_W_anc</f>
        <v/>
      </c>
      <c r="Z285" s="19">
        <f>Z284*i_W_anc</f>
        <v/>
      </c>
      <c r="AA285" s="19">
        <f>AA284*i_W_anc</f>
        <v/>
      </c>
      <c r="AB285" s="19">
        <f>AB284*i_W_anc</f>
        <v/>
      </c>
      <c r="AC285" s="19">
        <f>AC284*i_W_anc</f>
        <v/>
      </c>
      <c r="AD285" s="19">
        <f>AD284*i_W_anc</f>
        <v/>
      </c>
      <c r="AE285" s="19">
        <f>AE284*i_W_anc</f>
        <v/>
      </c>
      <c r="AF285" s="19">
        <f>AF284*i_W_anc</f>
        <v/>
      </c>
      <c r="AG285" s="19">
        <f>AG284*i_W_anc</f>
        <v/>
      </c>
      <c r="AH285" s="19">
        <f>AH284*i_W_anc</f>
        <v/>
      </c>
      <c r="AI285" s="19">
        <f>AI284*i_W_anc</f>
        <v/>
      </c>
    </row>
    <row r="286">
      <c r="B286" s="3" t="inlineStr">
        <is>
          <t xml:space="preserve">  Revenue</t>
        </is>
      </c>
      <c r="D286" s="31">
        <f>D284+D285</f>
        <v/>
      </c>
      <c r="E286" s="31">
        <f>E284+E285</f>
        <v/>
      </c>
      <c r="F286" s="31">
        <f>F284+F285</f>
        <v/>
      </c>
      <c r="G286" s="31">
        <f>G284+G285</f>
        <v/>
      </c>
      <c r="H286" s="31">
        <f>H284+H285</f>
        <v/>
      </c>
      <c r="I286" s="31">
        <f>I284+I285</f>
        <v/>
      </c>
      <c r="J286" s="31">
        <f>J284+J285</f>
        <v/>
      </c>
      <c r="K286" s="31">
        <f>K284+K285</f>
        <v/>
      </c>
      <c r="L286" s="31">
        <f>L284+L285</f>
        <v/>
      </c>
      <c r="M286" s="31">
        <f>M284+M285</f>
        <v/>
      </c>
      <c r="N286" s="31">
        <f>N284+N285</f>
        <v/>
      </c>
      <c r="O286" s="31">
        <f>O284+O285</f>
        <v/>
      </c>
      <c r="P286" s="31">
        <f>P284+P285</f>
        <v/>
      </c>
      <c r="Q286" s="31">
        <f>Q284+Q285</f>
        <v/>
      </c>
      <c r="R286" s="31">
        <f>R284+R285</f>
        <v/>
      </c>
      <c r="S286" s="31">
        <f>S284+S285</f>
        <v/>
      </c>
      <c r="T286" s="31">
        <f>T284+T285</f>
        <v/>
      </c>
      <c r="U286" s="31">
        <f>U284+U285</f>
        <v/>
      </c>
      <c r="V286" s="31">
        <f>V284+V285</f>
        <v/>
      </c>
      <c r="W286" s="31">
        <f>W284+W285</f>
        <v/>
      </c>
      <c r="X286" s="31">
        <f>X284+X285</f>
        <v/>
      </c>
      <c r="Y286" s="31">
        <f>Y284+Y285</f>
        <v/>
      </c>
      <c r="Z286" s="31">
        <f>Z284+Z285</f>
        <v/>
      </c>
      <c r="AA286" s="31">
        <f>AA284+AA285</f>
        <v/>
      </c>
      <c r="AB286" s="31">
        <f>AB284+AB285</f>
        <v/>
      </c>
      <c r="AC286" s="31">
        <f>AC284+AC285</f>
        <v/>
      </c>
      <c r="AD286" s="31">
        <f>AD284+AD285</f>
        <v/>
      </c>
      <c r="AE286" s="31">
        <f>AE284+AE285</f>
        <v/>
      </c>
      <c r="AF286" s="31">
        <f>AF284+AF285</f>
        <v/>
      </c>
      <c r="AG286" s="31">
        <f>AG284+AG285</f>
        <v/>
      </c>
      <c r="AH286" s="31">
        <f>AH284+AH285</f>
        <v/>
      </c>
      <c r="AI286" s="31">
        <f>AI284+AI285</f>
        <v/>
      </c>
    </row>
    <row r="287">
      <c r="B287" s="2" t="inlineStr">
        <is>
          <t xml:space="preserve">  Fixed cost</t>
        </is>
      </c>
      <c r="D287" s="19">
        <f>D277*i_W_fix*D273</f>
        <v/>
      </c>
      <c r="E287" s="19">
        <f>E277*i_W_fix*E273</f>
        <v/>
      </c>
      <c r="F287" s="19">
        <f>F277*i_W_fix*F273</f>
        <v/>
      </c>
      <c r="G287" s="19">
        <f>G277*i_W_fix*G273</f>
        <v/>
      </c>
      <c r="H287" s="19">
        <f>H277*i_W_fix*H273</f>
        <v/>
      </c>
      <c r="I287" s="19">
        <f>I277*i_W_fix*I273</f>
        <v/>
      </c>
      <c r="J287" s="19">
        <f>J277*i_W_fix*J273</f>
        <v/>
      </c>
      <c r="K287" s="19">
        <f>K277*i_W_fix*K273</f>
        <v/>
      </c>
      <c r="L287" s="19">
        <f>L277*i_W_fix*L273</f>
        <v/>
      </c>
      <c r="M287" s="19">
        <f>M277*i_W_fix*M273</f>
        <v/>
      </c>
      <c r="N287" s="19">
        <f>N277*i_W_fix*N273</f>
        <v/>
      </c>
      <c r="O287" s="19">
        <f>O277*i_W_fix*O273</f>
        <v/>
      </c>
      <c r="P287" s="19">
        <f>P277*i_W_fix*P273</f>
        <v/>
      </c>
      <c r="Q287" s="19">
        <f>Q277*i_W_fix*Q273</f>
        <v/>
      </c>
      <c r="R287" s="19">
        <f>R277*i_W_fix*R273</f>
        <v/>
      </c>
      <c r="S287" s="19">
        <f>S277*i_W_fix*S273</f>
        <v/>
      </c>
      <c r="T287" s="19">
        <f>T277*i_W_fix*T273</f>
        <v/>
      </c>
      <c r="U287" s="19">
        <f>U277*i_W_fix*U273</f>
        <v/>
      </c>
      <c r="V287" s="19">
        <f>V277*i_W_fix*V273</f>
        <v/>
      </c>
      <c r="W287" s="19">
        <f>W277*i_W_fix*W273</f>
        <v/>
      </c>
      <c r="X287" s="19">
        <f>X277*i_W_fix*X273</f>
        <v/>
      </c>
      <c r="Y287" s="19">
        <f>Y277*i_W_fix*Y273</f>
        <v/>
      </c>
      <c r="Z287" s="19">
        <f>Z277*i_W_fix*Z273</f>
        <v/>
      </c>
      <c r="AA287" s="19">
        <f>AA277*i_W_fix*AA273</f>
        <v/>
      </c>
      <c r="AB287" s="19">
        <f>AB277*i_W_fix*AB273</f>
        <v/>
      </c>
      <c r="AC287" s="19">
        <f>AC277*i_W_fix*AC273</f>
        <v/>
      </c>
      <c r="AD287" s="19">
        <f>AD277*i_W_fix*AD273</f>
        <v/>
      </c>
      <c r="AE287" s="19">
        <f>AE277*i_W_fix*AE273</f>
        <v/>
      </c>
      <c r="AF287" s="19">
        <f>AF277*i_W_fix*AF273</f>
        <v/>
      </c>
      <c r="AG287" s="19">
        <f>AG277*i_W_fix*AG273</f>
        <v/>
      </c>
      <c r="AH287" s="19">
        <f>AH277*i_W_fix*AH273</f>
        <v/>
      </c>
      <c r="AI287" s="19">
        <f>AI277*i_W_fix*AI273</f>
        <v/>
      </c>
    </row>
    <row r="288">
      <c r="B288" s="2" t="inlineStr">
        <is>
          <t xml:space="preserve">  Variable cost</t>
        </is>
      </c>
      <c r="D288" s="19">
        <f>i_W_var*D286</f>
        <v/>
      </c>
      <c r="E288" s="19">
        <f>i_W_var*E286</f>
        <v/>
      </c>
      <c r="F288" s="19">
        <f>i_W_var*F286</f>
        <v/>
      </c>
      <c r="G288" s="19">
        <f>i_W_var*G286</f>
        <v/>
      </c>
      <c r="H288" s="19">
        <f>i_W_var*H286</f>
        <v/>
      </c>
      <c r="I288" s="19">
        <f>i_W_var*I286</f>
        <v/>
      </c>
      <c r="J288" s="19">
        <f>i_W_var*J286</f>
        <v/>
      </c>
      <c r="K288" s="19">
        <f>i_W_var*K286</f>
        <v/>
      </c>
      <c r="L288" s="19">
        <f>i_W_var*L286</f>
        <v/>
      </c>
      <c r="M288" s="19">
        <f>i_W_var*M286</f>
        <v/>
      </c>
      <c r="N288" s="19">
        <f>i_W_var*N286</f>
        <v/>
      </c>
      <c r="O288" s="19">
        <f>i_W_var*O286</f>
        <v/>
      </c>
      <c r="P288" s="19">
        <f>i_W_var*P286</f>
        <v/>
      </c>
      <c r="Q288" s="19">
        <f>i_W_var*Q286</f>
        <v/>
      </c>
      <c r="R288" s="19">
        <f>i_W_var*R286</f>
        <v/>
      </c>
      <c r="S288" s="19">
        <f>i_W_var*S286</f>
        <v/>
      </c>
      <c r="T288" s="19">
        <f>i_W_var*T286</f>
        <v/>
      </c>
      <c r="U288" s="19">
        <f>i_W_var*U286</f>
        <v/>
      </c>
      <c r="V288" s="19">
        <f>i_W_var*V286</f>
        <v/>
      </c>
      <c r="W288" s="19">
        <f>i_W_var*W286</f>
        <v/>
      </c>
      <c r="X288" s="19">
        <f>i_W_var*X286</f>
        <v/>
      </c>
      <c r="Y288" s="19">
        <f>i_W_var*Y286</f>
        <v/>
      </c>
      <c r="Z288" s="19">
        <f>i_W_var*Z286</f>
        <v/>
      </c>
      <c r="AA288" s="19">
        <f>i_W_var*AA286</f>
        <v/>
      </c>
      <c r="AB288" s="19">
        <f>i_W_var*AB286</f>
        <v/>
      </c>
      <c r="AC288" s="19">
        <f>i_W_var*AC286</f>
        <v/>
      </c>
      <c r="AD288" s="19">
        <f>i_W_var*AD286</f>
        <v/>
      </c>
      <c r="AE288" s="19">
        <f>i_W_var*AE286</f>
        <v/>
      </c>
      <c r="AF288" s="19">
        <f>i_W_var*AF286</f>
        <v/>
      </c>
      <c r="AG288" s="19">
        <f>i_W_var*AG286</f>
        <v/>
      </c>
      <c r="AH288" s="19">
        <f>i_W_var*AH286</f>
        <v/>
      </c>
      <c r="AI288" s="19">
        <f>i_W_var*AI286</f>
        <v/>
      </c>
    </row>
    <row r="289">
      <c r="B289" s="2" t="inlineStr">
        <is>
          <t xml:space="preserve">  Concession fee</t>
        </is>
      </c>
      <c r="D289" s="19">
        <f>IF(AND(Diligence!$C$270=1,D$3&gt;i_conc_end),i_renew_fee,i_W_fee)*D286</f>
        <v/>
      </c>
      <c r="E289" s="19">
        <f>IF(AND(Diligence!$C$270=1,E$3&gt;i_conc_end),i_renew_fee,i_W_fee)*E286</f>
        <v/>
      </c>
      <c r="F289" s="19">
        <f>IF(AND(Diligence!$C$270=1,F$3&gt;i_conc_end),i_renew_fee,i_W_fee)*F286</f>
        <v/>
      </c>
      <c r="G289" s="19">
        <f>IF(AND(Diligence!$C$270=1,G$3&gt;i_conc_end),i_renew_fee,i_W_fee)*G286</f>
        <v/>
      </c>
      <c r="H289" s="19">
        <f>IF(AND(Diligence!$C$270=1,H$3&gt;i_conc_end),i_renew_fee,i_W_fee)*H286</f>
        <v/>
      </c>
      <c r="I289" s="19">
        <f>IF(AND(Diligence!$C$270=1,I$3&gt;i_conc_end),i_renew_fee,i_W_fee)*I286</f>
        <v/>
      </c>
      <c r="J289" s="19">
        <f>IF(AND(Diligence!$C$270=1,J$3&gt;i_conc_end),i_renew_fee,i_W_fee)*J286</f>
        <v/>
      </c>
      <c r="K289" s="19">
        <f>IF(AND(Diligence!$C$270=1,K$3&gt;i_conc_end),i_renew_fee,i_W_fee)*K286</f>
        <v/>
      </c>
      <c r="L289" s="19">
        <f>IF(AND(Diligence!$C$270=1,L$3&gt;i_conc_end),i_renew_fee,i_W_fee)*L286</f>
        <v/>
      </c>
      <c r="M289" s="19">
        <f>IF(AND(Diligence!$C$270=1,M$3&gt;i_conc_end),i_renew_fee,i_W_fee)*M286</f>
        <v/>
      </c>
      <c r="N289" s="19">
        <f>IF(AND(Diligence!$C$270=1,N$3&gt;i_conc_end),i_renew_fee,i_W_fee)*N286</f>
        <v/>
      </c>
      <c r="O289" s="19">
        <f>IF(AND(Diligence!$C$270=1,O$3&gt;i_conc_end),i_renew_fee,i_W_fee)*O286</f>
        <v/>
      </c>
      <c r="P289" s="19">
        <f>IF(AND(Diligence!$C$270=1,P$3&gt;i_conc_end),i_renew_fee,i_W_fee)*P286</f>
        <v/>
      </c>
      <c r="Q289" s="19">
        <f>IF(AND(Diligence!$C$270=1,Q$3&gt;i_conc_end),i_renew_fee,i_W_fee)*Q286</f>
        <v/>
      </c>
      <c r="R289" s="19">
        <f>IF(AND(Diligence!$C$270=1,R$3&gt;i_conc_end),i_renew_fee,i_W_fee)*R286</f>
        <v/>
      </c>
      <c r="S289" s="19">
        <f>IF(AND(Diligence!$C$270=1,S$3&gt;i_conc_end),i_renew_fee,i_W_fee)*S286</f>
        <v/>
      </c>
      <c r="T289" s="19">
        <f>IF(AND(Diligence!$C$270=1,T$3&gt;i_conc_end),i_renew_fee,i_W_fee)*T286</f>
        <v/>
      </c>
      <c r="U289" s="19">
        <f>IF(AND(Diligence!$C$270=1,U$3&gt;i_conc_end),i_renew_fee,i_W_fee)*U286</f>
        <v/>
      </c>
      <c r="V289" s="19">
        <f>IF(AND(Diligence!$C$270=1,V$3&gt;i_conc_end),i_renew_fee,i_W_fee)*V286</f>
        <v/>
      </c>
      <c r="W289" s="19">
        <f>IF(AND(Diligence!$C$270=1,W$3&gt;i_conc_end),i_renew_fee,i_W_fee)*W286</f>
        <v/>
      </c>
      <c r="X289" s="19">
        <f>IF(AND(Diligence!$C$270=1,X$3&gt;i_conc_end),i_renew_fee,i_W_fee)*X286</f>
        <v/>
      </c>
      <c r="Y289" s="19">
        <f>IF(AND(Diligence!$C$270=1,Y$3&gt;i_conc_end),i_renew_fee,i_W_fee)*Y286</f>
        <v/>
      </c>
      <c r="Z289" s="19">
        <f>IF(AND(Diligence!$C$270=1,Z$3&gt;i_conc_end),i_renew_fee,i_W_fee)*Z286</f>
        <v/>
      </c>
      <c r="AA289" s="19">
        <f>IF(AND(Diligence!$C$270=1,AA$3&gt;i_conc_end),i_renew_fee,i_W_fee)*AA286</f>
        <v/>
      </c>
      <c r="AB289" s="19">
        <f>IF(AND(Diligence!$C$270=1,AB$3&gt;i_conc_end),i_renew_fee,i_W_fee)*AB286</f>
        <v/>
      </c>
      <c r="AC289" s="19">
        <f>IF(AND(Diligence!$C$270=1,AC$3&gt;i_conc_end),i_renew_fee,i_W_fee)*AC286</f>
        <v/>
      </c>
      <c r="AD289" s="19">
        <f>IF(AND(Diligence!$C$270=1,AD$3&gt;i_conc_end),i_renew_fee,i_W_fee)*AD286</f>
        <v/>
      </c>
      <c r="AE289" s="19">
        <f>IF(AND(Diligence!$C$270=1,AE$3&gt;i_conc_end),i_renew_fee,i_W_fee)*AE286</f>
        <v/>
      </c>
      <c r="AF289" s="19">
        <f>IF(AND(Diligence!$C$270=1,AF$3&gt;i_conc_end),i_renew_fee,i_W_fee)*AF286</f>
        <v/>
      </c>
      <c r="AG289" s="19">
        <f>IF(AND(Diligence!$C$270=1,AG$3&gt;i_conc_end),i_renew_fee,i_W_fee)*AG286</f>
        <v/>
      </c>
      <c r="AH289" s="19">
        <f>IF(AND(Diligence!$C$270=1,AH$3&gt;i_conc_end),i_renew_fee,i_W_fee)*AH286</f>
        <v/>
      </c>
      <c r="AI289" s="19">
        <f>IF(AND(Diligence!$C$270=1,AI$3&gt;i_conc_end),i_renew_fee,i_W_fee)*AI286</f>
        <v/>
      </c>
    </row>
    <row r="290">
      <c r="B290" s="2" t="inlineStr">
        <is>
          <t xml:space="preserve">  Operating cost</t>
        </is>
      </c>
      <c r="D290" s="19">
        <f>D287+D288+D289</f>
        <v/>
      </c>
      <c r="E290" s="19">
        <f>E287+E288+E289</f>
        <v/>
      </c>
      <c r="F290" s="19">
        <f>F287+F288+F289</f>
        <v/>
      </c>
      <c r="G290" s="19">
        <f>G287+G288+G289</f>
        <v/>
      </c>
      <c r="H290" s="19">
        <f>H287+H288+H289</f>
        <v/>
      </c>
      <c r="I290" s="19">
        <f>I287+I288+I289</f>
        <v/>
      </c>
      <c r="J290" s="19">
        <f>J287+J288+J289</f>
        <v/>
      </c>
      <c r="K290" s="19">
        <f>K287+K288+K289</f>
        <v/>
      </c>
      <c r="L290" s="19">
        <f>L287+L288+L289</f>
        <v/>
      </c>
      <c r="M290" s="19">
        <f>M287+M288+M289</f>
        <v/>
      </c>
      <c r="N290" s="19">
        <f>N287+N288+N289</f>
        <v/>
      </c>
      <c r="O290" s="19">
        <f>O287+O288+O289</f>
        <v/>
      </c>
      <c r="P290" s="19">
        <f>P287+P288+P289</f>
        <v/>
      </c>
      <c r="Q290" s="19">
        <f>Q287+Q288+Q289</f>
        <v/>
      </c>
      <c r="R290" s="19">
        <f>R287+R288+R289</f>
        <v/>
      </c>
      <c r="S290" s="19">
        <f>S287+S288+S289</f>
        <v/>
      </c>
      <c r="T290" s="19">
        <f>T287+T288+T289</f>
        <v/>
      </c>
      <c r="U290" s="19">
        <f>U287+U288+U289</f>
        <v/>
      </c>
      <c r="V290" s="19">
        <f>V287+V288+V289</f>
        <v/>
      </c>
      <c r="W290" s="19">
        <f>W287+W288+W289</f>
        <v/>
      </c>
      <c r="X290" s="19">
        <f>X287+X288+X289</f>
        <v/>
      </c>
      <c r="Y290" s="19">
        <f>Y287+Y288+Y289</f>
        <v/>
      </c>
      <c r="Z290" s="19">
        <f>Z287+Z288+Z289</f>
        <v/>
      </c>
      <c r="AA290" s="19">
        <f>AA287+AA288+AA289</f>
        <v/>
      </c>
      <c r="AB290" s="19">
        <f>AB287+AB288+AB289</f>
        <v/>
      </c>
      <c r="AC290" s="19">
        <f>AC287+AC288+AC289</f>
        <v/>
      </c>
      <c r="AD290" s="19">
        <f>AD287+AD288+AD289</f>
        <v/>
      </c>
      <c r="AE290" s="19">
        <f>AE287+AE288+AE289</f>
        <v/>
      </c>
      <c r="AF290" s="19">
        <f>AF287+AF288+AF289</f>
        <v/>
      </c>
      <c r="AG290" s="19">
        <f>AG287+AG288+AG289</f>
        <v/>
      </c>
      <c r="AH290" s="19">
        <f>AH287+AH288+AH289</f>
        <v/>
      </c>
      <c r="AI290" s="19">
        <f>AI287+AI288+AI289</f>
        <v/>
      </c>
    </row>
    <row r="291">
      <c r="B291" s="3" t="inlineStr">
        <is>
          <t xml:space="preserve">  EBITDA</t>
        </is>
      </c>
      <c r="D291" s="31">
        <f>D286-D290</f>
        <v/>
      </c>
      <c r="E291" s="31">
        <f>E286-E290</f>
        <v/>
      </c>
      <c r="F291" s="31">
        <f>F286-F290</f>
        <v/>
      </c>
      <c r="G291" s="31">
        <f>G286-G290</f>
        <v/>
      </c>
      <c r="H291" s="31">
        <f>H286-H290</f>
        <v/>
      </c>
      <c r="I291" s="31">
        <f>I286-I290</f>
        <v/>
      </c>
      <c r="J291" s="31">
        <f>J286-J290</f>
        <v/>
      </c>
      <c r="K291" s="31">
        <f>K286-K290</f>
        <v/>
      </c>
      <c r="L291" s="31">
        <f>L286-L290</f>
        <v/>
      </c>
      <c r="M291" s="31">
        <f>M286-M290</f>
        <v/>
      </c>
      <c r="N291" s="31">
        <f>N286-N290</f>
        <v/>
      </c>
      <c r="O291" s="31">
        <f>O286-O290</f>
        <v/>
      </c>
      <c r="P291" s="31">
        <f>P286-P290</f>
        <v/>
      </c>
      <c r="Q291" s="31">
        <f>Q286-Q290</f>
        <v/>
      </c>
      <c r="R291" s="31">
        <f>R286-R290</f>
        <v/>
      </c>
      <c r="S291" s="31">
        <f>S286-S290</f>
        <v/>
      </c>
      <c r="T291" s="31">
        <f>T286-T290</f>
        <v/>
      </c>
      <c r="U291" s="31">
        <f>U286-U290</f>
        <v/>
      </c>
      <c r="V291" s="31">
        <f>V286-V290</f>
        <v/>
      </c>
      <c r="W291" s="31">
        <f>W286-W290</f>
        <v/>
      </c>
      <c r="X291" s="31">
        <f>X286-X290</f>
        <v/>
      </c>
      <c r="Y291" s="31">
        <f>Y286-Y290</f>
        <v/>
      </c>
      <c r="Z291" s="31">
        <f>Z286-Z290</f>
        <v/>
      </c>
      <c r="AA291" s="31">
        <f>AA286-AA290</f>
        <v/>
      </c>
      <c r="AB291" s="31">
        <f>AB286-AB290</f>
        <v/>
      </c>
      <c r="AC291" s="31">
        <f>AC286-AC290</f>
        <v/>
      </c>
      <c r="AD291" s="31">
        <f>AD286-AD290</f>
        <v/>
      </c>
      <c r="AE291" s="31">
        <f>AE286-AE290</f>
        <v/>
      </c>
      <c r="AF291" s="31">
        <f>AF286-AF290</f>
        <v/>
      </c>
      <c r="AG291" s="31">
        <f>AG286-AG290</f>
        <v/>
      </c>
      <c r="AH291" s="31">
        <f>AH286-AH290</f>
        <v/>
      </c>
      <c r="AI291" s="31">
        <f>AI286-AI290</f>
        <v/>
      </c>
    </row>
    <row r="292">
      <c r="B292" s="2" t="inlineStr">
        <is>
          <t xml:space="preserve">  Maintenance capex (with jetty 3)</t>
        </is>
      </c>
      <c r="D292" s="19">
        <f>D277*i_W_mc*D273+D276*Diligence!$C$265*SUMIF(i_jetty_years,D$3,i_jetty_vals)*D273</f>
        <v/>
      </c>
      <c r="E292" s="19">
        <f>E277*i_W_mc*E273+E276*Diligence!$C$265*SUMIF(i_jetty_years,E$3,i_jetty_vals)*E273</f>
        <v/>
      </c>
      <c r="F292" s="19">
        <f>F277*i_W_mc*F273+F276*Diligence!$C$265*SUMIF(i_jetty_years,F$3,i_jetty_vals)*F273</f>
        <v/>
      </c>
      <c r="G292" s="19">
        <f>G277*i_W_mc*G273+G276*Diligence!$C$265*SUMIF(i_jetty_years,G$3,i_jetty_vals)*G273</f>
        <v/>
      </c>
      <c r="H292" s="19">
        <f>H277*i_W_mc*H273+H276*Diligence!$C$265*SUMIF(i_jetty_years,H$3,i_jetty_vals)*H273</f>
        <v/>
      </c>
      <c r="I292" s="19">
        <f>I277*i_W_mc*I273+I276*Diligence!$C$265*SUMIF(i_jetty_years,I$3,i_jetty_vals)*I273</f>
        <v/>
      </c>
      <c r="J292" s="19">
        <f>J277*i_W_mc*J273+J276*Diligence!$C$265*SUMIF(i_jetty_years,J$3,i_jetty_vals)*J273</f>
        <v/>
      </c>
      <c r="K292" s="19">
        <f>K277*i_W_mc*K273+K276*Diligence!$C$265*SUMIF(i_jetty_years,K$3,i_jetty_vals)*K273</f>
        <v/>
      </c>
      <c r="L292" s="19">
        <f>L277*i_W_mc*L273+L276*Diligence!$C$265*SUMIF(i_jetty_years,L$3,i_jetty_vals)*L273</f>
        <v/>
      </c>
      <c r="M292" s="19">
        <f>M277*i_W_mc*M273+M276*Diligence!$C$265*SUMIF(i_jetty_years,M$3,i_jetty_vals)*M273</f>
        <v/>
      </c>
      <c r="N292" s="19">
        <f>N277*i_W_mc*N273+N276*Diligence!$C$265*SUMIF(i_jetty_years,N$3,i_jetty_vals)*N273</f>
        <v/>
      </c>
      <c r="O292" s="19">
        <f>O277*i_W_mc*O273+O276*Diligence!$C$265*SUMIF(i_jetty_years,O$3,i_jetty_vals)*O273</f>
        <v/>
      </c>
      <c r="P292" s="19">
        <f>P277*i_W_mc*P273+P276*Diligence!$C$265*SUMIF(i_jetty_years,P$3,i_jetty_vals)*P273</f>
        <v/>
      </c>
      <c r="Q292" s="19">
        <f>Q277*i_W_mc*Q273+Q276*Diligence!$C$265*SUMIF(i_jetty_years,Q$3,i_jetty_vals)*Q273</f>
        <v/>
      </c>
      <c r="R292" s="19">
        <f>R277*i_W_mc*R273+R276*Diligence!$C$265*SUMIF(i_jetty_years,R$3,i_jetty_vals)*R273</f>
        <v/>
      </c>
      <c r="S292" s="19">
        <f>S277*i_W_mc*S273+S276*Diligence!$C$265*SUMIF(i_jetty_years,S$3,i_jetty_vals)*S273</f>
        <v/>
      </c>
      <c r="T292" s="19">
        <f>T277*i_W_mc*T273+T276*Diligence!$C$265*SUMIF(i_jetty_years,T$3,i_jetty_vals)*T273</f>
        <v/>
      </c>
      <c r="U292" s="19">
        <f>U277*i_W_mc*U273+U276*Diligence!$C$265*SUMIF(i_jetty_years,U$3,i_jetty_vals)*U273</f>
        <v/>
      </c>
      <c r="V292" s="19">
        <f>V277*i_W_mc*V273+V276*Diligence!$C$265*SUMIF(i_jetty_years,V$3,i_jetty_vals)*V273</f>
        <v/>
      </c>
      <c r="W292" s="19">
        <f>W277*i_W_mc*W273+W276*Diligence!$C$265*SUMIF(i_jetty_years,W$3,i_jetty_vals)*W273</f>
        <v/>
      </c>
      <c r="X292" s="19">
        <f>X277*i_W_mc*X273+X276*Diligence!$C$265*SUMIF(i_jetty_years,X$3,i_jetty_vals)*X273</f>
        <v/>
      </c>
      <c r="Y292" s="19">
        <f>Y277*i_W_mc*Y273+Y276*Diligence!$C$265*SUMIF(i_jetty_years,Y$3,i_jetty_vals)*Y273</f>
        <v/>
      </c>
      <c r="Z292" s="19">
        <f>Z277*i_W_mc*Z273+Z276*Diligence!$C$265*SUMIF(i_jetty_years,Z$3,i_jetty_vals)*Z273</f>
        <v/>
      </c>
      <c r="AA292" s="19">
        <f>AA277*i_W_mc*AA273+AA276*Diligence!$C$265*SUMIF(i_jetty_years,AA$3,i_jetty_vals)*AA273</f>
        <v/>
      </c>
      <c r="AB292" s="19">
        <f>AB277*i_W_mc*AB273+AB276*Diligence!$C$265*SUMIF(i_jetty_years,AB$3,i_jetty_vals)*AB273</f>
        <v/>
      </c>
      <c r="AC292" s="19">
        <f>AC277*i_W_mc*AC273+AC276*Diligence!$C$265*SUMIF(i_jetty_years,AC$3,i_jetty_vals)*AC273</f>
        <v/>
      </c>
      <c r="AD292" s="19">
        <f>AD277*i_W_mc*AD273+AD276*Diligence!$C$265*SUMIF(i_jetty_years,AD$3,i_jetty_vals)*AD273</f>
        <v/>
      </c>
      <c r="AE292" s="19">
        <f>AE277*i_W_mc*AE273+AE276*Diligence!$C$265*SUMIF(i_jetty_years,AE$3,i_jetty_vals)*AE273</f>
        <v/>
      </c>
      <c r="AF292" s="19">
        <f>AF277*i_W_mc*AF273+AF276*Diligence!$C$265*SUMIF(i_jetty_years,AF$3,i_jetty_vals)*AF273</f>
        <v/>
      </c>
      <c r="AG292" s="19">
        <f>AG277*i_W_mc*AG273+AG276*Diligence!$C$265*SUMIF(i_jetty_years,AG$3,i_jetty_vals)*AG273</f>
        <v/>
      </c>
      <c r="AH292" s="19">
        <f>AH277*i_W_mc*AH273+AH276*Diligence!$C$265*SUMIF(i_jetty_years,AH$3,i_jetty_vals)*AH273</f>
        <v/>
      </c>
      <c r="AI292" s="19">
        <f>AI277*i_W_mc*AI273+AI276*Diligence!$C$265*SUMIF(i_jetty_years,AI$3,i_jetty_vals)*AI273</f>
        <v/>
      </c>
    </row>
    <row r="293">
      <c r="B293" s="3" t="inlineStr">
        <is>
          <t>Rhine Inland</t>
        </is>
      </c>
    </row>
    <row r="294">
      <c r="B294" s="2" t="inlineStr">
        <is>
          <t xml:space="preserve">  Capacity in service (million m3)</t>
        </is>
      </c>
      <c r="D294" s="24">
        <f>i_R_cap</f>
        <v/>
      </c>
      <c r="E294" s="24">
        <f>i_R_cap</f>
        <v/>
      </c>
      <c r="F294" s="24">
        <f>i_R_cap</f>
        <v/>
      </c>
      <c r="G294" s="24">
        <f>i_R_cap</f>
        <v/>
      </c>
      <c r="H294" s="24">
        <f>i_R_cap</f>
        <v/>
      </c>
      <c r="I294" s="24">
        <f>i_R_cap</f>
        <v/>
      </c>
      <c r="J294" s="24">
        <f>i_R_cap</f>
        <v/>
      </c>
      <c r="K294" s="24">
        <f>i_R_cap</f>
        <v/>
      </c>
      <c r="L294" s="24">
        <f>i_R_cap</f>
        <v/>
      </c>
      <c r="M294" s="24">
        <f>i_R_cap</f>
        <v/>
      </c>
      <c r="N294" s="24">
        <f>i_R_cap</f>
        <v/>
      </c>
      <c r="O294" s="24">
        <f>i_R_cap</f>
        <v/>
      </c>
      <c r="P294" s="24">
        <f>i_R_cap</f>
        <v/>
      </c>
      <c r="Q294" s="24">
        <f>i_R_cap</f>
        <v/>
      </c>
      <c r="R294" s="24">
        <f>i_R_cap</f>
        <v/>
      </c>
      <c r="S294" s="24">
        <f>i_R_cap</f>
        <v/>
      </c>
      <c r="T294" s="24">
        <f>i_R_cap</f>
        <v/>
      </c>
      <c r="U294" s="24">
        <f>i_R_cap</f>
        <v/>
      </c>
      <c r="V294" s="24">
        <f>i_R_cap</f>
        <v/>
      </c>
      <c r="W294" s="24">
        <f>i_R_cap</f>
        <v/>
      </c>
      <c r="X294" s="24">
        <f>i_R_cap</f>
        <v/>
      </c>
      <c r="Y294" s="24">
        <f>i_R_cap</f>
        <v/>
      </c>
      <c r="Z294" s="24">
        <f>i_R_cap</f>
        <v/>
      </c>
      <c r="AA294" s="24">
        <f>i_R_cap</f>
        <v/>
      </c>
      <c r="AB294" s="24">
        <f>i_R_cap</f>
        <v/>
      </c>
      <c r="AC294" s="24">
        <f>i_R_cap</f>
        <v/>
      </c>
      <c r="AD294" s="24">
        <f>i_R_cap</f>
        <v/>
      </c>
      <c r="AE294" s="24">
        <f>i_R_cap</f>
        <v/>
      </c>
      <c r="AF294" s="24">
        <f>i_R_cap</f>
        <v/>
      </c>
      <c r="AG294" s="24">
        <f>i_R_cap</f>
        <v/>
      </c>
      <c r="AH294" s="24">
        <f>i_R_cap</f>
        <v/>
      </c>
      <c r="AI294" s="24">
        <f>i_R_cap</f>
        <v/>
      </c>
    </row>
    <row r="295">
      <c r="B295" s="2" t="inlineStr">
        <is>
          <t xml:space="preserve">  Share on contracts signed before 2027</t>
        </is>
      </c>
      <c r="D295" s="21">
        <f>SUMIF(i_book_years,D$3,i_R_book)</f>
        <v/>
      </c>
      <c r="E295" s="21">
        <f>SUMIF(i_book_years,E$3,i_R_book)</f>
        <v/>
      </c>
      <c r="F295" s="21">
        <f>SUMIF(i_book_years,F$3,i_R_book)</f>
        <v/>
      </c>
      <c r="G295" s="21">
        <f>SUMIF(i_book_years,G$3,i_R_book)</f>
        <v/>
      </c>
      <c r="H295" s="21">
        <f>SUMIF(i_book_years,H$3,i_R_book)</f>
        <v/>
      </c>
      <c r="I295" s="21">
        <f>SUMIF(i_book_years,I$3,i_R_book)</f>
        <v/>
      </c>
      <c r="J295" s="21">
        <f>SUMIF(i_book_years,J$3,i_R_book)</f>
        <v/>
      </c>
      <c r="K295" s="21">
        <f>SUMIF(i_book_years,K$3,i_R_book)</f>
        <v/>
      </c>
      <c r="L295" s="21">
        <f>SUMIF(i_book_years,L$3,i_R_book)</f>
        <v/>
      </c>
      <c r="M295" s="21">
        <f>SUMIF(i_book_years,M$3,i_R_book)</f>
        <v/>
      </c>
      <c r="N295" s="21">
        <f>SUMIF(i_book_years,N$3,i_R_book)</f>
        <v/>
      </c>
      <c r="O295" s="21">
        <f>SUMIF(i_book_years,O$3,i_R_book)</f>
        <v/>
      </c>
      <c r="P295" s="21">
        <f>SUMIF(i_book_years,P$3,i_R_book)</f>
        <v/>
      </c>
      <c r="Q295" s="21">
        <f>SUMIF(i_book_years,Q$3,i_R_book)</f>
        <v/>
      </c>
      <c r="R295" s="21">
        <f>SUMIF(i_book_years,R$3,i_R_book)</f>
        <v/>
      </c>
      <c r="S295" s="21">
        <f>SUMIF(i_book_years,S$3,i_R_book)</f>
        <v/>
      </c>
      <c r="T295" s="21">
        <f>SUMIF(i_book_years,T$3,i_R_book)</f>
        <v/>
      </c>
      <c r="U295" s="21">
        <f>SUMIF(i_book_years,U$3,i_R_book)</f>
        <v/>
      </c>
      <c r="V295" s="21">
        <f>SUMIF(i_book_years,V$3,i_R_book)</f>
        <v/>
      </c>
      <c r="W295" s="21">
        <f>SUMIF(i_book_years,W$3,i_R_book)</f>
        <v/>
      </c>
      <c r="X295" s="21">
        <f>SUMIF(i_book_years,X$3,i_R_book)</f>
        <v/>
      </c>
      <c r="Y295" s="21">
        <f>SUMIF(i_book_years,Y$3,i_R_book)</f>
        <v/>
      </c>
      <c r="Z295" s="21">
        <f>SUMIF(i_book_years,Z$3,i_R_book)</f>
        <v/>
      </c>
      <c r="AA295" s="21">
        <f>SUMIF(i_book_years,AA$3,i_R_book)</f>
        <v/>
      </c>
      <c r="AB295" s="21">
        <f>SUMIF(i_book_years,AB$3,i_R_book)</f>
        <v/>
      </c>
      <c r="AC295" s="21">
        <f>SUMIF(i_book_years,AC$3,i_R_book)</f>
        <v/>
      </c>
      <c r="AD295" s="21">
        <f>SUMIF(i_book_years,AD$3,i_R_book)</f>
        <v/>
      </c>
      <c r="AE295" s="21">
        <f>SUMIF(i_book_years,AE$3,i_R_book)</f>
        <v/>
      </c>
      <c r="AF295" s="21">
        <f>SUMIF(i_book_years,AF$3,i_R_book)</f>
        <v/>
      </c>
      <c r="AG295" s="21">
        <f>SUMIF(i_book_years,AG$3,i_R_book)</f>
        <v/>
      </c>
      <c r="AH295" s="21">
        <f>SUMIF(i_book_years,AH$3,i_R_book)</f>
        <v/>
      </c>
      <c r="AI295" s="21">
        <f>SUMIF(i_book_years,AI$3,i_R_book)</f>
        <v/>
      </c>
    </row>
    <row r="296">
      <c r="B296" s="2" t="inlineStr">
        <is>
          <t xml:space="preserve">  Recontracting factor against current rates</t>
        </is>
      </c>
      <c r="D296" s="21">
        <f>IF(D$4=0,0,IF(Diligence!$C$263=1,i_R_mtm,i_R_mtm_plan)+Diligence!$C$269)</f>
        <v/>
      </c>
      <c r="E296" s="21">
        <f>IF(E$4=0,0,IF(Diligence!$C$263=1,i_R_mtm,i_R_mtm_plan)+Diligence!$C$269)</f>
        <v/>
      </c>
      <c r="F296" s="21">
        <f>IF(F$4=0,0,IF(Diligence!$C$263=1,i_R_mtm,i_R_mtm_plan)+Diligence!$C$269)</f>
        <v/>
      </c>
      <c r="G296" s="21">
        <f>IF(G$4=0,0,IF(Diligence!$C$263=1,i_R_mtm,i_R_mtm_plan)+Diligence!$C$269)</f>
        <v/>
      </c>
      <c r="H296" s="21">
        <f>IF(H$4=0,0,IF(Diligence!$C$263=1,i_R_mtm,i_R_mtm_plan)+Diligence!$C$269)</f>
        <v/>
      </c>
      <c r="I296" s="21">
        <f>IF(I$4=0,0,IF(Diligence!$C$263=1,i_R_mtm,i_R_mtm_plan)+Diligence!$C$269)</f>
        <v/>
      </c>
      <c r="J296" s="21">
        <f>IF(J$4=0,0,IF(Diligence!$C$263=1,i_R_mtm,i_R_mtm_plan)+Diligence!$C$269)</f>
        <v/>
      </c>
      <c r="K296" s="21">
        <f>IF(K$4=0,0,IF(Diligence!$C$263=1,i_R_mtm,i_R_mtm_plan)+Diligence!$C$269)</f>
        <v/>
      </c>
      <c r="L296" s="21">
        <f>IF(L$4=0,0,IF(Diligence!$C$263=1,i_R_mtm,i_R_mtm_plan)+Diligence!$C$269)</f>
        <v/>
      </c>
      <c r="M296" s="21">
        <f>IF(M$4=0,0,IF(Diligence!$C$263=1,i_R_mtm,i_R_mtm_plan)+Diligence!$C$269)</f>
        <v/>
      </c>
      <c r="N296" s="21">
        <f>IF(N$4=0,0,IF(Diligence!$C$263=1,i_R_mtm,i_R_mtm_plan)+Diligence!$C$269)</f>
        <v/>
      </c>
      <c r="O296" s="21">
        <f>IF(O$4=0,0,IF(Diligence!$C$263=1,i_R_mtm,i_R_mtm_plan)+Diligence!$C$269)</f>
        <v/>
      </c>
      <c r="P296" s="21">
        <f>IF(P$4=0,0,IF(Diligence!$C$263=1,i_R_mtm,i_R_mtm_plan)+Diligence!$C$269)</f>
        <v/>
      </c>
      <c r="Q296" s="21">
        <f>IF(Q$4=0,0,IF(Diligence!$C$263=1,i_R_mtm,i_R_mtm_plan)+Diligence!$C$269)</f>
        <v/>
      </c>
      <c r="R296" s="21">
        <f>IF(R$4=0,0,IF(Diligence!$C$263=1,i_R_mtm,i_R_mtm_plan)+Diligence!$C$269)</f>
        <v/>
      </c>
      <c r="S296" s="21">
        <f>IF(S$4=0,0,IF(Diligence!$C$263=1,i_R_mtm,i_R_mtm_plan)+Diligence!$C$269)</f>
        <v/>
      </c>
      <c r="T296" s="21">
        <f>IF(T$4=0,0,IF(Diligence!$C$263=1,i_R_mtm,i_R_mtm_plan)+Diligence!$C$269)</f>
        <v/>
      </c>
      <c r="U296" s="21">
        <f>IF(U$4=0,0,IF(Diligence!$C$263=1,i_R_mtm,i_R_mtm_plan)+Diligence!$C$269)</f>
        <v/>
      </c>
      <c r="V296" s="21">
        <f>IF(V$4=0,0,IF(Diligence!$C$263=1,i_R_mtm,i_R_mtm_plan)+Diligence!$C$269)</f>
        <v/>
      </c>
      <c r="W296" s="21">
        <f>IF(W$4=0,0,IF(Diligence!$C$263=1,i_R_mtm,i_R_mtm_plan)+Diligence!$C$269)</f>
        <v/>
      </c>
      <c r="X296" s="21">
        <f>IF(X$4=0,0,IF(Diligence!$C$263=1,i_R_mtm,i_R_mtm_plan)+Diligence!$C$269)</f>
        <v/>
      </c>
      <c r="Y296" s="21">
        <f>IF(Y$4=0,0,IF(Diligence!$C$263=1,i_R_mtm,i_R_mtm_plan)+Diligence!$C$269)</f>
        <v/>
      </c>
      <c r="Z296" s="21">
        <f>IF(Z$4=0,0,IF(Diligence!$C$263=1,i_R_mtm,i_R_mtm_plan)+Diligence!$C$269)</f>
        <v/>
      </c>
      <c r="AA296" s="21">
        <f>IF(AA$4=0,0,IF(Diligence!$C$263=1,i_R_mtm,i_R_mtm_plan)+Diligence!$C$269)</f>
        <v/>
      </c>
      <c r="AB296" s="21">
        <f>IF(AB$4=0,0,IF(Diligence!$C$263=1,i_R_mtm,i_R_mtm_plan)+Diligence!$C$269)</f>
        <v/>
      </c>
      <c r="AC296" s="21">
        <f>IF(AC$4=0,0,IF(Diligence!$C$263=1,i_R_mtm,i_R_mtm_plan)+Diligence!$C$269)</f>
        <v/>
      </c>
      <c r="AD296" s="21">
        <f>IF(AD$4=0,0,IF(Diligence!$C$263=1,i_R_mtm,i_R_mtm_plan)+Diligence!$C$269)</f>
        <v/>
      </c>
      <c r="AE296" s="21">
        <f>IF(AE$4=0,0,IF(Diligence!$C$263=1,i_R_mtm,i_R_mtm_plan)+Diligence!$C$269)</f>
        <v/>
      </c>
      <c r="AF296" s="21">
        <f>IF(AF$4=0,0,IF(Diligence!$C$263=1,i_R_mtm,i_R_mtm_plan)+Diligence!$C$269)</f>
        <v/>
      </c>
      <c r="AG296" s="21">
        <f>IF(AG$4=0,0,IF(Diligence!$C$263=1,i_R_mtm,i_R_mtm_plan)+Diligence!$C$269)</f>
        <v/>
      </c>
      <c r="AH296" s="21">
        <f>IF(AH$4=0,0,IF(Diligence!$C$263=1,i_R_mtm,i_R_mtm_plan)+Diligence!$C$269)</f>
        <v/>
      </c>
      <c r="AI296" s="21">
        <f>IF(AI$4=0,0,IF(Diligence!$C$263=1,i_R_mtm,i_R_mtm_plan)+Diligence!$C$269)</f>
        <v/>
      </c>
    </row>
    <row r="297">
      <c r="B297" s="2" t="inlineStr">
        <is>
          <t xml:space="preserve">  Average rate ($ per m3 per month)</t>
        </is>
      </c>
      <c r="D297" s="24">
        <f>i_R_rate*D274*(D295+(1-D295)*(1+D296))</f>
        <v/>
      </c>
      <c r="E297" s="24">
        <f>i_R_rate*E274*(E295+(1-E295)*(1+E296))</f>
        <v/>
      </c>
      <c r="F297" s="24">
        <f>i_R_rate*F274*(F295+(1-F295)*(1+F296))</f>
        <v/>
      </c>
      <c r="G297" s="24">
        <f>i_R_rate*G274*(G295+(1-G295)*(1+G296))</f>
        <v/>
      </c>
      <c r="H297" s="24">
        <f>i_R_rate*H274*(H295+(1-H295)*(1+H296))</f>
        <v/>
      </c>
      <c r="I297" s="24">
        <f>i_R_rate*I274*(I295+(1-I295)*(1+I296))</f>
        <v/>
      </c>
      <c r="J297" s="24">
        <f>i_R_rate*J274*(J295+(1-J295)*(1+J296))</f>
        <v/>
      </c>
      <c r="K297" s="24">
        <f>i_R_rate*K274*(K295+(1-K295)*(1+K296))</f>
        <v/>
      </c>
      <c r="L297" s="24">
        <f>i_R_rate*L274*(L295+(1-L295)*(1+L296))</f>
        <v/>
      </c>
      <c r="M297" s="24">
        <f>i_R_rate*M274*(M295+(1-M295)*(1+M296))</f>
        <v/>
      </c>
      <c r="N297" s="24">
        <f>i_R_rate*N274*(N295+(1-N295)*(1+N296))</f>
        <v/>
      </c>
      <c r="O297" s="24">
        <f>i_R_rate*O274*(O295+(1-O295)*(1+O296))</f>
        <v/>
      </c>
      <c r="P297" s="24">
        <f>i_R_rate*P274*(P295+(1-P295)*(1+P296))</f>
        <v/>
      </c>
      <c r="Q297" s="24">
        <f>i_R_rate*Q274*(Q295+(1-Q295)*(1+Q296))</f>
        <v/>
      </c>
      <c r="R297" s="24">
        <f>i_R_rate*R274*(R295+(1-R295)*(1+R296))</f>
        <v/>
      </c>
      <c r="S297" s="24">
        <f>i_R_rate*S274*(S295+(1-S295)*(1+S296))</f>
        <v/>
      </c>
      <c r="T297" s="24">
        <f>i_R_rate*T274*(T295+(1-T295)*(1+T296))</f>
        <v/>
      </c>
      <c r="U297" s="24">
        <f>i_R_rate*U274*(U295+(1-U295)*(1+U296))</f>
        <v/>
      </c>
      <c r="V297" s="24">
        <f>i_R_rate*V274*(V295+(1-V295)*(1+V296))</f>
        <v/>
      </c>
      <c r="W297" s="24">
        <f>i_R_rate*W274*(W295+(1-W295)*(1+W296))</f>
        <v/>
      </c>
      <c r="X297" s="24">
        <f>i_R_rate*X274*(X295+(1-X295)*(1+X296))</f>
        <v/>
      </c>
      <c r="Y297" s="24">
        <f>i_R_rate*Y274*(Y295+(1-Y295)*(1+Y296))</f>
        <v/>
      </c>
      <c r="Z297" s="24">
        <f>i_R_rate*Z274*(Z295+(1-Z295)*(1+Z296))</f>
        <v/>
      </c>
      <c r="AA297" s="24">
        <f>i_R_rate*AA274*(AA295+(1-AA295)*(1+AA296))</f>
        <v/>
      </c>
      <c r="AB297" s="24">
        <f>i_R_rate*AB274*(AB295+(1-AB295)*(1+AB296))</f>
        <v/>
      </c>
      <c r="AC297" s="24">
        <f>i_R_rate*AC274*(AC295+(1-AC295)*(1+AC296))</f>
        <v/>
      </c>
      <c r="AD297" s="24">
        <f>i_R_rate*AD274*(AD295+(1-AD295)*(1+AD296))</f>
        <v/>
      </c>
      <c r="AE297" s="24">
        <f>i_R_rate*AE274*(AE295+(1-AE295)*(1+AE296))</f>
        <v/>
      </c>
      <c r="AF297" s="24">
        <f>i_R_rate*AF274*(AF295+(1-AF295)*(1+AF296))</f>
        <v/>
      </c>
      <c r="AG297" s="24">
        <f>i_R_rate*AG274*(AG295+(1-AG295)*(1+AG296))</f>
        <v/>
      </c>
      <c r="AH297" s="24">
        <f>i_R_rate*AH274*(AH295+(1-AH295)*(1+AH296))</f>
        <v/>
      </c>
      <c r="AI297" s="24">
        <f>i_R_rate*AI274*(AI295+(1-AI295)*(1+AI296))</f>
        <v/>
      </c>
    </row>
    <row r="298">
      <c r="B298" s="2" t="inlineStr">
        <is>
          <t xml:space="preserve">  Occupancy after the transition decline and floor</t>
        </is>
      </c>
      <c r="D298" s="21">
        <f>IF(D$3&gt;i_trans_start,MAX(i_R_floor,i_R_occ-i_R_dec*(D$3-i_trans_start)),i_R_occ)</f>
        <v/>
      </c>
      <c r="E298" s="21">
        <f>IF(E$3&gt;i_trans_start,MAX(i_R_floor,i_R_occ-i_R_dec*(E$3-i_trans_start)),i_R_occ)</f>
        <v/>
      </c>
      <c r="F298" s="21">
        <f>IF(F$3&gt;i_trans_start,MAX(i_R_floor,i_R_occ-i_R_dec*(F$3-i_trans_start)),i_R_occ)</f>
        <v/>
      </c>
      <c r="G298" s="21">
        <f>IF(G$3&gt;i_trans_start,MAX(i_R_floor,i_R_occ-i_R_dec*(G$3-i_trans_start)),i_R_occ)</f>
        <v/>
      </c>
      <c r="H298" s="21">
        <f>IF(H$3&gt;i_trans_start,MAX(i_R_floor,i_R_occ-i_R_dec*(H$3-i_trans_start)),i_R_occ)</f>
        <v/>
      </c>
      <c r="I298" s="21">
        <f>IF(I$3&gt;i_trans_start,MAX(i_R_floor,i_R_occ-i_R_dec*(I$3-i_trans_start)),i_R_occ)</f>
        <v/>
      </c>
      <c r="J298" s="21">
        <f>IF(J$3&gt;i_trans_start,MAX(i_R_floor,i_R_occ-i_R_dec*(J$3-i_trans_start)),i_R_occ)</f>
        <v/>
      </c>
      <c r="K298" s="21">
        <f>IF(K$3&gt;i_trans_start,MAX(i_R_floor,i_R_occ-i_R_dec*(K$3-i_trans_start)),i_R_occ)</f>
        <v/>
      </c>
      <c r="L298" s="21">
        <f>IF(L$3&gt;i_trans_start,MAX(i_R_floor,i_R_occ-i_R_dec*(L$3-i_trans_start)),i_R_occ)</f>
        <v/>
      </c>
      <c r="M298" s="21">
        <f>IF(M$3&gt;i_trans_start,MAX(i_R_floor,i_R_occ-i_R_dec*(M$3-i_trans_start)),i_R_occ)</f>
        <v/>
      </c>
      <c r="N298" s="21">
        <f>IF(N$3&gt;i_trans_start,MAX(i_R_floor,i_R_occ-i_R_dec*(N$3-i_trans_start)),i_R_occ)</f>
        <v/>
      </c>
      <c r="O298" s="21">
        <f>IF(O$3&gt;i_trans_start,MAX(i_R_floor,i_R_occ-i_R_dec*(O$3-i_trans_start)),i_R_occ)</f>
        <v/>
      </c>
      <c r="P298" s="21">
        <f>IF(P$3&gt;i_trans_start,MAX(i_R_floor,i_R_occ-i_R_dec*(P$3-i_trans_start)),i_R_occ)</f>
        <v/>
      </c>
      <c r="Q298" s="21">
        <f>IF(Q$3&gt;i_trans_start,MAX(i_R_floor,i_R_occ-i_R_dec*(Q$3-i_trans_start)),i_R_occ)</f>
        <v/>
      </c>
      <c r="R298" s="21">
        <f>IF(R$3&gt;i_trans_start,MAX(i_R_floor,i_R_occ-i_R_dec*(R$3-i_trans_start)),i_R_occ)</f>
        <v/>
      </c>
      <c r="S298" s="21">
        <f>IF(S$3&gt;i_trans_start,MAX(i_R_floor,i_R_occ-i_R_dec*(S$3-i_trans_start)),i_R_occ)</f>
        <v/>
      </c>
      <c r="T298" s="21">
        <f>IF(T$3&gt;i_trans_start,MAX(i_R_floor,i_R_occ-i_R_dec*(T$3-i_trans_start)),i_R_occ)</f>
        <v/>
      </c>
      <c r="U298" s="21">
        <f>IF(U$3&gt;i_trans_start,MAX(i_R_floor,i_R_occ-i_R_dec*(U$3-i_trans_start)),i_R_occ)</f>
        <v/>
      </c>
      <c r="V298" s="21">
        <f>IF(V$3&gt;i_trans_start,MAX(i_R_floor,i_R_occ-i_R_dec*(V$3-i_trans_start)),i_R_occ)</f>
        <v/>
      </c>
      <c r="W298" s="21">
        <f>IF(W$3&gt;i_trans_start,MAX(i_R_floor,i_R_occ-i_R_dec*(W$3-i_trans_start)),i_R_occ)</f>
        <v/>
      </c>
      <c r="X298" s="21">
        <f>IF(X$3&gt;i_trans_start,MAX(i_R_floor,i_R_occ-i_R_dec*(X$3-i_trans_start)),i_R_occ)</f>
        <v/>
      </c>
      <c r="Y298" s="21">
        <f>IF(Y$3&gt;i_trans_start,MAX(i_R_floor,i_R_occ-i_R_dec*(Y$3-i_trans_start)),i_R_occ)</f>
        <v/>
      </c>
      <c r="Z298" s="21">
        <f>IF(Z$3&gt;i_trans_start,MAX(i_R_floor,i_R_occ-i_R_dec*(Z$3-i_trans_start)),i_R_occ)</f>
        <v/>
      </c>
      <c r="AA298" s="21">
        <f>IF(AA$3&gt;i_trans_start,MAX(i_R_floor,i_R_occ-i_R_dec*(AA$3-i_trans_start)),i_R_occ)</f>
        <v/>
      </c>
      <c r="AB298" s="21">
        <f>IF(AB$3&gt;i_trans_start,MAX(i_R_floor,i_R_occ-i_R_dec*(AB$3-i_trans_start)),i_R_occ)</f>
        <v/>
      </c>
      <c r="AC298" s="21">
        <f>IF(AC$3&gt;i_trans_start,MAX(i_R_floor,i_R_occ-i_R_dec*(AC$3-i_trans_start)),i_R_occ)</f>
        <v/>
      </c>
      <c r="AD298" s="21">
        <f>IF(AD$3&gt;i_trans_start,MAX(i_R_floor,i_R_occ-i_R_dec*(AD$3-i_trans_start)),i_R_occ)</f>
        <v/>
      </c>
      <c r="AE298" s="21">
        <f>IF(AE$3&gt;i_trans_start,MAX(i_R_floor,i_R_occ-i_R_dec*(AE$3-i_trans_start)),i_R_occ)</f>
        <v/>
      </c>
      <c r="AF298" s="21">
        <f>IF(AF$3&gt;i_trans_start,MAX(i_R_floor,i_R_occ-i_R_dec*(AF$3-i_trans_start)),i_R_occ)</f>
        <v/>
      </c>
      <c r="AG298" s="21">
        <f>IF(AG$3&gt;i_trans_start,MAX(i_R_floor,i_R_occ-i_R_dec*(AG$3-i_trans_start)),i_R_occ)</f>
        <v/>
      </c>
      <c r="AH298" s="21">
        <f>IF(AH$3&gt;i_trans_start,MAX(i_R_floor,i_R_occ-i_R_dec*(AH$3-i_trans_start)),i_R_occ)</f>
        <v/>
      </c>
      <c r="AI298" s="21">
        <f>IF(AI$3&gt;i_trans_start,MAX(i_R_floor,i_R_occ-i_R_dec*(AI$3-i_trans_start)),i_R_occ)</f>
        <v/>
      </c>
    </row>
    <row r="299">
      <c r="B299" s="2" t="inlineStr">
        <is>
          <t xml:space="preserve">  Occupancy (with the shift switch from 2027)</t>
        </is>
      </c>
      <c r="D299" s="21">
        <f>IF(D$4&gt;0,MIN(1,D298+Diligence!$C$268),D298)</f>
        <v/>
      </c>
      <c r="E299" s="21">
        <f>IF(E$4&gt;0,MIN(1,E298+Diligence!$C$268),E298)</f>
        <v/>
      </c>
      <c r="F299" s="21">
        <f>IF(F$4&gt;0,MIN(1,F298+Diligence!$C$268),F298)</f>
        <v/>
      </c>
      <c r="G299" s="21">
        <f>IF(G$4&gt;0,MIN(1,G298+Diligence!$C$268),G298)</f>
        <v/>
      </c>
      <c r="H299" s="21">
        <f>IF(H$4&gt;0,MIN(1,H298+Diligence!$C$268),H298)</f>
        <v/>
      </c>
      <c r="I299" s="21">
        <f>IF(I$4&gt;0,MIN(1,I298+Diligence!$C$268),I298)</f>
        <v/>
      </c>
      <c r="J299" s="21">
        <f>IF(J$4&gt;0,MIN(1,J298+Diligence!$C$268),J298)</f>
        <v/>
      </c>
      <c r="K299" s="21">
        <f>IF(K$4&gt;0,MIN(1,K298+Diligence!$C$268),K298)</f>
        <v/>
      </c>
      <c r="L299" s="21">
        <f>IF(L$4&gt;0,MIN(1,L298+Diligence!$C$268),L298)</f>
        <v/>
      </c>
      <c r="M299" s="21">
        <f>IF(M$4&gt;0,MIN(1,M298+Diligence!$C$268),M298)</f>
        <v/>
      </c>
      <c r="N299" s="21">
        <f>IF(N$4&gt;0,MIN(1,N298+Diligence!$C$268),N298)</f>
        <v/>
      </c>
      <c r="O299" s="21">
        <f>IF(O$4&gt;0,MIN(1,O298+Diligence!$C$268),O298)</f>
        <v/>
      </c>
      <c r="P299" s="21">
        <f>IF(P$4&gt;0,MIN(1,P298+Diligence!$C$268),P298)</f>
        <v/>
      </c>
      <c r="Q299" s="21">
        <f>IF(Q$4&gt;0,MIN(1,Q298+Diligence!$C$268),Q298)</f>
        <v/>
      </c>
      <c r="R299" s="21">
        <f>IF(R$4&gt;0,MIN(1,R298+Diligence!$C$268),R298)</f>
        <v/>
      </c>
      <c r="S299" s="21">
        <f>IF(S$4&gt;0,MIN(1,S298+Diligence!$C$268),S298)</f>
        <v/>
      </c>
      <c r="T299" s="21">
        <f>IF(T$4&gt;0,MIN(1,T298+Diligence!$C$268),T298)</f>
        <v/>
      </c>
      <c r="U299" s="21">
        <f>IF(U$4&gt;0,MIN(1,U298+Diligence!$C$268),U298)</f>
        <v/>
      </c>
      <c r="V299" s="21">
        <f>IF(V$4&gt;0,MIN(1,V298+Diligence!$C$268),V298)</f>
        <v/>
      </c>
      <c r="W299" s="21">
        <f>IF(W$4&gt;0,MIN(1,W298+Diligence!$C$268),W298)</f>
        <v/>
      </c>
      <c r="X299" s="21">
        <f>IF(X$4&gt;0,MIN(1,X298+Diligence!$C$268),X298)</f>
        <v/>
      </c>
      <c r="Y299" s="21">
        <f>IF(Y$4&gt;0,MIN(1,Y298+Diligence!$C$268),Y298)</f>
        <v/>
      </c>
      <c r="Z299" s="21">
        <f>IF(Z$4&gt;0,MIN(1,Z298+Diligence!$C$268),Z298)</f>
        <v/>
      </c>
      <c r="AA299" s="21">
        <f>IF(AA$4&gt;0,MIN(1,AA298+Diligence!$C$268),AA298)</f>
        <v/>
      </c>
      <c r="AB299" s="21">
        <f>IF(AB$4&gt;0,MIN(1,AB298+Diligence!$C$268),AB298)</f>
        <v/>
      </c>
      <c r="AC299" s="21">
        <f>IF(AC$4&gt;0,MIN(1,AC298+Diligence!$C$268),AC298)</f>
        <v/>
      </c>
      <c r="AD299" s="21">
        <f>IF(AD$4&gt;0,MIN(1,AD298+Diligence!$C$268),AD298)</f>
        <v/>
      </c>
      <c r="AE299" s="21">
        <f>IF(AE$4&gt;0,MIN(1,AE298+Diligence!$C$268),AE298)</f>
        <v/>
      </c>
      <c r="AF299" s="21">
        <f>IF(AF$4&gt;0,MIN(1,AF298+Diligence!$C$268),AF298)</f>
        <v/>
      </c>
      <c r="AG299" s="21">
        <f>IF(AG$4&gt;0,MIN(1,AG298+Diligence!$C$268),AG298)</f>
        <v/>
      </c>
      <c r="AH299" s="21">
        <f>IF(AH$4&gt;0,MIN(1,AH298+Diligence!$C$268),AH298)</f>
        <v/>
      </c>
      <c r="AI299" s="21">
        <f>IF(AI$4&gt;0,MIN(1,AI298+Diligence!$C$268),AI298)</f>
        <v/>
      </c>
    </row>
    <row r="300">
      <c r="B300" s="2" t="inlineStr">
        <is>
          <t xml:space="preserve">  Storage revenue</t>
        </is>
      </c>
      <c r="D300" s="19">
        <f>D294*D297*12*D299</f>
        <v/>
      </c>
      <c r="E300" s="19">
        <f>E294*E297*12*E299</f>
        <v/>
      </c>
      <c r="F300" s="19">
        <f>F294*F297*12*F299</f>
        <v/>
      </c>
      <c r="G300" s="19">
        <f>G294*G297*12*G299</f>
        <v/>
      </c>
      <c r="H300" s="19">
        <f>H294*H297*12*H299</f>
        <v/>
      </c>
      <c r="I300" s="19">
        <f>I294*I297*12*I299</f>
        <v/>
      </c>
      <c r="J300" s="19">
        <f>J294*J297*12*J299</f>
        <v/>
      </c>
      <c r="K300" s="19">
        <f>K294*K297*12*K299</f>
        <v/>
      </c>
      <c r="L300" s="19">
        <f>L294*L297*12*L299</f>
        <v/>
      </c>
      <c r="M300" s="19">
        <f>M294*M297*12*M299</f>
        <v/>
      </c>
      <c r="N300" s="19">
        <f>N294*N297*12*N299</f>
        <v/>
      </c>
      <c r="O300" s="19">
        <f>O294*O297*12*O299</f>
        <v/>
      </c>
      <c r="P300" s="19">
        <f>P294*P297*12*P299</f>
        <v/>
      </c>
      <c r="Q300" s="19">
        <f>Q294*Q297*12*Q299</f>
        <v/>
      </c>
      <c r="R300" s="19">
        <f>R294*R297*12*R299</f>
        <v/>
      </c>
      <c r="S300" s="19">
        <f>S294*S297*12*S299</f>
        <v/>
      </c>
      <c r="T300" s="19">
        <f>T294*T297*12*T299</f>
        <v/>
      </c>
      <c r="U300" s="19">
        <f>U294*U297*12*U299</f>
        <v/>
      </c>
      <c r="V300" s="19">
        <f>V294*V297*12*V299</f>
        <v/>
      </c>
      <c r="W300" s="19">
        <f>W294*W297*12*W299</f>
        <v/>
      </c>
      <c r="X300" s="19">
        <f>X294*X297*12*X299</f>
        <v/>
      </c>
      <c r="Y300" s="19">
        <f>Y294*Y297*12*Y299</f>
        <v/>
      </c>
      <c r="Z300" s="19">
        <f>Z294*Z297*12*Z299</f>
        <v/>
      </c>
      <c r="AA300" s="19">
        <f>AA294*AA297*12*AA299</f>
        <v/>
      </c>
      <c r="AB300" s="19">
        <f>AB294*AB297*12*AB299</f>
        <v/>
      </c>
      <c r="AC300" s="19">
        <f>AC294*AC297*12*AC299</f>
        <v/>
      </c>
      <c r="AD300" s="19">
        <f>AD294*AD297*12*AD299</f>
        <v/>
      </c>
      <c r="AE300" s="19">
        <f>AE294*AE297*12*AE299</f>
        <v/>
      </c>
      <c r="AF300" s="19">
        <f>AF294*AF297*12*AF299</f>
        <v/>
      </c>
      <c r="AG300" s="19">
        <f>AG294*AG297*12*AG299</f>
        <v/>
      </c>
      <c r="AH300" s="19">
        <f>AH294*AH297*12*AH299</f>
        <v/>
      </c>
      <c r="AI300" s="19">
        <f>AI294*AI297*12*AI299</f>
        <v/>
      </c>
    </row>
    <row r="301">
      <c r="B301" s="2" t="inlineStr">
        <is>
          <t xml:space="preserve">  Ancillary and throughput revenue</t>
        </is>
      </c>
      <c r="D301" s="19">
        <f>D300*i_R_anc</f>
        <v/>
      </c>
      <c r="E301" s="19">
        <f>E300*i_R_anc</f>
        <v/>
      </c>
      <c r="F301" s="19">
        <f>F300*i_R_anc</f>
        <v/>
      </c>
      <c r="G301" s="19">
        <f>G300*i_R_anc</f>
        <v/>
      </c>
      <c r="H301" s="19">
        <f>H300*i_R_anc</f>
        <v/>
      </c>
      <c r="I301" s="19">
        <f>I300*i_R_anc</f>
        <v/>
      </c>
      <c r="J301" s="19">
        <f>J300*i_R_anc</f>
        <v/>
      </c>
      <c r="K301" s="19">
        <f>K300*i_R_anc</f>
        <v/>
      </c>
      <c r="L301" s="19">
        <f>L300*i_R_anc</f>
        <v/>
      </c>
      <c r="M301" s="19">
        <f>M300*i_R_anc</f>
        <v/>
      </c>
      <c r="N301" s="19">
        <f>N300*i_R_anc</f>
        <v/>
      </c>
      <c r="O301" s="19">
        <f>O300*i_R_anc</f>
        <v/>
      </c>
      <c r="P301" s="19">
        <f>P300*i_R_anc</f>
        <v/>
      </c>
      <c r="Q301" s="19">
        <f>Q300*i_R_anc</f>
        <v/>
      </c>
      <c r="R301" s="19">
        <f>R300*i_R_anc</f>
        <v/>
      </c>
      <c r="S301" s="19">
        <f>S300*i_R_anc</f>
        <v/>
      </c>
      <c r="T301" s="19">
        <f>T300*i_R_anc</f>
        <v/>
      </c>
      <c r="U301" s="19">
        <f>U300*i_R_anc</f>
        <v/>
      </c>
      <c r="V301" s="19">
        <f>V300*i_R_anc</f>
        <v/>
      </c>
      <c r="W301" s="19">
        <f>W300*i_R_anc</f>
        <v/>
      </c>
      <c r="X301" s="19">
        <f>X300*i_R_anc</f>
        <v/>
      </c>
      <c r="Y301" s="19">
        <f>Y300*i_R_anc</f>
        <v/>
      </c>
      <c r="Z301" s="19">
        <f>Z300*i_R_anc</f>
        <v/>
      </c>
      <c r="AA301" s="19">
        <f>AA300*i_R_anc</f>
        <v/>
      </c>
      <c r="AB301" s="19">
        <f>AB300*i_R_anc</f>
        <v/>
      </c>
      <c r="AC301" s="19">
        <f>AC300*i_R_anc</f>
        <v/>
      </c>
      <c r="AD301" s="19">
        <f>AD300*i_R_anc</f>
        <v/>
      </c>
      <c r="AE301" s="19">
        <f>AE300*i_R_anc</f>
        <v/>
      </c>
      <c r="AF301" s="19">
        <f>AF300*i_R_anc</f>
        <v/>
      </c>
      <c r="AG301" s="19">
        <f>AG300*i_R_anc</f>
        <v/>
      </c>
      <c r="AH301" s="19">
        <f>AH300*i_R_anc</f>
        <v/>
      </c>
      <c r="AI301" s="19">
        <f>AI300*i_R_anc</f>
        <v/>
      </c>
    </row>
    <row r="302">
      <c r="B302" s="3" t="inlineStr">
        <is>
          <t xml:space="preserve">  Revenue</t>
        </is>
      </c>
      <c r="D302" s="31">
        <f>D300+D301</f>
        <v/>
      </c>
      <c r="E302" s="31">
        <f>E300+E301</f>
        <v/>
      </c>
      <c r="F302" s="31">
        <f>F300+F301</f>
        <v/>
      </c>
      <c r="G302" s="31">
        <f>G300+G301</f>
        <v/>
      </c>
      <c r="H302" s="31">
        <f>H300+H301</f>
        <v/>
      </c>
      <c r="I302" s="31">
        <f>I300+I301</f>
        <v/>
      </c>
      <c r="J302" s="31">
        <f>J300+J301</f>
        <v/>
      </c>
      <c r="K302" s="31">
        <f>K300+K301</f>
        <v/>
      </c>
      <c r="L302" s="31">
        <f>L300+L301</f>
        <v/>
      </c>
      <c r="M302" s="31">
        <f>M300+M301</f>
        <v/>
      </c>
      <c r="N302" s="31">
        <f>N300+N301</f>
        <v/>
      </c>
      <c r="O302" s="31">
        <f>O300+O301</f>
        <v/>
      </c>
      <c r="P302" s="31">
        <f>P300+P301</f>
        <v/>
      </c>
      <c r="Q302" s="31">
        <f>Q300+Q301</f>
        <v/>
      </c>
      <c r="R302" s="31">
        <f>R300+R301</f>
        <v/>
      </c>
      <c r="S302" s="31">
        <f>S300+S301</f>
        <v/>
      </c>
      <c r="T302" s="31">
        <f>T300+T301</f>
        <v/>
      </c>
      <c r="U302" s="31">
        <f>U300+U301</f>
        <v/>
      </c>
      <c r="V302" s="31">
        <f>V300+V301</f>
        <v/>
      </c>
      <c r="W302" s="31">
        <f>W300+W301</f>
        <v/>
      </c>
      <c r="X302" s="31">
        <f>X300+X301</f>
        <v/>
      </c>
      <c r="Y302" s="31">
        <f>Y300+Y301</f>
        <v/>
      </c>
      <c r="Z302" s="31">
        <f>Z300+Z301</f>
        <v/>
      </c>
      <c r="AA302" s="31">
        <f>AA300+AA301</f>
        <v/>
      </c>
      <c r="AB302" s="31">
        <f>AB300+AB301</f>
        <v/>
      </c>
      <c r="AC302" s="31">
        <f>AC300+AC301</f>
        <v/>
      </c>
      <c r="AD302" s="31">
        <f>AD300+AD301</f>
        <v/>
      </c>
      <c r="AE302" s="31">
        <f>AE300+AE301</f>
        <v/>
      </c>
      <c r="AF302" s="31">
        <f>AF300+AF301</f>
        <v/>
      </c>
      <c r="AG302" s="31">
        <f>AG300+AG301</f>
        <v/>
      </c>
      <c r="AH302" s="31">
        <f>AH300+AH301</f>
        <v/>
      </c>
      <c r="AI302" s="31">
        <f>AI300+AI301</f>
        <v/>
      </c>
    </row>
    <row r="303">
      <c r="B303" s="2" t="inlineStr">
        <is>
          <t xml:space="preserve">  Fixed cost</t>
        </is>
      </c>
      <c r="D303" s="19">
        <f>D294*i_R_fix*D273</f>
        <v/>
      </c>
      <c r="E303" s="19">
        <f>E294*i_R_fix*E273</f>
        <v/>
      </c>
      <c r="F303" s="19">
        <f>F294*i_R_fix*F273</f>
        <v/>
      </c>
      <c r="G303" s="19">
        <f>G294*i_R_fix*G273</f>
        <v/>
      </c>
      <c r="H303" s="19">
        <f>H294*i_R_fix*H273</f>
        <v/>
      </c>
      <c r="I303" s="19">
        <f>I294*i_R_fix*I273</f>
        <v/>
      </c>
      <c r="J303" s="19">
        <f>J294*i_R_fix*J273</f>
        <v/>
      </c>
      <c r="K303" s="19">
        <f>K294*i_R_fix*K273</f>
        <v/>
      </c>
      <c r="L303" s="19">
        <f>L294*i_R_fix*L273</f>
        <v/>
      </c>
      <c r="M303" s="19">
        <f>M294*i_R_fix*M273</f>
        <v/>
      </c>
      <c r="N303" s="19">
        <f>N294*i_R_fix*N273</f>
        <v/>
      </c>
      <c r="O303" s="19">
        <f>O294*i_R_fix*O273</f>
        <v/>
      </c>
      <c r="P303" s="19">
        <f>P294*i_R_fix*P273</f>
        <v/>
      </c>
      <c r="Q303" s="19">
        <f>Q294*i_R_fix*Q273</f>
        <v/>
      </c>
      <c r="R303" s="19">
        <f>R294*i_R_fix*R273</f>
        <v/>
      </c>
      <c r="S303" s="19">
        <f>S294*i_R_fix*S273</f>
        <v/>
      </c>
      <c r="T303" s="19">
        <f>T294*i_R_fix*T273</f>
        <v/>
      </c>
      <c r="U303" s="19">
        <f>U294*i_R_fix*U273</f>
        <v/>
      </c>
      <c r="V303" s="19">
        <f>V294*i_R_fix*V273</f>
        <v/>
      </c>
      <c r="W303" s="19">
        <f>W294*i_R_fix*W273</f>
        <v/>
      </c>
      <c r="X303" s="19">
        <f>X294*i_R_fix*X273</f>
        <v/>
      </c>
      <c r="Y303" s="19">
        <f>Y294*i_R_fix*Y273</f>
        <v/>
      </c>
      <c r="Z303" s="19">
        <f>Z294*i_R_fix*Z273</f>
        <v/>
      </c>
      <c r="AA303" s="19">
        <f>AA294*i_R_fix*AA273</f>
        <v/>
      </c>
      <c r="AB303" s="19">
        <f>AB294*i_R_fix*AB273</f>
        <v/>
      </c>
      <c r="AC303" s="19">
        <f>AC294*i_R_fix*AC273</f>
        <v/>
      </c>
      <c r="AD303" s="19">
        <f>AD294*i_R_fix*AD273</f>
        <v/>
      </c>
      <c r="AE303" s="19">
        <f>AE294*i_R_fix*AE273</f>
        <v/>
      </c>
      <c r="AF303" s="19">
        <f>AF294*i_R_fix*AF273</f>
        <v/>
      </c>
      <c r="AG303" s="19">
        <f>AG294*i_R_fix*AG273</f>
        <v/>
      </c>
      <c r="AH303" s="19">
        <f>AH294*i_R_fix*AH273</f>
        <v/>
      </c>
      <c r="AI303" s="19">
        <f>AI294*i_R_fix*AI273</f>
        <v/>
      </c>
    </row>
    <row r="304">
      <c r="B304" s="2" t="inlineStr">
        <is>
          <t xml:space="preserve">  Variable cost</t>
        </is>
      </c>
      <c r="D304" s="19">
        <f>i_R_var*D302</f>
        <v/>
      </c>
      <c r="E304" s="19">
        <f>i_R_var*E302</f>
        <v/>
      </c>
      <c r="F304" s="19">
        <f>i_R_var*F302</f>
        <v/>
      </c>
      <c r="G304" s="19">
        <f>i_R_var*G302</f>
        <v/>
      </c>
      <c r="H304" s="19">
        <f>i_R_var*H302</f>
        <v/>
      </c>
      <c r="I304" s="19">
        <f>i_R_var*I302</f>
        <v/>
      </c>
      <c r="J304" s="19">
        <f>i_R_var*J302</f>
        <v/>
      </c>
      <c r="K304" s="19">
        <f>i_R_var*K302</f>
        <v/>
      </c>
      <c r="L304" s="19">
        <f>i_R_var*L302</f>
        <v/>
      </c>
      <c r="M304" s="19">
        <f>i_R_var*M302</f>
        <v/>
      </c>
      <c r="N304" s="19">
        <f>i_R_var*N302</f>
        <v/>
      </c>
      <c r="O304" s="19">
        <f>i_R_var*O302</f>
        <v/>
      </c>
      <c r="P304" s="19">
        <f>i_R_var*P302</f>
        <v/>
      </c>
      <c r="Q304" s="19">
        <f>i_R_var*Q302</f>
        <v/>
      </c>
      <c r="R304" s="19">
        <f>i_R_var*R302</f>
        <v/>
      </c>
      <c r="S304" s="19">
        <f>i_R_var*S302</f>
        <v/>
      </c>
      <c r="T304" s="19">
        <f>i_R_var*T302</f>
        <v/>
      </c>
      <c r="U304" s="19">
        <f>i_R_var*U302</f>
        <v/>
      </c>
      <c r="V304" s="19">
        <f>i_R_var*V302</f>
        <v/>
      </c>
      <c r="W304" s="19">
        <f>i_R_var*W302</f>
        <v/>
      </c>
      <c r="X304" s="19">
        <f>i_R_var*X302</f>
        <v/>
      </c>
      <c r="Y304" s="19">
        <f>i_R_var*Y302</f>
        <v/>
      </c>
      <c r="Z304" s="19">
        <f>i_R_var*Z302</f>
        <v/>
      </c>
      <c r="AA304" s="19">
        <f>i_R_var*AA302</f>
        <v/>
      </c>
      <c r="AB304" s="19">
        <f>i_R_var*AB302</f>
        <v/>
      </c>
      <c r="AC304" s="19">
        <f>i_R_var*AC302</f>
        <v/>
      </c>
      <c r="AD304" s="19">
        <f>i_R_var*AD302</f>
        <v/>
      </c>
      <c r="AE304" s="19">
        <f>i_R_var*AE302</f>
        <v/>
      </c>
      <c r="AF304" s="19">
        <f>i_R_var*AF302</f>
        <v/>
      </c>
      <c r="AG304" s="19">
        <f>i_R_var*AG302</f>
        <v/>
      </c>
      <c r="AH304" s="19">
        <f>i_R_var*AH302</f>
        <v/>
      </c>
      <c r="AI304" s="19">
        <f>i_R_var*AI302</f>
        <v/>
      </c>
    </row>
    <row r="305">
      <c r="B305" s="2" t="inlineStr">
        <is>
          <t xml:space="preserve">  Operating cost</t>
        </is>
      </c>
      <c r="D305" s="19">
        <f>D303+D304</f>
        <v/>
      </c>
      <c r="E305" s="19">
        <f>E303+E304</f>
        <v/>
      </c>
      <c r="F305" s="19">
        <f>F303+F304</f>
        <v/>
      </c>
      <c r="G305" s="19">
        <f>G303+G304</f>
        <v/>
      </c>
      <c r="H305" s="19">
        <f>H303+H304</f>
        <v/>
      </c>
      <c r="I305" s="19">
        <f>I303+I304</f>
        <v/>
      </c>
      <c r="J305" s="19">
        <f>J303+J304</f>
        <v/>
      </c>
      <c r="K305" s="19">
        <f>K303+K304</f>
        <v/>
      </c>
      <c r="L305" s="19">
        <f>L303+L304</f>
        <v/>
      </c>
      <c r="M305" s="19">
        <f>M303+M304</f>
        <v/>
      </c>
      <c r="N305" s="19">
        <f>N303+N304</f>
        <v/>
      </c>
      <c r="O305" s="19">
        <f>O303+O304</f>
        <v/>
      </c>
      <c r="P305" s="19">
        <f>P303+P304</f>
        <v/>
      </c>
      <c r="Q305" s="19">
        <f>Q303+Q304</f>
        <v/>
      </c>
      <c r="R305" s="19">
        <f>R303+R304</f>
        <v/>
      </c>
      <c r="S305" s="19">
        <f>S303+S304</f>
        <v/>
      </c>
      <c r="T305" s="19">
        <f>T303+T304</f>
        <v/>
      </c>
      <c r="U305" s="19">
        <f>U303+U304</f>
        <v/>
      </c>
      <c r="V305" s="19">
        <f>V303+V304</f>
        <v/>
      </c>
      <c r="W305" s="19">
        <f>W303+W304</f>
        <v/>
      </c>
      <c r="X305" s="19">
        <f>X303+X304</f>
        <v/>
      </c>
      <c r="Y305" s="19">
        <f>Y303+Y304</f>
        <v/>
      </c>
      <c r="Z305" s="19">
        <f>Z303+Z304</f>
        <v/>
      </c>
      <c r="AA305" s="19">
        <f>AA303+AA304</f>
        <v/>
      </c>
      <c r="AB305" s="19">
        <f>AB303+AB304</f>
        <v/>
      </c>
      <c r="AC305" s="19">
        <f>AC303+AC304</f>
        <v/>
      </c>
      <c r="AD305" s="19">
        <f>AD303+AD304</f>
        <v/>
      </c>
      <c r="AE305" s="19">
        <f>AE303+AE304</f>
        <v/>
      </c>
      <c r="AF305" s="19">
        <f>AF303+AF304</f>
        <v/>
      </c>
      <c r="AG305" s="19">
        <f>AG303+AG304</f>
        <v/>
      </c>
      <c r="AH305" s="19">
        <f>AH303+AH304</f>
        <v/>
      </c>
      <c r="AI305" s="19">
        <f>AI303+AI304</f>
        <v/>
      </c>
    </row>
    <row r="306">
      <c r="B306" s="3" t="inlineStr">
        <is>
          <t xml:space="preserve">  EBITDA</t>
        </is>
      </c>
      <c r="D306" s="31">
        <f>D302-D305</f>
        <v/>
      </c>
      <c r="E306" s="31">
        <f>E302-E305</f>
        <v/>
      </c>
      <c r="F306" s="31">
        <f>F302-F305</f>
        <v/>
      </c>
      <c r="G306" s="31">
        <f>G302-G305</f>
        <v/>
      </c>
      <c r="H306" s="31">
        <f>H302-H305</f>
        <v/>
      </c>
      <c r="I306" s="31">
        <f>I302-I305</f>
        <v/>
      </c>
      <c r="J306" s="31">
        <f>J302-J305</f>
        <v/>
      </c>
      <c r="K306" s="31">
        <f>K302-K305</f>
        <v/>
      </c>
      <c r="L306" s="31">
        <f>L302-L305</f>
        <v/>
      </c>
      <c r="M306" s="31">
        <f>M302-M305</f>
        <v/>
      </c>
      <c r="N306" s="31">
        <f>N302-N305</f>
        <v/>
      </c>
      <c r="O306" s="31">
        <f>O302-O305</f>
        <v/>
      </c>
      <c r="P306" s="31">
        <f>P302-P305</f>
        <v/>
      </c>
      <c r="Q306" s="31">
        <f>Q302-Q305</f>
        <v/>
      </c>
      <c r="R306" s="31">
        <f>R302-R305</f>
        <v/>
      </c>
      <c r="S306" s="31">
        <f>S302-S305</f>
        <v/>
      </c>
      <c r="T306" s="31">
        <f>T302-T305</f>
        <v/>
      </c>
      <c r="U306" s="31">
        <f>U302-U305</f>
        <v/>
      </c>
      <c r="V306" s="31">
        <f>V302-V305</f>
        <v/>
      </c>
      <c r="W306" s="31">
        <f>W302-W305</f>
        <v/>
      </c>
      <c r="X306" s="31">
        <f>X302-X305</f>
        <v/>
      </c>
      <c r="Y306" s="31">
        <f>Y302-Y305</f>
        <v/>
      </c>
      <c r="Z306" s="31">
        <f>Z302-Z305</f>
        <v/>
      </c>
      <c r="AA306" s="31">
        <f>AA302-AA305</f>
        <v/>
      </c>
      <c r="AB306" s="31">
        <f>AB302-AB305</f>
        <v/>
      </c>
      <c r="AC306" s="31">
        <f>AC302-AC305</f>
        <v/>
      </c>
      <c r="AD306" s="31">
        <f>AD302-AD305</f>
        <v/>
      </c>
      <c r="AE306" s="31">
        <f>AE302-AE305</f>
        <v/>
      </c>
      <c r="AF306" s="31">
        <f>AF302-AF305</f>
        <v/>
      </c>
      <c r="AG306" s="31">
        <f>AG302-AG305</f>
        <v/>
      </c>
      <c r="AH306" s="31">
        <f>AH302-AH305</f>
        <v/>
      </c>
      <c r="AI306" s="31">
        <f>AI302-AI305</f>
        <v/>
      </c>
    </row>
    <row r="307">
      <c r="B307" s="2" t="inlineStr">
        <is>
          <t xml:space="preserve">  Maintenance capex</t>
        </is>
      </c>
      <c r="D307" s="19">
        <f>D294*i_R_mc*D273</f>
        <v/>
      </c>
      <c r="E307" s="19">
        <f>E294*i_R_mc*E273</f>
        <v/>
      </c>
      <c r="F307" s="19">
        <f>F294*i_R_mc*F273</f>
        <v/>
      </c>
      <c r="G307" s="19">
        <f>G294*i_R_mc*G273</f>
        <v/>
      </c>
      <c r="H307" s="19">
        <f>H294*i_R_mc*H273</f>
        <v/>
      </c>
      <c r="I307" s="19">
        <f>I294*i_R_mc*I273</f>
        <v/>
      </c>
      <c r="J307" s="19">
        <f>J294*i_R_mc*J273</f>
        <v/>
      </c>
      <c r="K307" s="19">
        <f>K294*i_R_mc*K273</f>
        <v/>
      </c>
      <c r="L307" s="19">
        <f>L294*i_R_mc*L273</f>
        <v/>
      </c>
      <c r="M307" s="19">
        <f>M294*i_R_mc*M273</f>
        <v/>
      </c>
      <c r="N307" s="19">
        <f>N294*i_R_mc*N273</f>
        <v/>
      </c>
      <c r="O307" s="19">
        <f>O294*i_R_mc*O273</f>
        <v/>
      </c>
      <c r="P307" s="19">
        <f>P294*i_R_mc*P273</f>
        <v/>
      </c>
      <c r="Q307" s="19">
        <f>Q294*i_R_mc*Q273</f>
        <v/>
      </c>
      <c r="R307" s="19">
        <f>R294*i_R_mc*R273</f>
        <v/>
      </c>
      <c r="S307" s="19">
        <f>S294*i_R_mc*S273</f>
        <v/>
      </c>
      <c r="T307" s="19">
        <f>T294*i_R_mc*T273</f>
        <v/>
      </c>
      <c r="U307" s="19">
        <f>U294*i_R_mc*U273</f>
        <v/>
      </c>
      <c r="V307" s="19">
        <f>V294*i_R_mc*V273</f>
        <v/>
      </c>
      <c r="W307" s="19">
        <f>W294*i_R_mc*W273</f>
        <v/>
      </c>
      <c r="X307" s="19">
        <f>X294*i_R_mc*X273</f>
        <v/>
      </c>
      <c r="Y307" s="19">
        <f>Y294*i_R_mc*Y273</f>
        <v/>
      </c>
      <c r="Z307" s="19">
        <f>Z294*i_R_mc*Z273</f>
        <v/>
      </c>
      <c r="AA307" s="19">
        <f>AA294*i_R_mc*AA273</f>
        <v/>
      </c>
      <c r="AB307" s="19">
        <f>AB294*i_R_mc*AB273</f>
        <v/>
      </c>
      <c r="AC307" s="19">
        <f>AC294*i_R_mc*AC273</f>
        <v/>
      </c>
      <c r="AD307" s="19">
        <f>AD294*i_R_mc*AD273</f>
        <v/>
      </c>
      <c r="AE307" s="19">
        <f>AE294*i_R_mc*AE273</f>
        <v/>
      </c>
      <c r="AF307" s="19">
        <f>AF294*i_R_mc*AF273</f>
        <v/>
      </c>
      <c r="AG307" s="19">
        <f>AG294*i_R_mc*AG273</f>
        <v/>
      </c>
      <c r="AH307" s="19">
        <f>AH294*i_R_mc*AH273</f>
        <v/>
      </c>
      <c r="AI307" s="19">
        <f>AI294*i_R_mc*AI273</f>
        <v/>
      </c>
    </row>
    <row r="308">
      <c r="B308" s="3" t="inlineStr">
        <is>
          <t>Thamesbridge</t>
        </is>
      </c>
    </row>
    <row r="309">
      <c r="B309" s="2" t="inlineStr">
        <is>
          <t xml:space="preserve">  Capacity in service (million m3)</t>
        </is>
      </c>
      <c r="D309" s="24">
        <f>i_T_cap</f>
        <v/>
      </c>
      <c r="E309" s="24">
        <f>i_T_cap</f>
        <v/>
      </c>
      <c r="F309" s="24">
        <f>i_T_cap</f>
        <v/>
      </c>
      <c r="G309" s="24">
        <f>i_T_cap</f>
        <v/>
      </c>
      <c r="H309" s="24">
        <f>i_T_cap</f>
        <v/>
      </c>
      <c r="I309" s="24">
        <f>i_T_cap</f>
        <v/>
      </c>
      <c r="J309" s="24">
        <f>i_T_cap</f>
        <v/>
      </c>
      <c r="K309" s="24">
        <f>i_T_cap</f>
        <v/>
      </c>
      <c r="L309" s="24">
        <f>i_T_cap</f>
        <v/>
      </c>
      <c r="M309" s="24">
        <f>i_T_cap</f>
        <v/>
      </c>
      <c r="N309" s="24">
        <f>i_T_cap</f>
        <v/>
      </c>
      <c r="O309" s="24">
        <f>i_T_cap</f>
        <v/>
      </c>
      <c r="P309" s="24">
        <f>i_T_cap</f>
        <v/>
      </c>
      <c r="Q309" s="24">
        <f>i_T_cap</f>
        <v/>
      </c>
      <c r="R309" s="24">
        <f>i_T_cap</f>
        <v/>
      </c>
      <c r="S309" s="24">
        <f>i_T_cap</f>
        <v/>
      </c>
      <c r="T309" s="24">
        <f>i_T_cap</f>
        <v/>
      </c>
      <c r="U309" s="24">
        <f>i_T_cap</f>
        <v/>
      </c>
      <c r="V309" s="24">
        <f>i_T_cap</f>
        <v/>
      </c>
      <c r="W309" s="24">
        <f>i_T_cap</f>
        <v/>
      </c>
      <c r="X309" s="24">
        <f>i_T_cap</f>
        <v/>
      </c>
      <c r="Y309" s="24">
        <f>i_T_cap</f>
        <v/>
      </c>
      <c r="Z309" s="24">
        <f>i_T_cap</f>
        <v/>
      </c>
      <c r="AA309" s="24">
        <f>i_T_cap</f>
        <v/>
      </c>
      <c r="AB309" s="24">
        <f>i_T_cap</f>
        <v/>
      </c>
      <c r="AC309" s="24">
        <f>i_T_cap</f>
        <v/>
      </c>
      <c r="AD309" s="24">
        <f>i_T_cap</f>
        <v/>
      </c>
      <c r="AE309" s="24">
        <f>i_T_cap</f>
        <v/>
      </c>
      <c r="AF309" s="24">
        <f>i_T_cap</f>
        <v/>
      </c>
      <c r="AG309" s="24">
        <f>i_T_cap</f>
        <v/>
      </c>
      <c r="AH309" s="24">
        <f>i_T_cap</f>
        <v/>
      </c>
      <c r="AI309" s="24">
        <f>i_T_cap</f>
        <v/>
      </c>
    </row>
    <row r="310">
      <c r="B310" s="2" t="inlineStr">
        <is>
          <t xml:space="preserve">  Share on contracts signed before 2027</t>
        </is>
      </c>
      <c r="D310" s="21">
        <f>SUMIF(i_book_years,D$3,i_T_book)</f>
        <v/>
      </c>
      <c r="E310" s="21">
        <f>SUMIF(i_book_years,E$3,i_T_book)</f>
        <v/>
      </c>
      <c r="F310" s="21">
        <f>SUMIF(i_book_years,F$3,i_T_book)</f>
        <v/>
      </c>
      <c r="G310" s="21">
        <f>SUMIF(i_book_years,G$3,i_T_book)</f>
        <v/>
      </c>
      <c r="H310" s="21">
        <f>SUMIF(i_book_years,H$3,i_T_book)</f>
        <v/>
      </c>
      <c r="I310" s="21">
        <f>SUMIF(i_book_years,I$3,i_T_book)</f>
        <v/>
      </c>
      <c r="J310" s="21">
        <f>SUMIF(i_book_years,J$3,i_T_book)</f>
        <v/>
      </c>
      <c r="K310" s="21">
        <f>SUMIF(i_book_years,K$3,i_T_book)</f>
        <v/>
      </c>
      <c r="L310" s="21">
        <f>SUMIF(i_book_years,L$3,i_T_book)</f>
        <v/>
      </c>
      <c r="M310" s="21">
        <f>SUMIF(i_book_years,M$3,i_T_book)</f>
        <v/>
      </c>
      <c r="N310" s="21">
        <f>SUMIF(i_book_years,N$3,i_T_book)</f>
        <v/>
      </c>
      <c r="O310" s="21">
        <f>SUMIF(i_book_years,O$3,i_T_book)</f>
        <v/>
      </c>
      <c r="P310" s="21">
        <f>SUMIF(i_book_years,P$3,i_T_book)</f>
        <v/>
      </c>
      <c r="Q310" s="21">
        <f>SUMIF(i_book_years,Q$3,i_T_book)</f>
        <v/>
      </c>
      <c r="R310" s="21">
        <f>SUMIF(i_book_years,R$3,i_T_book)</f>
        <v/>
      </c>
      <c r="S310" s="21">
        <f>SUMIF(i_book_years,S$3,i_T_book)</f>
        <v/>
      </c>
      <c r="T310" s="21">
        <f>SUMIF(i_book_years,T$3,i_T_book)</f>
        <v/>
      </c>
      <c r="U310" s="21">
        <f>SUMIF(i_book_years,U$3,i_T_book)</f>
        <v/>
      </c>
      <c r="V310" s="21">
        <f>SUMIF(i_book_years,V$3,i_T_book)</f>
        <v/>
      </c>
      <c r="W310" s="21">
        <f>SUMIF(i_book_years,W$3,i_T_book)</f>
        <v/>
      </c>
      <c r="X310" s="21">
        <f>SUMIF(i_book_years,X$3,i_T_book)</f>
        <v/>
      </c>
      <c r="Y310" s="21">
        <f>SUMIF(i_book_years,Y$3,i_T_book)</f>
        <v/>
      </c>
      <c r="Z310" s="21">
        <f>SUMIF(i_book_years,Z$3,i_T_book)</f>
        <v/>
      </c>
      <c r="AA310" s="21">
        <f>SUMIF(i_book_years,AA$3,i_T_book)</f>
        <v/>
      </c>
      <c r="AB310" s="21">
        <f>SUMIF(i_book_years,AB$3,i_T_book)</f>
        <v/>
      </c>
      <c r="AC310" s="21">
        <f>SUMIF(i_book_years,AC$3,i_T_book)</f>
        <v/>
      </c>
      <c r="AD310" s="21">
        <f>SUMIF(i_book_years,AD$3,i_T_book)</f>
        <v/>
      </c>
      <c r="AE310" s="21">
        <f>SUMIF(i_book_years,AE$3,i_T_book)</f>
        <v/>
      </c>
      <c r="AF310" s="21">
        <f>SUMIF(i_book_years,AF$3,i_T_book)</f>
        <v/>
      </c>
      <c r="AG310" s="21">
        <f>SUMIF(i_book_years,AG$3,i_T_book)</f>
        <v/>
      </c>
      <c r="AH310" s="21">
        <f>SUMIF(i_book_years,AH$3,i_T_book)</f>
        <v/>
      </c>
      <c r="AI310" s="21">
        <f>SUMIF(i_book_years,AI$3,i_T_book)</f>
        <v/>
      </c>
    </row>
    <row r="311">
      <c r="B311" s="2" t="inlineStr">
        <is>
          <t xml:space="preserve">  Recontracting factor against current rates</t>
        </is>
      </c>
      <c r="D311" s="21">
        <f>IF(D$4=0,0,IF(Diligence!$C$263=1,i_T_mtm,i_T_mtm_plan)+Diligence!$C$269)</f>
        <v/>
      </c>
      <c r="E311" s="21">
        <f>IF(E$4=0,0,IF(Diligence!$C$263=1,i_T_mtm,i_T_mtm_plan)+Diligence!$C$269)</f>
        <v/>
      </c>
      <c r="F311" s="21">
        <f>IF(F$4=0,0,IF(Diligence!$C$263=1,i_T_mtm,i_T_mtm_plan)+Diligence!$C$269)</f>
        <v/>
      </c>
      <c r="G311" s="21">
        <f>IF(G$4=0,0,IF(Diligence!$C$263=1,i_T_mtm,i_T_mtm_plan)+Diligence!$C$269)</f>
        <v/>
      </c>
      <c r="H311" s="21">
        <f>IF(H$4=0,0,IF(Diligence!$C$263=1,i_T_mtm,i_T_mtm_plan)+Diligence!$C$269)</f>
        <v/>
      </c>
      <c r="I311" s="21">
        <f>IF(I$4=0,0,IF(Diligence!$C$263=1,i_T_mtm,i_T_mtm_plan)+Diligence!$C$269)</f>
        <v/>
      </c>
      <c r="J311" s="21">
        <f>IF(J$4=0,0,IF(Diligence!$C$263=1,i_T_mtm,i_T_mtm_plan)+Diligence!$C$269)</f>
        <v/>
      </c>
      <c r="K311" s="21">
        <f>IF(K$4=0,0,IF(Diligence!$C$263=1,i_T_mtm,i_T_mtm_plan)+Diligence!$C$269)</f>
        <v/>
      </c>
      <c r="L311" s="21">
        <f>IF(L$4=0,0,IF(Diligence!$C$263=1,i_T_mtm,i_T_mtm_plan)+Diligence!$C$269)</f>
        <v/>
      </c>
      <c r="M311" s="21">
        <f>IF(M$4=0,0,IF(Diligence!$C$263=1,i_T_mtm,i_T_mtm_plan)+Diligence!$C$269)</f>
        <v/>
      </c>
      <c r="N311" s="21">
        <f>IF(N$4=0,0,IF(Diligence!$C$263=1,i_T_mtm,i_T_mtm_plan)+Diligence!$C$269)</f>
        <v/>
      </c>
      <c r="O311" s="21">
        <f>IF(O$4=0,0,IF(Diligence!$C$263=1,i_T_mtm,i_T_mtm_plan)+Diligence!$C$269)</f>
        <v/>
      </c>
      <c r="P311" s="21">
        <f>IF(P$4=0,0,IF(Diligence!$C$263=1,i_T_mtm,i_T_mtm_plan)+Diligence!$C$269)</f>
        <v/>
      </c>
      <c r="Q311" s="21">
        <f>IF(Q$4=0,0,IF(Diligence!$C$263=1,i_T_mtm,i_T_mtm_plan)+Diligence!$C$269)</f>
        <v/>
      </c>
      <c r="R311" s="21">
        <f>IF(R$4=0,0,IF(Diligence!$C$263=1,i_T_mtm,i_T_mtm_plan)+Diligence!$C$269)</f>
        <v/>
      </c>
      <c r="S311" s="21">
        <f>IF(S$4=0,0,IF(Diligence!$C$263=1,i_T_mtm,i_T_mtm_plan)+Diligence!$C$269)</f>
        <v/>
      </c>
      <c r="T311" s="21">
        <f>IF(T$4=0,0,IF(Diligence!$C$263=1,i_T_mtm,i_T_mtm_plan)+Diligence!$C$269)</f>
        <v/>
      </c>
      <c r="U311" s="21">
        <f>IF(U$4=0,0,IF(Diligence!$C$263=1,i_T_mtm,i_T_mtm_plan)+Diligence!$C$269)</f>
        <v/>
      </c>
      <c r="V311" s="21">
        <f>IF(V$4=0,0,IF(Diligence!$C$263=1,i_T_mtm,i_T_mtm_plan)+Diligence!$C$269)</f>
        <v/>
      </c>
      <c r="W311" s="21">
        <f>IF(W$4=0,0,IF(Diligence!$C$263=1,i_T_mtm,i_T_mtm_plan)+Diligence!$C$269)</f>
        <v/>
      </c>
      <c r="X311" s="21">
        <f>IF(X$4=0,0,IF(Diligence!$C$263=1,i_T_mtm,i_T_mtm_plan)+Diligence!$C$269)</f>
        <v/>
      </c>
      <c r="Y311" s="21">
        <f>IF(Y$4=0,0,IF(Diligence!$C$263=1,i_T_mtm,i_T_mtm_plan)+Diligence!$C$269)</f>
        <v/>
      </c>
      <c r="Z311" s="21">
        <f>IF(Z$4=0,0,IF(Diligence!$C$263=1,i_T_mtm,i_T_mtm_plan)+Diligence!$C$269)</f>
        <v/>
      </c>
      <c r="AA311" s="21">
        <f>IF(AA$4=0,0,IF(Diligence!$C$263=1,i_T_mtm,i_T_mtm_plan)+Diligence!$C$269)</f>
        <v/>
      </c>
      <c r="AB311" s="21">
        <f>IF(AB$4=0,0,IF(Diligence!$C$263=1,i_T_mtm,i_T_mtm_plan)+Diligence!$C$269)</f>
        <v/>
      </c>
      <c r="AC311" s="21">
        <f>IF(AC$4=0,0,IF(Diligence!$C$263=1,i_T_mtm,i_T_mtm_plan)+Diligence!$C$269)</f>
        <v/>
      </c>
      <c r="AD311" s="21">
        <f>IF(AD$4=0,0,IF(Diligence!$C$263=1,i_T_mtm,i_T_mtm_plan)+Diligence!$C$269)</f>
        <v/>
      </c>
      <c r="AE311" s="21">
        <f>IF(AE$4=0,0,IF(Diligence!$C$263=1,i_T_mtm,i_T_mtm_plan)+Diligence!$C$269)</f>
        <v/>
      </c>
      <c r="AF311" s="21">
        <f>IF(AF$4=0,0,IF(Diligence!$C$263=1,i_T_mtm,i_T_mtm_plan)+Diligence!$C$269)</f>
        <v/>
      </c>
      <c r="AG311" s="21">
        <f>IF(AG$4=0,0,IF(Diligence!$C$263=1,i_T_mtm,i_T_mtm_plan)+Diligence!$C$269)</f>
        <v/>
      </c>
      <c r="AH311" s="21">
        <f>IF(AH$4=0,0,IF(Diligence!$C$263=1,i_T_mtm,i_T_mtm_plan)+Diligence!$C$269)</f>
        <v/>
      </c>
      <c r="AI311" s="21">
        <f>IF(AI$4=0,0,IF(Diligence!$C$263=1,i_T_mtm,i_T_mtm_plan)+Diligence!$C$269)</f>
        <v/>
      </c>
    </row>
    <row r="312">
      <c r="B312" s="2" t="inlineStr">
        <is>
          <t xml:space="preserve">  Average rate ($ per m3 per month)</t>
        </is>
      </c>
      <c r="D312" s="24">
        <f>i_T_rate*D274*(D310+(1-D310)*(1+D311))</f>
        <v/>
      </c>
      <c r="E312" s="24">
        <f>i_T_rate*E274*(E310+(1-E310)*(1+E311))</f>
        <v/>
      </c>
      <c r="F312" s="24">
        <f>i_T_rate*F274*(F310+(1-F310)*(1+F311))</f>
        <v/>
      </c>
      <c r="G312" s="24">
        <f>i_T_rate*G274*(G310+(1-G310)*(1+G311))</f>
        <v/>
      </c>
      <c r="H312" s="24">
        <f>i_T_rate*H274*(H310+(1-H310)*(1+H311))</f>
        <v/>
      </c>
      <c r="I312" s="24">
        <f>i_T_rate*I274*(I310+(1-I310)*(1+I311))</f>
        <v/>
      </c>
      <c r="J312" s="24">
        <f>i_T_rate*J274*(J310+(1-J310)*(1+J311))</f>
        <v/>
      </c>
      <c r="K312" s="24">
        <f>i_T_rate*K274*(K310+(1-K310)*(1+K311))</f>
        <v/>
      </c>
      <c r="L312" s="24">
        <f>i_T_rate*L274*(L310+(1-L310)*(1+L311))</f>
        <v/>
      </c>
      <c r="M312" s="24">
        <f>i_T_rate*M274*(M310+(1-M310)*(1+M311))</f>
        <v/>
      </c>
      <c r="N312" s="24">
        <f>i_T_rate*N274*(N310+(1-N310)*(1+N311))</f>
        <v/>
      </c>
      <c r="O312" s="24">
        <f>i_T_rate*O274*(O310+(1-O310)*(1+O311))</f>
        <v/>
      </c>
      <c r="P312" s="24">
        <f>i_T_rate*P274*(P310+(1-P310)*(1+P311))</f>
        <v/>
      </c>
      <c r="Q312" s="24">
        <f>i_T_rate*Q274*(Q310+(1-Q310)*(1+Q311))</f>
        <v/>
      </c>
      <c r="R312" s="24">
        <f>i_T_rate*R274*(R310+(1-R310)*(1+R311))</f>
        <v/>
      </c>
      <c r="S312" s="24">
        <f>i_T_rate*S274*(S310+(1-S310)*(1+S311))</f>
        <v/>
      </c>
      <c r="T312" s="24">
        <f>i_T_rate*T274*(T310+(1-T310)*(1+T311))</f>
        <v/>
      </c>
      <c r="U312" s="24">
        <f>i_T_rate*U274*(U310+(1-U310)*(1+U311))</f>
        <v/>
      </c>
      <c r="V312" s="24">
        <f>i_T_rate*V274*(V310+(1-V310)*(1+V311))</f>
        <v/>
      </c>
      <c r="W312" s="24">
        <f>i_T_rate*W274*(W310+(1-W310)*(1+W311))</f>
        <v/>
      </c>
      <c r="X312" s="24">
        <f>i_T_rate*X274*(X310+(1-X310)*(1+X311))</f>
        <v/>
      </c>
      <c r="Y312" s="24">
        <f>i_T_rate*Y274*(Y310+(1-Y310)*(1+Y311))</f>
        <v/>
      </c>
      <c r="Z312" s="24">
        <f>i_T_rate*Z274*(Z310+(1-Z310)*(1+Z311))</f>
        <v/>
      </c>
      <c r="AA312" s="24">
        <f>i_T_rate*AA274*(AA310+(1-AA310)*(1+AA311))</f>
        <v/>
      </c>
      <c r="AB312" s="24">
        <f>i_T_rate*AB274*(AB310+(1-AB310)*(1+AB311))</f>
        <v/>
      </c>
      <c r="AC312" s="24">
        <f>i_T_rate*AC274*(AC310+(1-AC310)*(1+AC311))</f>
        <v/>
      </c>
      <c r="AD312" s="24">
        <f>i_T_rate*AD274*(AD310+(1-AD310)*(1+AD311))</f>
        <v/>
      </c>
      <c r="AE312" s="24">
        <f>i_T_rate*AE274*(AE310+(1-AE310)*(1+AE311))</f>
        <v/>
      </c>
      <c r="AF312" s="24">
        <f>i_T_rate*AF274*(AF310+(1-AF310)*(1+AF311))</f>
        <v/>
      </c>
      <c r="AG312" s="24">
        <f>i_T_rate*AG274*(AG310+(1-AG310)*(1+AG311))</f>
        <v/>
      </c>
      <c r="AH312" s="24">
        <f>i_T_rate*AH274*(AH310+(1-AH310)*(1+AH311))</f>
        <v/>
      </c>
      <c r="AI312" s="24">
        <f>i_T_rate*AI274*(AI310+(1-AI310)*(1+AI311))</f>
        <v/>
      </c>
    </row>
    <row r="313">
      <c r="B313" s="2" t="inlineStr">
        <is>
          <t xml:space="preserve">  Occupancy after the transition decline and floor</t>
        </is>
      </c>
      <c r="D313" s="21">
        <f>IF(D$3&gt;i_trans_start,MAX(i_T_floor,i_T_occ-i_T_dec*(D$3-i_trans_start)),i_T_occ)</f>
        <v/>
      </c>
      <c r="E313" s="21">
        <f>IF(E$3&gt;i_trans_start,MAX(i_T_floor,i_T_occ-i_T_dec*(E$3-i_trans_start)),i_T_occ)</f>
        <v/>
      </c>
      <c r="F313" s="21">
        <f>IF(F$3&gt;i_trans_start,MAX(i_T_floor,i_T_occ-i_T_dec*(F$3-i_trans_start)),i_T_occ)</f>
        <v/>
      </c>
      <c r="G313" s="21">
        <f>IF(G$3&gt;i_trans_start,MAX(i_T_floor,i_T_occ-i_T_dec*(G$3-i_trans_start)),i_T_occ)</f>
        <v/>
      </c>
      <c r="H313" s="21">
        <f>IF(H$3&gt;i_trans_start,MAX(i_T_floor,i_T_occ-i_T_dec*(H$3-i_trans_start)),i_T_occ)</f>
        <v/>
      </c>
      <c r="I313" s="21">
        <f>IF(I$3&gt;i_trans_start,MAX(i_T_floor,i_T_occ-i_T_dec*(I$3-i_trans_start)),i_T_occ)</f>
        <v/>
      </c>
      <c r="J313" s="21">
        <f>IF(J$3&gt;i_trans_start,MAX(i_T_floor,i_T_occ-i_T_dec*(J$3-i_trans_start)),i_T_occ)</f>
        <v/>
      </c>
      <c r="K313" s="21">
        <f>IF(K$3&gt;i_trans_start,MAX(i_T_floor,i_T_occ-i_T_dec*(K$3-i_trans_start)),i_T_occ)</f>
        <v/>
      </c>
      <c r="L313" s="21">
        <f>IF(L$3&gt;i_trans_start,MAX(i_T_floor,i_T_occ-i_T_dec*(L$3-i_trans_start)),i_T_occ)</f>
        <v/>
      </c>
      <c r="M313" s="21">
        <f>IF(M$3&gt;i_trans_start,MAX(i_T_floor,i_T_occ-i_T_dec*(M$3-i_trans_start)),i_T_occ)</f>
        <v/>
      </c>
      <c r="N313" s="21">
        <f>IF(N$3&gt;i_trans_start,MAX(i_T_floor,i_T_occ-i_T_dec*(N$3-i_trans_start)),i_T_occ)</f>
        <v/>
      </c>
      <c r="O313" s="21">
        <f>IF(O$3&gt;i_trans_start,MAX(i_T_floor,i_T_occ-i_T_dec*(O$3-i_trans_start)),i_T_occ)</f>
        <v/>
      </c>
      <c r="P313" s="21">
        <f>IF(P$3&gt;i_trans_start,MAX(i_T_floor,i_T_occ-i_T_dec*(P$3-i_trans_start)),i_T_occ)</f>
        <v/>
      </c>
      <c r="Q313" s="21">
        <f>IF(Q$3&gt;i_trans_start,MAX(i_T_floor,i_T_occ-i_T_dec*(Q$3-i_trans_start)),i_T_occ)</f>
        <v/>
      </c>
      <c r="R313" s="21">
        <f>IF(R$3&gt;i_trans_start,MAX(i_T_floor,i_T_occ-i_T_dec*(R$3-i_trans_start)),i_T_occ)</f>
        <v/>
      </c>
      <c r="S313" s="21">
        <f>IF(S$3&gt;i_trans_start,MAX(i_T_floor,i_T_occ-i_T_dec*(S$3-i_trans_start)),i_T_occ)</f>
        <v/>
      </c>
      <c r="T313" s="21">
        <f>IF(T$3&gt;i_trans_start,MAX(i_T_floor,i_T_occ-i_T_dec*(T$3-i_trans_start)),i_T_occ)</f>
        <v/>
      </c>
      <c r="U313" s="21">
        <f>IF(U$3&gt;i_trans_start,MAX(i_T_floor,i_T_occ-i_T_dec*(U$3-i_trans_start)),i_T_occ)</f>
        <v/>
      </c>
      <c r="V313" s="21">
        <f>IF(V$3&gt;i_trans_start,MAX(i_T_floor,i_T_occ-i_T_dec*(V$3-i_trans_start)),i_T_occ)</f>
        <v/>
      </c>
      <c r="W313" s="21">
        <f>IF(W$3&gt;i_trans_start,MAX(i_T_floor,i_T_occ-i_T_dec*(W$3-i_trans_start)),i_T_occ)</f>
        <v/>
      </c>
      <c r="X313" s="21">
        <f>IF(X$3&gt;i_trans_start,MAX(i_T_floor,i_T_occ-i_T_dec*(X$3-i_trans_start)),i_T_occ)</f>
        <v/>
      </c>
      <c r="Y313" s="21">
        <f>IF(Y$3&gt;i_trans_start,MAX(i_T_floor,i_T_occ-i_T_dec*(Y$3-i_trans_start)),i_T_occ)</f>
        <v/>
      </c>
      <c r="Z313" s="21">
        <f>IF(Z$3&gt;i_trans_start,MAX(i_T_floor,i_T_occ-i_T_dec*(Z$3-i_trans_start)),i_T_occ)</f>
        <v/>
      </c>
      <c r="AA313" s="21">
        <f>IF(AA$3&gt;i_trans_start,MAX(i_T_floor,i_T_occ-i_T_dec*(AA$3-i_trans_start)),i_T_occ)</f>
        <v/>
      </c>
      <c r="AB313" s="21">
        <f>IF(AB$3&gt;i_trans_start,MAX(i_T_floor,i_T_occ-i_T_dec*(AB$3-i_trans_start)),i_T_occ)</f>
        <v/>
      </c>
      <c r="AC313" s="21">
        <f>IF(AC$3&gt;i_trans_start,MAX(i_T_floor,i_T_occ-i_T_dec*(AC$3-i_trans_start)),i_T_occ)</f>
        <v/>
      </c>
      <c r="AD313" s="21">
        <f>IF(AD$3&gt;i_trans_start,MAX(i_T_floor,i_T_occ-i_T_dec*(AD$3-i_trans_start)),i_T_occ)</f>
        <v/>
      </c>
      <c r="AE313" s="21">
        <f>IF(AE$3&gt;i_trans_start,MAX(i_T_floor,i_T_occ-i_T_dec*(AE$3-i_trans_start)),i_T_occ)</f>
        <v/>
      </c>
      <c r="AF313" s="21">
        <f>IF(AF$3&gt;i_trans_start,MAX(i_T_floor,i_T_occ-i_T_dec*(AF$3-i_trans_start)),i_T_occ)</f>
        <v/>
      </c>
      <c r="AG313" s="21">
        <f>IF(AG$3&gt;i_trans_start,MAX(i_T_floor,i_T_occ-i_T_dec*(AG$3-i_trans_start)),i_T_occ)</f>
        <v/>
      </c>
      <c r="AH313" s="21">
        <f>IF(AH$3&gt;i_trans_start,MAX(i_T_floor,i_T_occ-i_T_dec*(AH$3-i_trans_start)),i_T_occ)</f>
        <v/>
      </c>
      <c r="AI313" s="21">
        <f>IF(AI$3&gt;i_trans_start,MAX(i_T_floor,i_T_occ-i_T_dec*(AI$3-i_trans_start)),i_T_occ)</f>
        <v/>
      </c>
    </row>
    <row r="314">
      <c r="B314" s="2" t="inlineStr">
        <is>
          <t xml:space="preserve">  Occupancy (with the shift switch from 2027)</t>
        </is>
      </c>
      <c r="D314" s="21">
        <f>IF(D$4&gt;0,MIN(1,D313+Diligence!$C$268),D313)</f>
        <v/>
      </c>
      <c r="E314" s="21">
        <f>IF(E$4&gt;0,MIN(1,E313+Diligence!$C$268),E313)</f>
        <v/>
      </c>
      <c r="F314" s="21">
        <f>IF(F$4&gt;0,MIN(1,F313+Diligence!$C$268),F313)</f>
        <v/>
      </c>
      <c r="G314" s="21">
        <f>IF(G$4&gt;0,MIN(1,G313+Diligence!$C$268),G313)</f>
        <v/>
      </c>
      <c r="H314" s="21">
        <f>IF(H$4&gt;0,MIN(1,H313+Diligence!$C$268),H313)</f>
        <v/>
      </c>
      <c r="I314" s="21">
        <f>IF(I$4&gt;0,MIN(1,I313+Diligence!$C$268),I313)</f>
        <v/>
      </c>
      <c r="J314" s="21">
        <f>IF(J$4&gt;0,MIN(1,J313+Diligence!$C$268),J313)</f>
        <v/>
      </c>
      <c r="K314" s="21">
        <f>IF(K$4&gt;0,MIN(1,K313+Diligence!$C$268),K313)</f>
        <v/>
      </c>
      <c r="L314" s="21">
        <f>IF(L$4&gt;0,MIN(1,L313+Diligence!$C$268),L313)</f>
        <v/>
      </c>
      <c r="M314" s="21">
        <f>IF(M$4&gt;0,MIN(1,M313+Diligence!$C$268),M313)</f>
        <v/>
      </c>
      <c r="N314" s="21">
        <f>IF(N$4&gt;0,MIN(1,N313+Diligence!$C$268),N313)</f>
        <v/>
      </c>
      <c r="O314" s="21">
        <f>IF(O$4&gt;0,MIN(1,O313+Diligence!$C$268),O313)</f>
        <v/>
      </c>
      <c r="P314" s="21">
        <f>IF(P$4&gt;0,MIN(1,P313+Diligence!$C$268),P313)</f>
        <v/>
      </c>
      <c r="Q314" s="21">
        <f>IF(Q$4&gt;0,MIN(1,Q313+Diligence!$C$268),Q313)</f>
        <v/>
      </c>
      <c r="R314" s="21">
        <f>IF(R$4&gt;0,MIN(1,R313+Diligence!$C$268),R313)</f>
        <v/>
      </c>
      <c r="S314" s="21">
        <f>IF(S$4&gt;0,MIN(1,S313+Diligence!$C$268),S313)</f>
        <v/>
      </c>
      <c r="T314" s="21">
        <f>IF(T$4&gt;0,MIN(1,T313+Diligence!$C$268),T313)</f>
        <v/>
      </c>
      <c r="U314" s="21">
        <f>IF(U$4&gt;0,MIN(1,U313+Diligence!$C$268),U313)</f>
        <v/>
      </c>
      <c r="V314" s="21">
        <f>IF(V$4&gt;0,MIN(1,V313+Diligence!$C$268),V313)</f>
        <v/>
      </c>
      <c r="W314" s="21">
        <f>IF(W$4&gt;0,MIN(1,W313+Diligence!$C$268),W313)</f>
        <v/>
      </c>
      <c r="X314" s="21">
        <f>IF(X$4&gt;0,MIN(1,X313+Diligence!$C$268),X313)</f>
        <v/>
      </c>
      <c r="Y314" s="21">
        <f>IF(Y$4&gt;0,MIN(1,Y313+Diligence!$C$268),Y313)</f>
        <v/>
      </c>
      <c r="Z314" s="21">
        <f>IF(Z$4&gt;0,MIN(1,Z313+Diligence!$C$268),Z313)</f>
        <v/>
      </c>
      <c r="AA314" s="21">
        <f>IF(AA$4&gt;0,MIN(1,AA313+Diligence!$C$268),AA313)</f>
        <v/>
      </c>
      <c r="AB314" s="21">
        <f>IF(AB$4&gt;0,MIN(1,AB313+Diligence!$C$268),AB313)</f>
        <v/>
      </c>
      <c r="AC314" s="21">
        <f>IF(AC$4&gt;0,MIN(1,AC313+Diligence!$C$268),AC313)</f>
        <v/>
      </c>
      <c r="AD314" s="21">
        <f>IF(AD$4&gt;0,MIN(1,AD313+Diligence!$C$268),AD313)</f>
        <v/>
      </c>
      <c r="AE314" s="21">
        <f>IF(AE$4&gt;0,MIN(1,AE313+Diligence!$C$268),AE313)</f>
        <v/>
      </c>
      <c r="AF314" s="21">
        <f>IF(AF$4&gt;0,MIN(1,AF313+Diligence!$C$268),AF313)</f>
        <v/>
      </c>
      <c r="AG314" s="21">
        <f>IF(AG$4&gt;0,MIN(1,AG313+Diligence!$C$268),AG313)</f>
        <v/>
      </c>
      <c r="AH314" s="21">
        <f>IF(AH$4&gt;0,MIN(1,AH313+Diligence!$C$268),AH313)</f>
        <v/>
      </c>
      <c r="AI314" s="21">
        <f>IF(AI$4&gt;0,MIN(1,AI313+Diligence!$C$268),AI313)</f>
        <v/>
      </c>
    </row>
    <row r="315">
      <c r="B315" s="2" t="inlineStr">
        <is>
          <t xml:space="preserve">  Storage revenue</t>
        </is>
      </c>
      <c r="D315" s="19">
        <f>D309*D312*12*D314</f>
        <v/>
      </c>
      <c r="E315" s="19">
        <f>E309*E312*12*E314</f>
        <v/>
      </c>
      <c r="F315" s="19">
        <f>F309*F312*12*F314</f>
        <v/>
      </c>
      <c r="G315" s="19">
        <f>G309*G312*12*G314</f>
        <v/>
      </c>
      <c r="H315" s="19">
        <f>H309*H312*12*H314</f>
        <v/>
      </c>
      <c r="I315" s="19">
        <f>I309*I312*12*I314</f>
        <v/>
      </c>
      <c r="J315" s="19">
        <f>J309*J312*12*J314</f>
        <v/>
      </c>
      <c r="K315" s="19">
        <f>K309*K312*12*K314</f>
        <v/>
      </c>
      <c r="L315" s="19">
        <f>L309*L312*12*L314</f>
        <v/>
      </c>
      <c r="M315" s="19">
        <f>M309*M312*12*M314</f>
        <v/>
      </c>
      <c r="N315" s="19">
        <f>N309*N312*12*N314</f>
        <v/>
      </c>
      <c r="O315" s="19">
        <f>O309*O312*12*O314</f>
        <v/>
      </c>
      <c r="P315" s="19">
        <f>P309*P312*12*P314</f>
        <v/>
      </c>
      <c r="Q315" s="19">
        <f>Q309*Q312*12*Q314</f>
        <v/>
      </c>
      <c r="R315" s="19">
        <f>R309*R312*12*R314</f>
        <v/>
      </c>
      <c r="S315" s="19">
        <f>S309*S312*12*S314</f>
        <v/>
      </c>
      <c r="T315" s="19">
        <f>T309*T312*12*T314</f>
        <v/>
      </c>
      <c r="U315" s="19">
        <f>U309*U312*12*U314</f>
        <v/>
      </c>
      <c r="V315" s="19">
        <f>V309*V312*12*V314</f>
        <v/>
      </c>
      <c r="W315" s="19">
        <f>W309*W312*12*W314</f>
        <v/>
      </c>
      <c r="X315" s="19">
        <f>X309*X312*12*X314</f>
        <v/>
      </c>
      <c r="Y315" s="19">
        <f>Y309*Y312*12*Y314</f>
        <v/>
      </c>
      <c r="Z315" s="19">
        <f>Z309*Z312*12*Z314</f>
        <v/>
      </c>
      <c r="AA315" s="19">
        <f>AA309*AA312*12*AA314</f>
        <v/>
      </c>
      <c r="AB315" s="19">
        <f>AB309*AB312*12*AB314</f>
        <v/>
      </c>
      <c r="AC315" s="19">
        <f>AC309*AC312*12*AC314</f>
        <v/>
      </c>
      <c r="AD315" s="19">
        <f>AD309*AD312*12*AD314</f>
        <v/>
      </c>
      <c r="AE315" s="19">
        <f>AE309*AE312*12*AE314</f>
        <v/>
      </c>
      <c r="AF315" s="19">
        <f>AF309*AF312*12*AF314</f>
        <v/>
      </c>
      <c r="AG315" s="19">
        <f>AG309*AG312*12*AG314</f>
        <v/>
      </c>
      <c r="AH315" s="19">
        <f>AH309*AH312*12*AH314</f>
        <v/>
      </c>
      <c r="AI315" s="19">
        <f>AI309*AI312*12*AI314</f>
        <v/>
      </c>
    </row>
    <row r="316">
      <c r="B316" s="2" t="inlineStr">
        <is>
          <t xml:space="preserve">  Ancillary and throughput revenue</t>
        </is>
      </c>
      <c r="D316" s="19">
        <f>D315*i_T_anc</f>
        <v/>
      </c>
      <c r="E316" s="19">
        <f>E315*i_T_anc</f>
        <v/>
      </c>
      <c r="F316" s="19">
        <f>F315*i_T_anc</f>
        <v/>
      </c>
      <c r="G316" s="19">
        <f>G315*i_T_anc</f>
        <v/>
      </c>
      <c r="H316" s="19">
        <f>H315*i_T_anc</f>
        <v/>
      </c>
      <c r="I316" s="19">
        <f>I315*i_T_anc</f>
        <v/>
      </c>
      <c r="J316" s="19">
        <f>J315*i_T_anc</f>
        <v/>
      </c>
      <c r="K316" s="19">
        <f>K315*i_T_anc</f>
        <v/>
      </c>
      <c r="L316" s="19">
        <f>L315*i_T_anc</f>
        <v/>
      </c>
      <c r="M316" s="19">
        <f>M315*i_T_anc</f>
        <v/>
      </c>
      <c r="N316" s="19">
        <f>N315*i_T_anc</f>
        <v/>
      </c>
      <c r="O316" s="19">
        <f>O315*i_T_anc</f>
        <v/>
      </c>
      <c r="P316" s="19">
        <f>P315*i_T_anc</f>
        <v/>
      </c>
      <c r="Q316" s="19">
        <f>Q315*i_T_anc</f>
        <v/>
      </c>
      <c r="R316" s="19">
        <f>R315*i_T_anc</f>
        <v/>
      </c>
      <c r="S316" s="19">
        <f>S315*i_T_anc</f>
        <v/>
      </c>
      <c r="T316" s="19">
        <f>T315*i_T_anc</f>
        <v/>
      </c>
      <c r="U316" s="19">
        <f>U315*i_T_anc</f>
        <v/>
      </c>
      <c r="V316" s="19">
        <f>V315*i_T_anc</f>
        <v/>
      </c>
      <c r="W316" s="19">
        <f>W315*i_T_anc</f>
        <v/>
      </c>
      <c r="X316" s="19">
        <f>X315*i_T_anc</f>
        <v/>
      </c>
      <c r="Y316" s="19">
        <f>Y315*i_T_anc</f>
        <v/>
      </c>
      <c r="Z316" s="19">
        <f>Z315*i_T_anc</f>
        <v/>
      </c>
      <c r="AA316" s="19">
        <f>AA315*i_T_anc</f>
        <v/>
      </c>
      <c r="AB316" s="19">
        <f>AB315*i_T_anc</f>
        <v/>
      </c>
      <c r="AC316" s="19">
        <f>AC315*i_T_anc</f>
        <v/>
      </c>
      <c r="AD316" s="19">
        <f>AD315*i_T_anc</f>
        <v/>
      </c>
      <c r="AE316" s="19">
        <f>AE315*i_T_anc</f>
        <v/>
      </c>
      <c r="AF316" s="19">
        <f>AF315*i_T_anc</f>
        <v/>
      </c>
      <c r="AG316" s="19">
        <f>AG315*i_T_anc</f>
        <v/>
      </c>
      <c r="AH316" s="19">
        <f>AH315*i_T_anc</f>
        <v/>
      </c>
      <c r="AI316" s="19">
        <f>AI315*i_T_anc</f>
        <v/>
      </c>
    </row>
    <row r="317">
      <c r="B317" s="3" t="inlineStr">
        <is>
          <t xml:space="preserve">  Revenue</t>
        </is>
      </c>
      <c r="D317" s="31">
        <f>D315+D316</f>
        <v/>
      </c>
      <c r="E317" s="31">
        <f>E315+E316</f>
        <v/>
      </c>
      <c r="F317" s="31">
        <f>F315+F316</f>
        <v/>
      </c>
      <c r="G317" s="31">
        <f>G315+G316</f>
        <v/>
      </c>
      <c r="H317" s="31">
        <f>H315+H316</f>
        <v/>
      </c>
      <c r="I317" s="31">
        <f>I315+I316</f>
        <v/>
      </c>
      <c r="J317" s="31">
        <f>J315+J316</f>
        <v/>
      </c>
      <c r="K317" s="31">
        <f>K315+K316</f>
        <v/>
      </c>
      <c r="L317" s="31">
        <f>L315+L316</f>
        <v/>
      </c>
      <c r="M317" s="31">
        <f>M315+M316</f>
        <v/>
      </c>
      <c r="N317" s="31">
        <f>N315+N316</f>
        <v/>
      </c>
      <c r="O317" s="31">
        <f>O315+O316</f>
        <v/>
      </c>
      <c r="P317" s="31">
        <f>P315+P316</f>
        <v/>
      </c>
      <c r="Q317" s="31">
        <f>Q315+Q316</f>
        <v/>
      </c>
      <c r="R317" s="31">
        <f>R315+R316</f>
        <v/>
      </c>
      <c r="S317" s="31">
        <f>S315+S316</f>
        <v/>
      </c>
      <c r="T317" s="31">
        <f>T315+T316</f>
        <v/>
      </c>
      <c r="U317" s="31">
        <f>U315+U316</f>
        <v/>
      </c>
      <c r="V317" s="31">
        <f>V315+V316</f>
        <v/>
      </c>
      <c r="W317" s="31">
        <f>W315+W316</f>
        <v/>
      </c>
      <c r="X317" s="31">
        <f>X315+X316</f>
        <v/>
      </c>
      <c r="Y317" s="31">
        <f>Y315+Y316</f>
        <v/>
      </c>
      <c r="Z317" s="31">
        <f>Z315+Z316</f>
        <v/>
      </c>
      <c r="AA317" s="31">
        <f>AA315+AA316</f>
        <v/>
      </c>
      <c r="AB317" s="31">
        <f>AB315+AB316</f>
        <v/>
      </c>
      <c r="AC317" s="31">
        <f>AC315+AC316</f>
        <v/>
      </c>
      <c r="AD317" s="31">
        <f>AD315+AD316</f>
        <v/>
      </c>
      <c r="AE317" s="31">
        <f>AE315+AE316</f>
        <v/>
      </c>
      <c r="AF317" s="31">
        <f>AF315+AF316</f>
        <v/>
      </c>
      <c r="AG317" s="31">
        <f>AG315+AG316</f>
        <v/>
      </c>
      <c r="AH317" s="31">
        <f>AH315+AH316</f>
        <v/>
      </c>
      <c r="AI317" s="31">
        <f>AI315+AI316</f>
        <v/>
      </c>
    </row>
    <row r="318">
      <c r="B318" s="2" t="inlineStr">
        <is>
          <t xml:space="preserve">  Fixed cost</t>
        </is>
      </c>
      <c r="D318" s="19">
        <f>D309*i_T_fix*D273</f>
        <v/>
      </c>
      <c r="E318" s="19">
        <f>E309*i_T_fix*E273</f>
        <v/>
      </c>
      <c r="F318" s="19">
        <f>F309*i_T_fix*F273</f>
        <v/>
      </c>
      <c r="G318" s="19">
        <f>G309*i_T_fix*G273</f>
        <v/>
      </c>
      <c r="H318" s="19">
        <f>H309*i_T_fix*H273</f>
        <v/>
      </c>
      <c r="I318" s="19">
        <f>I309*i_T_fix*I273</f>
        <v/>
      </c>
      <c r="J318" s="19">
        <f>J309*i_T_fix*J273</f>
        <v/>
      </c>
      <c r="K318" s="19">
        <f>K309*i_T_fix*K273</f>
        <v/>
      </c>
      <c r="L318" s="19">
        <f>L309*i_T_fix*L273</f>
        <v/>
      </c>
      <c r="M318" s="19">
        <f>M309*i_T_fix*M273</f>
        <v/>
      </c>
      <c r="N318" s="19">
        <f>N309*i_T_fix*N273</f>
        <v/>
      </c>
      <c r="O318" s="19">
        <f>O309*i_T_fix*O273</f>
        <v/>
      </c>
      <c r="P318" s="19">
        <f>P309*i_T_fix*P273</f>
        <v/>
      </c>
      <c r="Q318" s="19">
        <f>Q309*i_T_fix*Q273</f>
        <v/>
      </c>
      <c r="R318" s="19">
        <f>R309*i_T_fix*R273</f>
        <v/>
      </c>
      <c r="S318" s="19">
        <f>S309*i_T_fix*S273</f>
        <v/>
      </c>
      <c r="T318" s="19">
        <f>T309*i_T_fix*T273</f>
        <v/>
      </c>
      <c r="U318" s="19">
        <f>U309*i_T_fix*U273</f>
        <v/>
      </c>
      <c r="V318" s="19">
        <f>V309*i_T_fix*V273</f>
        <v/>
      </c>
      <c r="W318" s="19">
        <f>W309*i_T_fix*W273</f>
        <v/>
      </c>
      <c r="X318" s="19">
        <f>X309*i_T_fix*X273</f>
        <v/>
      </c>
      <c r="Y318" s="19">
        <f>Y309*i_T_fix*Y273</f>
        <v/>
      </c>
      <c r="Z318" s="19">
        <f>Z309*i_T_fix*Z273</f>
        <v/>
      </c>
      <c r="AA318" s="19">
        <f>AA309*i_T_fix*AA273</f>
        <v/>
      </c>
      <c r="AB318" s="19">
        <f>AB309*i_T_fix*AB273</f>
        <v/>
      </c>
      <c r="AC318" s="19">
        <f>AC309*i_T_fix*AC273</f>
        <v/>
      </c>
      <c r="AD318" s="19">
        <f>AD309*i_T_fix*AD273</f>
        <v/>
      </c>
      <c r="AE318" s="19">
        <f>AE309*i_T_fix*AE273</f>
        <v/>
      </c>
      <c r="AF318" s="19">
        <f>AF309*i_T_fix*AF273</f>
        <v/>
      </c>
      <c r="AG318" s="19">
        <f>AG309*i_T_fix*AG273</f>
        <v/>
      </c>
      <c r="AH318" s="19">
        <f>AH309*i_T_fix*AH273</f>
        <v/>
      </c>
      <c r="AI318" s="19">
        <f>AI309*i_T_fix*AI273</f>
        <v/>
      </c>
    </row>
    <row r="319">
      <c r="B319" s="2" t="inlineStr">
        <is>
          <t xml:space="preserve">  Variable cost</t>
        </is>
      </c>
      <c r="D319" s="19">
        <f>i_T_var*D317</f>
        <v/>
      </c>
      <c r="E319" s="19">
        <f>i_T_var*E317</f>
        <v/>
      </c>
      <c r="F319" s="19">
        <f>i_T_var*F317</f>
        <v/>
      </c>
      <c r="G319" s="19">
        <f>i_T_var*G317</f>
        <v/>
      </c>
      <c r="H319" s="19">
        <f>i_T_var*H317</f>
        <v/>
      </c>
      <c r="I319" s="19">
        <f>i_T_var*I317</f>
        <v/>
      </c>
      <c r="J319" s="19">
        <f>i_T_var*J317</f>
        <v/>
      </c>
      <c r="K319" s="19">
        <f>i_T_var*K317</f>
        <v/>
      </c>
      <c r="L319" s="19">
        <f>i_T_var*L317</f>
        <v/>
      </c>
      <c r="M319" s="19">
        <f>i_T_var*M317</f>
        <v/>
      </c>
      <c r="N319" s="19">
        <f>i_T_var*N317</f>
        <v/>
      </c>
      <c r="O319" s="19">
        <f>i_T_var*O317</f>
        <v/>
      </c>
      <c r="P319" s="19">
        <f>i_T_var*P317</f>
        <v/>
      </c>
      <c r="Q319" s="19">
        <f>i_T_var*Q317</f>
        <v/>
      </c>
      <c r="R319" s="19">
        <f>i_T_var*R317</f>
        <v/>
      </c>
      <c r="S319" s="19">
        <f>i_T_var*S317</f>
        <v/>
      </c>
      <c r="T319" s="19">
        <f>i_T_var*T317</f>
        <v/>
      </c>
      <c r="U319" s="19">
        <f>i_T_var*U317</f>
        <v/>
      </c>
      <c r="V319" s="19">
        <f>i_T_var*V317</f>
        <v/>
      </c>
      <c r="W319" s="19">
        <f>i_T_var*W317</f>
        <v/>
      </c>
      <c r="X319" s="19">
        <f>i_T_var*X317</f>
        <v/>
      </c>
      <c r="Y319" s="19">
        <f>i_T_var*Y317</f>
        <v/>
      </c>
      <c r="Z319" s="19">
        <f>i_T_var*Z317</f>
        <v/>
      </c>
      <c r="AA319" s="19">
        <f>i_T_var*AA317</f>
        <v/>
      </c>
      <c r="AB319" s="19">
        <f>i_T_var*AB317</f>
        <v/>
      </c>
      <c r="AC319" s="19">
        <f>i_T_var*AC317</f>
        <v/>
      </c>
      <c r="AD319" s="19">
        <f>i_T_var*AD317</f>
        <v/>
      </c>
      <c r="AE319" s="19">
        <f>i_T_var*AE317</f>
        <v/>
      </c>
      <c r="AF319" s="19">
        <f>i_T_var*AF317</f>
        <v/>
      </c>
      <c r="AG319" s="19">
        <f>i_T_var*AG317</f>
        <v/>
      </c>
      <c r="AH319" s="19">
        <f>i_T_var*AH317</f>
        <v/>
      </c>
      <c r="AI319" s="19">
        <f>i_T_var*AI317</f>
        <v/>
      </c>
    </row>
    <row r="320">
      <c r="B320" s="2" t="inlineStr">
        <is>
          <t xml:space="preserve">  Operating cost</t>
        </is>
      </c>
      <c r="D320" s="19">
        <f>D318+D319</f>
        <v/>
      </c>
      <c r="E320" s="19">
        <f>E318+E319</f>
        <v/>
      </c>
      <c r="F320" s="19">
        <f>F318+F319</f>
        <v/>
      </c>
      <c r="G320" s="19">
        <f>G318+G319</f>
        <v/>
      </c>
      <c r="H320" s="19">
        <f>H318+H319</f>
        <v/>
      </c>
      <c r="I320" s="19">
        <f>I318+I319</f>
        <v/>
      </c>
      <c r="J320" s="19">
        <f>J318+J319</f>
        <v/>
      </c>
      <c r="K320" s="19">
        <f>K318+K319</f>
        <v/>
      </c>
      <c r="L320" s="19">
        <f>L318+L319</f>
        <v/>
      </c>
      <c r="M320" s="19">
        <f>M318+M319</f>
        <v/>
      </c>
      <c r="N320" s="19">
        <f>N318+N319</f>
        <v/>
      </c>
      <c r="O320" s="19">
        <f>O318+O319</f>
        <v/>
      </c>
      <c r="P320" s="19">
        <f>P318+P319</f>
        <v/>
      </c>
      <c r="Q320" s="19">
        <f>Q318+Q319</f>
        <v/>
      </c>
      <c r="R320" s="19">
        <f>R318+R319</f>
        <v/>
      </c>
      <c r="S320" s="19">
        <f>S318+S319</f>
        <v/>
      </c>
      <c r="T320" s="19">
        <f>T318+T319</f>
        <v/>
      </c>
      <c r="U320" s="19">
        <f>U318+U319</f>
        <v/>
      </c>
      <c r="V320" s="19">
        <f>V318+V319</f>
        <v/>
      </c>
      <c r="W320" s="19">
        <f>W318+W319</f>
        <v/>
      </c>
      <c r="X320" s="19">
        <f>X318+X319</f>
        <v/>
      </c>
      <c r="Y320" s="19">
        <f>Y318+Y319</f>
        <v/>
      </c>
      <c r="Z320" s="19">
        <f>Z318+Z319</f>
        <v/>
      </c>
      <c r="AA320" s="19">
        <f>AA318+AA319</f>
        <v/>
      </c>
      <c r="AB320" s="19">
        <f>AB318+AB319</f>
        <v/>
      </c>
      <c r="AC320" s="19">
        <f>AC318+AC319</f>
        <v/>
      </c>
      <c r="AD320" s="19">
        <f>AD318+AD319</f>
        <v/>
      </c>
      <c r="AE320" s="19">
        <f>AE318+AE319</f>
        <v/>
      </c>
      <c r="AF320" s="19">
        <f>AF318+AF319</f>
        <v/>
      </c>
      <c r="AG320" s="19">
        <f>AG318+AG319</f>
        <v/>
      </c>
      <c r="AH320" s="19">
        <f>AH318+AH319</f>
        <v/>
      </c>
      <c r="AI320" s="19">
        <f>AI318+AI319</f>
        <v/>
      </c>
    </row>
    <row r="321">
      <c r="B321" s="3" t="inlineStr">
        <is>
          <t xml:space="preserve">  EBITDA</t>
        </is>
      </c>
      <c r="D321" s="31">
        <f>D317-D320</f>
        <v/>
      </c>
      <c r="E321" s="31">
        <f>E317-E320</f>
        <v/>
      </c>
      <c r="F321" s="31">
        <f>F317-F320</f>
        <v/>
      </c>
      <c r="G321" s="31">
        <f>G317-G320</f>
        <v/>
      </c>
      <c r="H321" s="31">
        <f>H317-H320</f>
        <v/>
      </c>
      <c r="I321" s="31">
        <f>I317-I320</f>
        <v/>
      </c>
      <c r="J321" s="31">
        <f>J317-J320</f>
        <v/>
      </c>
      <c r="K321" s="31">
        <f>K317-K320</f>
        <v/>
      </c>
      <c r="L321" s="31">
        <f>L317-L320</f>
        <v/>
      </c>
      <c r="M321" s="31">
        <f>M317-M320</f>
        <v/>
      </c>
      <c r="N321" s="31">
        <f>N317-N320</f>
        <v/>
      </c>
      <c r="O321" s="31">
        <f>O317-O320</f>
        <v/>
      </c>
      <c r="P321" s="31">
        <f>P317-P320</f>
        <v/>
      </c>
      <c r="Q321" s="31">
        <f>Q317-Q320</f>
        <v/>
      </c>
      <c r="R321" s="31">
        <f>R317-R320</f>
        <v/>
      </c>
      <c r="S321" s="31">
        <f>S317-S320</f>
        <v/>
      </c>
      <c r="T321" s="31">
        <f>T317-T320</f>
        <v/>
      </c>
      <c r="U321" s="31">
        <f>U317-U320</f>
        <v/>
      </c>
      <c r="V321" s="31">
        <f>V317-V320</f>
        <v/>
      </c>
      <c r="W321" s="31">
        <f>W317-W320</f>
        <v/>
      </c>
      <c r="X321" s="31">
        <f>X317-X320</f>
        <v/>
      </c>
      <c r="Y321" s="31">
        <f>Y317-Y320</f>
        <v/>
      </c>
      <c r="Z321" s="31">
        <f>Z317-Z320</f>
        <v/>
      </c>
      <c r="AA321" s="31">
        <f>AA317-AA320</f>
        <v/>
      </c>
      <c r="AB321" s="31">
        <f>AB317-AB320</f>
        <v/>
      </c>
      <c r="AC321" s="31">
        <f>AC317-AC320</f>
        <v/>
      </c>
      <c r="AD321" s="31">
        <f>AD317-AD320</f>
        <v/>
      </c>
      <c r="AE321" s="31">
        <f>AE317-AE320</f>
        <v/>
      </c>
      <c r="AF321" s="31">
        <f>AF317-AF320</f>
        <v/>
      </c>
      <c r="AG321" s="31">
        <f>AG317-AG320</f>
        <v/>
      </c>
      <c r="AH321" s="31">
        <f>AH317-AH320</f>
        <v/>
      </c>
      <c r="AI321" s="31">
        <f>AI317-AI320</f>
        <v/>
      </c>
    </row>
    <row r="322">
      <c r="B322" s="2" t="inlineStr">
        <is>
          <t xml:space="preserve">  Maintenance capex</t>
        </is>
      </c>
      <c r="D322" s="19">
        <f>D309*i_T_mc*D273</f>
        <v/>
      </c>
      <c r="E322" s="19">
        <f>E309*i_T_mc*E273</f>
        <v/>
      </c>
      <c r="F322" s="19">
        <f>F309*i_T_mc*F273</f>
        <v/>
      </c>
      <c r="G322" s="19">
        <f>G309*i_T_mc*G273</f>
        <v/>
      </c>
      <c r="H322" s="19">
        <f>H309*i_T_mc*H273</f>
        <v/>
      </c>
      <c r="I322" s="19">
        <f>I309*i_T_mc*I273</f>
        <v/>
      </c>
      <c r="J322" s="19">
        <f>J309*i_T_mc*J273</f>
        <v/>
      </c>
      <c r="K322" s="19">
        <f>K309*i_T_mc*K273</f>
        <v/>
      </c>
      <c r="L322" s="19">
        <f>L309*i_T_mc*L273</f>
        <v/>
      </c>
      <c r="M322" s="19">
        <f>M309*i_T_mc*M273</f>
        <v/>
      </c>
      <c r="N322" s="19">
        <f>N309*i_T_mc*N273</f>
        <v/>
      </c>
      <c r="O322" s="19">
        <f>O309*i_T_mc*O273</f>
        <v/>
      </c>
      <c r="P322" s="19">
        <f>P309*i_T_mc*P273</f>
        <v/>
      </c>
      <c r="Q322" s="19">
        <f>Q309*i_T_mc*Q273</f>
        <v/>
      </c>
      <c r="R322" s="19">
        <f>R309*i_T_mc*R273</f>
        <v/>
      </c>
      <c r="S322" s="19">
        <f>S309*i_T_mc*S273</f>
        <v/>
      </c>
      <c r="T322" s="19">
        <f>T309*i_T_mc*T273</f>
        <v/>
      </c>
      <c r="U322" s="19">
        <f>U309*i_T_mc*U273</f>
        <v/>
      </c>
      <c r="V322" s="19">
        <f>V309*i_T_mc*V273</f>
        <v/>
      </c>
      <c r="W322" s="19">
        <f>W309*i_T_mc*W273</f>
        <v/>
      </c>
      <c r="X322" s="19">
        <f>X309*i_T_mc*X273</f>
        <v/>
      </c>
      <c r="Y322" s="19">
        <f>Y309*i_T_mc*Y273</f>
        <v/>
      </c>
      <c r="Z322" s="19">
        <f>Z309*i_T_mc*Z273</f>
        <v/>
      </c>
      <c r="AA322" s="19">
        <f>AA309*i_T_mc*AA273</f>
        <v/>
      </c>
      <c r="AB322" s="19">
        <f>AB309*i_T_mc*AB273</f>
        <v/>
      </c>
      <c r="AC322" s="19">
        <f>AC309*i_T_mc*AC273</f>
        <v/>
      </c>
      <c r="AD322" s="19">
        <f>AD309*i_T_mc*AD273</f>
        <v/>
      </c>
      <c r="AE322" s="19">
        <f>AE309*i_T_mc*AE273</f>
        <v/>
      </c>
      <c r="AF322" s="19">
        <f>AF309*i_T_mc*AF273</f>
        <v/>
      </c>
      <c r="AG322" s="19">
        <f>AG309*i_T_mc*AG273</f>
        <v/>
      </c>
      <c r="AH322" s="19">
        <f>AH309*i_T_mc*AH273</f>
        <v/>
      </c>
      <c r="AI322" s="19">
        <f>AI309*i_T_mc*AI273</f>
        <v/>
      </c>
    </row>
    <row r="323">
      <c r="B323" s="3" t="inlineStr">
        <is>
          <t>Sabine Bend</t>
        </is>
      </c>
    </row>
    <row r="324">
      <c r="B324" s="2" t="inlineStr">
        <is>
          <t xml:space="preserve">  Capacity in service (million m3)</t>
        </is>
      </c>
      <c r="D324" s="24">
        <f>i_G_cap</f>
        <v/>
      </c>
      <c r="E324" s="24">
        <f>i_G_cap</f>
        <v/>
      </c>
      <c r="F324" s="24">
        <f>i_G_cap</f>
        <v/>
      </c>
      <c r="G324" s="24">
        <f>i_G_cap</f>
        <v/>
      </c>
      <c r="H324" s="24">
        <f>i_G_cap</f>
        <v/>
      </c>
      <c r="I324" s="24">
        <f>i_G_cap</f>
        <v/>
      </c>
      <c r="J324" s="24">
        <f>i_G_cap</f>
        <v/>
      </c>
      <c r="K324" s="24">
        <f>i_G_cap</f>
        <v/>
      </c>
      <c r="L324" s="24">
        <f>i_G_cap</f>
        <v/>
      </c>
      <c r="M324" s="24">
        <f>i_G_cap</f>
        <v/>
      </c>
      <c r="N324" s="24">
        <f>i_G_cap</f>
        <v/>
      </c>
      <c r="O324" s="24">
        <f>i_G_cap</f>
        <v/>
      </c>
      <c r="P324" s="24">
        <f>i_G_cap</f>
        <v/>
      </c>
      <c r="Q324" s="24">
        <f>i_G_cap</f>
        <v/>
      </c>
      <c r="R324" s="24">
        <f>i_G_cap</f>
        <v/>
      </c>
      <c r="S324" s="24">
        <f>i_G_cap</f>
        <v/>
      </c>
      <c r="T324" s="24">
        <f>i_G_cap</f>
        <v/>
      </c>
      <c r="U324" s="24">
        <f>i_G_cap</f>
        <v/>
      </c>
      <c r="V324" s="24">
        <f>i_G_cap</f>
        <v/>
      </c>
      <c r="W324" s="24">
        <f>i_G_cap</f>
        <v/>
      </c>
      <c r="X324" s="24">
        <f>i_G_cap</f>
        <v/>
      </c>
      <c r="Y324" s="24">
        <f>i_G_cap</f>
        <v/>
      </c>
      <c r="Z324" s="24">
        <f>i_G_cap</f>
        <v/>
      </c>
      <c r="AA324" s="24">
        <f>i_G_cap</f>
        <v/>
      </c>
      <c r="AB324" s="24">
        <f>i_G_cap</f>
        <v/>
      </c>
      <c r="AC324" s="24">
        <f>i_G_cap</f>
        <v/>
      </c>
      <c r="AD324" s="24">
        <f>i_G_cap</f>
        <v/>
      </c>
      <c r="AE324" s="24">
        <f>i_G_cap</f>
        <v/>
      </c>
      <c r="AF324" s="24">
        <f>i_G_cap</f>
        <v/>
      </c>
      <c r="AG324" s="24">
        <f>i_G_cap</f>
        <v/>
      </c>
      <c r="AH324" s="24">
        <f>i_G_cap</f>
        <v/>
      </c>
      <c r="AI324" s="24">
        <f>i_G_cap</f>
        <v/>
      </c>
    </row>
    <row r="325">
      <c r="B325" s="2" t="inlineStr">
        <is>
          <t xml:space="preserve">  Share on contracts signed before 2027</t>
        </is>
      </c>
      <c r="D325" s="21">
        <f>SUMIF(i_book_years,D$3,i_G_book)</f>
        <v/>
      </c>
      <c r="E325" s="21">
        <f>SUMIF(i_book_years,E$3,i_G_book)</f>
        <v/>
      </c>
      <c r="F325" s="21">
        <f>SUMIF(i_book_years,F$3,i_G_book)</f>
        <v/>
      </c>
      <c r="G325" s="21">
        <f>SUMIF(i_book_years,G$3,i_G_book)</f>
        <v/>
      </c>
      <c r="H325" s="21">
        <f>SUMIF(i_book_years,H$3,i_G_book)</f>
        <v/>
      </c>
      <c r="I325" s="21">
        <f>SUMIF(i_book_years,I$3,i_G_book)</f>
        <v/>
      </c>
      <c r="J325" s="21">
        <f>SUMIF(i_book_years,J$3,i_G_book)</f>
        <v/>
      </c>
      <c r="K325" s="21">
        <f>SUMIF(i_book_years,K$3,i_G_book)</f>
        <v/>
      </c>
      <c r="L325" s="21">
        <f>SUMIF(i_book_years,L$3,i_G_book)</f>
        <v/>
      </c>
      <c r="M325" s="21">
        <f>SUMIF(i_book_years,M$3,i_G_book)</f>
        <v/>
      </c>
      <c r="N325" s="21">
        <f>SUMIF(i_book_years,N$3,i_G_book)</f>
        <v/>
      </c>
      <c r="O325" s="21">
        <f>SUMIF(i_book_years,O$3,i_G_book)</f>
        <v/>
      </c>
      <c r="P325" s="21">
        <f>SUMIF(i_book_years,P$3,i_G_book)</f>
        <v/>
      </c>
      <c r="Q325" s="21">
        <f>SUMIF(i_book_years,Q$3,i_G_book)</f>
        <v/>
      </c>
      <c r="R325" s="21">
        <f>SUMIF(i_book_years,R$3,i_G_book)</f>
        <v/>
      </c>
      <c r="S325" s="21">
        <f>SUMIF(i_book_years,S$3,i_G_book)</f>
        <v/>
      </c>
      <c r="T325" s="21">
        <f>SUMIF(i_book_years,T$3,i_G_book)</f>
        <v/>
      </c>
      <c r="U325" s="21">
        <f>SUMIF(i_book_years,U$3,i_G_book)</f>
        <v/>
      </c>
      <c r="V325" s="21">
        <f>SUMIF(i_book_years,V$3,i_G_book)</f>
        <v/>
      </c>
      <c r="W325" s="21">
        <f>SUMIF(i_book_years,W$3,i_G_book)</f>
        <v/>
      </c>
      <c r="X325" s="21">
        <f>SUMIF(i_book_years,X$3,i_G_book)</f>
        <v/>
      </c>
      <c r="Y325" s="21">
        <f>SUMIF(i_book_years,Y$3,i_G_book)</f>
        <v/>
      </c>
      <c r="Z325" s="21">
        <f>SUMIF(i_book_years,Z$3,i_G_book)</f>
        <v/>
      </c>
      <c r="AA325" s="21">
        <f>SUMIF(i_book_years,AA$3,i_G_book)</f>
        <v/>
      </c>
      <c r="AB325" s="21">
        <f>SUMIF(i_book_years,AB$3,i_G_book)</f>
        <v/>
      </c>
      <c r="AC325" s="21">
        <f>SUMIF(i_book_years,AC$3,i_G_book)</f>
        <v/>
      </c>
      <c r="AD325" s="21">
        <f>SUMIF(i_book_years,AD$3,i_G_book)</f>
        <v/>
      </c>
      <c r="AE325" s="21">
        <f>SUMIF(i_book_years,AE$3,i_G_book)</f>
        <v/>
      </c>
      <c r="AF325" s="21">
        <f>SUMIF(i_book_years,AF$3,i_G_book)</f>
        <v/>
      </c>
      <c r="AG325" s="21">
        <f>SUMIF(i_book_years,AG$3,i_G_book)</f>
        <v/>
      </c>
      <c r="AH325" s="21">
        <f>SUMIF(i_book_years,AH$3,i_G_book)</f>
        <v/>
      </c>
      <c r="AI325" s="21">
        <f>SUMIF(i_book_years,AI$3,i_G_book)</f>
        <v/>
      </c>
    </row>
    <row r="326">
      <c r="B326" s="2" t="inlineStr">
        <is>
          <t xml:space="preserve">  Recontracting factor against current rates</t>
        </is>
      </c>
      <c r="D326" s="21">
        <f>IF(D$4=0,0,IF(Diligence!$C$263=1,i_G_mtm,i_G_mtm_plan)+Diligence!$C$269)</f>
        <v/>
      </c>
      <c r="E326" s="21">
        <f>IF(E$4=0,0,IF(Diligence!$C$263=1,i_G_mtm,i_G_mtm_plan)+Diligence!$C$269)</f>
        <v/>
      </c>
      <c r="F326" s="21">
        <f>IF(F$4=0,0,IF(Diligence!$C$263=1,i_G_mtm,i_G_mtm_plan)+Diligence!$C$269)</f>
        <v/>
      </c>
      <c r="G326" s="21">
        <f>IF(G$4=0,0,IF(Diligence!$C$263=1,i_G_mtm,i_G_mtm_plan)+Diligence!$C$269)</f>
        <v/>
      </c>
      <c r="H326" s="21">
        <f>IF(H$4=0,0,IF(Diligence!$C$263=1,i_G_mtm,i_G_mtm_plan)+Diligence!$C$269)</f>
        <v/>
      </c>
      <c r="I326" s="21">
        <f>IF(I$4=0,0,IF(Diligence!$C$263=1,i_G_mtm,i_G_mtm_plan)+Diligence!$C$269)</f>
        <v/>
      </c>
      <c r="J326" s="21">
        <f>IF(J$4=0,0,IF(Diligence!$C$263=1,i_G_mtm,i_G_mtm_plan)+Diligence!$C$269)</f>
        <v/>
      </c>
      <c r="K326" s="21">
        <f>IF(K$4=0,0,IF(Diligence!$C$263=1,i_G_mtm,i_G_mtm_plan)+Diligence!$C$269)</f>
        <v/>
      </c>
      <c r="L326" s="21">
        <f>IF(L$4=0,0,IF(Diligence!$C$263=1,i_G_mtm,i_G_mtm_plan)+Diligence!$C$269)</f>
        <v/>
      </c>
      <c r="M326" s="21">
        <f>IF(M$4=0,0,IF(Diligence!$C$263=1,i_G_mtm,i_G_mtm_plan)+Diligence!$C$269)</f>
        <v/>
      </c>
      <c r="N326" s="21">
        <f>IF(N$4=0,0,IF(Diligence!$C$263=1,i_G_mtm,i_G_mtm_plan)+Diligence!$C$269)</f>
        <v/>
      </c>
      <c r="O326" s="21">
        <f>IF(O$4=0,0,IF(Diligence!$C$263=1,i_G_mtm,i_G_mtm_plan)+Diligence!$C$269)</f>
        <v/>
      </c>
      <c r="P326" s="21">
        <f>IF(P$4=0,0,IF(Diligence!$C$263=1,i_G_mtm,i_G_mtm_plan)+Diligence!$C$269)</f>
        <v/>
      </c>
      <c r="Q326" s="21">
        <f>IF(Q$4=0,0,IF(Diligence!$C$263=1,i_G_mtm,i_G_mtm_plan)+Diligence!$C$269)</f>
        <v/>
      </c>
      <c r="R326" s="21">
        <f>IF(R$4=0,0,IF(Diligence!$C$263=1,i_G_mtm,i_G_mtm_plan)+Diligence!$C$269)</f>
        <v/>
      </c>
      <c r="S326" s="21">
        <f>IF(S$4=0,0,IF(Diligence!$C$263=1,i_G_mtm,i_G_mtm_plan)+Diligence!$C$269)</f>
        <v/>
      </c>
      <c r="T326" s="21">
        <f>IF(T$4=0,0,IF(Diligence!$C$263=1,i_G_mtm,i_G_mtm_plan)+Diligence!$C$269)</f>
        <v/>
      </c>
      <c r="U326" s="21">
        <f>IF(U$4=0,0,IF(Diligence!$C$263=1,i_G_mtm,i_G_mtm_plan)+Diligence!$C$269)</f>
        <v/>
      </c>
      <c r="V326" s="21">
        <f>IF(V$4=0,0,IF(Diligence!$C$263=1,i_G_mtm,i_G_mtm_plan)+Diligence!$C$269)</f>
        <v/>
      </c>
      <c r="W326" s="21">
        <f>IF(W$4=0,0,IF(Diligence!$C$263=1,i_G_mtm,i_G_mtm_plan)+Diligence!$C$269)</f>
        <v/>
      </c>
      <c r="X326" s="21">
        <f>IF(X$4=0,0,IF(Diligence!$C$263=1,i_G_mtm,i_G_mtm_plan)+Diligence!$C$269)</f>
        <v/>
      </c>
      <c r="Y326" s="21">
        <f>IF(Y$4=0,0,IF(Diligence!$C$263=1,i_G_mtm,i_G_mtm_plan)+Diligence!$C$269)</f>
        <v/>
      </c>
      <c r="Z326" s="21">
        <f>IF(Z$4=0,0,IF(Diligence!$C$263=1,i_G_mtm,i_G_mtm_plan)+Diligence!$C$269)</f>
        <v/>
      </c>
      <c r="AA326" s="21">
        <f>IF(AA$4=0,0,IF(Diligence!$C$263=1,i_G_mtm,i_G_mtm_plan)+Diligence!$C$269)</f>
        <v/>
      </c>
      <c r="AB326" s="21">
        <f>IF(AB$4=0,0,IF(Diligence!$C$263=1,i_G_mtm,i_G_mtm_plan)+Diligence!$C$269)</f>
        <v/>
      </c>
      <c r="AC326" s="21">
        <f>IF(AC$4=0,0,IF(Diligence!$C$263=1,i_G_mtm,i_G_mtm_plan)+Diligence!$C$269)</f>
        <v/>
      </c>
      <c r="AD326" s="21">
        <f>IF(AD$4=0,0,IF(Diligence!$C$263=1,i_G_mtm,i_G_mtm_plan)+Diligence!$C$269)</f>
        <v/>
      </c>
      <c r="AE326" s="21">
        <f>IF(AE$4=0,0,IF(Diligence!$C$263=1,i_G_mtm,i_G_mtm_plan)+Diligence!$C$269)</f>
        <v/>
      </c>
      <c r="AF326" s="21">
        <f>IF(AF$4=0,0,IF(Diligence!$C$263=1,i_G_mtm,i_G_mtm_plan)+Diligence!$C$269)</f>
        <v/>
      </c>
      <c r="AG326" s="21">
        <f>IF(AG$4=0,0,IF(Diligence!$C$263=1,i_G_mtm,i_G_mtm_plan)+Diligence!$C$269)</f>
        <v/>
      </c>
      <c r="AH326" s="21">
        <f>IF(AH$4=0,0,IF(Diligence!$C$263=1,i_G_mtm,i_G_mtm_plan)+Diligence!$C$269)</f>
        <v/>
      </c>
      <c r="AI326" s="21">
        <f>IF(AI$4=0,0,IF(Diligence!$C$263=1,i_G_mtm,i_G_mtm_plan)+Diligence!$C$269)</f>
        <v/>
      </c>
    </row>
    <row r="327">
      <c r="B327" s="2" t="inlineStr">
        <is>
          <t xml:space="preserve">  Average rate ($ per m3 per month)</t>
        </is>
      </c>
      <c r="D327" s="24">
        <f>i_G_rate*D274*(D325+(1-D325)*(1+D326))</f>
        <v/>
      </c>
      <c r="E327" s="24">
        <f>i_G_rate*E274*(E325+(1-E325)*(1+E326))</f>
        <v/>
      </c>
      <c r="F327" s="24">
        <f>i_G_rate*F274*(F325+(1-F325)*(1+F326))</f>
        <v/>
      </c>
      <c r="G327" s="24">
        <f>i_G_rate*G274*(G325+(1-G325)*(1+G326))</f>
        <v/>
      </c>
      <c r="H327" s="24">
        <f>i_G_rate*H274*(H325+(1-H325)*(1+H326))</f>
        <v/>
      </c>
      <c r="I327" s="24">
        <f>i_G_rate*I274*(I325+(1-I325)*(1+I326))</f>
        <v/>
      </c>
      <c r="J327" s="24">
        <f>i_G_rate*J274*(J325+(1-J325)*(1+J326))</f>
        <v/>
      </c>
      <c r="K327" s="24">
        <f>i_G_rate*K274*(K325+(1-K325)*(1+K326))</f>
        <v/>
      </c>
      <c r="L327" s="24">
        <f>i_G_rate*L274*(L325+(1-L325)*(1+L326))</f>
        <v/>
      </c>
      <c r="M327" s="24">
        <f>i_G_rate*M274*(M325+(1-M325)*(1+M326))</f>
        <v/>
      </c>
      <c r="N327" s="24">
        <f>i_G_rate*N274*(N325+(1-N325)*(1+N326))</f>
        <v/>
      </c>
      <c r="O327" s="24">
        <f>i_G_rate*O274*(O325+(1-O325)*(1+O326))</f>
        <v/>
      </c>
      <c r="P327" s="24">
        <f>i_G_rate*P274*(P325+(1-P325)*(1+P326))</f>
        <v/>
      </c>
      <c r="Q327" s="24">
        <f>i_G_rate*Q274*(Q325+(1-Q325)*(1+Q326))</f>
        <v/>
      </c>
      <c r="R327" s="24">
        <f>i_G_rate*R274*(R325+(1-R325)*(1+R326))</f>
        <v/>
      </c>
      <c r="S327" s="24">
        <f>i_G_rate*S274*(S325+(1-S325)*(1+S326))</f>
        <v/>
      </c>
      <c r="T327" s="24">
        <f>i_G_rate*T274*(T325+(1-T325)*(1+T326))</f>
        <v/>
      </c>
      <c r="U327" s="24">
        <f>i_G_rate*U274*(U325+(1-U325)*(1+U326))</f>
        <v/>
      </c>
      <c r="V327" s="24">
        <f>i_G_rate*V274*(V325+(1-V325)*(1+V326))</f>
        <v/>
      </c>
      <c r="W327" s="24">
        <f>i_G_rate*W274*(W325+(1-W325)*(1+W326))</f>
        <v/>
      </c>
      <c r="X327" s="24">
        <f>i_G_rate*X274*(X325+(1-X325)*(1+X326))</f>
        <v/>
      </c>
      <c r="Y327" s="24">
        <f>i_G_rate*Y274*(Y325+(1-Y325)*(1+Y326))</f>
        <v/>
      </c>
      <c r="Z327" s="24">
        <f>i_G_rate*Z274*(Z325+(1-Z325)*(1+Z326))</f>
        <v/>
      </c>
      <c r="AA327" s="24">
        <f>i_G_rate*AA274*(AA325+(1-AA325)*(1+AA326))</f>
        <v/>
      </c>
      <c r="AB327" s="24">
        <f>i_G_rate*AB274*(AB325+(1-AB325)*(1+AB326))</f>
        <v/>
      </c>
      <c r="AC327" s="24">
        <f>i_G_rate*AC274*(AC325+(1-AC325)*(1+AC326))</f>
        <v/>
      </c>
      <c r="AD327" s="24">
        <f>i_G_rate*AD274*(AD325+(1-AD325)*(1+AD326))</f>
        <v/>
      </c>
      <c r="AE327" s="24">
        <f>i_G_rate*AE274*(AE325+(1-AE325)*(1+AE326))</f>
        <v/>
      </c>
      <c r="AF327" s="24">
        <f>i_G_rate*AF274*(AF325+(1-AF325)*(1+AF326))</f>
        <v/>
      </c>
      <c r="AG327" s="24">
        <f>i_G_rate*AG274*(AG325+(1-AG325)*(1+AG326))</f>
        <v/>
      </c>
      <c r="AH327" s="24">
        <f>i_G_rate*AH274*(AH325+(1-AH325)*(1+AH326))</f>
        <v/>
      </c>
      <c r="AI327" s="24">
        <f>i_G_rate*AI274*(AI325+(1-AI325)*(1+AI326))</f>
        <v/>
      </c>
    </row>
    <row r="328">
      <c r="B328" s="2" t="inlineStr">
        <is>
          <t xml:space="preserve">  Occupancy after the transition decline and floor</t>
        </is>
      </c>
      <c r="D328" s="21">
        <f>IF(D$3&gt;i_trans_start,MAX(i_G_floor,i_G_occ-i_G_dec*(D$3-i_trans_start)),i_G_occ)</f>
        <v/>
      </c>
      <c r="E328" s="21">
        <f>IF(E$3&gt;i_trans_start,MAX(i_G_floor,i_G_occ-i_G_dec*(E$3-i_trans_start)),i_G_occ)</f>
        <v/>
      </c>
      <c r="F328" s="21">
        <f>IF(F$3&gt;i_trans_start,MAX(i_G_floor,i_G_occ-i_G_dec*(F$3-i_trans_start)),i_G_occ)</f>
        <v/>
      </c>
      <c r="G328" s="21">
        <f>IF(G$3&gt;i_trans_start,MAX(i_G_floor,i_G_occ-i_G_dec*(G$3-i_trans_start)),i_G_occ)</f>
        <v/>
      </c>
      <c r="H328" s="21">
        <f>IF(H$3&gt;i_trans_start,MAX(i_G_floor,i_G_occ-i_G_dec*(H$3-i_trans_start)),i_G_occ)</f>
        <v/>
      </c>
      <c r="I328" s="21">
        <f>IF(I$3&gt;i_trans_start,MAX(i_G_floor,i_G_occ-i_G_dec*(I$3-i_trans_start)),i_G_occ)</f>
        <v/>
      </c>
      <c r="J328" s="21">
        <f>IF(J$3&gt;i_trans_start,MAX(i_G_floor,i_G_occ-i_G_dec*(J$3-i_trans_start)),i_G_occ)</f>
        <v/>
      </c>
      <c r="K328" s="21">
        <f>IF(K$3&gt;i_trans_start,MAX(i_G_floor,i_G_occ-i_G_dec*(K$3-i_trans_start)),i_G_occ)</f>
        <v/>
      </c>
      <c r="L328" s="21">
        <f>IF(L$3&gt;i_trans_start,MAX(i_G_floor,i_G_occ-i_G_dec*(L$3-i_trans_start)),i_G_occ)</f>
        <v/>
      </c>
      <c r="M328" s="21">
        <f>IF(M$3&gt;i_trans_start,MAX(i_G_floor,i_G_occ-i_G_dec*(M$3-i_trans_start)),i_G_occ)</f>
        <v/>
      </c>
      <c r="N328" s="21">
        <f>IF(N$3&gt;i_trans_start,MAX(i_G_floor,i_G_occ-i_G_dec*(N$3-i_trans_start)),i_G_occ)</f>
        <v/>
      </c>
      <c r="O328" s="21">
        <f>IF(O$3&gt;i_trans_start,MAX(i_G_floor,i_G_occ-i_G_dec*(O$3-i_trans_start)),i_G_occ)</f>
        <v/>
      </c>
      <c r="P328" s="21">
        <f>IF(P$3&gt;i_trans_start,MAX(i_G_floor,i_G_occ-i_G_dec*(P$3-i_trans_start)),i_G_occ)</f>
        <v/>
      </c>
      <c r="Q328" s="21">
        <f>IF(Q$3&gt;i_trans_start,MAX(i_G_floor,i_G_occ-i_G_dec*(Q$3-i_trans_start)),i_G_occ)</f>
        <v/>
      </c>
      <c r="R328" s="21">
        <f>IF(R$3&gt;i_trans_start,MAX(i_G_floor,i_G_occ-i_G_dec*(R$3-i_trans_start)),i_G_occ)</f>
        <v/>
      </c>
      <c r="S328" s="21">
        <f>IF(S$3&gt;i_trans_start,MAX(i_G_floor,i_G_occ-i_G_dec*(S$3-i_trans_start)),i_G_occ)</f>
        <v/>
      </c>
      <c r="T328" s="21">
        <f>IF(T$3&gt;i_trans_start,MAX(i_G_floor,i_G_occ-i_G_dec*(T$3-i_trans_start)),i_G_occ)</f>
        <v/>
      </c>
      <c r="U328" s="21">
        <f>IF(U$3&gt;i_trans_start,MAX(i_G_floor,i_G_occ-i_G_dec*(U$3-i_trans_start)),i_G_occ)</f>
        <v/>
      </c>
      <c r="V328" s="21">
        <f>IF(V$3&gt;i_trans_start,MAX(i_G_floor,i_G_occ-i_G_dec*(V$3-i_trans_start)),i_G_occ)</f>
        <v/>
      </c>
      <c r="W328" s="21">
        <f>IF(W$3&gt;i_trans_start,MAX(i_G_floor,i_G_occ-i_G_dec*(W$3-i_trans_start)),i_G_occ)</f>
        <v/>
      </c>
      <c r="X328" s="21">
        <f>IF(X$3&gt;i_trans_start,MAX(i_G_floor,i_G_occ-i_G_dec*(X$3-i_trans_start)),i_G_occ)</f>
        <v/>
      </c>
      <c r="Y328" s="21">
        <f>IF(Y$3&gt;i_trans_start,MAX(i_G_floor,i_G_occ-i_G_dec*(Y$3-i_trans_start)),i_G_occ)</f>
        <v/>
      </c>
      <c r="Z328" s="21">
        <f>IF(Z$3&gt;i_trans_start,MAX(i_G_floor,i_G_occ-i_G_dec*(Z$3-i_trans_start)),i_G_occ)</f>
        <v/>
      </c>
      <c r="AA328" s="21">
        <f>IF(AA$3&gt;i_trans_start,MAX(i_G_floor,i_G_occ-i_G_dec*(AA$3-i_trans_start)),i_G_occ)</f>
        <v/>
      </c>
      <c r="AB328" s="21">
        <f>IF(AB$3&gt;i_trans_start,MAX(i_G_floor,i_G_occ-i_G_dec*(AB$3-i_trans_start)),i_G_occ)</f>
        <v/>
      </c>
      <c r="AC328" s="21">
        <f>IF(AC$3&gt;i_trans_start,MAX(i_G_floor,i_G_occ-i_G_dec*(AC$3-i_trans_start)),i_G_occ)</f>
        <v/>
      </c>
      <c r="AD328" s="21">
        <f>IF(AD$3&gt;i_trans_start,MAX(i_G_floor,i_G_occ-i_G_dec*(AD$3-i_trans_start)),i_G_occ)</f>
        <v/>
      </c>
      <c r="AE328" s="21">
        <f>IF(AE$3&gt;i_trans_start,MAX(i_G_floor,i_G_occ-i_G_dec*(AE$3-i_trans_start)),i_G_occ)</f>
        <v/>
      </c>
      <c r="AF328" s="21">
        <f>IF(AF$3&gt;i_trans_start,MAX(i_G_floor,i_G_occ-i_G_dec*(AF$3-i_trans_start)),i_G_occ)</f>
        <v/>
      </c>
      <c r="AG328" s="21">
        <f>IF(AG$3&gt;i_trans_start,MAX(i_G_floor,i_G_occ-i_G_dec*(AG$3-i_trans_start)),i_G_occ)</f>
        <v/>
      </c>
      <c r="AH328" s="21">
        <f>IF(AH$3&gt;i_trans_start,MAX(i_G_floor,i_G_occ-i_G_dec*(AH$3-i_trans_start)),i_G_occ)</f>
        <v/>
      </c>
      <c r="AI328" s="21">
        <f>IF(AI$3&gt;i_trans_start,MAX(i_G_floor,i_G_occ-i_G_dec*(AI$3-i_trans_start)),i_G_occ)</f>
        <v/>
      </c>
    </row>
    <row r="329">
      <c r="B329" s="2" t="inlineStr">
        <is>
          <t xml:space="preserve">  Occupancy (with the shift switch from 2027)</t>
        </is>
      </c>
      <c r="D329" s="21">
        <f>IF(D$4&gt;0,MIN(1,D328+Diligence!$C$268),D328)</f>
        <v/>
      </c>
      <c r="E329" s="21">
        <f>IF(E$4&gt;0,MIN(1,E328+Diligence!$C$268),E328)</f>
        <v/>
      </c>
      <c r="F329" s="21">
        <f>IF(F$4&gt;0,MIN(1,F328+Diligence!$C$268),F328)</f>
        <v/>
      </c>
      <c r="G329" s="21">
        <f>IF(G$4&gt;0,MIN(1,G328+Diligence!$C$268),G328)</f>
        <v/>
      </c>
      <c r="H329" s="21">
        <f>IF(H$4&gt;0,MIN(1,H328+Diligence!$C$268),H328)</f>
        <v/>
      </c>
      <c r="I329" s="21">
        <f>IF(I$4&gt;0,MIN(1,I328+Diligence!$C$268),I328)</f>
        <v/>
      </c>
      <c r="J329" s="21">
        <f>IF(J$4&gt;0,MIN(1,J328+Diligence!$C$268),J328)</f>
        <v/>
      </c>
      <c r="K329" s="21">
        <f>IF(K$4&gt;0,MIN(1,K328+Diligence!$C$268),K328)</f>
        <v/>
      </c>
      <c r="L329" s="21">
        <f>IF(L$4&gt;0,MIN(1,L328+Diligence!$C$268),L328)</f>
        <v/>
      </c>
      <c r="M329" s="21">
        <f>IF(M$4&gt;0,MIN(1,M328+Diligence!$C$268),M328)</f>
        <v/>
      </c>
      <c r="N329" s="21">
        <f>IF(N$4&gt;0,MIN(1,N328+Diligence!$C$268),N328)</f>
        <v/>
      </c>
      <c r="O329" s="21">
        <f>IF(O$4&gt;0,MIN(1,O328+Diligence!$C$268),O328)</f>
        <v/>
      </c>
      <c r="P329" s="21">
        <f>IF(P$4&gt;0,MIN(1,P328+Diligence!$C$268),P328)</f>
        <v/>
      </c>
      <c r="Q329" s="21">
        <f>IF(Q$4&gt;0,MIN(1,Q328+Diligence!$C$268),Q328)</f>
        <v/>
      </c>
      <c r="R329" s="21">
        <f>IF(R$4&gt;0,MIN(1,R328+Diligence!$C$268),R328)</f>
        <v/>
      </c>
      <c r="S329" s="21">
        <f>IF(S$4&gt;0,MIN(1,S328+Diligence!$C$268),S328)</f>
        <v/>
      </c>
      <c r="T329" s="21">
        <f>IF(T$4&gt;0,MIN(1,T328+Diligence!$C$268),T328)</f>
        <v/>
      </c>
      <c r="U329" s="21">
        <f>IF(U$4&gt;0,MIN(1,U328+Diligence!$C$268),U328)</f>
        <v/>
      </c>
      <c r="V329" s="21">
        <f>IF(V$4&gt;0,MIN(1,V328+Diligence!$C$268),V328)</f>
        <v/>
      </c>
      <c r="W329" s="21">
        <f>IF(W$4&gt;0,MIN(1,W328+Diligence!$C$268),W328)</f>
        <v/>
      </c>
      <c r="X329" s="21">
        <f>IF(X$4&gt;0,MIN(1,X328+Diligence!$C$268),X328)</f>
        <v/>
      </c>
      <c r="Y329" s="21">
        <f>IF(Y$4&gt;0,MIN(1,Y328+Diligence!$C$268),Y328)</f>
        <v/>
      </c>
      <c r="Z329" s="21">
        <f>IF(Z$4&gt;0,MIN(1,Z328+Diligence!$C$268),Z328)</f>
        <v/>
      </c>
      <c r="AA329" s="21">
        <f>IF(AA$4&gt;0,MIN(1,AA328+Diligence!$C$268),AA328)</f>
        <v/>
      </c>
      <c r="AB329" s="21">
        <f>IF(AB$4&gt;0,MIN(1,AB328+Diligence!$C$268),AB328)</f>
        <v/>
      </c>
      <c r="AC329" s="21">
        <f>IF(AC$4&gt;0,MIN(1,AC328+Diligence!$C$268),AC328)</f>
        <v/>
      </c>
      <c r="AD329" s="21">
        <f>IF(AD$4&gt;0,MIN(1,AD328+Diligence!$C$268),AD328)</f>
        <v/>
      </c>
      <c r="AE329" s="21">
        <f>IF(AE$4&gt;0,MIN(1,AE328+Diligence!$C$268),AE328)</f>
        <v/>
      </c>
      <c r="AF329" s="21">
        <f>IF(AF$4&gt;0,MIN(1,AF328+Diligence!$C$268),AF328)</f>
        <v/>
      </c>
      <c r="AG329" s="21">
        <f>IF(AG$4&gt;0,MIN(1,AG328+Diligence!$C$268),AG328)</f>
        <v/>
      </c>
      <c r="AH329" s="21">
        <f>IF(AH$4&gt;0,MIN(1,AH328+Diligence!$C$268),AH328)</f>
        <v/>
      </c>
      <c r="AI329" s="21">
        <f>IF(AI$4&gt;0,MIN(1,AI328+Diligence!$C$268),AI328)</f>
        <v/>
      </c>
    </row>
    <row r="330">
      <c r="B330" s="2" t="inlineStr">
        <is>
          <t xml:space="preserve">  Storage revenue</t>
        </is>
      </c>
      <c r="D330" s="19">
        <f>D324*D327*12*D329</f>
        <v/>
      </c>
      <c r="E330" s="19">
        <f>E324*E327*12*E329</f>
        <v/>
      </c>
      <c r="F330" s="19">
        <f>F324*F327*12*F329</f>
        <v/>
      </c>
      <c r="G330" s="19">
        <f>G324*G327*12*G329</f>
        <v/>
      </c>
      <c r="H330" s="19">
        <f>H324*H327*12*H329</f>
        <v/>
      </c>
      <c r="I330" s="19">
        <f>I324*I327*12*I329</f>
        <v/>
      </c>
      <c r="J330" s="19">
        <f>J324*J327*12*J329</f>
        <v/>
      </c>
      <c r="K330" s="19">
        <f>K324*K327*12*K329</f>
        <v/>
      </c>
      <c r="L330" s="19">
        <f>L324*L327*12*L329</f>
        <v/>
      </c>
      <c r="M330" s="19">
        <f>M324*M327*12*M329</f>
        <v/>
      </c>
      <c r="N330" s="19">
        <f>N324*N327*12*N329</f>
        <v/>
      </c>
      <c r="O330" s="19">
        <f>O324*O327*12*O329</f>
        <v/>
      </c>
      <c r="P330" s="19">
        <f>P324*P327*12*P329</f>
        <v/>
      </c>
      <c r="Q330" s="19">
        <f>Q324*Q327*12*Q329</f>
        <v/>
      </c>
      <c r="R330" s="19">
        <f>R324*R327*12*R329</f>
        <v/>
      </c>
      <c r="S330" s="19">
        <f>S324*S327*12*S329</f>
        <v/>
      </c>
      <c r="T330" s="19">
        <f>T324*T327*12*T329</f>
        <v/>
      </c>
      <c r="U330" s="19">
        <f>U324*U327*12*U329</f>
        <v/>
      </c>
      <c r="V330" s="19">
        <f>V324*V327*12*V329</f>
        <v/>
      </c>
      <c r="W330" s="19">
        <f>W324*W327*12*W329</f>
        <v/>
      </c>
      <c r="X330" s="19">
        <f>X324*X327*12*X329</f>
        <v/>
      </c>
      <c r="Y330" s="19">
        <f>Y324*Y327*12*Y329</f>
        <v/>
      </c>
      <c r="Z330" s="19">
        <f>Z324*Z327*12*Z329</f>
        <v/>
      </c>
      <c r="AA330" s="19">
        <f>AA324*AA327*12*AA329</f>
        <v/>
      </c>
      <c r="AB330" s="19">
        <f>AB324*AB327*12*AB329</f>
        <v/>
      </c>
      <c r="AC330" s="19">
        <f>AC324*AC327*12*AC329</f>
        <v/>
      </c>
      <c r="AD330" s="19">
        <f>AD324*AD327*12*AD329</f>
        <v/>
      </c>
      <c r="AE330" s="19">
        <f>AE324*AE327*12*AE329</f>
        <v/>
      </c>
      <c r="AF330" s="19">
        <f>AF324*AF327*12*AF329</f>
        <v/>
      </c>
      <c r="AG330" s="19">
        <f>AG324*AG327*12*AG329</f>
        <v/>
      </c>
      <c r="AH330" s="19">
        <f>AH324*AH327*12*AH329</f>
        <v/>
      </c>
      <c r="AI330" s="19">
        <f>AI324*AI327*12*AI329</f>
        <v/>
      </c>
    </row>
    <row r="331">
      <c r="B331" s="2" t="inlineStr">
        <is>
          <t xml:space="preserve">  Ancillary and throughput revenue</t>
        </is>
      </c>
      <c r="D331" s="19">
        <f>D330*i_G_anc</f>
        <v/>
      </c>
      <c r="E331" s="19">
        <f>E330*i_G_anc</f>
        <v/>
      </c>
      <c r="F331" s="19">
        <f>F330*i_G_anc</f>
        <v/>
      </c>
      <c r="G331" s="19">
        <f>G330*i_G_anc</f>
        <v/>
      </c>
      <c r="H331" s="19">
        <f>H330*i_G_anc</f>
        <v/>
      </c>
      <c r="I331" s="19">
        <f>I330*i_G_anc</f>
        <v/>
      </c>
      <c r="J331" s="19">
        <f>J330*i_G_anc</f>
        <v/>
      </c>
      <c r="K331" s="19">
        <f>K330*i_G_anc</f>
        <v/>
      </c>
      <c r="L331" s="19">
        <f>L330*i_G_anc</f>
        <v/>
      </c>
      <c r="M331" s="19">
        <f>M330*i_G_anc</f>
        <v/>
      </c>
      <c r="N331" s="19">
        <f>N330*i_G_anc</f>
        <v/>
      </c>
      <c r="O331" s="19">
        <f>O330*i_G_anc</f>
        <v/>
      </c>
      <c r="P331" s="19">
        <f>P330*i_G_anc</f>
        <v/>
      </c>
      <c r="Q331" s="19">
        <f>Q330*i_G_anc</f>
        <v/>
      </c>
      <c r="R331" s="19">
        <f>R330*i_G_anc</f>
        <v/>
      </c>
      <c r="S331" s="19">
        <f>S330*i_G_anc</f>
        <v/>
      </c>
      <c r="T331" s="19">
        <f>T330*i_G_anc</f>
        <v/>
      </c>
      <c r="U331" s="19">
        <f>U330*i_G_anc</f>
        <v/>
      </c>
      <c r="V331" s="19">
        <f>V330*i_G_anc</f>
        <v/>
      </c>
      <c r="W331" s="19">
        <f>W330*i_G_anc</f>
        <v/>
      </c>
      <c r="X331" s="19">
        <f>X330*i_G_anc</f>
        <v/>
      </c>
      <c r="Y331" s="19">
        <f>Y330*i_G_anc</f>
        <v/>
      </c>
      <c r="Z331" s="19">
        <f>Z330*i_G_anc</f>
        <v/>
      </c>
      <c r="AA331" s="19">
        <f>AA330*i_G_anc</f>
        <v/>
      </c>
      <c r="AB331" s="19">
        <f>AB330*i_G_anc</f>
        <v/>
      </c>
      <c r="AC331" s="19">
        <f>AC330*i_G_anc</f>
        <v/>
      </c>
      <c r="AD331" s="19">
        <f>AD330*i_G_anc</f>
        <v/>
      </c>
      <c r="AE331" s="19">
        <f>AE330*i_G_anc</f>
        <v/>
      </c>
      <c r="AF331" s="19">
        <f>AF330*i_G_anc</f>
        <v/>
      </c>
      <c r="AG331" s="19">
        <f>AG330*i_G_anc</f>
        <v/>
      </c>
      <c r="AH331" s="19">
        <f>AH330*i_G_anc</f>
        <v/>
      </c>
      <c r="AI331" s="19">
        <f>AI330*i_G_anc</f>
        <v/>
      </c>
    </row>
    <row r="332">
      <c r="B332" s="3" t="inlineStr">
        <is>
          <t xml:space="preserve">  Revenue</t>
        </is>
      </c>
      <c r="D332" s="31">
        <f>D330+D331</f>
        <v/>
      </c>
      <c r="E332" s="31">
        <f>E330+E331</f>
        <v/>
      </c>
      <c r="F332" s="31">
        <f>F330+F331</f>
        <v/>
      </c>
      <c r="G332" s="31">
        <f>G330+G331</f>
        <v/>
      </c>
      <c r="H332" s="31">
        <f>H330+H331</f>
        <v/>
      </c>
      <c r="I332" s="31">
        <f>I330+I331</f>
        <v/>
      </c>
      <c r="J332" s="31">
        <f>J330+J331</f>
        <v/>
      </c>
      <c r="K332" s="31">
        <f>K330+K331</f>
        <v/>
      </c>
      <c r="L332" s="31">
        <f>L330+L331</f>
        <v/>
      </c>
      <c r="M332" s="31">
        <f>M330+M331</f>
        <v/>
      </c>
      <c r="N332" s="31">
        <f>N330+N331</f>
        <v/>
      </c>
      <c r="O332" s="31">
        <f>O330+O331</f>
        <v/>
      </c>
      <c r="P332" s="31">
        <f>P330+P331</f>
        <v/>
      </c>
      <c r="Q332" s="31">
        <f>Q330+Q331</f>
        <v/>
      </c>
      <c r="R332" s="31">
        <f>R330+R331</f>
        <v/>
      </c>
      <c r="S332" s="31">
        <f>S330+S331</f>
        <v/>
      </c>
      <c r="T332" s="31">
        <f>T330+T331</f>
        <v/>
      </c>
      <c r="U332" s="31">
        <f>U330+U331</f>
        <v/>
      </c>
      <c r="V332" s="31">
        <f>V330+V331</f>
        <v/>
      </c>
      <c r="W332" s="31">
        <f>W330+W331</f>
        <v/>
      </c>
      <c r="X332" s="31">
        <f>X330+X331</f>
        <v/>
      </c>
      <c r="Y332" s="31">
        <f>Y330+Y331</f>
        <v/>
      </c>
      <c r="Z332" s="31">
        <f>Z330+Z331</f>
        <v/>
      </c>
      <c r="AA332" s="31">
        <f>AA330+AA331</f>
        <v/>
      </c>
      <c r="AB332" s="31">
        <f>AB330+AB331</f>
        <v/>
      </c>
      <c r="AC332" s="31">
        <f>AC330+AC331</f>
        <v/>
      </c>
      <c r="AD332" s="31">
        <f>AD330+AD331</f>
        <v/>
      </c>
      <c r="AE332" s="31">
        <f>AE330+AE331</f>
        <v/>
      </c>
      <c r="AF332" s="31">
        <f>AF330+AF331</f>
        <v/>
      </c>
      <c r="AG332" s="31">
        <f>AG330+AG331</f>
        <v/>
      </c>
      <c r="AH332" s="31">
        <f>AH330+AH331</f>
        <v/>
      </c>
      <c r="AI332" s="31">
        <f>AI330+AI331</f>
        <v/>
      </c>
    </row>
    <row r="333">
      <c r="B333" s="2" t="inlineStr">
        <is>
          <t xml:space="preserve">  Fixed cost</t>
        </is>
      </c>
      <c r="D333" s="19">
        <f>D324*i_G_fix*D273</f>
        <v/>
      </c>
      <c r="E333" s="19">
        <f>E324*i_G_fix*E273</f>
        <v/>
      </c>
      <c r="F333" s="19">
        <f>F324*i_G_fix*F273</f>
        <v/>
      </c>
      <c r="G333" s="19">
        <f>G324*i_G_fix*G273</f>
        <v/>
      </c>
      <c r="H333" s="19">
        <f>H324*i_G_fix*H273</f>
        <v/>
      </c>
      <c r="I333" s="19">
        <f>I324*i_G_fix*I273</f>
        <v/>
      </c>
      <c r="J333" s="19">
        <f>J324*i_G_fix*J273</f>
        <v/>
      </c>
      <c r="K333" s="19">
        <f>K324*i_G_fix*K273</f>
        <v/>
      </c>
      <c r="L333" s="19">
        <f>L324*i_G_fix*L273</f>
        <v/>
      </c>
      <c r="M333" s="19">
        <f>M324*i_G_fix*M273</f>
        <v/>
      </c>
      <c r="N333" s="19">
        <f>N324*i_G_fix*N273</f>
        <v/>
      </c>
      <c r="O333" s="19">
        <f>O324*i_G_fix*O273</f>
        <v/>
      </c>
      <c r="P333" s="19">
        <f>P324*i_G_fix*P273</f>
        <v/>
      </c>
      <c r="Q333" s="19">
        <f>Q324*i_G_fix*Q273</f>
        <v/>
      </c>
      <c r="R333" s="19">
        <f>R324*i_G_fix*R273</f>
        <v/>
      </c>
      <c r="S333" s="19">
        <f>S324*i_G_fix*S273</f>
        <v/>
      </c>
      <c r="T333" s="19">
        <f>T324*i_G_fix*T273</f>
        <v/>
      </c>
      <c r="U333" s="19">
        <f>U324*i_G_fix*U273</f>
        <v/>
      </c>
      <c r="V333" s="19">
        <f>V324*i_G_fix*V273</f>
        <v/>
      </c>
      <c r="W333" s="19">
        <f>W324*i_G_fix*W273</f>
        <v/>
      </c>
      <c r="X333" s="19">
        <f>X324*i_G_fix*X273</f>
        <v/>
      </c>
      <c r="Y333" s="19">
        <f>Y324*i_G_fix*Y273</f>
        <v/>
      </c>
      <c r="Z333" s="19">
        <f>Z324*i_G_fix*Z273</f>
        <v/>
      </c>
      <c r="AA333" s="19">
        <f>AA324*i_G_fix*AA273</f>
        <v/>
      </c>
      <c r="AB333" s="19">
        <f>AB324*i_G_fix*AB273</f>
        <v/>
      </c>
      <c r="AC333" s="19">
        <f>AC324*i_G_fix*AC273</f>
        <v/>
      </c>
      <c r="AD333" s="19">
        <f>AD324*i_G_fix*AD273</f>
        <v/>
      </c>
      <c r="AE333" s="19">
        <f>AE324*i_G_fix*AE273</f>
        <v/>
      </c>
      <c r="AF333" s="19">
        <f>AF324*i_G_fix*AF273</f>
        <v/>
      </c>
      <c r="AG333" s="19">
        <f>AG324*i_G_fix*AG273</f>
        <v/>
      </c>
      <c r="AH333" s="19">
        <f>AH324*i_G_fix*AH273</f>
        <v/>
      </c>
      <c r="AI333" s="19">
        <f>AI324*i_G_fix*AI273</f>
        <v/>
      </c>
    </row>
    <row r="334">
      <c r="B334" s="2" t="inlineStr">
        <is>
          <t xml:space="preserve">  Variable cost</t>
        </is>
      </c>
      <c r="D334" s="19">
        <f>i_G_var*D332</f>
        <v/>
      </c>
      <c r="E334" s="19">
        <f>i_G_var*E332</f>
        <v/>
      </c>
      <c r="F334" s="19">
        <f>i_G_var*F332</f>
        <v/>
      </c>
      <c r="G334" s="19">
        <f>i_G_var*G332</f>
        <v/>
      </c>
      <c r="H334" s="19">
        <f>i_G_var*H332</f>
        <v/>
      </c>
      <c r="I334" s="19">
        <f>i_G_var*I332</f>
        <v/>
      </c>
      <c r="J334" s="19">
        <f>i_G_var*J332</f>
        <v/>
      </c>
      <c r="K334" s="19">
        <f>i_G_var*K332</f>
        <v/>
      </c>
      <c r="L334" s="19">
        <f>i_G_var*L332</f>
        <v/>
      </c>
      <c r="M334" s="19">
        <f>i_G_var*M332</f>
        <v/>
      </c>
      <c r="N334" s="19">
        <f>i_G_var*N332</f>
        <v/>
      </c>
      <c r="O334" s="19">
        <f>i_G_var*O332</f>
        <v/>
      </c>
      <c r="P334" s="19">
        <f>i_G_var*P332</f>
        <v/>
      </c>
      <c r="Q334" s="19">
        <f>i_G_var*Q332</f>
        <v/>
      </c>
      <c r="R334" s="19">
        <f>i_G_var*R332</f>
        <v/>
      </c>
      <c r="S334" s="19">
        <f>i_G_var*S332</f>
        <v/>
      </c>
      <c r="T334" s="19">
        <f>i_G_var*T332</f>
        <v/>
      </c>
      <c r="U334" s="19">
        <f>i_G_var*U332</f>
        <v/>
      </c>
      <c r="V334" s="19">
        <f>i_G_var*V332</f>
        <v/>
      </c>
      <c r="W334" s="19">
        <f>i_G_var*W332</f>
        <v/>
      </c>
      <c r="X334" s="19">
        <f>i_G_var*X332</f>
        <v/>
      </c>
      <c r="Y334" s="19">
        <f>i_G_var*Y332</f>
        <v/>
      </c>
      <c r="Z334" s="19">
        <f>i_G_var*Z332</f>
        <v/>
      </c>
      <c r="AA334" s="19">
        <f>i_G_var*AA332</f>
        <v/>
      </c>
      <c r="AB334" s="19">
        <f>i_G_var*AB332</f>
        <v/>
      </c>
      <c r="AC334" s="19">
        <f>i_G_var*AC332</f>
        <v/>
      </c>
      <c r="AD334" s="19">
        <f>i_G_var*AD332</f>
        <v/>
      </c>
      <c r="AE334" s="19">
        <f>i_G_var*AE332</f>
        <v/>
      </c>
      <c r="AF334" s="19">
        <f>i_G_var*AF332</f>
        <v/>
      </c>
      <c r="AG334" s="19">
        <f>i_G_var*AG332</f>
        <v/>
      </c>
      <c r="AH334" s="19">
        <f>i_G_var*AH332</f>
        <v/>
      </c>
      <c r="AI334" s="19">
        <f>i_G_var*AI332</f>
        <v/>
      </c>
    </row>
    <row r="335">
      <c r="B335" s="2" t="inlineStr">
        <is>
          <t xml:space="preserve">  Extra windstorm insurance</t>
        </is>
      </c>
      <c r="D335" s="19">
        <f>IF(D$4&gt;0,Diligence!$C$266*i_g_ins*D273,0)</f>
        <v/>
      </c>
      <c r="E335" s="19">
        <f>IF(E$4&gt;0,Diligence!$C$266*i_g_ins*E273,0)</f>
        <v/>
      </c>
      <c r="F335" s="19">
        <f>IF(F$4&gt;0,Diligence!$C$266*i_g_ins*F273,0)</f>
        <v/>
      </c>
      <c r="G335" s="19">
        <f>IF(G$4&gt;0,Diligence!$C$266*i_g_ins*G273,0)</f>
        <v/>
      </c>
      <c r="H335" s="19">
        <f>IF(H$4&gt;0,Diligence!$C$266*i_g_ins*H273,0)</f>
        <v/>
      </c>
      <c r="I335" s="19">
        <f>IF(I$4&gt;0,Diligence!$C$266*i_g_ins*I273,0)</f>
        <v/>
      </c>
      <c r="J335" s="19">
        <f>IF(J$4&gt;0,Diligence!$C$266*i_g_ins*J273,0)</f>
        <v/>
      </c>
      <c r="K335" s="19">
        <f>IF(K$4&gt;0,Diligence!$C$266*i_g_ins*K273,0)</f>
        <v/>
      </c>
      <c r="L335" s="19">
        <f>IF(L$4&gt;0,Diligence!$C$266*i_g_ins*L273,0)</f>
        <v/>
      </c>
      <c r="M335" s="19">
        <f>IF(M$4&gt;0,Diligence!$C$266*i_g_ins*M273,0)</f>
        <v/>
      </c>
      <c r="N335" s="19">
        <f>IF(N$4&gt;0,Diligence!$C$266*i_g_ins*N273,0)</f>
        <v/>
      </c>
      <c r="O335" s="19">
        <f>IF(O$4&gt;0,Diligence!$C$266*i_g_ins*O273,0)</f>
        <v/>
      </c>
      <c r="P335" s="19">
        <f>IF(P$4&gt;0,Diligence!$C$266*i_g_ins*P273,0)</f>
        <v/>
      </c>
      <c r="Q335" s="19">
        <f>IF(Q$4&gt;0,Diligence!$C$266*i_g_ins*Q273,0)</f>
        <v/>
      </c>
      <c r="R335" s="19">
        <f>IF(R$4&gt;0,Diligence!$C$266*i_g_ins*R273,0)</f>
        <v/>
      </c>
      <c r="S335" s="19">
        <f>IF(S$4&gt;0,Diligence!$C$266*i_g_ins*S273,0)</f>
        <v/>
      </c>
      <c r="T335" s="19">
        <f>IF(T$4&gt;0,Diligence!$C$266*i_g_ins*T273,0)</f>
        <v/>
      </c>
      <c r="U335" s="19">
        <f>IF(U$4&gt;0,Diligence!$C$266*i_g_ins*U273,0)</f>
        <v/>
      </c>
      <c r="V335" s="19">
        <f>IF(V$4&gt;0,Diligence!$C$266*i_g_ins*V273,0)</f>
        <v/>
      </c>
      <c r="W335" s="19">
        <f>IF(W$4&gt;0,Diligence!$C$266*i_g_ins*W273,0)</f>
        <v/>
      </c>
      <c r="X335" s="19">
        <f>IF(X$4&gt;0,Diligence!$C$266*i_g_ins*X273,0)</f>
        <v/>
      </c>
      <c r="Y335" s="19">
        <f>IF(Y$4&gt;0,Diligence!$C$266*i_g_ins*Y273,0)</f>
        <v/>
      </c>
      <c r="Z335" s="19">
        <f>IF(Z$4&gt;0,Diligence!$C$266*i_g_ins*Z273,0)</f>
        <v/>
      </c>
      <c r="AA335" s="19">
        <f>IF(AA$4&gt;0,Diligence!$C$266*i_g_ins*AA273,0)</f>
        <v/>
      </c>
      <c r="AB335" s="19">
        <f>IF(AB$4&gt;0,Diligence!$C$266*i_g_ins*AB273,0)</f>
        <v/>
      </c>
      <c r="AC335" s="19">
        <f>IF(AC$4&gt;0,Diligence!$C$266*i_g_ins*AC273,0)</f>
        <v/>
      </c>
      <c r="AD335" s="19">
        <f>IF(AD$4&gt;0,Diligence!$C$266*i_g_ins*AD273,0)</f>
        <v/>
      </c>
      <c r="AE335" s="19">
        <f>IF(AE$4&gt;0,Diligence!$C$266*i_g_ins*AE273,0)</f>
        <v/>
      </c>
      <c r="AF335" s="19">
        <f>IF(AF$4&gt;0,Diligence!$C$266*i_g_ins*AF273,0)</f>
        <v/>
      </c>
      <c r="AG335" s="19">
        <f>IF(AG$4&gt;0,Diligence!$C$266*i_g_ins*AG273,0)</f>
        <v/>
      </c>
      <c r="AH335" s="19">
        <f>IF(AH$4&gt;0,Diligence!$C$266*i_g_ins*AH273,0)</f>
        <v/>
      </c>
      <c r="AI335" s="19">
        <f>IF(AI$4&gt;0,Diligence!$C$266*i_g_ins*AI273,0)</f>
        <v/>
      </c>
    </row>
    <row r="336">
      <c r="B336" s="2" t="inlineStr">
        <is>
          <t xml:space="preserve">  Operating cost</t>
        </is>
      </c>
      <c r="D336" s="19">
        <f>D333+D334+D335</f>
        <v/>
      </c>
      <c r="E336" s="19">
        <f>E333+E334+E335</f>
        <v/>
      </c>
      <c r="F336" s="19">
        <f>F333+F334+F335</f>
        <v/>
      </c>
      <c r="G336" s="19">
        <f>G333+G334+G335</f>
        <v/>
      </c>
      <c r="H336" s="19">
        <f>H333+H334+H335</f>
        <v/>
      </c>
      <c r="I336" s="19">
        <f>I333+I334+I335</f>
        <v/>
      </c>
      <c r="J336" s="19">
        <f>J333+J334+J335</f>
        <v/>
      </c>
      <c r="K336" s="19">
        <f>K333+K334+K335</f>
        <v/>
      </c>
      <c r="L336" s="19">
        <f>L333+L334+L335</f>
        <v/>
      </c>
      <c r="M336" s="19">
        <f>M333+M334+M335</f>
        <v/>
      </c>
      <c r="N336" s="19">
        <f>N333+N334+N335</f>
        <v/>
      </c>
      <c r="O336" s="19">
        <f>O333+O334+O335</f>
        <v/>
      </c>
      <c r="P336" s="19">
        <f>P333+P334+P335</f>
        <v/>
      </c>
      <c r="Q336" s="19">
        <f>Q333+Q334+Q335</f>
        <v/>
      </c>
      <c r="R336" s="19">
        <f>R333+R334+R335</f>
        <v/>
      </c>
      <c r="S336" s="19">
        <f>S333+S334+S335</f>
        <v/>
      </c>
      <c r="T336" s="19">
        <f>T333+T334+T335</f>
        <v/>
      </c>
      <c r="U336" s="19">
        <f>U333+U334+U335</f>
        <v/>
      </c>
      <c r="V336" s="19">
        <f>V333+V334+V335</f>
        <v/>
      </c>
      <c r="W336" s="19">
        <f>W333+W334+W335</f>
        <v/>
      </c>
      <c r="X336" s="19">
        <f>X333+X334+X335</f>
        <v/>
      </c>
      <c r="Y336" s="19">
        <f>Y333+Y334+Y335</f>
        <v/>
      </c>
      <c r="Z336" s="19">
        <f>Z333+Z334+Z335</f>
        <v/>
      </c>
      <c r="AA336" s="19">
        <f>AA333+AA334+AA335</f>
        <v/>
      </c>
      <c r="AB336" s="19">
        <f>AB333+AB334+AB335</f>
        <v/>
      </c>
      <c r="AC336" s="19">
        <f>AC333+AC334+AC335</f>
        <v/>
      </c>
      <c r="AD336" s="19">
        <f>AD333+AD334+AD335</f>
        <v/>
      </c>
      <c r="AE336" s="19">
        <f>AE333+AE334+AE335</f>
        <v/>
      </c>
      <c r="AF336" s="19">
        <f>AF333+AF334+AF335</f>
        <v/>
      </c>
      <c r="AG336" s="19">
        <f>AG333+AG334+AG335</f>
        <v/>
      </c>
      <c r="AH336" s="19">
        <f>AH333+AH334+AH335</f>
        <v/>
      </c>
      <c r="AI336" s="19">
        <f>AI333+AI334+AI335</f>
        <v/>
      </c>
    </row>
    <row r="337">
      <c r="B337" s="3" t="inlineStr">
        <is>
          <t xml:space="preserve">  EBITDA</t>
        </is>
      </c>
      <c r="D337" s="31">
        <f>D332-D336</f>
        <v/>
      </c>
      <c r="E337" s="31">
        <f>E332-E336</f>
        <v/>
      </c>
      <c r="F337" s="31">
        <f>F332-F336</f>
        <v/>
      </c>
      <c r="G337" s="31">
        <f>G332-G336</f>
        <v/>
      </c>
      <c r="H337" s="31">
        <f>H332-H336</f>
        <v/>
      </c>
      <c r="I337" s="31">
        <f>I332-I336</f>
        <v/>
      </c>
      <c r="J337" s="31">
        <f>J332-J336</f>
        <v/>
      </c>
      <c r="K337" s="31">
        <f>K332-K336</f>
        <v/>
      </c>
      <c r="L337" s="31">
        <f>L332-L336</f>
        <v/>
      </c>
      <c r="M337" s="31">
        <f>M332-M336</f>
        <v/>
      </c>
      <c r="N337" s="31">
        <f>N332-N336</f>
        <v/>
      </c>
      <c r="O337" s="31">
        <f>O332-O336</f>
        <v/>
      </c>
      <c r="P337" s="31">
        <f>P332-P336</f>
        <v/>
      </c>
      <c r="Q337" s="31">
        <f>Q332-Q336</f>
        <v/>
      </c>
      <c r="R337" s="31">
        <f>R332-R336</f>
        <v/>
      </c>
      <c r="S337" s="31">
        <f>S332-S336</f>
        <v/>
      </c>
      <c r="T337" s="31">
        <f>T332-T336</f>
        <v/>
      </c>
      <c r="U337" s="31">
        <f>U332-U336</f>
        <v/>
      </c>
      <c r="V337" s="31">
        <f>V332-V336</f>
        <v/>
      </c>
      <c r="W337" s="31">
        <f>W332-W336</f>
        <v/>
      </c>
      <c r="X337" s="31">
        <f>X332-X336</f>
        <v/>
      </c>
      <c r="Y337" s="31">
        <f>Y332-Y336</f>
        <v/>
      </c>
      <c r="Z337" s="31">
        <f>Z332-Z336</f>
        <v/>
      </c>
      <c r="AA337" s="31">
        <f>AA332-AA336</f>
        <v/>
      </c>
      <c r="AB337" s="31">
        <f>AB332-AB336</f>
        <v/>
      </c>
      <c r="AC337" s="31">
        <f>AC332-AC336</f>
        <v/>
      </c>
      <c r="AD337" s="31">
        <f>AD332-AD336</f>
        <v/>
      </c>
      <c r="AE337" s="31">
        <f>AE332-AE336</f>
        <v/>
      </c>
      <c r="AF337" s="31">
        <f>AF332-AF336</f>
        <v/>
      </c>
      <c r="AG337" s="31">
        <f>AG332-AG336</f>
        <v/>
      </c>
      <c r="AH337" s="31">
        <f>AH332-AH336</f>
        <v/>
      </c>
      <c r="AI337" s="31">
        <f>AI332-AI336</f>
        <v/>
      </c>
    </row>
    <row r="338">
      <c r="B338" s="2" t="inlineStr">
        <is>
          <t xml:space="preserve">  Maintenance capex</t>
        </is>
      </c>
      <c r="D338" s="19">
        <f>D324*i_G_mc*D273</f>
        <v/>
      </c>
      <c r="E338" s="19">
        <f>E324*i_G_mc*E273</f>
        <v/>
      </c>
      <c r="F338" s="19">
        <f>F324*i_G_mc*F273</f>
        <v/>
      </c>
      <c r="G338" s="19">
        <f>G324*i_G_mc*G273</f>
        <v/>
      </c>
      <c r="H338" s="19">
        <f>H324*i_G_mc*H273</f>
        <v/>
      </c>
      <c r="I338" s="19">
        <f>I324*i_G_mc*I273</f>
        <v/>
      </c>
      <c r="J338" s="19">
        <f>J324*i_G_mc*J273</f>
        <v/>
      </c>
      <c r="K338" s="19">
        <f>K324*i_G_mc*K273</f>
        <v/>
      </c>
      <c r="L338" s="19">
        <f>L324*i_G_mc*L273</f>
        <v/>
      </c>
      <c r="M338" s="19">
        <f>M324*i_G_mc*M273</f>
        <v/>
      </c>
      <c r="N338" s="19">
        <f>N324*i_G_mc*N273</f>
        <v/>
      </c>
      <c r="O338" s="19">
        <f>O324*i_G_mc*O273</f>
        <v/>
      </c>
      <c r="P338" s="19">
        <f>P324*i_G_mc*P273</f>
        <v/>
      </c>
      <c r="Q338" s="19">
        <f>Q324*i_G_mc*Q273</f>
        <v/>
      </c>
      <c r="R338" s="19">
        <f>R324*i_G_mc*R273</f>
        <v/>
      </c>
      <c r="S338" s="19">
        <f>S324*i_G_mc*S273</f>
        <v/>
      </c>
      <c r="T338" s="19">
        <f>T324*i_G_mc*T273</f>
        <v/>
      </c>
      <c r="U338" s="19">
        <f>U324*i_G_mc*U273</f>
        <v/>
      </c>
      <c r="V338" s="19">
        <f>V324*i_G_mc*V273</f>
        <v/>
      </c>
      <c r="W338" s="19">
        <f>W324*i_G_mc*W273</f>
        <v/>
      </c>
      <c r="X338" s="19">
        <f>X324*i_G_mc*X273</f>
        <v/>
      </c>
      <c r="Y338" s="19">
        <f>Y324*i_G_mc*Y273</f>
        <v/>
      </c>
      <c r="Z338" s="19">
        <f>Z324*i_G_mc*Z273</f>
        <v/>
      </c>
      <c r="AA338" s="19">
        <f>AA324*i_G_mc*AA273</f>
        <v/>
      </c>
      <c r="AB338" s="19">
        <f>AB324*i_G_mc*AB273</f>
        <v/>
      </c>
      <c r="AC338" s="19">
        <f>AC324*i_G_mc*AC273</f>
        <v/>
      </c>
      <c r="AD338" s="19">
        <f>AD324*i_G_mc*AD273</f>
        <v/>
      </c>
      <c r="AE338" s="19">
        <f>AE324*i_G_mc*AE273</f>
        <v/>
      </c>
      <c r="AF338" s="19">
        <f>AF324*i_G_mc*AF273</f>
        <v/>
      </c>
      <c r="AG338" s="19">
        <f>AG324*i_G_mc*AG273</f>
        <v/>
      </c>
      <c r="AH338" s="19">
        <f>AH324*i_G_mc*AH273</f>
        <v/>
      </c>
      <c r="AI338" s="19">
        <f>AI324*i_G_mc*AI273</f>
        <v/>
      </c>
    </row>
    <row r="339">
      <c r="B339" s="3" t="inlineStr">
        <is>
          <t>Sabine Bend expansion (renewable fuels)</t>
        </is>
      </c>
    </row>
    <row r="340">
      <c r="B340" s="2" t="inlineStr">
        <is>
          <t xml:space="preserve">  Growth capex</t>
        </is>
      </c>
      <c r="D340" s="19">
        <f>Diligence!$C$267*SUMIF(i_exp_capex_years,D$3,i_exp_capex_vals)*D273</f>
        <v/>
      </c>
      <c r="E340" s="19">
        <f>Diligence!$C$267*SUMIF(i_exp_capex_years,E$3,i_exp_capex_vals)*E273</f>
        <v/>
      </c>
      <c r="F340" s="19">
        <f>Diligence!$C$267*SUMIF(i_exp_capex_years,F$3,i_exp_capex_vals)*F273</f>
        <v/>
      </c>
      <c r="G340" s="19">
        <f>Diligence!$C$267*SUMIF(i_exp_capex_years,G$3,i_exp_capex_vals)*G273</f>
        <v/>
      </c>
      <c r="H340" s="19">
        <f>Diligence!$C$267*SUMIF(i_exp_capex_years,H$3,i_exp_capex_vals)*H273</f>
        <v/>
      </c>
      <c r="I340" s="19">
        <f>Diligence!$C$267*SUMIF(i_exp_capex_years,I$3,i_exp_capex_vals)*I273</f>
        <v/>
      </c>
      <c r="J340" s="19">
        <f>Diligence!$C$267*SUMIF(i_exp_capex_years,J$3,i_exp_capex_vals)*J273</f>
        <v/>
      </c>
      <c r="K340" s="19">
        <f>Diligence!$C$267*SUMIF(i_exp_capex_years,K$3,i_exp_capex_vals)*K273</f>
        <v/>
      </c>
      <c r="L340" s="19">
        <f>Diligence!$C$267*SUMIF(i_exp_capex_years,L$3,i_exp_capex_vals)*L273</f>
        <v/>
      </c>
      <c r="M340" s="19">
        <f>Diligence!$C$267*SUMIF(i_exp_capex_years,M$3,i_exp_capex_vals)*M273</f>
        <v/>
      </c>
      <c r="N340" s="19">
        <f>Diligence!$C$267*SUMIF(i_exp_capex_years,N$3,i_exp_capex_vals)*N273</f>
        <v/>
      </c>
      <c r="O340" s="19">
        <f>Diligence!$C$267*SUMIF(i_exp_capex_years,O$3,i_exp_capex_vals)*O273</f>
        <v/>
      </c>
      <c r="P340" s="19">
        <f>Diligence!$C$267*SUMIF(i_exp_capex_years,P$3,i_exp_capex_vals)*P273</f>
        <v/>
      </c>
      <c r="Q340" s="19">
        <f>Diligence!$C$267*SUMIF(i_exp_capex_years,Q$3,i_exp_capex_vals)*Q273</f>
        <v/>
      </c>
      <c r="R340" s="19">
        <f>Diligence!$C$267*SUMIF(i_exp_capex_years,R$3,i_exp_capex_vals)*R273</f>
        <v/>
      </c>
      <c r="S340" s="19">
        <f>Diligence!$C$267*SUMIF(i_exp_capex_years,S$3,i_exp_capex_vals)*S273</f>
        <v/>
      </c>
      <c r="T340" s="19">
        <f>Diligence!$C$267*SUMIF(i_exp_capex_years,T$3,i_exp_capex_vals)*T273</f>
        <v/>
      </c>
      <c r="U340" s="19">
        <f>Diligence!$C$267*SUMIF(i_exp_capex_years,U$3,i_exp_capex_vals)*U273</f>
        <v/>
      </c>
      <c r="V340" s="19">
        <f>Diligence!$C$267*SUMIF(i_exp_capex_years,V$3,i_exp_capex_vals)*V273</f>
        <v/>
      </c>
      <c r="W340" s="19">
        <f>Diligence!$C$267*SUMIF(i_exp_capex_years,W$3,i_exp_capex_vals)*W273</f>
        <v/>
      </c>
      <c r="X340" s="19">
        <f>Diligence!$C$267*SUMIF(i_exp_capex_years,X$3,i_exp_capex_vals)*X273</f>
        <v/>
      </c>
      <c r="Y340" s="19">
        <f>Diligence!$C$267*SUMIF(i_exp_capex_years,Y$3,i_exp_capex_vals)*Y273</f>
        <v/>
      </c>
      <c r="Z340" s="19">
        <f>Diligence!$C$267*SUMIF(i_exp_capex_years,Z$3,i_exp_capex_vals)*Z273</f>
        <v/>
      </c>
      <c r="AA340" s="19">
        <f>Diligence!$C$267*SUMIF(i_exp_capex_years,AA$3,i_exp_capex_vals)*AA273</f>
        <v/>
      </c>
      <c r="AB340" s="19">
        <f>Diligence!$C$267*SUMIF(i_exp_capex_years,AB$3,i_exp_capex_vals)*AB273</f>
        <v/>
      </c>
      <c r="AC340" s="19">
        <f>Diligence!$C$267*SUMIF(i_exp_capex_years,AC$3,i_exp_capex_vals)*AC273</f>
        <v/>
      </c>
      <c r="AD340" s="19">
        <f>Diligence!$C$267*SUMIF(i_exp_capex_years,AD$3,i_exp_capex_vals)*AD273</f>
        <v/>
      </c>
      <c r="AE340" s="19">
        <f>Diligence!$C$267*SUMIF(i_exp_capex_years,AE$3,i_exp_capex_vals)*AE273</f>
        <v/>
      </c>
      <c r="AF340" s="19">
        <f>Diligence!$C$267*SUMIF(i_exp_capex_years,AF$3,i_exp_capex_vals)*AF273</f>
        <v/>
      </c>
      <c r="AG340" s="19">
        <f>Diligence!$C$267*SUMIF(i_exp_capex_years,AG$3,i_exp_capex_vals)*AG273</f>
        <v/>
      </c>
      <c r="AH340" s="19">
        <f>Diligence!$C$267*SUMIF(i_exp_capex_years,AH$3,i_exp_capex_vals)*AH273</f>
        <v/>
      </c>
      <c r="AI340" s="19">
        <f>Diligence!$C$267*SUMIF(i_exp_capex_years,AI$3,i_exp_capex_vals)*AI273</f>
        <v/>
      </c>
    </row>
    <row r="341">
      <c r="B341" s="2" t="inlineStr">
        <is>
          <t xml:space="preserve">  Operating (1/0)</t>
        </is>
      </c>
      <c r="D341" s="22">
        <f>IF(D$3&gt;=i_exp_start,Diligence!$C$267,0)</f>
        <v/>
      </c>
      <c r="E341" s="22">
        <f>IF(E$3&gt;=i_exp_start,Diligence!$C$267,0)</f>
        <v/>
      </c>
      <c r="F341" s="22">
        <f>IF(F$3&gt;=i_exp_start,Diligence!$C$267,0)</f>
        <v/>
      </c>
      <c r="G341" s="22">
        <f>IF(G$3&gt;=i_exp_start,Diligence!$C$267,0)</f>
        <v/>
      </c>
      <c r="H341" s="22">
        <f>IF(H$3&gt;=i_exp_start,Diligence!$C$267,0)</f>
        <v/>
      </c>
      <c r="I341" s="22">
        <f>IF(I$3&gt;=i_exp_start,Diligence!$C$267,0)</f>
        <v/>
      </c>
      <c r="J341" s="22">
        <f>IF(J$3&gt;=i_exp_start,Diligence!$C$267,0)</f>
        <v/>
      </c>
      <c r="K341" s="22">
        <f>IF(K$3&gt;=i_exp_start,Diligence!$C$267,0)</f>
        <v/>
      </c>
      <c r="L341" s="22">
        <f>IF(L$3&gt;=i_exp_start,Diligence!$C$267,0)</f>
        <v/>
      </c>
      <c r="M341" s="22">
        <f>IF(M$3&gt;=i_exp_start,Diligence!$C$267,0)</f>
        <v/>
      </c>
      <c r="N341" s="22">
        <f>IF(N$3&gt;=i_exp_start,Diligence!$C$267,0)</f>
        <v/>
      </c>
      <c r="O341" s="22">
        <f>IF(O$3&gt;=i_exp_start,Diligence!$C$267,0)</f>
        <v/>
      </c>
      <c r="P341" s="22">
        <f>IF(P$3&gt;=i_exp_start,Diligence!$C$267,0)</f>
        <v/>
      </c>
      <c r="Q341" s="22">
        <f>IF(Q$3&gt;=i_exp_start,Diligence!$C$267,0)</f>
        <v/>
      </c>
      <c r="R341" s="22">
        <f>IF(R$3&gt;=i_exp_start,Diligence!$C$267,0)</f>
        <v/>
      </c>
      <c r="S341" s="22">
        <f>IF(S$3&gt;=i_exp_start,Diligence!$C$267,0)</f>
        <v/>
      </c>
      <c r="T341" s="22">
        <f>IF(T$3&gt;=i_exp_start,Diligence!$C$267,0)</f>
        <v/>
      </c>
      <c r="U341" s="22">
        <f>IF(U$3&gt;=i_exp_start,Diligence!$C$267,0)</f>
        <v/>
      </c>
      <c r="V341" s="22">
        <f>IF(V$3&gt;=i_exp_start,Diligence!$C$267,0)</f>
        <v/>
      </c>
      <c r="W341" s="22">
        <f>IF(W$3&gt;=i_exp_start,Diligence!$C$267,0)</f>
        <v/>
      </c>
      <c r="X341" s="22">
        <f>IF(X$3&gt;=i_exp_start,Diligence!$C$267,0)</f>
        <v/>
      </c>
      <c r="Y341" s="22">
        <f>IF(Y$3&gt;=i_exp_start,Diligence!$C$267,0)</f>
        <v/>
      </c>
      <c r="Z341" s="22">
        <f>IF(Z$3&gt;=i_exp_start,Diligence!$C$267,0)</f>
        <v/>
      </c>
      <c r="AA341" s="22">
        <f>IF(AA$3&gt;=i_exp_start,Diligence!$C$267,0)</f>
        <v/>
      </c>
      <c r="AB341" s="22">
        <f>IF(AB$3&gt;=i_exp_start,Diligence!$C$267,0)</f>
        <v/>
      </c>
      <c r="AC341" s="22">
        <f>IF(AC$3&gt;=i_exp_start,Diligence!$C$267,0)</f>
        <v/>
      </c>
      <c r="AD341" s="22">
        <f>IF(AD$3&gt;=i_exp_start,Diligence!$C$267,0)</f>
        <v/>
      </c>
      <c r="AE341" s="22">
        <f>IF(AE$3&gt;=i_exp_start,Diligence!$C$267,0)</f>
        <v/>
      </c>
      <c r="AF341" s="22">
        <f>IF(AF$3&gt;=i_exp_start,Diligence!$C$267,0)</f>
        <v/>
      </c>
      <c r="AG341" s="22">
        <f>IF(AG$3&gt;=i_exp_start,Diligence!$C$267,0)</f>
        <v/>
      </c>
      <c r="AH341" s="22">
        <f>IF(AH$3&gt;=i_exp_start,Diligence!$C$267,0)</f>
        <v/>
      </c>
      <c r="AI341" s="22">
        <f>IF(AI$3&gt;=i_exp_start,Diligence!$C$267,0)</f>
        <v/>
      </c>
    </row>
    <row r="342">
      <c r="B342" s="2" t="inlineStr">
        <is>
          <t xml:space="preserve">  Under the anchor contract (1/0)</t>
        </is>
      </c>
      <c r="D342" s="22">
        <f>IF(D$3&lt;i_exp_start+i_exp_years,1,0)</f>
        <v/>
      </c>
      <c r="E342" s="22">
        <f>IF(E$3&lt;i_exp_start+i_exp_years,1,0)</f>
        <v/>
      </c>
      <c r="F342" s="22">
        <f>IF(F$3&lt;i_exp_start+i_exp_years,1,0)</f>
        <v/>
      </c>
      <c r="G342" s="22">
        <f>IF(G$3&lt;i_exp_start+i_exp_years,1,0)</f>
        <v/>
      </c>
      <c r="H342" s="22">
        <f>IF(H$3&lt;i_exp_start+i_exp_years,1,0)</f>
        <v/>
      </c>
      <c r="I342" s="22">
        <f>IF(I$3&lt;i_exp_start+i_exp_years,1,0)</f>
        <v/>
      </c>
      <c r="J342" s="22">
        <f>IF(J$3&lt;i_exp_start+i_exp_years,1,0)</f>
        <v/>
      </c>
      <c r="K342" s="22">
        <f>IF(K$3&lt;i_exp_start+i_exp_years,1,0)</f>
        <v/>
      </c>
      <c r="L342" s="22">
        <f>IF(L$3&lt;i_exp_start+i_exp_years,1,0)</f>
        <v/>
      </c>
      <c r="M342" s="22">
        <f>IF(M$3&lt;i_exp_start+i_exp_years,1,0)</f>
        <v/>
      </c>
      <c r="N342" s="22">
        <f>IF(N$3&lt;i_exp_start+i_exp_years,1,0)</f>
        <v/>
      </c>
      <c r="O342" s="22">
        <f>IF(O$3&lt;i_exp_start+i_exp_years,1,0)</f>
        <v/>
      </c>
      <c r="P342" s="22">
        <f>IF(P$3&lt;i_exp_start+i_exp_years,1,0)</f>
        <v/>
      </c>
      <c r="Q342" s="22">
        <f>IF(Q$3&lt;i_exp_start+i_exp_years,1,0)</f>
        <v/>
      </c>
      <c r="R342" s="22">
        <f>IF(R$3&lt;i_exp_start+i_exp_years,1,0)</f>
        <v/>
      </c>
      <c r="S342" s="22">
        <f>IF(S$3&lt;i_exp_start+i_exp_years,1,0)</f>
        <v/>
      </c>
      <c r="T342" s="22">
        <f>IF(T$3&lt;i_exp_start+i_exp_years,1,0)</f>
        <v/>
      </c>
      <c r="U342" s="22">
        <f>IF(U$3&lt;i_exp_start+i_exp_years,1,0)</f>
        <v/>
      </c>
      <c r="V342" s="22">
        <f>IF(V$3&lt;i_exp_start+i_exp_years,1,0)</f>
        <v/>
      </c>
      <c r="W342" s="22">
        <f>IF(W$3&lt;i_exp_start+i_exp_years,1,0)</f>
        <v/>
      </c>
      <c r="X342" s="22">
        <f>IF(X$3&lt;i_exp_start+i_exp_years,1,0)</f>
        <v/>
      </c>
      <c r="Y342" s="22">
        <f>IF(Y$3&lt;i_exp_start+i_exp_years,1,0)</f>
        <v/>
      </c>
      <c r="Z342" s="22">
        <f>IF(Z$3&lt;i_exp_start+i_exp_years,1,0)</f>
        <v/>
      </c>
      <c r="AA342" s="22">
        <f>IF(AA$3&lt;i_exp_start+i_exp_years,1,0)</f>
        <v/>
      </c>
      <c r="AB342" s="22">
        <f>IF(AB$3&lt;i_exp_start+i_exp_years,1,0)</f>
        <v/>
      </c>
      <c r="AC342" s="22">
        <f>IF(AC$3&lt;i_exp_start+i_exp_years,1,0)</f>
        <v/>
      </c>
      <c r="AD342" s="22">
        <f>IF(AD$3&lt;i_exp_start+i_exp_years,1,0)</f>
        <v/>
      </c>
      <c r="AE342" s="22">
        <f>IF(AE$3&lt;i_exp_start+i_exp_years,1,0)</f>
        <v/>
      </c>
      <c r="AF342" s="22">
        <f>IF(AF$3&lt;i_exp_start+i_exp_years,1,0)</f>
        <v/>
      </c>
      <c r="AG342" s="22">
        <f>IF(AG$3&lt;i_exp_start+i_exp_years,1,0)</f>
        <v/>
      </c>
      <c r="AH342" s="22">
        <f>IF(AH$3&lt;i_exp_start+i_exp_years,1,0)</f>
        <v/>
      </c>
      <c r="AI342" s="22">
        <f>IF(AI$3&lt;i_exp_start+i_exp_years,1,0)</f>
        <v/>
      </c>
    </row>
    <row r="343">
      <c r="B343" s="2" t="inlineStr">
        <is>
          <t xml:space="preserve">  Rate ($ per m3 per month)</t>
        </is>
      </c>
      <c r="D343" s="24">
        <f>i_exp_rate*D274*IF(D342=1,1,1+i_exp_mtm)</f>
        <v/>
      </c>
      <c r="E343" s="24">
        <f>i_exp_rate*E274*IF(E342=1,1,1+i_exp_mtm)</f>
        <v/>
      </c>
      <c r="F343" s="24">
        <f>i_exp_rate*F274*IF(F342=1,1,1+i_exp_mtm)</f>
        <v/>
      </c>
      <c r="G343" s="24">
        <f>i_exp_rate*G274*IF(G342=1,1,1+i_exp_mtm)</f>
        <v/>
      </c>
      <c r="H343" s="24">
        <f>i_exp_rate*H274*IF(H342=1,1,1+i_exp_mtm)</f>
        <v/>
      </c>
      <c r="I343" s="24">
        <f>i_exp_rate*I274*IF(I342=1,1,1+i_exp_mtm)</f>
        <v/>
      </c>
      <c r="J343" s="24">
        <f>i_exp_rate*J274*IF(J342=1,1,1+i_exp_mtm)</f>
        <v/>
      </c>
      <c r="K343" s="24">
        <f>i_exp_rate*K274*IF(K342=1,1,1+i_exp_mtm)</f>
        <v/>
      </c>
      <c r="L343" s="24">
        <f>i_exp_rate*L274*IF(L342=1,1,1+i_exp_mtm)</f>
        <v/>
      </c>
      <c r="M343" s="24">
        <f>i_exp_rate*M274*IF(M342=1,1,1+i_exp_mtm)</f>
        <v/>
      </c>
      <c r="N343" s="24">
        <f>i_exp_rate*N274*IF(N342=1,1,1+i_exp_mtm)</f>
        <v/>
      </c>
      <c r="O343" s="24">
        <f>i_exp_rate*O274*IF(O342=1,1,1+i_exp_mtm)</f>
        <v/>
      </c>
      <c r="P343" s="24">
        <f>i_exp_rate*P274*IF(P342=1,1,1+i_exp_mtm)</f>
        <v/>
      </c>
      <c r="Q343" s="24">
        <f>i_exp_rate*Q274*IF(Q342=1,1,1+i_exp_mtm)</f>
        <v/>
      </c>
      <c r="R343" s="24">
        <f>i_exp_rate*R274*IF(R342=1,1,1+i_exp_mtm)</f>
        <v/>
      </c>
      <c r="S343" s="24">
        <f>i_exp_rate*S274*IF(S342=1,1,1+i_exp_mtm)</f>
        <v/>
      </c>
      <c r="T343" s="24">
        <f>i_exp_rate*T274*IF(T342=1,1,1+i_exp_mtm)</f>
        <v/>
      </c>
      <c r="U343" s="24">
        <f>i_exp_rate*U274*IF(U342=1,1,1+i_exp_mtm)</f>
        <v/>
      </c>
      <c r="V343" s="24">
        <f>i_exp_rate*V274*IF(V342=1,1,1+i_exp_mtm)</f>
        <v/>
      </c>
      <c r="W343" s="24">
        <f>i_exp_rate*W274*IF(W342=1,1,1+i_exp_mtm)</f>
        <v/>
      </c>
      <c r="X343" s="24">
        <f>i_exp_rate*X274*IF(X342=1,1,1+i_exp_mtm)</f>
        <v/>
      </c>
      <c r="Y343" s="24">
        <f>i_exp_rate*Y274*IF(Y342=1,1,1+i_exp_mtm)</f>
        <v/>
      </c>
      <c r="Z343" s="24">
        <f>i_exp_rate*Z274*IF(Z342=1,1,1+i_exp_mtm)</f>
        <v/>
      </c>
      <c r="AA343" s="24">
        <f>i_exp_rate*AA274*IF(AA342=1,1,1+i_exp_mtm)</f>
        <v/>
      </c>
      <c r="AB343" s="24">
        <f>i_exp_rate*AB274*IF(AB342=1,1,1+i_exp_mtm)</f>
        <v/>
      </c>
      <c r="AC343" s="24">
        <f>i_exp_rate*AC274*IF(AC342=1,1,1+i_exp_mtm)</f>
        <v/>
      </c>
      <c r="AD343" s="24">
        <f>i_exp_rate*AD274*IF(AD342=1,1,1+i_exp_mtm)</f>
        <v/>
      </c>
      <c r="AE343" s="24">
        <f>i_exp_rate*AE274*IF(AE342=1,1,1+i_exp_mtm)</f>
        <v/>
      </c>
      <c r="AF343" s="24">
        <f>i_exp_rate*AF274*IF(AF342=1,1,1+i_exp_mtm)</f>
        <v/>
      </c>
      <c r="AG343" s="24">
        <f>i_exp_rate*AG274*IF(AG342=1,1,1+i_exp_mtm)</f>
        <v/>
      </c>
      <c r="AH343" s="24">
        <f>i_exp_rate*AH274*IF(AH342=1,1,1+i_exp_mtm)</f>
        <v/>
      </c>
      <c r="AI343" s="24">
        <f>i_exp_rate*AI274*IF(AI342=1,1,1+i_exp_mtm)</f>
        <v/>
      </c>
    </row>
    <row r="344">
      <c r="B344" s="2" t="inlineStr">
        <is>
          <t xml:space="preserve">  Occupancy</t>
        </is>
      </c>
      <c r="D344" s="21">
        <f>IF(D342=1,i_exp_occ_c,i_exp_occ_m)</f>
        <v/>
      </c>
      <c r="E344" s="21">
        <f>IF(E342=1,i_exp_occ_c,i_exp_occ_m)</f>
        <v/>
      </c>
      <c r="F344" s="21">
        <f>IF(F342=1,i_exp_occ_c,i_exp_occ_m)</f>
        <v/>
      </c>
      <c r="G344" s="21">
        <f>IF(G342=1,i_exp_occ_c,i_exp_occ_m)</f>
        <v/>
      </c>
      <c r="H344" s="21">
        <f>IF(H342=1,i_exp_occ_c,i_exp_occ_m)</f>
        <v/>
      </c>
      <c r="I344" s="21">
        <f>IF(I342=1,i_exp_occ_c,i_exp_occ_m)</f>
        <v/>
      </c>
      <c r="J344" s="21">
        <f>IF(J342=1,i_exp_occ_c,i_exp_occ_m)</f>
        <v/>
      </c>
      <c r="K344" s="21">
        <f>IF(K342=1,i_exp_occ_c,i_exp_occ_m)</f>
        <v/>
      </c>
      <c r="L344" s="21">
        <f>IF(L342=1,i_exp_occ_c,i_exp_occ_m)</f>
        <v/>
      </c>
      <c r="M344" s="21">
        <f>IF(M342=1,i_exp_occ_c,i_exp_occ_m)</f>
        <v/>
      </c>
      <c r="N344" s="21">
        <f>IF(N342=1,i_exp_occ_c,i_exp_occ_m)</f>
        <v/>
      </c>
      <c r="O344" s="21">
        <f>IF(O342=1,i_exp_occ_c,i_exp_occ_m)</f>
        <v/>
      </c>
      <c r="P344" s="21">
        <f>IF(P342=1,i_exp_occ_c,i_exp_occ_m)</f>
        <v/>
      </c>
      <c r="Q344" s="21">
        <f>IF(Q342=1,i_exp_occ_c,i_exp_occ_m)</f>
        <v/>
      </c>
      <c r="R344" s="21">
        <f>IF(R342=1,i_exp_occ_c,i_exp_occ_m)</f>
        <v/>
      </c>
      <c r="S344" s="21">
        <f>IF(S342=1,i_exp_occ_c,i_exp_occ_m)</f>
        <v/>
      </c>
      <c r="T344" s="21">
        <f>IF(T342=1,i_exp_occ_c,i_exp_occ_m)</f>
        <v/>
      </c>
      <c r="U344" s="21">
        <f>IF(U342=1,i_exp_occ_c,i_exp_occ_m)</f>
        <v/>
      </c>
      <c r="V344" s="21">
        <f>IF(V342=1,i_exp_occ_c,i_exp_occ_m)</f>
        <v/>
      </c>
      <c r="W344" s="21">
        <f>IF(W342=1,i_exp_occ_c,i_exp_occ_m)</f>
        <v/>
      </c>
      <c r="X344" s="21">
        <f>IF(X342=1,i_exp_occ_c,i_exp_occ_m)</f>
        <v/>
      </c>
      <c r="Y344" s="21">
        <f>IF(Y342=1,i_exp_occ_c,i_exp_occ_m)</f>
        <v/>
      </c>
      <c r="Z344" s="21">
        <f>IF(Z342=1,i_exp_occ_c,i_exp_occ_m)</f>
        <v/>
      </c>
      <c r="AA344" s="21">
        <f>IF(AA342=1,i_exp_occ_c,i_exp_occ_m)</f>
        <v/>
      </c>
      <c r="AB344" s="21">
        <f>IF(AB342=1,i_exp_occ_c,i_exp_occ_m)</f>
        <v/>
      </c>
      <c r="AC344" s="21">
        <f>IF(AC342=1,i_exp_occ_c,i_exp_occ_m)</f>
        <v/>
      </c>
      <c r="AD344" s="21">
        <f>IF(AD342=1,i_exp_occ_c,i_exp_occ_m)</f>
        <v/>
      </c>
      <c r="AE344" s="21">
        <f>IF(AE342=1,i_exp_occ_c,i_exp_occ_m)</f>
        <v/>
      </c>
      <c r="AF344" s="21">
        <f>IF(AF342=1,i_exp_occ_c,i_exp_occ_m)</f>
        <v/>
      </c>
      <c r="AG344" s="21">
        <f>IF(AG342=1,i_exp_occ_c,i_exp_occ_m)</f>
        <v/>
      </c>
      <c r="AH344" s="21">
        <f>IF(AH342=1,i_exp_occ_c,i_exp_occ_m)</f>
        <v/>
      </c>
      <c r="AI344" s="21">
        <f>IF(AI342=1,i_exp_occ_c,i_exp_occ_m)</f>
        <v/>
      </c>
    </row>
    <row r="345">
      <c r="B345" s="2" t="inlineStr">
        <is>
          <t xml:space="preserve">  Storage revenue</t>
        </is>
      </c>
      <c r="D345" s="19">
        <f>D341*i_exp_cap*D343*12*D344</f>
        <v/>
      </c>
      <c r="E345" s="19">
        <f>E341*i_exp_cap*E343*12*E344</f>
        <v/>
      </c>
      <c r="F345" s="19">
        <f>F341*i_exp_cap*F343*12*F344</f>
        <v/>
      </c>
      <c r="G345" s="19">
        <f>G341*i_exp_cap*G343*12*G344</f>
        <v/>
      </c>
      <c r="H345" s="19">
        <f>H341*i_exp_cap*H343*12*H344</f>
        <v/>
      </c>
      <c r="I345" s="19">
        <f>I341*i_exp_cap*I343*12*I344</f>
        <v/>
      </c>
      <c r="J345" s="19">
        <f>J341*i_exp_cap*J343*12*J344</f>
        <v/>
      </c>
      <c r="K345" s="19">
        <f>K341*i_exp_cap*K343*12*K344</f>
        <v/>
      </c>
      <c r="L345" s="19">
        <f>L341*i_exp_cap*L343*12*L344</f>
        <v/>
      </c>
      <c r="M345" s="19">
        <f>M341*i_exp_cap*M343*12*M344</f>
        <v/>
      </c>
      <c r="N345" s="19">
        <f>N341*i_exp_cap*N343*12*N344</f>
        <v/>
      </c>
      <c r="O345" s="19">
        <f>O341*i_exp_cap*O343*12*O344</f>
        <v/>
      </c>
      <c r="P345" s="19">
        <f>P341*i_exp_cap*P343*12*P344</f>
        <v/>
      </c>
      <c r="Q345" s="19">
        <f>Q341*i_exp_cap*Q343*12*Q344</f>
        <v/>
      </c>
      <c r="R345" s="19">
        <f>R341*i_exp_cap*R343*12*R344</f>
        <v/>
      </c>
      <c r="S345" s="19">
        <f>S341*i_exp_cap*S343*12*S344</f>
        <v/>
      </c>
      <c r="T345" s="19">
        <f>T341*i_exp_cap*T343*12*T344</f>
        <v/>
      </c>
      <c r="U345" s="19">
        <f>U341*i_exp_cap*U343*12*U344</f>
        <v/>
      </c>
      <c r="V345" s="19">
        <f>V341*i_exp_cap*V343*12*V344</f>
        <v/>
      </c>
      <c r="W345" s="19">
        <f>W341*i_exp_cap*W343*12*W344</f>
        <v/>
      </c>
      <c r="X345" s="19">
        <f>X341*i_exp_cap*X343*12*X344</f>
        <v/>
      </c>
      <c r="Y345" s="19">
        <f>Y341*i_exp_cap*Y343*12*Y344</f>
        <v/>
      </c>
      <c r="Z345" s="19">
        <f>Z341*i_exp_cap*Z343*12*Z344</f>
        <v/>
      </c>
      <c r="AA345" s="19">
        <f>AA341*i_exp_cap*AA343*12*AA344</f>
        <v/>
      </c>
      <c r="AB345" s="19">
        <f>AB341*i_exp_cap*AB343*12*AB344</f>
        <v/>
      </c>
      <c r="AC345" s="19">
        <f>AC341*i_exp_cap*AC343*12*AC344</f>
        <v/>
      </c>
      <c r="AD345" s="19">
        <f>AD341*i_exp_cap*AD343*12*AD344</f>
        <v/>
      </c>
      <c r="AE345" s="19">
        <f>AE341*i_exp_cap*AE343*12*AE344</f>
        <v/>
      </c>
      <c r="AF345" s="19">
        <f>AF341*i_exp_cap*AF343*12*AF344</f>
        <v/>
      </c>
      <c r="AG345" s="19">
        <f>AG341*i_exp_cap*AG343*12*AG344</f>
        <v/>
      </c>
      <c r="AH345" s="19">
        <f>AH341*i_exp_cap*AH343*12*AH344</f>
        <v/>
      </c>
      <c r="AI345" s="19">
        <f>AI341*i_exp_cap*AI343*12*AI344</f>
        <v/>
      </c>
    </row>
    <row r="346">
      <c r="B346" s="3" t="inlineStr">
        <is>
          <t xml:space="preserve">  Revenue</t>
        </is>
      </c>
      <c r="D346" s="31">
        <f>D345*(1+i_exp_anc)</f>
        <v/>
      </c>
      <c r="E346" s="31">
        <f>E345*(1+i_exp_anc)</f>
        <v/>
      </c>
      <c r="F346" s="31">
        <f>F345*(1+i_exp_anc)</f>
        <v/>
      </c>
      <c r="G346" s="31">
        <f>G345*(1+i_exp_anc)</f>
        <v/>
      </c>
      <c r="H346" s="31">
        <f>H345*(1+i_exp_anc)</f>
        <v/>
      </c>
      <c r="I346" s="31">
        <f>I345*(1+i_exp_anc)</f>
        <v/>
      </c>
      <c r="J346" s="31">
        <f>J345*(1+i_exp_anc)</f>
        <v/>
      </c>
      <c r="K346" s="31">
        <f>K345*(1+i_exp_anc)</f>
        <v/>
      </c>
      <c r="L346" s="31">
        <f>L345*(1+i_exp_anc)</f>
        <v/>
      </c>
      <c r="M346" s="31">
        <f>M345*(1+i_exp_anc)</f>
        <v/>
      </c>
      <c r="N346" s="31">
        <f>N345*(1+i_exp_anc)</f>
        <v/>
      </c>
      <c r="O346" s="31">
        <f>O345*(1+i_exp_anc)</f>
        <v/>
      </c>
      <c r="P346" s="31">
        <f>P345*(1+i_exp_anc)</f>
        <v/>
      </c>
      <c r="Q346" s="31">
        <f>Q345*(1+i_exp_anc)</f>
        <v/>
      </c>
      <c r="R346" s="31">
        <f>R345*(1+i_exp_anc)</f>
        <v/>
      </c>
      <c r="S346" s="31">
        <f>S345*(1+i_exp_anc)</f>
        <v/>
      </c>
      <c r="T346" s="31">
        <f>T345*(1+i_exp_anc)</f>
        <v/>
      </c>
      <c r="U346" s="31">
        <f>U345*(1+i_exp_anc)</f>
        <v/>
      </c>
      <c r="V346" s="31">
        <f>V345*(1+i_exp_anc)</f>
        <v/>
      </c>
      <c r="W346" s="31">
        <f>W345*(1+i_exp_anc)</f>
        <v/>
      </c>
      <c r="X346" s="31">
        <f>X345*(1+i_exp_anc)</f>
        <v/>
      </c>
      <c r="Y346" s="31">
        <f>Y345*(1+i_exp_anc)</f>
        <v/>
      </c>
      <c r="Z346" s="31">
        <f>Z345*(1+i_exp_anc)</f>
        <v/>
      </c>
      <c r="AA346" s="31">
        <f>AA345*(1+i_exp_anc)</f>
        <v/>
      </c>
      <c r="AB346" s="31">
        <f>AB345*(1+i_exp_anc)</f>
        <v/>
      </c>
      <c r="AC346" s="31">
        <f>AC345*(1+i_exp_anc)</f>
        <v/>
      </c>
      <c r="AD346" s="31">
        <f>AD345*(1+i_exp_anc)</f>
        <v/>
      </c>
      <c r="AE346" s="31">
        <f>AE345*(1+i_exp_anc)</f>
        <v/>
      </c>
      <c r="AF346" s="31">
        <f>AF345*(1+i_exp_anc)</f>
        <v/>
      </c>
      <c r="AG346" s="31">
        <f>AG345*(1+i_exp_anc)</f>
        <v/>
      </c>
      <c r="AH346" s="31">
        <f>AH345*(1+i_exp_anc)</f>
        <v/>
      </c>
      <c r="AI346" s="31">
        <f>AI345*(1+i_exp_anc)</f>
        <v/>
      </c>
    </row>
    <row r="347">
      <c r="B347" s="2" t="inlineStr">
        <is>
          <t xml:space="preserve">  Operating cost</t>
        </is>
      </c>
      <c r="D347" s="19">
        <f>D341*i_exp_fix*i_exp_cap*D273+i_exp_var*D346</f>
        <v/>
      </c>
      <c r="E347" s="19">
        <f>E341*i_exp_fix*i_exp_cap*E273+i_exp_var*E346</f>
        <v/>
      </c>
      <c r="F347" s="19">
        <f>F341*i_exp_fix*i_exp_cap*F273+i_exp_var*F346</f>
        <v/>
      </c>
      <c r="G347" s="19">
        <f>G341*i_exp_fix*i_exp_cap*G273+i_exp_var*G346</f>
        <v/>
      </c>
      <c r="H347" s="19">
        <f>H341*i_exp_fix*i_exp_cap*H273+i_exp_var*H346</f>
        <v/>
      </c>
      <c r="I347" s="19">
        <f>I341*i_exp_fix*i_exp_cap*I273+i_exp_var*I346</f>
        <v/>
      </c>
      <c r="J347" s="19">
        <f>J341*i_exp_fix*i_exp_cap*J273+i_exp_var*J346</f>
        <v/>
      </c>
      <c r="K347" s="19">
        <f>K341*i_exp_fix*i_exp_cap*K273+i_exp_var*K346</f>
        <v/>
      </c>
      <c r="L347" s="19">
        <f>L341*i_exp_fix*i_exp_cap*L273+i_exp_var*L346</f>
        <v/>
      </c>
      <c r="M347" s="19">
        <f>M341*i_exp_fix*i_exp_cap*M273+i_exp_var*M346</f>
        <v/>
      </c>
      <c r="N347" s="19">
        <f>N341*i_exp_fix*i_exp_cap*N273+i_exp_var*N346</f>
        <v/>
      </c>
      <c r="O347" s="19">
        <f>O341*i_exp_fix*i_exp_cap*O273+i_exp_var*O346</f>
        <v/>
      </c>
      <c r="P347" s="19">
        <f>P341*i_exp_fix*i_exp_cap*P273+i_exp_var*P346</f>
        <v/>
      </c>
      <c r="Q347" s="19">
        <f>Q341*i_exp_fix*i_exp_cap*Q273+i_exp_var*Q346</f>
        <v/>
      </c>
      <c r="R347" s="19">
        <f>R341*i_exp_fix*i_exp_cap*R273+i_exp_var*R346</f>
        <v/>
      </c>
      <c r="S347" s="19">
        <f>S341*i_exp_fix*i_exp_cap*S273+i_exp_var*S346</f>
        <v/>
      </c>
      <c r="T347" s="19">
        <f>T341*i_exp_fix*i_exp_cap*T273+i_exp_var*T346</f>
        <v/>
      </c>
      <c r="U347" s="19">
        <f>U341*i_exp_fix*i_exp_cap*U273+i_exp_var*U346</f>
        <v/>
      </c>
      <c r="V347" s="19">
        <f>V341*i_exp_fix*i_exp_cap*V273+i_exp_var*V346</f>
        <v/>
      </c>
      <c r="W347" s="19">
        <f>W341*i_exp_fix*i_exp_cap*W273+i_exp_var*W346</f>
        <v/>
      </c>
      <c r="X347" s="19">
        <f>X341*i_exp_fix*i_exp_cap*X273+i_exp_var*X346</f>
        <v/>
      </c>
      <c r="Y347" s="19">
        <f>Y341*i_exp_fix*i_exp_cap*Y273+i_exp_var*Y346</f>
        <v/>
      </c>
      <c r="Z347" s="19">
        <f>Z341*i_exp_fix*i_exp_cap*Z273+i_exp_var*Z346</f>
        <v/>
      </c>
      <c r="AA347" s="19">
        <f>AA341*i_exp_fix*i_exp_cap*AA273+i_exp_var*AA346</f>
        <v/>
      </c>
      <c r="AB347" s="19">
        <f>AB341*i_exp_fix*i_exp_cap*AB273+i_exp_var*AB346</f>
        <v/>
      </c>
      <c r="AC347" s="19">
        <f>AC341*i_exp_fix*i_exp_cap*AC273+i_exp_var*AC346</f>
        <v/>
      </c>
      <c r="AD347" s="19">
        <f>AD341*i_exp_fix*i_exp_cap*AD273+i_exp_var*AD346</f>
        <v/>
      </c>
      <c r="AE347" s="19">
        <f>AE341*i_exp_fix*i_exp_cap*AE273+i_exp_var*AE346</f>
        <v/>
      </c>
      <c r="AF347" s="19">
        <f>AF341*i_exp_fix*i_exp_cap*AF273+i_exp_var*AF346</f>
        <v/>
      </c>
      <c r="AG347" s="19">
        <f>AG341*i_exp_fix*i_exp_cap*AG273+i_exp_var*AG346</f>
        <v/>
      </c>
      <c r="AH347" s="19">
        <f>AH341*i_exp_fix*i_exp_cap*AH273+i_exp_var*AH346</f>
        <v/>
      </c>
      <c r="AI347" s="19">
        <f>AI341*i_exp_fix*i_exp_cap*AI273+i_exp_var*AI346</f>
        <v/>
      </c>
    </row>
    <row r="348">
      <c r="B348" s="3" t="inlineStr">
        <is>
          <t xml:space="preserve">  EBITDA</t>
        </is>
      </c>
      <c r="D348" s="31">
        <f>D346-D347</f>
        <v/>
      </c>
      <c r="E348" s="31">
        <f>E346-E347</f>
        <v/>
      </c>
      <c r="F348" s="31">
        <f>F346-F347</f>
        <v/>
      </c>
      <c r="G348" s="31">
        <f>G346-G347</f>
        <v/>
      </c>
      <c r="H348" s="31">
        <f>H346-H347</f>
        <v/>
      </c>
      <c r="I348" s="31">
        <f>I346-I347</f>
        <v/>
      </c>
      <c r="J348" s="31">
        <f>J346-J347</f>
        <v/>
      </c>
      <c r="K348" s="31">
        <f>K346-K347</f>
        <v/>
      </c>
      <c r="L348" s="31">
        <f>L346-L347</f>
        <v/>
      </c>
      <c r="M348" s="31">
        <f>M346-M347</f>
        <v/>
      </c>
      <c r="N348" s="31">
        <f>N346-N347</f>
        <v/>
      </c>
      <c r="O348" s="31">
        <f>O346-O347</f>
        <v/>
      </c>
      <c r="P348" s="31">
        <f>P346-P347</f>
        <v/>
      </c>
      <c r="Q348" s="31">
        <f>Q346-Q347</f>
        <v/>
      </c>
      <c r="R348" s="31">
        <f>R346-R347</f>
        <v/>
      </c>
      <c r="S348" s="31">
        <f>S346-S347</f>
        <v/>
      </c>
      <c r="T348" s="31">
        <f>T346-T347</f>
        <v/>
      </c>
      <c r="U348" s="31">
        <f>U346-U347</f>
        <v/>
      </c>
      <c r="V348" s="31">
        <f>V346-V347</f>
        <v/>
      </c>
      <c r="W348" s="31">
        <f>W346-W347</f>
        <v/>
      </c>
      <c r="X348" s="31">
        <f>X346-X347</f>
        <v/>
      </c>
      <c r="Y348" s="31">
        <f>Y346-Y347</f>
        <v/>
      </c>
      <c r="Z348" s="31">
        <f>Z346-Z347</f>
        <v/>
      </c>
      <c r="AA348" s="31">
        <f>AA346-AA347</f>
        <v/>
      </c>
      <c r="AB348" s="31">
        <f>AB346-AB347</f>
        <v/>
      </c>
      <c r="AC348" s="31">
        <f>AC346-AC347</f>
        <v/>
      </c>
      <c r="AD348" s="31">
        <f>AD346-AD347</f>
        <v/>
      </c>
      <c r="AE348" s="31">
        <f>AE346-AE347</f>
        <v/>
      </c>
      <c r="AF348" s="31">
        <f>AF346-AF347</f>
        <v/>
      </c>
      <c r="AG348" s="31">
        <f>AG346-AG347</f>
        <v/>
      </c>
      <c r="AH348" s="31">
        <f>AH346-AH347</f>
        <v/>
      </c>
      <c r="AI348" s="31">
        <f>AI346-AI347</f>
        <v/>
      </c>
    </row>
    <row r="349">
      <c r="B349" s="2" t="inlineStr">
        <is>
          <t xml:space="preserve">  Maintenance capex</t>
        </is>
      </c>
      <c r="D349" s="19">
        <f>D341*i_exp_mc*i_exp_cap*D273</f>
        <v/>
      </c>
      <c r="E349" s="19">
        <f>E341*i_exp_mc*i_exp_cap*E273</f>
        <v/>
      </c>
      <c r="F349" s="19">
        <f>F341*i_exp_mc*i_exp_cap*F273</f>
        <v/>
      </c>
      <c r="G349" s="19">
        <f>G341*i_exp_mc*i_exp_cap*G273</f>
        <v/>
      </c>
      <c r="H349" s="19">
        <f>H341*i_exp_mc*i_exp_cap*H273</f>
        <v/>
      </c>
      <c r="I349" s="19">
        <f>I341*i_exp_mc*i_exp_cap*I273</f>
        <v/>
      </c>
      <c r="J349" s="19">
        <f>J341*i_exp_mc*i_exp_cap*J273</f>
        <v/>
      </c>
      <c r="K349" s="19">
        <f>K341*i_exp_mc*i_exp_cap*K273</f>
        <v/>
      </c>
      <c r="L349" s="19">
        <f>L341*i_exp_mc*i_exp_cap*L273</f>
        <v/>
      </c>
      <c r="M349" s="19">
        <f>M341*i_exp_mc*i_exp_cap*M273</f>
        <v/>
      </c>
      <c r="N349" s="19">
        <f>N341*i_exp_mc*i_exp_cap*N273</f>
        <v/>
      </c>
      <c r="O349" s="19">
        <f>O341*i_exp_mc*i_exp_cap*O273</f>
        <v/>
      </c>
      <c r="P349" s="19">
        <f>P341*i_exp_mc*i_exp_cap*P273</f>
        <v/>
      </c>
      <c r="Q349" s="19">
        <f>Q341*i_exp_mc*i_exp_cap*Q273</f>
        <v/>
      </c>
      <c r="R349" s="19">
        <f>R341*i_exp_mc*i_exp_cap*R273</f>
        <v/>
      </c>
      <c r="S349" s="19">
        <f>S341*i_exp_mc*i_exp_cap*S273</f>
        <v/>
      </c>
      <c r="T349" s="19">
        <f>T341*i_exp_mc*i_exp_cap*T273</f>
        <v/>
      </c>
      <c r="U349" s="19">
        <f>U341*i_exp_mc*i_exp_cap*U273</f>
        <v/>
      </c>
      <c r="V349" s="19">
        <f>V341*i_exp_mc*i_exp_cap*V273</f>
        <v/>
      </c>
      <c r="W349" s="19">
        <f>W341*i_exp_mc*i_exp_cap*W273</f>
        <v/>
      </c>
      <c r="X349" s="19">
        <f>X341*i_exp_mc*i_exp_cap*X273</f>
        <v/>
      </c>
      <c r="Y349" s="19">
        <f>Y341*i_exp_mc*i_exp_cap*Y273</f>
        <v/>
      </c>
      <c r="Z349" s="19">
        <f>Z341*i_exp_mc*i_exp_cap*Z273</f>
        <v/>
      </c>
      <c r="AA349" s="19">
        <f>AA341*i_exp_mc*i_exp_cap*AA273</f>
        <v/>
      </c>
      <c r="AB349" s="19">
        <f>AB341*i_exp_mc*i_exp_cap*AB273</f>
        <v/>
      </c>
      <c r="AC349" s="19">
        <f>AC341*i_exp_mc*i_exp_cap*AC273</f>
        <v/>
      </c>
      <c r="AD349" s="19">
        <f>AD341*i_exp_mc*i_exp_cap*AD273</f>
        <v/>
      </c>
      <c r="AE349" s="19">
        <f>AE341*i_exp_mc*i_exp_cap*AE273</f>
        <v/>
      </c>
      <c r="AF349" s="19">
        <f>AF341*i_exp_mc*i_exp_cap*AF273</f>
        <v/>
      </c>
      <c r="AG349" s="19">
        <f>AG341*i_exp_mc*i_exp_cap*AG273</f>
        <v/>
      </c>
      <c r="AH349" s="19">
        <f>AH341*i_exp_mc*i_exp_cap*AH273</f>
        <v/>
      </c>
      <c r="AI349" s="19">
        <f>AI341*i_exp_mc*i_exp_cap*AI273</f>
        <v/>
      </c>
    </row>
    <row r="351">
      <c r="B351" s="5" t="inlineStr">
        <is>
          <t>Consolidated</t>
        </is>
      </c>
    </row>
    <row r="352">
      <c r="B352" s="2" t="inlineStr">
        <is>
          <t>Revenue</t>
        </is>
      </c>
      <c r="D352" s="19">
        <f>D286+D302+D317+D332+D346</f>
        <v/>
      </c>
      <c r="E352" s="19">
        <f>E286+E302+E317+E332+E346</f>
        <v/>
      </c>
      <c r="F352" s="19">
        <f>F286+F302+F317+F332+F346</f>
        <v/>
      </c>
      <c r="G352" s="19">
        <f>G286+G302+G317+G332+G346</f>
        <v/>
      </c>
      <c r="H352" s="19">
        <f>H286+H302+H317+H332+H346</f>
        <v/>
      </c>
      <c r="I352" s="19">
        <f>I286+I302+I317+I332+I346</f>
        <v/>
      </c>
      <c r="J352" s="19">
        <f>J286+J302+J317+J332+J346</f>
        <v/>
      </c>
      <c r="K352" s="19">
        <f>K286+K302+K317+K332+K346</f>
        <v/>
      </c>
      <c r="L352" s="19">
        <f>L286+L302+L317+L332+L346</f>
        <v/>
      </c>
      <c r="M352" s="19">
        <f>M286+M302+M317+M332+M346</f>
        <v/>
      </c>
      <c r="N352" s="19">
        <f>N286+N302+N317+N332+N346</f>
        <v/>
      </c>
      <c r="O352" s="19">
        <f>O286+O302+O317+O332+O346</f>
        <v/>
      </c>
      <c r="P352" s="19">
        <f>P286+P302+P317+P332+P346</f>
        <v/>
      </c>
      <c r="Q352" s="19">
        <f>Q286+Q302+Q317+Q332+Q346</f>
        <v/>
      </c>
      <c r="R352" s="19">
        <f>R286+R302+R317+R332+R346</f>
        <v/>
      </c>
      <c r="S352" s="19">
        <f>S286+S302+S317+S332+S346</f>
        <v/>
      </c>
      <c r="T352" s="19">
        <f>T286+T302+T317+T332+T346</f>
        <v/>
      </c>
      <c r="U352" s="19">
        <f>U286+U302+U317+U332+U346</f>
        <v/>
      </c>
      <c r="V352" s="19">
        <f>V286+V302+V317+V332+V346</f>
        <v/>
      </c>
      <c r="W352" s="19">
        <f>W286+W302+W317+W332+W346</f>
        <v/>
      </c>
      <c r="X352" s="19">
        <f>X286+X302+X317+X332+X346</f>
        <v/>
      </c>
      <c r="Y352" s="19">
        <f>Y286+Y302+Y317+Y332+Y346</f>
        <v/>
      </c>
      <c r="Z352" s="19">
        <f>Z286+Z302+Z317+Z332+Z346</f>
        <v/>
      </c>
      <c r="AA352" s="19">
        <f>AA286+AA302+AA317+AA332+AA346</f>
        <v/>
      </c>
      <c r="AB352" s="19">
        <f>AB286+AB302+AB317+AB332+AB346</f>
        <v/>
      </c>
      <c r="AC352" s="19">
        <f>AC286+AC302+AC317+AC332+AC346</f>
        <v/>
      </c>
      <c r="AD352" s="19">
        <f>AD286+AD302+AD317+AD332+AD346</f>
        <v/>
      </c>
      <c r="AE352" s="19">
        <f>AE286+AE302+AE317+AE332+AE346</f>
        <v/>
      </c>
      <c r="AF352" s="19">
        <f>AF286+AF302+AF317+AF332+AF346</f>
        <v/>
      </c>
      <c r="AG352" s="19">
        <f>AG286+AG302+AG317+AG332+AG346</f>
        <v/>
      </c>
      <c r="AH352" s="19">
        <f>AH286+AH302+AH317+AH332+AH346</f>
        <v/>
      </c>
      <c r="AI352" s="19">
        <f>AI286+AI302+AI317+AI332+AI346</f>
        <v/>
      </c>
    </row>
    <row r="353">
      <c r="B353" s="2" t="inlineStr">
        <is>
          <t>Business unit EBITDA (with the expansion)</t>
        </is>
      </c>
      <c r="D353" s="19">
        <f>D291+D306+D321+D337+D348</f>
        <v/>
      </c>
      <c r="E353" s="19">
        <f>E291+E306+E321+E337+E348</f>
        <v/>
      </c>
      <c r="F353" s="19">
        <f>F291+F306+F321+F337+F348</f>
        <v/>
      </c>
      <c r="G353" s="19">
        <f>G291+G306+G321+G337+G348</f>
        <v/>
      </c>
      <c r="H353" s="19">
        <f>H291+H306+H321+H337+H348</f>
        <v/>
      </c>
      <c r="I353" s="19">
        <f>I291+I306+I321+I337+I348</f>
        <v/>
      </c>
      <c r="J353" s="19">
        <f>J291+J306+J321+J337+J348</f>
        <v/>
      </c>
      <c r="K353" s="19">
        <f>K291+K306+K321+K337+K348</f>
        <v/>
      </c>
      <c r="L353" s="19">
        <f>L291+L306+L321+L337+L348</f>
        <v/>
      </c>
      <c r="M353" s="19">
        <f>M291+M306+M321+M337+M348</f>
        <v/>
      </c>
      <c r="N353" s="19">
        <f>N291+N306+N321+N337+N348</f>
        <v/>
      </c>
      <c r="O353" s="19">
        <f>O291+O306+O321+O337+O348</f>
        <v/>
      </c>
      <c r="P353" s="19">
        <f>P291+P306+P321+P337+P348</f>
        <v/>
      </c>
      <c r="Q353" s="19">
        <f>Q291+Q306+Q321+Q337+Q348</f>
        <v/>
      </c>
      <c r="R353" s="19">
        <f>R291+R306+R321+R337+R348</f>
        <v/>
      </c>
      <c r="S353" s="19">
        <f>S291+S306+S321+S337+S348</f>
        <v/>
      </c>
      <c r="T353" s="19">
        <f>T291+T306+T321+T337+T348</f>
        <v/>
      </c>
      <c r="U353" s="19">
        <f>U291+U306+U321+U337+U348</f>
        <v/>
      </c>
      <c r="V353" s="19">
        <f>V291+V306+V321+V337+V348</f>
        <v/>
      </c>
      <c r="W353" s="19">
        <f>W291+W306+W321+W337+W348</f>
        <v/>
      </c>
      <c r="X353" s="19">
        <f>X291+X306+X321+X337+X348</f>
        <v/>
      </c>
      <c r="Y353" s="19">
        <f>Y291+Y306+Y321+Y337+Y348</f>
        <v/>
      </c>
      <c r="Z353" s="19">
        <f>Z291+Z306+Z321+Z337+Z348</f>
        <v/>
      </c>
      <c r="AA353" s="19">
        <f>AA291+AA306+AA321+AA337+AA348</f>
        <v/>
      </c>
      <c r="AB353" s="19">
        <f>AB291+AB306+AB321+AB337+AB348</f>
        <v/>
      </c>
      <c r="AC353" s="19">
        <f>AC291+AC306+AC321+AC337+AC348</f>
        <v/>
      </c>
      <c r="AD353" s="19">
        <f>AD291+AD306+AD321+AD337+AD348</f>
        <v/>
      </c>
      <c r="AE353" s="19">
        <f>AE291+AE306+AE321+AE337+AE348</f>
        <v/>
      </c>
      <c r="AF353" s="19">
        <f>AF291+AF306+AF321+AF337+AF348</f>
        <v/>
      </c>
      <c r="AG353" s="19">
        <f>AG291+AG306+AG321+AG337+AG348</f>
        <v/>
      </c>
      <c r="AH353" s="19">
        <f>AH291+AH306+AH321+AH337+AH348</f>
        <v/>
      </c>
      <c r="AI353" s="19">
        <f>AI291+AI306+AI321+AI337+AI348</f>
        <v/>
      </c>
    </row>
    <row r="354">
      <c r="B354" s="2" t="inlineStr">
        <is>
          <t>Corporate costs</t>
        </is>
      </c>
      <c r="D354" s="19">
        <f>i_corp*D273*IF(OR(Diligence!$C$270=1,D$3&lt;=i_conc_end),1,i_corp_after_w)+IF(D$3&gt;=i_mitig_start,Diligence!$C$272*D273,0)</f>
        <v/>
      </c>
      <c r="E354" s="19">
        <f>i_corp*E273*IF(OR(Diligence!$C$270=1,E$3&lt;=i_conc_end),1,i_corp_after_w)+IF(E$3&gt;=i_mitig_start,Diligence!$C$272*E273,0)</f>
        <v/>
      </c>
      <c r="F354" s="19">
        <f>i_corp*F273*IF(OR(Diligence!$C$270=1,F$3&lt;=i_conc_end),1,i_corp_after_w)+IF(F$3&gt;=i_mitig_start,Diligence!$C$272*F273,0)</f>
        <v/>
      </c>
      <c r="G354" s="19">
        <f>i_corp*G273*IF(OR(Diligence!$C$270=1,G$3&lt;=i_conc_end),1,i_corp_after_w)+IF(G$3&gt;=i_mitig_start,Diligence!$C$272*G273,0)</f>
        <v/>
      </c>
      <c r="H354" s="19">
        <f>i_corp*H273*IF(OR(Diligence!$C$270=1,H$3&lt;=i_conc_end),1,i_corp_after_w)+IF(H$3&gt;=i_mitig_start,Diligence!$C$272*H273,0)</f>
        <v/>
      </c>
      <c r="I354" s="19">
        <f>i_corp*I273*IF(OR(Diligence!$C$270=1,I$3&lt;=i_conc_end),1,i_corp_after_w)+IF(I$3&gt;=i_mitig_start,Diligence!$C$272*I273,0)</f>
        <v/>
      </c>
      <c r="J354" s="19">
        <f>i_corp*J273*IF(OR(Diligence!$C$270=1,J$3&lt;=i_conc_end),1,i_corp_after_w)+IF(J$3&gt;=i_mitig_start,Diligence!$C$272*J273,0)</f>
        <v/>
      </c>
      <c r="K354" s="19">
        <f>i_corp*K273*IF(OR(Diligence!$C$270=1,K$3&lt;=i_conc_end),1,i_corp_after_w)+IF(K$3&gt;=i_mitig_start,Diligence!$C$272*K273,0)</f>
        <v/>
      </c>
      <c r="L354" s="19">
        <f>i_corp*L273*IF(OR(Diligence!$C$270=1,L$3&lt;=i_conc_end),1,i_corp_after_w)+IF(L$3&gt;=i_mitig_start,Diligence!$C$272*L273,0)</f>
        <v/>
      </c>
      <c r="M354" s="19">
        <f>i_corp*M273*IF(OR(Diligence!$C$270=1,M$3&lt;=i_conc_end),1,i_corp_after_w)+IF(M$3&gt;=i_mitig_start,Diligence!$C$272*M273,0)</f>
        <v/>
      </c>
      <c r="N354" s="19">
        <f>i_corp*N273*IF(OR(Diligence!$C$270=1,N$3&lt;=i_conc_end),1,i_corp_after_w)+IF(N$3&gt;=i_mitig_start,Diligence!$C$272*N273,0)</f>
        <v/>
      </c>
      <c r="O354" s="19">
        <f>i_corp*O273*IF(OR(Diligence!$C$270=1,O$3&lt;=i_conc_end),1,i_corp_after_w)+IF(O$3&gt;=i_mitig_start,Diligence!$C$272*O273,0)</f>
        <v/>
      </c>
      <c r="P354" s="19">
        <f>i_corp*P273*IF(OR(Diligence!$C$270=1,P$3&lt;=i_conc_end),1,i_corp_after_w)+IF(P$3&gt;=i_mitig_start,Diligence!$C$272*P273,0)</f>
        <v/>
      </c>
      <c r="Q354" s="19">
        <f>i_corp*Q273*IF(OR(Diligence!$C$270=1,Q$3&lt;=i_conc_end),1,i_corp_after_w)+IF(Q$3&gt;=i_mitig_start,Diligence!$C$272*Q273,0)</f>
        <v/>
      </c>
      <c r="R354" s="19">
        <f>i_corp*R273*IF(OR(Diligence!$C$270=1,R$3&lt;=i_conc_end),1,i_corp_after_w)+IF(R$3&gt;=i_mitig_start,Diligence!$C$272*R273,0)</f>
        <v/>
      </c>
      <c r="S354" s="19">
        <f>i_corp*S273*IF(OR(Diligence!$C$270=1,S$3&lt;=i_conc_end),1,i_corp_after_w)+IF(S$3&gt;=i_mitig_start,Diligence!$C$272*S273,0)</f>
        <v/>
      </c>
      <c r="T354" s="19">
        <f>i_corp*T273*IF(OR(Diligence!$C$270=1,T$3&lt;=i_conc_end),1,i_corp_after_w)+IF(T$3&gt;=i_mitig_start,Diligence!$C$272*T273,0)</f>
        <v/>
      </c>
      <c r="U354" s="19">
        <f>i_corp*U273*IF(OR(Diligence!$C$270=1,U$3&lt;=i_conc_end),1,i_corp_after_w)+IF(U$3&gt;=i_mitig_start,Diligence!$C$272*U273,0)</f>
        <v/>
      </c>
      <c r="V354" s="19">
        <f>i_corp*V273*IF(OR(Diligence!$C$270=1,V$3&lt;=i_conc_end),1,i_corp_after_w)+IF(V$3&gt;=i_mitig_start,Diligence!$C$272*V273,0)</f>
        <v/>
      </c>
      <c r="W354" s="19">
        <f>i_corp*W273*IF(OR(Diligence!$C$270=1,W$3&lt;=i_conc_end),1,i_corp_after_w)+IF(W$3&gt;=i_mitig_start,Diligence!$C$272*W273,0)</f>
        <v/>
      </c>
      <c r="X354" s="19">
        <f>i_corp*X273*IF(OR(Diligence!$C$270=1,X$3&lt;=i_conc_end),1,i_corp_after_w)+IF(X$3&gt;=i_mitig_start,Diligence!$C$272*X273,0)</f>
        <v/>
      </c>
      <c r="Y354" s="19">
        <f>i_corp*Y273*IF(OR(Diligence!$C$270=1,Y$3&lt;=i_conc_end),1,i_corp_after_w)+IF(Y$3&gt;=i_mitig_start,Diligence!$C$272*Y273,0)</f>
        <v/>
      </c>
      <c r="Z354" s="19">
        <f>i_corp*Z273*IF(OR(Diligence!$C$270=1,Z$3&lt;=i_conc_end),1,i_corp_after_w)+IF(Z$3&gt;=i_mitig_start,Diligence!$C$272*Z273,0)</f>
        <v/>
      </c>
      <c r="AA354" s="19">
        <f>i_corp*AA273*IF(OR(Diligence!$C$270=1,AA$3&lt;=i_conc_end),1,i_corp_after_w)+IF(AA$3&gt;=i_mitig_start,Diligence!$C$272*AA273,0)</f>
        <v/>
      </c>
      <c r="AB354" s="19">
        <f>i_corp*AB273*IF(OR(Diligence!$C$270=1,AB$3&lt;=i_conc_end),1,i_corp_after_w)+IF(AB$3&gt;=i_mitig_start,Diligence!$C$272*AB273,0)</f>
        <v/>
      </c>
      <c r="AC354" s="19">
        <f>i_corp*AC273*IF(OR(Diligence!$C$270=1,AC$3&lt;=i_conc_end),1,i_corp_after_w)+IF(AC$3&gt;=i_mitig_start,Diligence!$C$272*AC273,0)</f>
        <v/>
      </c>
      <c r="AD354" s="19">
        <f>i_corp*AD273*IF(OR(Diligence!$C$270=1,AD$3&lt;=i_conc_end),1,i_corp_after_w)+IF(AD$3&gt;=i_mitig_start,Diligence!$C$272*AD273,0)</f>
        <v/>
      </c>
      <c r="AE354" s="19">
        <f>i_corp*AE273*IF(OR(Diligence!$C$270=1,AE$3&lt;=i_conc_end),1,i_corp_after_w)+IF(AE$3&gt;=i_mitig_start,Diligence!$C$272*AE273,0)</f>
        <v/>
      </c>
      <c r="AF354" s="19">
        <f>i_corp*AF273*IF(OR(Diligence!$C$270=1,AF$3&lt;=i_conc_end),1,i_corp_after_w)+IF(AF$3&gt;=i_mitig_start,Diligence!$C$272*AF273,0)</f>
        <v/>
      </c>
      <c r="AG354" s="19">
        <f>i_corp*AG273*IF(OR(Diligence!$C$270=1,AG$3&lt;=i_conc_end),1,i_corp_after_w)+IF(AG$3&gt;=i_mitig_start,Diligence!$C$272*AG273,0)</f>
        <v/>
      </c>
      <c r="AH354" s="19">
        <f>i_corp*AH273*IF(OR(Diligence!$C$270=1,AH$3&lt;=i_conc_end),1,i_corp_after_w)+IF(AH$3&gt;=i_mitig_start,Diligence!$C$272*AH273,0)</f>
        <v/>
      </c>
      <c r="AI354" s="19">
        <f>i_corp*AI273*IF(OR(Diligence!$C$270=1,AI$3&lt;=i_conc_end),1,i_corp_after_w)+IF(AI$3&gt;=i_mitig_start,Diligence!$C$272*AI273,0)</f>
        <v/>
      </c>
    </row>
    <row r="355">
      <c r="B355" s="3" t="inlineStr">
        <is>
          <t>EBITDA</t>
        </is>
      </c>
      <c r="D355" s="31">
        <f>D353-D354</f>
        <v/>
      </c>
      <c r="E355" s="31">
        <f>E353-E354</f>
        <v/>
      </c>
      <c r="F355" s="31">
        <f>F353-F354</f>
        <v/>
      </c>
      <c r="G355" s="31">
        <f>G353-G354</f>
        <v/>
      </c>
      <c r="H355" s="31">
        <f>H353-H354</f>
        <v/>
      </c>
      <c r="I355" s="31">
        <f>I353-I354</f>
        <v/>
      </c>
      <c r="J355" s="31">
        <f>J353-J354</f>
        <v/>
      </c>
      <c r="K355" s="31">
        <f>K353-K354</f>
        <v/>
      </c>
      <c r="L355" s="31">
        <f>L353-L354</f>
        <v/>
      </c>
      <c r="M355" s="31">
        <f>M353-M354</f>
        <v/>
      </c>
      <c r="N355" s="31">
        <f>N353-N354</f>
        <v/>
      </c>
      <c r="O355" s="31">
        <f>O353-O354</f>
        <v/>
      </c>
      <c r="P355" s="31">
        <f>P353-P354</f>
        <v/>
      </c>
      <c r="Q355" s="31">
        <f>Q353-Q354</f>
        <v/>
      </c>
      <c r="R355" s="31">
        <f>R353-R354</f>
        <v/>
      </c>
      <c r="S355" s="31">
        <f>S353-S354</f>
        <v/>
      </c>
      <c r="T355" s="31">
        <f>T353-T354</f>
        <v/>
      </c>
      <c r="U355" s="31">
        <f>U353-U354</f>
        <v/>
      </c>
      <c r="V355" s="31">
        <f>V353-V354</f>
        <v/>
      </c>
      <c r="W355" s="31">
        <f>W353-W354</f>
        <v/>
      </c>
      <c r="X355" s="31">
        <f>X353-X354</f>
        <v/>
      </c>
      <c r="Y355" s="31">
        <f>Y353-Y354</f>
        <v/>
      </c>
      <c r="Z355" s="31">
        <f>Z353-Z354</f>
        <v/>
      </c>
      <c r="AA355" s="31">
        <f>AA353-AA354</f>
        <v/>
      </c>
      <c r="AB355" s="31">
        <f>AB353-AB354</f>
        <v/>
      </c>
      <c r="AC355" s="31">
        <f>AC353-AC354</f>
        <v/>
      </c>
      <c r="AD355" s="31">
        <f>AD353-AD354</f>
        <v/>
      </c>
      <c r="AE355" s="31">
        <f>AE353-AE354</f>
        <v/>
      </c>
      <c r="AF355" s="31">
        <f>AF353-AF354</f>
        <v/>
      </c>
      <c r="AG355" s="31">
        <f>AG353-AG354</f>
        <v/>
      </c>
      <c r="AH355" s="31">
        <f>AH353-AH354</f>
        <v/>
      </c>
      <c r="AI355" s="31">
        <f>AI353-AI354</f>
        <v/>
      </c>
    </row>
    <row r="356">
      <c r="B356" s="2" t="inlineStr">
        <is>
          <t>Maintenance capex</t>
        </is>
      </c>
      <c r="D356" s="19">
        <f>D292+D307+D322+D338+D349</f>
        <v/>
      </c>
      <c r="E356" s="19">
        <f>E292+E307+E322+E338+E349</f>
        <v/>
      </c>
      <c r="F356" s="19">
        <f>F292+F307+F322+F338+F349</f>
        <v/>
      </c>
      <c r="G356" s="19">
        <f>G292+G307+G322+G338+G349</f>
        <v/>
      </c>
      <c r="H356" s="19">
        <f>H292+H307+H322+H338+H349</f>
        <v/>
      </c>
      <c r="I356" s="19">
        <f>I292+I307+I322+I338+I349</f>
        <v/>
      </c>
      <c r="J356" s="19">
        <f>J292+J307+J322+J338+J349</f>
        <v/>
      </c>
      <c r="K356" s="19">
        <f>K292+K307+K322+K338+K349</f>
        <v/>
      </c>
      <c r="L356" s="19">
        <f>L292+L307+L322+L338+L349</f>
        <v/>
      </c>
      <c r="M356" s="19">
        <f>M292+M307+M322+M338+M349</f>
        <v/>
      </c>
      <c r="N356" s="19">
        <f>N292+N307+N322+N338+N349</f>
        <v/>
      </c>
      <c r="O356" s="19">
        <f>O292+O307+O322+O338+O349</f>
        <v/>
      </c>
      <c r="P356" s="19">
        <f>P292+P307+P322+P338+P349</f>
        <v/>
      </c>
      <c r="Q356" s="19">
        <f>Q292+Q307+Q322+Q338+Q349</f>
        <v/>
      </c>
      <c r="R356" s="19">
        <f>R292+R307+R322+R338+R349</f>
        <v/>
      </c>
      <c r="S356" s="19">
        <f>S292+S307+S322+S338+S349</f>
        <v/>
      </c>
      <c r="T356" s="19">
        <f>T292+T307+T322+T338+T349</f>
        <v/>
      </c>
      <c r="U356" s="19">
        <f>U292+U307+U322+U338+U349</f>
        <v/>
      </c>
      <c r="V356" s="19">
        <f>V292+V307+V322+V338+V349</f>
        <v/>
      </c>
      <c r="W356" s="19">
        <f>W292+W307+W322+W338+W349</f>
        <v/>
      </c>
      <c r="X356" s="19">
        <f>X292+X307+X322+X338+X349</f>
        <v/>
      </c>
      <c r="Y356" s="19">
        <f>Y292+Y307+Y322+Y338+Y349</f>
        <v/>
      </c>
      <c r="Z356" s="19">
        <f>Z292+Z307+Z322+Z338+Z349</f>
        <v/>
      </c>
      <c r="AA356" s="19">
        <f>AA292+AA307+AA322+AA338+AA349</f>
        <v/>
      </c>
      <c r="AB356" s="19">
        <f>AB292+AB307+AB322+AB338+AB349</f>
        <v/>
      </c>
      <c r="AC356" s="19">
        <f>AC292+AC307+AC322+AC338+AC349</f>
        <v/>
      </c>
      <c r="AD356" s="19">
        <f>AD292+AD307+AD322+AD338+AD349</f>
        <v/>
      </c>
      <c r="AE356" s="19">
        <f>AE292+AE307+AE322+AE338+AE349</f>
        <v/>
      </c>
      <c r="AF356" s="19">
        <f>AF292+AF307+AF322+AF338+AF349</f>
        <v/>
      </c>
      <c r="AG356" s="19">
        <f>AG292+AG307+AG322+AG338+AG349</f>
        <v/>
      </c>
      <c r="AH356" s="19">
        <f>AH292+AH307+AH322+AH338+AH349</f>
        <v/>
      </c>
      <c r="AI356" s="19">
        <f>AI292+AI307+AI322+AI338+AI349</f>
        <v/>
      </c>
    </row>
    <row r="357">
      <c r="B357" s="2" t="inlineStr">
        <is>
          <t>Growth capex</t>
        </is>
      </c>
      <c r="D357" s="19">
        <f>D340</f>
        <v/>
      </c>
      <c r="E357" s="19">
        <f>E340</f>
        <v/>
      </c>
      <c r="F357" s="19">
        <f>F340</f>
        <v/>
      </c>
      <c r="G357" s="19">
        <f>G340</f>
        <v/>
      </c>
      <c r="H357" s="19">
        <f>H340</f>
        <v/>
      </c>
      <c r="I357" s="19">
        <f>I340</f>
        <v/>
      </c>
      <c r="J357" s="19">
        <f>J340</f>
        <v/>
      </c>
      <c r="K357" s="19">
        <f>K340</f>
        <v/>
      </c>
      <c r="L357" s="19">
        <f>L340</f>
        <v/>
      </c>
      <c r="M357" s="19">
        <f>M340</f>
        <v/>
      </c>
      <c r="N357" s="19">
        <f>N340</f>
        <v/>
      </c>
      <c r="O357" s="19">
        <f>O340</f>
        <v/>
      </c>
      <c r="P357" s="19">
        <f>P340</f>
        <v/>
      </c>
      <c r="Q357" s="19">
        <f>Q340</f>
        <v/>
      </c>
      <c r="R357" s="19">
        <f>R340</f>
        <v/>
      </c>
      <c r="S357" s="19">
        <f>S340</f>
        <v/>
      </c>
      <c r="T357" s="19">
        <f>T340</f>
        <v/>
      </c>
      <c r="U357" s="19">
        <f>U340</f>
        <v/>
      </c>
      <c r="V357" s="19">
        <f>V340</f>
        <v/>
      </c>
      <c r="W357" s="19">
        <f>W340</f>
        <v/>
      </c>
      <c r="X357" s="19">
        <f>X340</f>
        <v/>
      </c>
      <c r="Y357" s="19">
        <f>Y340</f>
        <v/>
      </c>
      <c r="Z357" s="19">
        <f>Z340</f>
        <v/>
      </c>
      <c r="AA357" s="19">
        <f>AA340</f>
        <v/>
      </c>
      <c r="AB357" s="19">
        <f>AB340</f>
        <v/>
      </c>
      <c r="AC357" s="19">
        <f>AC340</f>
        <v/>
      </c>
      <c r="AD357" s="19">
        <f>AD340</f>
        <v/>
      </c>
      <c r="AE357" s="19">
        <f>AE340</f>
        <v/>
      </c>
      <c r="AF357" s="19">
        <f>AF340</f>
        <v/>
      </c>
      <c r="AG357" s="19">
        <f>AG340</f>
        <v/>
      </c>
      <c r="AH357" s="19">
        <f>AH340</f>
        <v/>
      </c>
      <c r="AI357" s="19">
        <f>AI340</f>
        <v/>
      </c>
    </row>
    <row r="358">
      <c r="B358" s="2" t="inlineStr">
        <is>
          <t>Tax depreciation</t>
        </is>
      </c>
      <c r="D358" s="19">
        <f>D356+IF(D$3&lt;=i_tax_dep_end,i_tax_dep_extra,0)</f>
        <v/>
      </c>
      <c r="E358" s="19">
        <f>E356+IF(E$3&lt;=i_tax_dep_end,i_tax_dep_extra,0)</f>
        <v/>
      </c>
      <c r="F358" s="19">
        <f>F356+IF(F$3&lt;=i_tax_dep_end,i_tax_dep_extra,0)</f>
        <v/>
      </c>
      <c r="G358" s="19">
        <f>G356+IF(G$3&lt;=i_tax_dep_end,i_tax_dep_extra,0)</f>
        <v/>
      </c>
      <c r="H358" s="19">
        <f>H356+IF(H$3&lt;=i_tax_dep_end,i_tax_dep_extra,0)</f>
        <v/>
      </c>
      <c r="I358" s="19">
        <f>I356+IF(I$3&lt;=i_tax_dep_end,i_tax_dep_extra,0)</f>
        <v/>
      </c>
      <c r="J358" s="19">
        <f>J356+IF(J$3&lt;=i_tax_dep_end,i_tax_dep_extra,0)</f>
        <v/>
      </c>
      <c r="K358" s="19">
        <f>K356+IF(K$3&lt;=i_tax_dep_end,i_tax_dep_extra,0)</f>
        <v/>
      </c>
      <c r="L358" s="19">
        <f>L356+IF(L$3&lt;=i_tax_dep_end,i_tax_dep_extra,0)</f>
        <v/>
      </c>
      <c r="M358" s="19">
        <f>M356+IF(M$3&lt;=i_tax_dep_end,i_tax_dep_extra,0)</f>
        <v/>
      </c>
      <c r="N358" s="19">
        <f>N356+IF(N$3&lt;=i_tax_dep_end,i_tax_dep_extra,0)</f>
        <v/>
      </c>
      <c r="O358" s="19">
        <f>O356+IF(O$3&lt;=i_tax_dep_end,i_tax_dep_extra,0)</f>
        <v/>
      </c>
      <c r="P358" s="19">
        <f>P356+IF(P$3&lt;=i_tax_dep_end,i_tax_dep_extra,0)</f>
        <v/>
      </c>
      <c r="Q358" s="19">
        <f>Q356+IF(Q$3&lt;=i_tax_dep_end,i_tax_dep_extra,0)</f>
        <v/>
      </c>
      <c r="R358" s="19">
        <f>R356+IF(R$3&lt;=i_tax_dep_end,i_tax_dep_extra,0)</f>
        <v/>
      </c>
      <c r="S358" s="19">
        <f>S356+IF(S$3&lt;=i_tax_dep_end,i_tax_dep_extra,0)</f>
        <v/>
      </c>
      <c r="T358" s="19">
        <f>T356+IF(T$3&lt;=i_tax_dep_end,i_tax_dep_extra,0)</f>
        <v/>
      </c>
      <c r="U358" s="19">
        <f>U356+IF(U$3&lt;=i_tax_dep_end,i_tax_dep_extra,0)</f>
        <v/>
      </c>
      <c r="V358" s="19">
        <f>V356+IF(V$3&lt;=i_tax_dep_end,i_tax_dep_extra,0)</f>
        <v/>
      </c>
      <c r="W358" s="19">
        <f>W356+IF(W$3&lt;=i_tax_dep_end,i_tax_dep_extra,0)</f>
        <v/>
      </c>
      <c r="X358" s="19">
        <f>X356+IF(X$3&lt;=i_tax_dep_end,i_tax_dep_extra,0)</f>
        <v/>
      </c>
      <c r="Y358" s="19">
        <f>Y356+IF(Y$3&lt;=i_tax_dep_end,i_tax_dep_extra,0)</f>
        <v/>
      </c>
      <c r="Z358" s="19">
        <f>Z356+IF(Z$3&lt;=i_tax_dep_end,i_tax_dep_extra,0)</f>
        <v/>
      </c>
      <c r="AA358" s="19">
        <f>AA356+IF(AA$3&lt;=i_tax_dep_end,i_tax_dep_extra,0)</f>
        <v/>
      </c>
      <c r="AB358" s="19">
        <f>AB356+IF(AB$3&lt;=i_tax_dep_end,i_tax_dep_extra,0)</f>
        <v/>
      </c>
      <c r="AC358" s="19">
        <f>AC356+IF(AC$3&lt;=i_tax_dep_end,i_tax_dep_extra,0)</f>
        <v/>
      </c>
      <c r="AD358" s="19">
        <f>AD356+IF(AD$3&lt;=i_tax_dep_end,i_tax_dep_extra,0)</f>
        <v/>
      </c>
      <c r="AE358" s="19">
        <f>AE356+IF(AE$3&lt;=i_tax_dep_end,i_tax_dep_extra,0)</f>
        <v/>
      </c>
      <c r="AF358" s="19">
        <f>AF356+IF(AF$3&lt;=i_tax_dep_end,i_tax_dep_extra,0)</f>
        <v/>
      </c>
      <c r="AG358" s="19">
        <f>AG356+IF(AG$3&lt;=i_tax_dep_end,i_tax_dep_extra,0)</f>
        <v/>
      </c>
      <c r="AH358" s="19">
        <f>AH356+IF(AH$3&lt;=i_tax_dep_end,i_tax_dep_extra,0)</f>
        <v/>
      </c>
      <c r="AI358" s="19">
        <f>AI356+IF(AI$3&lt;=i_tax_dep_end,i_tax_dep_extra,0)</f>
        <v/>
      </c>
    </row>
    <row r="359">
      <c r="B359" s="2" t="inlineStr">
        <is>
          <t>Unlevered cash tax</t>
        </is>
      </c>
      <c r="D359" s="19">
        <f>i_tax*MAX(0,D355-D358)</f>
        <v/>
      </c>
      <c r="E359" s="19">
        <f>i_tax*MAX(0,E355-E358)</f>
        <v/>
      </c>
      <c r="F359" s="19">
        <f>i_tax*MAX(0,F355-F358)</f>
        <v/>
      </c>
      <c r="G359" s="19">
        <f>i_tax*MAX(0,G355-G358)</f>
        <v/>
      </c>
      <c r="H359" s="19">
        <f>i_tax*MAX(0,H355-H358)</f>
        <v/>
      </c>
      <c r="I359" s="19">
        <f>i_tax*MAX(0,I355-I358)</f>
        <v/>
      </c>
      <c r="J359" s="19">
        <f>i_tax*MAX(0,J355-J358)</f>
        <v/>
      </c>
      <c r="K359" s="19">
        <f>i_tax*MAX(0,K355-K358)</f>
        <v/>
      </c>
      <c r="L359" s="19">
        <f>i_tax*MAX(0,L355-L358)</f>
        <v/>
      </c>
      <c r="M359" s="19">
        <f>i_tax*MAX(0,M355-M358)</f>
        <v/>
      </c>
      <c r="N359" s="19">
        <f>i_tax*MAX(0,N355-N358)</f>
        <v/>
      </c>
      <c r="O359" s="19">
        <f>i_tax*MAX(0,O355-O358)</f>
        <v/>
      </c>
      <c r="P359" s="19">
        <f>i_tax*MAX(0,P355-P358)</f>
        <v/>
      </c>
      <c r="Q359" s="19">
        <f>i_tax*MAX(0,Q355-Q358)</f>
        <v/>
      </c>
      <c r="R359" s="19">
        <f>i_tax*MAX(0,R355-R358)</f>
        <v/>
      </c>
      <c r="S359" s="19">
        <f>i_tax*MAX(0,S355-S358)</f>
        <v/>
      </c>
      <c r="T359" s="19">
        <f>i_tax*MAX(0,T355-T358)</f>
        <v/>
      </c>
      <c r="U359" s="19">
        <f>i_tax*MAX(0,U355-U358)</f>
        <v/>
      </c>
      <c r="V359" s="19">
        <f>i_tax*MAX(0,V355-V358)</f>
        <v/>
      </c>
      <c r="W359" s="19">
        <f>i_tax*MAX(0,W355-W358)</f>
        <v/>
      </c>
      <c r="X359" s="19">
        <f>i_tax*MAX(0,X355-X358)</f>
        <v/>
      </c>
      <c r="Y359" s="19">
        <f>i_tax*MAX(0,Y355-Y358)</f>
        <v/>
      </c>
      <c r="Z359" s="19">
        <f>i_tax*MAX(0,Z355-Z358)</f>
        <v/>
      </c>
      <c r="AA359" s="19">
        <f>i_tax*MAX(0,AA355-AA358)</f>
        <v/>
      </c>
      <c r="AB359" s="19">
        <f>i_tax*MAX(0,AB355-AB358)</f>
        <v/>
      </c>
      <c r="AC359" s="19">
        <f>i_tax*MAX(0,AC355-AC358)</f>
        <v/>
      </c>
      <c r="AD359" s="19">
        <f>i_tax*MAX(0,AD355-AD358)</f>
        <v/>
      </c>
      <c r="AE359" s="19">
        <f>i_tax*MAX(0,AE355-AE358)</f>
        <v/>
      </c>
      <c r="AF359" s="19">
        <f>i_tax*MAX(0,AF355-AF358)</f>
        <v/>
      </c>
      <c r="AG359" s="19">
        <f>i_tax*MAX(0,AG355-AG358)</f>
        <v/>
      </c>
      <c r="AH359" s="19">
        <f>i_tax*MAX(0,AH355-AH358)</f>
        <v/>
      </c>
      <c r="AI359" s="19">
        <f>i_tax*MAX(0,AI355-AI358)</f>
        <v/>
      </c>
    </row>
    <row r="360">
      <c r="B360" s="2" t="inlineStr">
        <is>
          <t>Westerhaven handback works</t>
        </is>
      </c>
      <c r="D360" s="19">
        <f>IF(AND(Diligence!$C$270=0,D$3=i_conc_end),i_handback*D273,0)</f>
        <v/>
      </c>
      <c r="E360" s="19">
        <f>IF(AND(Diligence!$C$270=0,E$3=i_conc_end),i_handback*E273,0)</f>
        <v/>
      </c>
      <c r="F360" s="19">
        <f>IF(AND(Diligence!$C$270=0,F$3=i_conc_end),i_handback*F273,0)</f>
        <v/>
      </c>
      <c r="G360" s="19">
        <f>IF(AND(Diligence!$C$270=0,G$3=i_conc_end),i_handback*G273,0)</f>
        <v/>
      </c>
      <c r="H360" s="19">
        <f>IF(AND(Diligence!$C$270=0,H$3=i_conc_end),i_handback*H273,0)</f>
        <v/>
      </c>
      <c r="I360" s="19">
        <f>IF(AND(Diligence!$C$270=0,I$3=i_conc_end),i_handback*I273,0)</f>
        <v/>
      </c>
      <c r="J360" s="19">
        <f>IF(AND(Diligence!$C$270=0,J$3=i_conc_end),i_handback*J273,0)</f>
        <v/>
      </c>
      <c r="K360" s="19">
        <f>IF(AND(Diligence!$C$270=0,K$3=i_conc_end),i_handback*K273,0)</f>
        <v/>
      </c>
      <c r="L360" s="19">
        <f>IF(AND(Diligence!$C$270=0,L$3=i_conc_end),i_handback*L273,0)</f>
        <v/>
      </c>
      <c r="M360" s="19">
        <f>IF(AND(Diligence!$C$270=0,M$3=i_conc_end),i_handback*M273,0)</f>
        <v/>
      </c>
      <c r="N360" s="19">
        <f>IF(AND(Diligence!$C$270=0,N$3=i_conc_end),i_handback*N273,0)</f>
        <v/>
      </c>
      <c r="O360" s="19">
        <f>IF(AND(Diligence!$C$270=0,O$3=i_conc_end),i_handback*O273,0)</f>
        <v/>
      </c>
      <c r="P360" s="19">
        <f>IF(AND(Diligence!$C$270=0,P$3=i_conc_end),i_handback*P273,0)</f>
        <v/>
      </c>
      <c r="Q360" s="19">
        <f>IF(AND(Diligence!$C$270=0,Q$3=i_conc_end),i_handback*Q273,0)</f>
        <v/>
      </c>
      <c r="R360" s="19">
        <f>IF(AND(Diligence!$C$270=0,R$3=i_conc_end),i_handback*R273,0)</f>
        <v/>
      </c>
      <c r="S360" s="19">
        <f>IF(AND(Diligence!$C$270=0,S$3=i_conc_end),i_handback*S273,0)</f>
        <v/>
      </c>
      <c r="T360" s="19">
        <f>IF(AND(Diligence!$C$270=0,T$3=i_conc_end),i_handback*T273,0)</f>
        <v/>
      </c>
      <c r="U360" s="19">
        <f>IF(AND(Diligence!$C$270=0,U$3=i_conc_end),i_handback*U273,0)</f>
        <v/>
      </c>
      <c r="V360" s="19">
        <f>IF(AND(Diligence!$C$270=0,V$3=i_conc_end),i_handback*V273,0)</f>
        <v/>
      </c>
      <c r="W360" s="19">
        <f>IF(AND(Diligence!$C$270=0,W$3=i_conc_end),i_handback*W273,0)</f>
        <v/>
      </c>
      <c r="X360" s="19">
        <f>IF(AND(Diligence!$C$270=0,X$3=i_conc_end),i_handback*X273,0)</f>
        <v/>
      </c>
      <c r="Y360" s="19">
        <f>IF(AND(Diligence!$C$270=0,Y$3=i_conc_end),i_handback*Y273,0)</f>
        <v/>
      </c>
      <c r="Z360" s="19">
        <f>IF(AND(Diligence!$C$270=0,Z$3=i_conc_end),i_handback*Z273,0)</f>
        <v/>
      </c>
      <c r="AA360" s="19">
        <f>IF(AND(Diligence!$C$270=0,AA$3=i_conc_end),i_handback*AA273,0)</f>
        <v/>
      </c>
      <c r="AB360" s="19">
        <f>IF(AND(Diligence!$C$270=0,AB$3=i_conc_end),i_handback*AB273,0)</f>
        <v/>
      </c>
      <c r="AC360" s="19">
        <f>IF(AND(Diligence!$C$270=0,AC$3=i_conc_end),i_handback*AC273,0)</f>
        <v/>
      </c>
      <c r="AD360" s="19">
        <f>IF(AND(Diligence!$C$270=0,AD$3=i_conc_end),i_handback*AD273,0)</f>
        <v/>
      </c>
      <c r="AE360" s="19">
        <f>IF(AND(Diligence!$C$270=0,AE$3=i_conc_end),i_handback*AE273,0)</f>
        <v/>
      </c>
      <c r="AF360" s="19">
        <f>IF(AND(Diligence!$C$270=0,AF$3=i_conc_end),i_handback*AF273,0)</f>
        <v/>
      </c>
      <c r="AG360" s="19">
        <f>IF(AND(Diligence!$C$270=0,AG$3=i_conc_end),i_handback*AG273,0)</f>
        <v/>
      </c>
      <c r="AH360" s="19">
        <f>IF(AND(Diligence!$C$270=0,AH$3=i_conc_end),i_handback*AH273,0)</f>
        <v/>
      </c>
      <c r="AI360" s="19">
        <f>IF(AND(Diligence!$C$270=0,AI$3=i_conc_end),i_handback*AI273,0)</f>
        <v/>
      </c>
    </row>
    <row r="361">
      <c r="B361" s="3" t="inlineStr">
        <is>
          <t>Free cash flow (unlevered)</t>
        </is>
      </c>
      <c r="D361" s="31">
        <f>D355-D356-D357-D359-D360</f>
        <v/>
      </c>
      <c r="E361" s="31">
        <f>E355-E356-E357-E359-E360</f>
        <v/>
      </c>
      <c r="F361" s="31">
        <f>F355-F356-F357-F359-F360</f>
        <v/>
      </c>
      <c r="G361" s="31">
        <f>G355-G356-G357-G359-G360</f>
        <v/>
      </c>
      <c r="H361" s="31">
        <f>H355-H356-H357-H359-H360</f>
        <v/>
      </c>
      <c r="I361" s="31">
        <f>I355-I356-I357-I359-I360</f>
        <v/>
      </c>
      <c r="J361" s="31">
        <f>J355-J356-J357-J359-J360</f>
        <v/>
      </c>
      <c r="K361" s="31">
        <f>K355-K356-K357-K359-K360</f>
        <v/>
      </c>
      <c r="L361" s="31">
        <f>L355-L356-L357-L359-L360</f>
        <v/>
      </c>
      <c r="M361" s="31">
        <f>M355-M356-M357-M359-M360</f>
        <v/>
      </c>
      <c r="N361" s="31">
        <f>N355-N356-N357-N359-N360</f>
        <v/>
      </c>
      <c r="O361" s="31">
        <f>O355-O356-O357-O359-O360</f>
        <v/>
      </c>
      <c r="P361" s="31">
        <f>P355-P356-P357-P359-P360</f>
        <v/>
      </c>
      <c r="Q361" s="31">
        <f>Q355-Q356-Q357-Q359-Q360</f>
        <v/>
      </c>
      <c r="R361" s="31">
        <f>R355-R356-R357-R359-R360</f>
        <v/>
      </c>
      <c r="S361" s="31">
        <f>S355-S356-S357-S359-S360</f>
        <v/>
      </c>
      <c r="T361" s="31">
        <f>T355-T356-T357-T359-T360</f>
        <v/>
      </c>
      <c r="U361" s="31">
        <f>U355-U356-U357-U359-U360</f>
        <v/>
      </c>
      <c r="V361" s="31">
        <f>V355-V356-V357-V359-V360</f>
        <v/>
      </c>
      <c r="W361" s="31">
        <f>W355-W356-W357-W359-W360</f>
        <v/>
      </c>
      <c r="X361" s="31">
        <f>X355-X356-X357-X359-X360</f>
        <v/>
      </c>
      <c r="Y361" s="31">
        <f>Y355-Y356-Y357-Y359-Y360</f>
        <v/>
      </c>
      <c r="Z361" s="31">
        <f>Z355-Z356-Z357-Z359-Z360</f>
        <v/>
      </c>
      <c r="AA361" s="31">
        <f>AA355-AA356-AA357-AA359-AA360</f>
        <v/>
      </c>
      <c r="AB361" s="31">
        <f>AB355-AB356-AB357-AB359-AB360</f>
        <v/>
      </c>
      <c r="AC361" s="31">
        <f>AC355-AC356-AC357-AC359-AC360</f>
        <v/>
      </c>
      <c r="AD361" s="31">
        <f>AD355-AD356-AD357-AD359-AD360</f>
        <v/>
      </c>
      <c r="AE361" s="31">
        <f>AE355-AE356-AE357-AE359-AE360</f>
        <v/>
      </c>
      <c r="AF361" s="31">
        <f>AF355-AF356-AF357-AF359-AF360</f>
        <v/>
      </c>
      <c r="AG361" s="31">
        <f>AG355-AG356-AG357-AG359-AG360</f>
        <v/>
      </c>
      <c r="AH361" s="31">
        <f>AH355-AH356-AH357-AH359-AH360</f>
        <v/>
      </c>
      <c r="AI361" s="31">
        <f>AI355-AI356-AI357-AI359-AI360</f>
        <v/>
      </c>
    </row>
    <row r="362">
      <c r="B362" s="2" t="inlineStr">
        <is>
          <t>Present value at the discount rate (2027 to 2056)</t>
        </is>
      </c>
      <c r="D362" s="19">
        <f>IF(AND(D$3&gt;i_base_year,D$3&lt;=i_last),D361/(1+i_r)^D$4,0)</f>
        <v/>
      </c>
      <c r="E362" s="19">
        <f>IF(AND(E$3&gt;i_base_year,E$3&lt;=i_last),E361/(1+i_r)^E$4,0)</f>
        <v/>
      </c>
      <c r="F362" s="19">
        <f>IF(AND(F$3&gt;i_base_year,F$3&lt;=i_last),F361/(1+i_r)^F$4,0)</f>
        <v/>
      </c>
      <c r="G362" s="19">
        <f>IF(AND(G$3&gt;i_base_year,G$3&lt;=i_last),G361/(1+i_r)^G$4,0)</f>
        <v/>
      </c>
      <c r="H362" s="19">
        <f>IF(AND(H$3&gt;i_base_year,H$3&lt;=i_last),H361/(1+i_r)^H$4,0)</f>
        <v/>
      </c>
      <c r="I362" s="19">
        <f>IF(AND(I$3&gt;i_base_year,I$3&lt;=i_last),I361/(1+i_r)^I$4,0)</f>
        <v/>
      </c>
      <c r="J362" s="19">
        <f>IF(AND(J$3&gt;i_base_year,J$3&lt;=i_last),J361/(1+i_r)^J$4,0)</f>
        <v/>
      </c>
      <c r="K362" s="19">
        <f>IF(AND(K$3&gt;i_base_year,K$3&lt;=i_last),K361/(1+i_r)^K$4,0)</f>
        <v/>
      </c>
      <c r="L362" s="19">
        <f>IF(AND(L$3&gt;i_base_year,L$3&lt;=i_last),L361/(1+i_r)^L$4,0)</f>
        <v/>
      </c>
      <c r="M362" s="19">
        <f>IF(AND(M$3&gt;i_base_year,M$3&lt;=i_last),M361/(1+i_r)^M$4,0)</f>
        <v/>
      </c>
      <c r="N362" s="19">
        <f>IF(AND(N$3&gt;i_base_year,N$3&lt;=i_last),N361/(1+i_r)^N$4,0)</f>
        <v/>
      </c>
      <c r="O362" s="19">
        <f>IF(AND(O$3&gt;i_base_year,O$3&lt;=i_last),O361/(1+i_r)^O$4,0)</f>
        <v/>
      </c>
      <c r="P362" s="19">
        <f>IF(AND(P$3&gt;i_base_year,P$3&lt;=i_last),P361/(1+i_r)^P$4,0)</f>
        <v/>
      </c>
      <c r="Q362" s="19">
        <f>IF(AND(Q$3&gt;i_base_year,Q$3&lt;=i_last),Q361/(1+i_r)^Q$4,0)</f>
        <v/>
      </c>
      <c r="R362" s="19">
        <f>IF(AND(R$3&gt;i_base_year,R$3&lt;=i_last),R361/(1+i_r)^R$4,0)</f>
        <v/>
      </c>
      <c r="S362" s="19">
        <f>IF(AND(S$3&gt;i_base_year,S$3&lt;=i_last),S361/(1+i_r)^S$4,0)</f>
        <v/>
      </c>
      <c r="T362" s="19">
        <f>IF(AND(T$3&gt;i_base_year,T$3&lt;=i_last),T361/(1+i_r)^T$4,0)</f>
        <v/>
      </c>
      <c r="U362" s="19">
        <f>IF(AND(U$3&gt;i_base_year,U$3&lt;=i_last),U361/(1+i_r)^U$4,0)</f>
        <v/>
      </c>
      <c r="V362" s="19">
        <f>IF(AND(V$3&gt;i_base_year,V$3&lt;=i_last),V361/(1+i_r)^V$4,0)</f>
        <v/>
      </c>
      <c r="W362" s="19">
        <f>IF(AND(W$3&gt;i_base_year,W$3&lt;=i_last),W361/(1+i_r)^W$4,0)</f>
        <v/>
      </c>
      <c r="X362" s="19">
        <f>IF(AND(X$3&gt;i_base_year,X$3&lt;=i_last),X361/(1+i_r)^X$4,0)</f>
        <v/>
      </c>
      <c r="Y362" s="19">
        <f>IF(AND(Y$3&gt;i_base_year,Y$3&lt;=i_last),Y361/(1+i_r)^Y$4,0)</f>
        <v/>
      </c>
      <c r="Z362" s="19">
        <f>IF(AND(Z$3&gt;i_base_year,Z$3&lt;=i_last),Z361/(1+i_r)^Z$4,0)</f>
        <v/>
      </c>
      <c r="AA362" s="19">
        <f>IF(AND(AA$3&gt;i_base_year,AA$3&lt;=i_last),AA361/(1+i_r)^AA$4,0)</f>
        <v/>
      </c>
      <c r="AB362" s="19">
        <f>IF(AND(AB$3&gt;i_base_year,AB$3&lt;=i_last),AB361/(1+i_r)^AB$4,0)</f>
        <v/>
      </c>
      <c r="AC362" s="19">
        <f>IF(AND(AC$3&gt;i_base_year,AC$3&lt;=i_last),AC361/(1+i_r)^AC$4,0)</f>
        <v/>
      </c>
      <c r="AD362" s="19">
        <f>IF(AND(AD$3&gt;i_base_year,AD$3&lt;=i_last),AD361/(1+i_r)^AD$4,0)</f>
        <v/>
      </c>
      <c r="AE362" s="19">
        <f>IF(AND(AE$3&gt;i_base_year,AE$3&lt;=i_last),AE361/(1+i_r)^AE$4,0)</f>
        <v/>
      </c>
      <c r="AF362" s="19">
        <f>IF(AND(AF$3&gt;i_base_year,AF$3&lt;=i_last),AF361/(1+i_r)^AF$4,0)</f>
        <v/>
      </c>
      <c r="AG362" s="19">
        <f>IF(AND(AG$3&gt;i_base_year,AG$3&lt;=i_last),AG361/(1+i_r)^AG$4,0)</f>
        <v/>
      </c>
      <c r="AH362" s="19">
        <f>IF(AND(AH$3&gt;i_base_year,AH$3&lt;=i_last),AH361/(1+i_r)^AH$4,0)</f>
        <v/>
      </c>
      <c r="AI362" s="19">
        <f>IF(AND(AI$3&gt;i_base_year,AI$3&lt;=i_last),AI361/(1+i_r)^AI$4,0)</f>
        <v/>
      </c>
    </row>
    <row r="363">
      <c r="B363" s="2" t="inlineStr">
        <is>
          <t>Present value of 2027 to 2056 free cash flow</t>
        </is>
      </c>
      <c r="C363" s="19">
        <f>SUM(D362:AI362)</f>
        <v/>
      </c>
    </row>
    <row r="364">
      <c r="B364" s="2" t="inlineStr">
        <is>
          <t>Terminal value at the end of 2056 (on 2057 free cash flow)</t>
        </is>
      </c>
      <c r="C364" s="19">
        <f>AI361/(i_r-i_g)</f>
        <v/>
      </c>
    </row>
    <row r="365">
      <c r="B365" s="2" t="inlineStr">
        <is>
          <t>Present value of the terminal value</t>
        </is>
      </c>
      <c r="C365" s="19">
        <f>C364/(1+i_r)^(i_last-i_base_year)</f>
        <v/>
      </c>
    </row>
    <row r="366">
      <c r="B366" s="3" t="inlineStr">
        <is>
          <t>Enterprise value at 31 December 2026</t>
        </is>
      </c>
      <c r="C366" s="31">
        <f>C363+C365</f>
        <v/>
      </c>
    </row>
    <row r="369">
      <c r="B369" s="5" t="inlineStr">
        <is>
          <t>Platform case: Bridge step 3: plus jetty 3</t>
        </is>
      </c>
    </row>
    <row r="370">
      <c r="B370" s="4" t="inlineStr">
        <is>
          <t>Inflation</t>
        </is>
      </c>
      <c r="C370" s="27">
        <f>Inputs!$I$219</f>
        <v/>
      </c>
    </row>
    <row r="371">
      <c r="B371" s="4" t="inlineStr">
        <is>
          <t>Buyer's recontracting rates (1) or seller's plan rates (0)</t>
        </is>
      </c>
      <c r="C371" s="26">
        <f>Inputs!$I$220</f>
        <v/>
      </c>
    </row>
    <row r="372">
      <c r="B372" s="4" t="inlineStr">
        <is>
          <t>Largest Westerhaven customer leaves (1/0)</t>
        </is>
      </c>
      <c r="C372" s="26">
        <f>Inputs!$I$221</f>
        <v/>
      </c>
    </row>
    <row r="373">
      <c r="B373" s="4" t="inlineStr">
        <is>
          <t>Jetty 3 refurbishment (1/0)</t>
        </is>
      </c>
      <c r="C373" s="26">
        <f>Inputs!$I$222</f>
        <v/>
      </c>
    </row>
    <row r="374">
      <c r="B374" s="4" t="inlineStr">
        <is>
          <t>Sabine Bend extra insurance (1/0)</t>
        </is>
      </c>
      <c r="C374" s="26">
        <f>Inputs!$I$223</f>
        <v/>
      </c>
    </row>
    <row r="375">
      <c r="B375" s="4" t="inlineStr">
        <is>
          <t>Expansion built (1/0)</t>
        </is>
      </c>
      <c r="C375" s="26">
        <f>Inputs!$I$224</f>
        <v/>
      </c>
    </row>
    <row r="376">
      <c r="B376" s="4" t="inlineStr">
        <is>
          <t>Occupancy shift from 2027</t>
        </is>
      </c>
      <c r="C376" s="27">
        <f>Inputs!$I$225</f>
        <v/>
      </c>
    </row>
    <row r="377">
      <c r="B377" s="4" t="inlineStr">
        <is>
          <t>Recontracting shift</t>
        </is>
      </c>
      <c r="C377" s="27">
        <f>Inputs!$I$226</f>
        <v/>
      </c>
    </row>
    <row r="378">
      <c r="B378" s="4" t="inlineStr">
        <is>
          <t>Concession renewed (1/0)</t>
        </is>
      </c>
      <c r="C378" s="26">
        <f>Inputs!$I$227</f>
        <v/>
      </c>
    </row>
    <row r="379">
      <c r="B379" s="4" t="inlineStr">
        <is>
          <t>Westerhaven capacity multiplier</t>
        </is>
      </c>
      <c r="C379" s="28">
        <f>Inputs!$I$228</f>
        <v/>
      </c>
    </row>
    <row r="380">
      <c r="B380" s="4" t="inlineStr">
        <is>
          <t>Extra yearly cost from 2028 ($m, 2026 dollars)</t>
        </is>
      </c>
      <c r="C380" s="29">
        <f>Inputs!$I$229</f>
        <v/>
      </c>
    </row>
    <row r="381">
      <c r="B381" s="2" t="inlineStr">
        <is>
          <t>Cost index (inflation)</t>
        </is>
      </c>
      <c r="D381" s="30">
        <f>(1+Diligence!$C$370)^D$4</f>
        <v/>
      </c>
      <c r="E381" s="30">
        <f>(1+Diligence!$C$370)^E$4</f>
        <v/>
      </c>
      <c r="F381" s="30">
        <f>(1+Diligence!$C$370)^F$4</f>
        <v/>
      </c>
      <c r="G381" s="30">
        <f>(1+Diligence!$C$370)^G$4</f>
        <v/>
      </c>
      <c r="H381" s="30">
        <f>(1+Diligence!$C$370)^H$4</f>
        <v/>
      </c>
      <c r="I381" s="30">
        <f>(1+Diligence!$C$370)^I$4</f>
        <v/>
      </c>
      <c r="J381" s="30">
        <f>(1+Diligence!$C$370)^J$4</f>
        <v/>
      </c>
      <c r="K381" s="30">
        <f>(1+Diligence!$C$370)^K$4</f>
        <v/>
      </c>
      <c r="L381" s="30">
        <f>(1+Diligence!$C$370)^L$4</f>
        <v/>
      </c>
      <c r="M381" s="30">
        <f>(1+Diligence!$C$370)^M$4</f>
        <v/>
      </c>
      <c r="N381" s="30">
        <f>(1+Diligence!$C$370)^N$4</f>
        <v/>
      </c>
      <c r="O381" s="30">
        <f>(1+Diligence!$C$370)^O$4</f>
        <v/>
      </c>
      <c r="P381" s="30">
        <f>(1+Diligence!$C$370)^P$4</f>
        <v/>
      </c>
      <c r="Q381" s="30">
        <f>(1+Diligence!$C$370)^Q$4</f>
        <v/>
      </c>
      <c r="R381" s="30">
        <f>(1+Diligence!$C$370)^R$4</f>
        <v/>
      </c>
      <c r="S381" s="30">
        <f>(1+Diligence!$C$370)^S$4</f>
        <v/>
      </c>
      <c r="T381" s="30">
        <f>(1+Diligence!$C$370)^T$4</f>
        <v/>
      </c>
      <c r="U381" s="30">
        <f>(1+Diligence!$C$370)^U$4</f>
        <v/>
      </c>
      <c r="V381" s="30">
        <f>(1+Diligence!$C$370)^V$4</f>
        <v/>
      </c>
      <c r="W381" s="30">
        <f>(1+Diligence!$C$370)^W$4</f>
        <v/>
      </c>
      <c r="X381" s="30">
        <f>(1+Diligence!$C$370)^X$4</f>
        <v/>
      </c>
      <c r="Y381" s="30">
        <f>(1+Diligence!$C$370)^Y$4</f>
        <v/>
      </c>
      <c r="Z381" s="30">
        <f>(1+Diligence!$C$370)^Z$4</f>
        <v/>
      </c>
      <c r="AA381" s="30">
        <f>(1+Diligence!$C$370)^AA$4</f>
        <v/>
      </c>
      <c r="AB381" s="30">
        <f>(1+Diligence!$C$370)^AB$4</f>
        <v/>
      </c>
      <c r="AC381" s="30">
        <f>(1+Diligence!$C$370)^AC$4</f>
        <v/>
      </c>
      <c r="AD381" s="30">
        <f>(1+Diligence!$C$370)^AD$4</f>
        <v/>
      </c>
      <c r="AE381" s="30">
        <f>(1+Diligence!$C$370)^AE$4</f>
        <v/>
      </c>
      <c r="AF381" s="30">
        <f>(1+Diligence!$C$370)^AF$4</f>
        <v/>
      </c>
      <c r="AG381" s="30">
        <f>(1+Diligence!$C$370)^AG$4</f>
        <v/>
      </c>
      <c r="AH381" s="30">
        <f>(1+Diligence!$C$370)^AH$4</f>
        <v/>
      </c>
      <c r="AI381" s="30">
        <f>(1+Diligence!$C$370)^AI$4</f>
        <v/>
      </c>
    </row>
    <row r="382">
      <c r="B382" s="2" t="inlineStr">
        <is>
          <t>Rate index (inflation x pass-through)</t>
        </is>
      </c>
      <c r="D382" s="30">
        <f>(1+Diligence!$C$370*i_index_share)^D$4</f>
        <v/>
      </c>
      <c r="E382" s="30">
        <f>(1+Diligence!$C$370*i_index_share)^E$4</f>
        <v/>
      </c>
      <c r="F382" s="30">
        <f>(1+Diligence!$C$370*i_index_share)^F$4</f>
        <v/>
      </c>
      <c r="G382" s="30">
        <f>(1+Diligence!$C$370*i_index_share)^G$4</f>
        <v/>
      </c>
      <c r="H382" s="30">
        <f>(1+Diligence!$C$370*i_index_share)^H$4</f>
        <v/>
      </c>
      <c r="I382" s="30">
        <f>(1+Diligence!$C$370*i_index_share)^I$4</f>
        <v/>
      </c>
      <c r="J382" s="30">
        <f>(1+Diligence!$C$370*i_index_share)^J$4</f>
        <v/>
      </c>
      <c r="K382" s="30">
        <f>(1+Diligence!$C$370*i_index_share)^K$4</f>
        <v/>
      </c>
      <c r="L382" s="30">
        <f>(1+Diligence!$C$370*i_index_share)^L$4</f>
        <v/>
      </c>
      <c r="M382" s="30">
        <f>(1+Diligence!$C$370*i_index_share)^M$4</f>
        <v/>
      </c>
      <c r="N382" s="30">
        <f>(1+Diligence!$C$370*i_index_share)^N$4</f>
        <v/>
      </c>
      <c r="O382" s="30">
        <f>(1+Diligence!$C$370*i_index_share)^O$4</f>
        <v/>
      </c>
      <c r="P382" s="30">
        <f>(1+Diligence!$C$370*i_index_share)^P$4</f>
        <v/>
      </c>
      <c r="Q382" s="30">
        <f>(1+Diligence!$C$370*i_index_share)^Q$4</f>
        <v/>
      </c>
      <c r="R382" s="30">
        <f>(1+Diligence!$C$370*i_index_share)^R$4</f>
        <v/>
      </c>
      <c r="S382" s="30">
        <f>(1+Diligence!$C$370*i_index_share)^S$4</f>
        <v/>
      </c>
      <c r="T382" s="30">
        <f>(1+Diligence!$C$370*i_index_share)^T$4</f>
        <v/>
      </c>
      <c r="U382" s="30">
        <f>(1+Diligence!$C$370*i_index_share)^U$4</f>
        <v/>
      </c>
      <c r="V382" s="30">
        <f>(1+Diligence!$C$370*i_index_share)^V$4</f>
        <v/>
      </c>
      <c r="W382" s="30">
        <f>(1+Diligence!$C$370*i_index_share)^W$4</f>
        <v/>
      </c>
      <c r="X382" s="30">
        <f>(1+Diligence!$C$370*i_index_share)^X$4</f>
        <v/>
      </c>
      <c r="Y382" s="30">
        <f>(1+Diligence!$C$370*i_index_share)^Y$4</f>
        <v/>
      </c>
      <c r="Z382" s="30">
        <f>(1+Diligence!$C$370*i_index_share)^Z$4</f>
        <v/>
      </c>
      <c r="AA382" s="30">
        <f>(1+Diligence!$C$370*i_index_share)^AA$4</f>
        <v/>
      </c>
      <c r="AB382" s="30">
        <f>(1+Diligence!$C$370*i_index_share)^AB$4</f>
        <v/>
      </c>
      <c r="AC382" s="30">
        <f>(1+Diligence!$C$370*i_index_share)^AC$4</f>
        <v/>
      </c>
      <c r="AD382" s="30">
        <f>(1+Diligence!$C$370*i_index_share)^AD$4</f>
        <v/>
      </c>
      <c r="AE382" s="30">
        <f>(1+Diligence!$C$370*i_index_share)^AE$4</f>
        <v/>
      </c>
      <c r="AF382" s="30">
        <f>(1+Diligence!$C$370*i_index_share)^AF$4</f>
        <v/>
      </c>
      <c r="AG382" s="30">
        <f>(1+Diligence!$C$370*i_index_share)^AG$4</f>
        <v/>
      </c>
      <c r="AH382" s="30">
        <f>(1+Diligence!$C$370*i_index_share)^AH$4</f>
        <v/>
      </c>
      <c r="AI382" s="30">
        <f>(1+Diligence!$C$370*i_index_share)^AI$4</f>
        <v/>
      </c>
    </row>
    <row r="383">
      <c r="B383" s="3" t="inlineStr">
        <is>
          <t>Westerhaven</t>
        </is>
      </c>
    </row>
    <row r="384">
      <c r="B384" s="2" t="inlineStr">
        <is>
          <t xml:space="preserve">  Concession in force (1/0)</t>
        </is>
      </c>
      <c r="D384" s="22">
        <f>IF(Diligence!$C$378=1,1,IF(D$3&lt;=i_conc_end,1,0))</f>
        <v/>
      </c>
      <c r="E384" s="22">
        <f>IF(Diligence!$C$378=1,1,IF(E$3&lt;=i_conc_end,1,0))</f>
        <v/>
      </c>
      <c r="F384" s="22">
        <f>IF(Diligence!$C$378=1,1,IF(F$3&lt;=i_conc_end,1,0))</f>
        <v/>
      </c>
      <c r="G384" s="22">
        <f>IF(Diligence!$C$378=1,1,IF(G$3&lt;=i_conc_end,1,0))</f>
        <v/>
      </c>
      <c r="H384" s="22">
        <f>IF(Diligence!$C$378=1,1,IF(H$3&lt;=i_conc_end,1,0))</f>
        <v/>
      </c>
      <c r="I384" s="22">
        <f>IF(Diligence!$C$378=1,1,IF(I$3&lt;=i_conc_end,1,0))</f>
        <v/>
      </c>
      <c r="J384" s="22">
        <f>IF(Diligence!$C$378=1,1,IF(J$3&lt;=i_conc_end,1,0))</f>
        <v/>
      </c>
      <c r="K384" s="22">
        <f>IF(Diligence!$C$378=1,1,IF(K$3&lt;=i_conc_end,1,0))</f>
        <v/>
      </c>
      <c r="L384" s="22">
        <f>IF(Diligence!$C$378=1,1,IF(L$3&lt;=i_conc_end,1,0))</f>
        <v/>
      </c>
      <c r="M384" s="22">
        <f>IF(Diligence!$C$378=1,1,IF(M$3&lt;=i_conc_end,1,0))</f>
        <v/>
      </c>
      <c r="N384" s="22">
        <f>IF(Diligence!$C$378=1,1,IF(N$3&lt;=i_conc_end,1,0))</f>
        <v/>
      </c>
      <c r="O384" s="22">
        <f>IF(Diligence!$C$378=1,1,IF(O$3&lt;=i_conc_end,1,0))</f>
        <v/>
      </c>
      <c r="P384" s="22">
        <f>IF(Diligence!$C$378=1,1,IF(P$3&lt;=i_conc_end,1,0))</f>
        <v/>
      </c>
      <c r="Q384" s="22">
        <f>IF(Diligence!$C$378=1,1,IF(Q$3&lt;=i_conc_end,1,0))</f>
        <v/>
      </c>
      <c r="R384" s="22">
        <f>IF(Diligence!$C$378=1,1,IF(R$3&lt;=i_conc_end,1,0))</f>
        <v/>
      </c>
      <c r="S384" s="22">
        <f>IF(Diligence!$C$378=1,1,IF(S$3&lt;=i_conc_end,1,0))</f>
        <v/>
      </c>
      <c r="T384" s="22">
        <f>IF(Diligence!$C$378=1,1,IF(T$3&lt;=i_conc_end,1,0))</f>
        <v/>
      </c>
      <c r="U384" s="22">
        <f>IF(Diligence!$C$378=1,1,IF(U$3&lt;=i_conc_end,1,0))</f>
        <v/>
      </c>
      <c r="V384" s="22">
        <f>IF(Diligence!$C$378=1,1,IF(V$3&lt;=i_conc_end,1,0))</f>
        <v/>
      </c>
      <c r="W384" s="22">
        <f>IF(Diligence!$C$378=1,1,IF(W$3&lt;=i_conc_end,1,0))</f>
        <v/>
      </c>
      <c r="X384" s="22">
        <f>IF(Diligence!$C$378=1,1,IF(X$3&lt;=i_conc_end,1,0))</f>
        <v/>
      </c>
      <c r="Y384" s="22">
        <f>IF(Diligence!$C$378=1,1,IF(Y$3&lt;=i_conc_end,1,0))</f>
        <v/>
      </c>
      <c r="Z384" s="22">
        <f>IF(Diligence!$C$378=1,1,IF(Z$3&lt;=i_conc_end,1,0))</f>
        <v/>
      </c>
      <c r="AA384" s="22">
        <f>IF(Diligence!$C$378=1,1,IF(AA$3&lt;=i_conc_end,1,0))</f>
        <v/>
      </c>
      <c r="AB384" s="22">
        <f>IF(Diligence!$C$378=1,1,IF(AB$3&lt;=i_conc_end,1,0))</f>
        <v/>
      </c>
      <c r="AC384" s="22">
        <f>IF(Diligence!$C$378=1,1,IF(AC$3&lt;=i_conc_end,1,0))</f>
        <v/>
      </c>
      <c r="AD384" s="22">
        <f>IF(Diligence!$C$378=1,1,IF(AD$3&lt;=i_conc_end,1,0))</f>
        <v/>
      </c>
      <c r="AE384" s="22">
        <f>IF(Diligence!$C$378=1,1,IF(AE$3&lt;=i_conc_end,1,0))</f>
        <v/>
      </c>
      <c r="AF384" s="22">
        <f>IF(Diligence!$C$378=1,1,IF(AF$3&lt;=i_conc_end,1,0))</f>
        <v/>
      </c>
      <c r="AG384" s="22">
        <f>IF(Diligence!$C$378=1,1,IF(AG$3&lt;=i_conc_end,1,0))</f>
        <v/>
      </c>
      <c r="AH384" s="22">
        <f>IF(Diligence!$C$378=1,1,IF(AH$3&lt;=i_conc_end,1,0))</f>
        <v/>
      </c>
      <c r="AI384" s="22">
        <f>IF(Diligence!$C$378=1,1,IF(AI$3&lt;=i_conc_end,1,0))</f>
        <v/>
      </c>
    </row>
    <row r="385">
      <c r="B385" s="2" t="inlineStr">
        <is>
          <t xml:space="preserve">  Capacity in service (million m3)</t>
        </is>
      </c>
      <c r="D385" s="24">
        <f>i_W_cap*Diligence!$C$379*D384</f>
        <v/>
      </c>
      <c r="E385" s="24">
        <f>i_W_cap*Diligence!$C$379*E384</f>
        <v/>
      </c>
      <c r="F385" s="24">
        <f>i_W_cap*Diligence!$C$379*F384</f>
        <v/>
      </c>
      <c r="G385" s="24">
        <f>i_W_cap*Diligence!$C$379*G384</f>
        <v/>
      </c>
      <c r="H385" s="24">
        <f>i_W_cap*Diligence!$C$379*H384</f>
        <v/>
      </c>
      <c r="I385" s="24">
        <f>i_W_cap*Diligence!$C$379*I384</f>
        <v/>
      </c>
      <c r="J385" s="24">
        <f>i_W_cap*Diligence!$C$379*J384</f>
        <v/>
      </c>
      <c r="K385" s="24">
        <f>i_W_cap*Diligence!$C$379*K384</f>
        <v/>
      </c>
      <c r="L385" s="24">
        <f>i_W_cap*Diligence!$C$379*L384</f>
        <v/>
      </c>
      <c r="M385" s="24">
        <f>i_W_cap*Diligence!$C$379*M384</f>
        <v/>
      </c>
      <c r="N385" s="24">
        <f>i_W_cap*Diligence!$C$379*N384</f>
        <v/>
      </c>
      <c r="O385" s="24">
        <f>i_W_cap*Diligence!$C$379*O384</f>
        <v/>
      </c>
      <c r="P385" s="24">
        <f>i_W_cap*Diligence!$C$379*P384</f>
        <v/>
      </c>
      <c r="Q385" s="24">
        <f>i_W_cap*Diligence!$C$379*Q384</f>
        <v/>
      </c>
      <c r="R385" s="24">
        <f>i_W_cap*Diligence!$C$379*R384</f>
        <v/>
      </c>
      <c r="S385" s="24">
        <f>i_W_cap*Diligence!$C$379*S384</f>
        <v/>
      </c>
      <c r="T385" s="24">
        <f>i_W_cap*Diligence!$C$379*T384</f>
        <v/>
      </c>
      <c r="U385" s="24">
        <f>i_W_cap*Diligence!$C$379*U384</f>
        <v/>
      </c>
      <c r="V385" s="24">
        <f>i_W_cap*Diligence!$C$379*V384</f>
        <v/>
      </c>
      <c r="W385" s="24">
        <f>i_W_cap*Diligence!$C$379*W384</f>
        <v/>
      </c>
      <c r="X385" s="24">
        <f>i_W_cap*Diligence!$C$379*X384</f>
        <v/>
      </c>
      <c r="Y385" s="24">
        <f>i_W_cap*Diligence!$C$379*Y384</f>
        <v/>
      </c>
      <c r="Z385" s="24">
        <f>i_W_cap*Diligence!$C$379*Z384</f>
        <v/>
      </c>
      <c r="AA385" s="24">
        <f>i_W_cap*Diligence!$C$379*AA384</f>
        <v/>
      </c>
      <c r="AB385" s="24">
        <f>i_W_cap*Diligence!$C$379*AB384</f>
        <v/>
      </c>
      <c r="AC385" s="24">
        <f>i_W_cap*Diligence!$C$379*AC384</f>
        <v/>
      </c>
      <c r="AD385" s="24">
        <f>i_W_cap*Diligence!$C$379*AD384</f>
        <v/>
      </c>
      <c r="AE385" s="24">
        <f>i_W_cap*Diligence!$C$379*AE384</f>
        <v/>
      </c>
      <c r="AF385" s="24">
        <f>i_W_cap*Diligence!$C$379*AF384</f>
        <v/>
      </c>
      <c r="AG385" s="24">
        <f>i_W_cap*Diligence!$C$379*AG384</f>
        <v/>
      </c>
      <c r="AH385" s="24">
        <f>i_W_cap*Diligence!$C$379*AH384</f>
        <v/>
      </c>
      <c r="AI385" s="24">
        <f>i_W_cap*Diligence!$C$379*AI384</f>
        <v/>
      </c>
    </row>
    <row r="386">
      <c r="B386" s="2" t="inlineStr">
        <is>
          <t xml:space="preserve">  Share on contracts signed before 2027</t>
        </is>
      </c>
      <c r="D386" s="21">
        <f>SUMIF(i_book_years,D$3,i_W_book)</f>
        <v/>
      </c>
      <c r="E386" s="21">
        <f>SUMIF(i_book_years,E$3,i_W_book)</f>
        <v/>
      </c>
      <c r="F386" s="21">
        <f>SUMIF(i_book_years,F$3,i_W_book)</f>
        <v/>
      </c>
      <c r="G386" s="21">
        <f>SUMIF(i_book_years,G$3,i_W_book)</f>
        <v/>
      </c>
      <c r="H386" s="21">
        <f>SUMIF(i_book_years,H$3,i_W_book)</f>
        <v/>
      </c>
      <c r="I386" s="21">
        <f>SUMIF(i_book_years,I$3,i_W_book)</f>
        <v/>
      </c>
      <c r="J386" s="21">
        <f>SUMIF(i_book_years,J$3,i_W_book)</f>
        <v/>
      </c>
      <c r="K386" s="21">
        <f>SUMIF(i_book_years,K$3,i_W_book)</f>
        <v/>
      </c>
      <c r="L386" s="21">
        <f>SUMIF(i_book_years,L$3,i_W_book)</f>
        <v/>
      </c>
      <c r="M386" s="21">
        <f>SUMIF(i_book_years,M$3,i_W_book)</f>
        <v/>
      </c>
      <c r="N386" s="21">
        <f>SUMIF(i_book_years,N$3,i_W_book)</f>
        <v/>
      </c>
      <c r="O386" s="21">
        <f>SUMIF(i_book_years,O$3,i_W_book)</f>
        <v/>
      </c>
      <c r="P386" s="21">
        <f>SUMIF(i_book_years,P$3,i_W_book)</f>
        <v/>
      </c>
      <c r="Q386" s="21">
        <f>SUMIF(i_book_years,Q$3,i_W_book)</f>
        <v/>
      </c>
      <c r="R386" s="21">
        <f>SUMIF(i_book_years,R$3,i_W_book)</f>
        <v/>
      </c>
      <c r="S386" s="21">
        <f>SUMIF(i_book_years,S$3,i_W_book)</f>
        <v/>
      </c>
      <c r="T386" s="21">
        <f>SUMIF(i_book_years,T$3,i_W_book)</f>
        <v/>
      </c>
      <c r="U386" s="21">
        <f>SUMIF(i_book_years,U$3,i_W_book)</f>
        <v/>
      </c>
      <c r="V386" s="21">
        <f>SUMIF(i_book_years,V$3,i_W_book)</f>
        <v/>
      </c>
      <c r="W386" s="21">
        <f>SUMIF(i_book_years,W$3,i_W_book)</f>
        <v/>
      </c>
      <c r="X386" s="21">
        <f>SUMIF(i_book_years,X$3,i_W_book)</f>
        <v/>
      </c>
      <c r="Y386" s="21">
        <f>SUMIF(i_book_years,Y$3,i_W_book)</f>
        <v/>
      </c>
      <c r="Z386" s="21">
        <f>SUMIF(i_book_years,Z$3,i_W_book)</f>
        <v/>
      </c>
      <c r="AA386" s="21">
        <f>SUMIF(i_book_years,AA$3,i_W_book)</f>
        <v/>
      </c>
      <c r="AB386" s="21">
        <f>SUMIF(i_book_years,AB$3,i_W_book)</f>
        <v/>
      </c>
      <c r="AC386" s="21">
        <f>SUMIF(i_book_years,AC$3,i_W_book)</f>
        <v/>
      </c>
      <c r="AD386" s="21">
        <f>SUMIF(i_book_years,AD$3,i_W_book)</f>
        <v/>
      </c>
      <c r="AE386" s="21">
        <f>SUMIF(i_book_years,AE$3,i_W_book)</f>
        <v/>
      </c>
      <c r="AF386" s="21">
        <f>SUMIF(i_book_years,AF$3,i_W_book)</f>
        <v/>
      </c>
      <c r="AG386" s="21">
        <f>SUMIF(i_book_years,AG$3,i_W_book)</f>
        <v/>
      </c>
      <c r="AH386" s="21">
        <f>SUMIF(i_book_years,AH$3,i_W_book)</f>
        <v/>
      </c>
      <c r="AI386" s="21">
        <f>SUMIF(i_book_years,AI$3,i_W_book)</f>
        <v/>
      </c>
    </row>
    <row r="387">
      <c r="B387" s="2" t="inlineStr">
        <is>
          <t xml:space="preserve">  Recontracting factor against current rates</t>
        </is>
      </c>
      <c r="D387" s="21">
        <f>IF(D$4=0,0,IF(Diligence!$C$371=1,i_W_mtm,i_W_mtm_plan)+Diligence!$C$377)</f>
        <v/>
      </c>
      <c r="E387" s="21">
        <f>IF(E$4=0,0,IF(Diligence!$C$371=1,i_W_mtm,i_W_mtm_plan)+Diligence!$C$377)</f>
        <v/>
      </c>
      <c r="F387" s="21">
        <f>IF(F$4=0,0,IF(Diligence!$C$371=1,i_W_mtm,i_W_mtm_plan)+Diligence!$C$377)</f>
        <v/>
      </c>
      <c r="G387" s="21">
        <f>IF(G$4=0,0,IF(Diligence!$C$371=1,i_W_mtm,i_W_mtm_plan)+Diligence!$C$377)</f>
        <v/>
      </c>
      <c r="H387" s="21">
        <f>IF(H$4=0,0,IF(Diligence!$C$371=1,i_W_mtm,i_W_mtm_plan)+Diligence!$C$377)</f>
        <v/>
      </c>
      <c r="I387" s="21">
        <f>IF(I$4=0,0,IF(Diligence!$C$371=1,i_W_mtm,i_W_mtm_plan)+Diligence!$C$377)</f>
        <v/>
      </c>
      <c r="J387" s="21">
        <f>IF(J$4=0,0,IF(Diligence!$C$371=1,i_W_mtm,i_W_mtm_plan)+Diligence!$C$377)</f>
        <v/>
      </c>
      <c r="K387" s="21">
        <f>IF(K$4=0,0,IF(Diligence!$C$371=1,i_W_mtm,i_W_mtm_plan)+Diligence!$C$377)</f>
        <v/>
      </c>
      <c r="L387" s="21">
        <f>IF(L$4=0,0,IF(Diligence!$C$371=1,i_W_mtm,i_W_mtm_plan)+Diligence!$C$377)</f>
        <v/>
      </c>
      <c r="M387" s="21">
        <f>IF(M$4=0,0,IF(Diligence!$C$371=1,i_W_mtm,i_W_mtm_plan)+Diligence!$C$377)</f>
        <v/>
      </c>
      <c r="N387" s="21">
        <f>IF(N$4=0,0,IF(Diligence!$C$371=1,i_W_mtm,i_W_mtm_plan)+Diligence!$C$377)</f>
        <v/>
      </c>
      <c r="O387" s="21">
        <f>IF(O$4=0,0,IF(Diligence!$C$371=1,i_W_mtm,i_W_mtm_plan)+Diligence!$C$377)</f>
        <v/>
      </c>
      <c r="P387" s="21">
        <f>IF(P$4=0,0,IF(Diligence!$C$371=1,i_W_mtm,i_W_mtm_plan)+Diligence!$C$377)</f>
        <v/>
      </c>
      <c r="Q387" s="21">
        <f>IF(Q$4=0,0,IF(Diligence!$C$371=1,i_W_mtm,i_W_mtm_plan)+Diligence!$C$377)</f>
        <v/>
      </c>
      <c r="R387" s="21">
        <f>IF(R$4=0,0,IF(Diligence!$C$371=1,i_W_mtm,i_W_mtm_plan)+Diligence!$C$377)</f>
        <v/>
      </c>
      <c r="S387" s="21">
        <f>IF(S$4=0,0,IF(Diligence!$C$371=1,i_W_mtm,i_W_mtm_plan)+Diligence!$C$377)</f>
        <v/>
      </c>
      <c r="T387" s="21">
        <f>IF(T$4=0,0,IF(Diligence!$C$371=1,i_W_mtm,i_W_mtm_plan)+Diligence!$C$377)</f>
        <v/>
      </c>
      <c r="U387" s="21">
        <f>IF(U$4=0,0,IF(Diligence!$C$371=1,i_W_mtm,i_W_mtm_plan)+Diligence!$C$377)</f>
        <v/>
      </c>
      <c r="V387" s="21">
        <f>IF(V$4=0,0,IF(Diligence!$C$371=1,i_W_mtm,i_W_mtm_plan)+Diligence!$C$377)</f>
        <v/>
      </c>
      <c r="W387" s="21">
        <f>IF(W$4=0,0,IF(Diligence!$C$371=1,i_W_mtm,i_W_mtm_plan)+Diligence!$C$377)</f>
        <v/>
      </c>
      <c r="X387" s="21">
        <f>IF(X$4=0,0,IF(Diligence!$C$371=1,i_W_mtm,i_W_mtm_plan)+Diligence!$C$377)</f>
        <v/>
      </c>
      <c r="Y387" s="21">
        <f>IF(Y$4=0,0,IF(Diligence!$C$371=1,i_W_mtm,i_W_mtm_plan)+Diligence!$C$377)</f>
        <v/>
      </c>
      <c r="Z387" s="21">
        <f>IF(Z$4=0,0,IF(Diligence!$C$371=1,i_W_mtm,i_W_mtm_plan)+Diligence!$C$377)</f>
        <v/>
      </c>
      <c r="AA387" s="21">
        <f>IF(AA$4=0,0,IF(Diligence!$C$371=1,i_W_mtm,i_W_mtm_plan)+Diligence!$C$377)</f>
        <v/>
      </c>
      <c r="AB387" s="21">
        <f>IF(AB$4=0,0,IF(Diligence!$C$371=1,i_W_mtm,i_W_mtm_plan)+Diligence!$C$377)</f>
        <v/>
      </c>
      <c r="AC387" s="21">
        <f>IF(AC$4=0,0,IF(Diligence!$C$371=1,i_W_mtm,i_W_mtm_plan)+Diligence!$C$377)</f>
        <v/>
      </c>
      <c r="AD387" s="21">
        <f>IF(AD$4=0,0,IF(Diligence!$C$371=1,i_W_mtm,i_W_mtm_plan)+Diligence!$C$377)</f>
        <v/>
      </c>
      <c r="AE387" s="21">
        <f>IF(AE$4=0,0,IF(Diligence!$C$371=1,i_W_mtm,i_W_mtm_plan)+Diligence!$C$377)</f>
        <v/>
      </c>
      <c r="AF387" s="21">
        <f>IF(AF$4=0,0,IF(Diligence!$C$371=1,i_W_mtm,i_W_mtm_plan)+Diligence!$C$377)</f>
        <v/>
      </c>
      <c r="AG387" s="21">
        <f>IF(AG$4=0,0,IF(Diligence!$C$371=1,i_W_mtm,i_W_mtm_plan)+Diligence!$C$377)</f>
        <v/>
      </c>
      <c r="AH387" s="21">
        <f>IF(AH$4=0,0,IF(Diligence!$C$371=1,i_W_mtm,i_W_mtm_plan)+Diligence!$C$377)</f>
        <v/>
      </c>
      <c r="AI387" s="21">
        <f>IF(AI$4=0,0,IF(Diligence!$C$371=1,i_W_mtm,i_W_mtm_plan)+Diligence!$C$377)</f>
        <v/>
      </c>
    </row>
    <row r="388">
      <c r="B388" s="2" t="inlineStr">
        <is>
          <t xml:space="preserve">  Average rate ($ per m3 per month)</t>
        </is>
      </c>
      <c r="D388" s="24">
        <f>i_W_rate*D382*(D386+(1-D386)*(1+D387))</f>
        <v/>
      </c>
      <c r="E388" s="24">
        <f>i_W_rate*E382*(E386+(1-E386)*(1+E387))</f>
        <v/>
      </c>
      <c r="F388" s="24">
        <f>i_W_rate*F382*(F386+(1-F386)*(1+F387))</f>
        <v/>
      </c>
      <c r="G388" s="24">
        <f>i_W_rate*G382*(G386+(1-G386)*(1+G387))</f>
        <v/>
      </c>
      <c r="H388" s="24">
        <f>i_W_rate*H382*(H386+(1-H386)*(1+H387))</f>
        <v/>
      </c>
      <c r="I388" s="24">
        <f>i_W_rate*I382*(I386+(1-I386)*(1+I387))</f>
        <v/>
      </c>
      <c r="J388" s="24">
        <f>i_W_rate*J382*(J386+(1-J386)*(1+J387))</f>
        <v/>
      </c>
      <c r="K388" s="24">
        <f>i_W_rate*K382*(K386+(1-K386)*(1+K387))</f>
        <v/>
      </c>
      <c r="L388" s="24">
        <f>i_W_rate*L382*(L386+(1-L386)*(1+L387))</f>
        <v/>
      </c>
      <c r="M388" s="24">
        <f>i_W_rate*M382*(M386+(1-M386)*(1+M387))</f>
        <v/>
      </c>
      <c r="N388" s="24">
        <f>i_W_rate*N382*(N386+(1-N386)*(1+N387))</f>
        <v/>
      </c>
      <c r="O388" s="24">
        <f>i_W_rate*O382*(O386+(1-O386)*(1+O387))</f>
        <v/>
      </c>
      <c r="P388" s="24">
        <f>i_W_rate*P382*(P386+(1-P386)*(1+P387))</f>
        <v/>
      </c>
      <c r="Q388" s="24">
        <f>i_W_rate*Q382*(Q386+(1-Q386)*(1+Q387))</f>
        <v/>
      </c>
      <c r="R388" s="24">
        <f>i_W_rate*R382*(R386+(1-R386)*(1+R387))</f>
        <v/>
      </c>
      <c r="S388" s="24">
        <f>i_W_rate*S382*(S386+(1-S386)*(1+S387))</f>
        <v/>
      </c>
      <c r="T388" s="24">
        <f>i_W_rate*T382*(T386+(1-T386)*(1+T387))</f>
        <v/>
      </c>
      <c r="U388" s="24">
        <f>i_W_rate*U382*(U386+(1-U386)*(1+U387))</f>
        <v/>
      </c>
      <c r="V388" s="24">
        <f>i_W_rate*V382*(V386+(1-V386)*(1+V387))</f>
        <v/>
      </c>
      <c r="W388" s="24">
        <f>i_W_rate*W382*(W386+(1-W386)*(1+W387))</f>
        <v/>
      </c>
      <c r="X388" s="24">
        <f>i_W_rate*X382*(X386+(1-X386)*(1+X387))</f>
        <v/>
      </c>
      <c r="Y388" s="24">
        <f>i_W_rate*Y382*(Y386+(1-Y386)*(1+Y387))</f>
        <v/>
      </c>
      <c r="Z388" s="24">
        <f>i_W_rate*Z382*(Z386+(1-Z386)*(1+Z387))</f>
        <v/>
      </c>
      <c r="AA388" s="24">
        <f>i_W_rate*AA382*(AA386+(1-AA386)*(1+AA387))</f>
        <v/>
      </c>
      <c r="AB388" s="24">
        <f>i_W_rate*AB382*(AB386+(1-AB386)*(1+AB387))</f>
        <v/>
      </c>
      <c r="AC388" s="24">
        <f>i_W_rate*AC382*(AC386+(1-AC386)*(1+AC387))</f>
        <v/>
      </c>
      <c r="AD388" s="24">
        <f>i_W_rate*AD382*(AD386+(1-AD386)*(1+AD387))</f>
        <v/>
      </c>
      <c r="AE388" s="24">
        <f>i_W_rate*AE382*(AE386+(1-AE386)*(1+AE387))</f>
        <v/>
      </c>
      <c r="AF388" s="24">
        <f>i_W_rate*AF382*(AF386+(1-AF386)*(1+AF387))</f>
        <v/>
      </c>
      <c r="AG388" s="24">
        <f>i_W_rate*AG382*(AG386+(1-AG386)*(1+AG387))</f>
        <v/>
      </c>
      <c r="AH388" s="24">
        <f>i_W_rate*AH382*(AH386+(1-AH386)*(1+AH387))</f>
        <v/>
      </c>
      <c r="AI388" s="24">
        <f>i_W_rate*AI382*(AI386+(1-AI386)*(1+AI387))</f>
        <v/>
      </c>
    </row>
    <row r="389">
      <c r="B389" s="2" t="inlineStr">
        <is>
          <t xml:space="preserve">  Occupancy after the transition decline and floor</t>
        </is>
      </c>
      <c r="D389" s="21">
        <f>IF(D$3&gt;i_trans_start,MAX(i_W_floor,i_W_occ-i_W_dec*(D$3-i_trans_start)),i_W_occ)</f>
        <v/>
      </c>
      <c r="E389" s="21">
        <f>IF(E$3&gt;i_trans_start,MAX(i_W_floor,i_W_occ-i_W_dec*(E$3-i_trans_start)),i_W_occ)</f>
        <v/>
      </c>
      <c r="F389" s="21">
        <f>IF(F$3&gt;i_trans_start,MAX(i_W_floor,i_W_occ-i_W_dec*(F$3-i_trans_start)),i_W_occ)</f>
        <v/>
      </c>
      <c r="G389" s="21">
        <f>IF(G$3&gt;i_trans_start,MAX(i_W_floor,i_W_occ-i_W_dec*(G$3-i_trans_start)),i_W_occ)</f>
        <v/>
      </c>
      <c r="H389" s="21">
        <f>IF(H$3&gt;i_trans_start,MAX(i_W_floor,i_W_occ-i_W_dec*(H$3-i_trans_start)),i_W_occ)</f>
        <v/>
      </c>
      <c r="I389" s="21">
        <f>IF(I$3&gt;i_trans_start,MAX(i_W_floor,i_W_occ-i_W_dec*(I$3-i_trans_start)),i_W_occ)</f>
        <v/>
      </c>
      <c r="J389" s="21">
        <f>IF(J$3&gt;i_trans_start,MAX(i_W_floor,i_W_occ-i_W_dec*(J$3-i_trans_start)),i_W_occ)</f>
        <v/>
      </c>
      <c r="K389" s="21">
        <f>IF(K$3&gt;i_trans_start,MAX(i_W_floor,i_W_occ-i_W_dec*(K$3-i_trans_start)),i_W_occ)</f>
        <v/>
      </c>
      <c r="L389" s="21">
        <f>IF(L$3&gt;i_trans_start,MAX(i_W_floor,i_W_occ-i_W_dec*(L$3-i_trans_start)),i_W_occ)</f>
        <v/>
      </c>
      <c r="M389" s="21">
        <f>IF(M$3&gt;i_trans_start,MAX(i_W_floor,i_W_occ-i_W_dec*(M$3-i_trans_start)),i_W_occ)</f>
        <v/>
      </c>
      <c r="N389" s="21">
        <f>IF(N$3&gt;i_trans_start,MAX(i_W_floor,i_W_occ-i_W_dec*(N$3-i_trans_start)),i_W_occ)</f>
        <v/>
      </c>
      <c r="O389" s="21">
        <f>IF(O$3&gt;i_trans_start,MAX(i_W_floor,i_W_occ-i_W_dec*(O$3-i_trans_start)),i_W_occ)</f>
        <v/>
      </c>
      <c r="P389" s="21">
        <f>IF(P$3&gt;i_trans_start,MAX(i_W_floor,i_W_occ-i_W_dec*(P$3-i_trans_start)),i_W_occ)</f>
        <v/>
      </c>
      <c r="Q389" s="21">
        <f>IF(Q$3&gt;i_trans_start,MAX(i_W_floor,i_W_occ-i_W_dec*(Q$3-i_trans_start)),i_W_occ)</f>
        <v/>
      </c>
      <c r="R389" s="21">
        <f>IF(R$3&gt;i_trans_start,MAX(i_W_floor,i_W_occ-i_W_dec*(R$3-i_trans_start)),i_W_occ)</f>
        <v/>
      </c>
      <c r="S389" s="21">
        <f>IF(S$3&gt;i_trans_start,MAX(i_W_floor,i_W_occ-i_W_dec*(S$3-i_trans_start)),i_W_occ)</f>
        <v/>
      </c>
      <c r="T389" s="21">
        <f>IF(T$3&gt;i_trans_start,MAX(i_W_floor,i_W_occ-i_W_dec*(T$3-i_trans_start)),i_W_occ)</f>
        <v/>
      </c>
      <c r="U389" s="21">
        <f>IF(U$3&gt;i_trans_start,MAX(i_W_floor,i_W_occ-i_W_dec*(U$3-i_trans_start)),i_W_occ)</f>
        <v/>
      </c>
      <c r="V389" s="21">
        <f>IF(V$3&gt;i_trans_start,MAX(i_W_floor,i_W_occ-i_W_dec*(V$3-i_trans_start)),i_W_occ)</f>
        <v/>
      </c>
      <c r="W389" s="21">
        <f>IF(W$3&gt;i_trans_start,MAX(i_W_floor,i_W_occ-i_W_dec*(W$3-i_trans_start)),i_W_occ)</f>
        <v/>
      </c>
      <c r="X389" s="21">
        <f>IF(X$3&gt;i_trans_start,MAX(i_W_floor,i_W_occ-i_W_dec*(X$3-i_trans_start)),i_W_occ)</f>
        <v/>
      </c>
      <c r="Y389" s="21">
        <f>IF(Y$3&gt;i_trans_start,MAX(i_W_floor,i_W_occ-i_W_dec*(Y$3-i_trans_start)),i_W_occ)</f>
        <v/>
      </c>
      <c r="Z389" s="21">
        <f>IF(Z$3&gt;i_trans_start,MAX(i_W_floor,i_W_occ-i_W_dec*(Z$3-i_trans_start)),i_W_occ)</f>
        <v/>
      </c>
      <c r="AA389" s="21">
        <f>IF(AA$3&gt;i_trans_start,MAX(i_W_floor,i_W_occ-i_W_dec*(AA$3-i_trans_start)),i_W_occ)</f>
        <v/>
      </c>
      <c r="AB389" s="21">
        <f>IF(AB$3&gt;i_trans_start,MAX(i_W_floor,i_W_occ-i_W_dec*(AB$3-i_trans_start)),i_W_occ)</f>
        <v/>
      </c>
      <c r="AC389" s="21">
        <f>IF(AC$3&gt;i_trans_start,MAX(i_W_floor,i_W_occ-i_W_dec*(AC$3-i_trans_start)),i_W_occ)</f>
        <v/>
      </c>
      <c r="AD389" s="21">
        <f>IF(AD$3&gt;i_trans_start,MAX(i_W_floor,i_W_occ-i_W_dec*(AD$3-i_trans_start)),i_W_occ)</f>
        <v/>
      </c>
      <c r="AE389" s="21">
        <f>IF(AE$3&gt;i_trans_start,MAX(i_W_floor,i_W_occ-i_W_dec*(AE$3-i_trans_start)),i_W_occ)</f>
        <v/>
      </c>
      <c r="AF389" s="21">
        <f>IF(AF$3&gt;i_trans_start,MAX(i_W_floor,i_W_occ-i_W_dec*(AF$3-i_trans_start)),i_W_occ)</f>
        <v/>
      </c>
      <c r="AG389" s="21">
        <f>IF(AG$3&gt;i_trans_start,MAX(i_W_floor,i_W_occ-i_W_dec*(AG$3-i_trans_start)),i_W_occ)</f>
        <v/>
      </c>
      <c r="AH389" s="21">
        <f>IF(AH$3&gt;i_trans_start,MAX(i_W_floor,i_W_occ-i_W_dec*(AH$3-i_trans_start)),i_W_occ)</f>
        <v/>
      </c>
      <c r="AI389" s="21">
        <f>IF(AI$3&gt;i_trans_start,MAX(i_W_floor,i_W_occ-i_W_dec*(AI$3-i_trans_start)),i_W_occ)</f>
        <v/>
      </c>
    </row>
    <row r="390">
      <c r="B390" s="2" t="inlineStr">
        <is>
          <t xml:space="preserve">  Customer loss (points)</t>
        </is>
      </c>
      <c r="D390" s="21">
        <f>Diligence!$C$372*SUMIF(i_dip_years,D$3,i_dip_vals)</f>
        <v/>
      </c>
      <c r="E390" s="21">
        <f>Diligence!$C$372*SUMIF(i_dip_years,E$3,i_dip_vals)</f>
        <v/>
      </c>
      <c r="F390" s="21">
        <f>Diligence!$C$372*SUMIF(i_dip_years,F$3,i_dip_vals)</f>
        <v/>
      </c>
      <c r="G390" s="21">
        <f>Diligence!$C$372*SUMIF(i_dip_years,G$3,i_dip_vals)</f>
        <v/>
      </c>
      <c r="H390" s="21">
        <f>Diligence!$C$372*SUMIF(i_dip_years,H$3,i_dip_vals)</f>
        <v/>
      </c>
      <c r="I390" s="21">
        <f>Diligence!$C$372*SUMIF(i_dip_years,I$3,i_dip_vals)</f>
        <v/>
      </c>
      <c r="J390" s="21">
        <f>Diligence!$C$372*SUMIF(i_dip_years,J$3,i_dip_vals)</f>
        <v/>
      </c>
      <c r="K390" s="21">
        <f>Diligence!$C$372*SUMIF(i_dip_years,K$3,i_dip_vals)</f>
        <v/>
      </c>
      <c r="L390" s="21">
        <f>Diligence!$C$372*SUMIF(i_dip_years,L$3,i_dip_vals)</f>
        <v/>
      </c>
      <c r="M390" s="21">
        <f>Diligence!$C$372*SUMIF(i_dip_years,M$3,i_dip_vals)</f>
        <v/>
      </c>
      <c r="N390" s="21">
        <f>Diligence!$C$372*SUMIF(i_dip_years,N$3,i_dip_vals)</f>
        <v/>
      </c>
      <c r="O390" s="21">
        <f>Diligence!$C$372*SUMIF(i_dip_years,O$3,i_dip_vals)</f>
        <v/>
      </c>
      <c r="P390" s="21">
        <f>Diligence!$C$372*SUMIF(i_dip_years,P$3,i_dip_vals)</f>
        <v/>
      </c>
      <c r="Q390" s="21">
        <f>Diligence!$C$372*SUMIF(i_dip_years,Q$3,i_dip_vals)</f>
        <v/>
      </c>
      <c r="R390" s="21">
        <f>Diligence!$C$372*SUMIF(i_dip_years,R$3,i_dip_vals)</f>
        <v/>
      </c>
      <c r="S390" s="21">
        <f>Diligence!$C$372*SUMIF(i_dip_years,S$3,i_dip_vals)</f>
        <v/>
      </c>
      <c r="T390" s="21">
        <f>Diligence!$C$372*SUMIF(i_dip_years,T$3,i_dip_vals)</f>
        <v/>
      </c>
      <c r="U390" s="21">
        <f>Diligence!$C$372*SUMIF(i_dip_years,U$3,i_dip_vals)</f>
        <v/>
      </c>
      <c r="V390" s="21">
        <f>Diligence!$C$372*SUMIF(i_dip_years,V$3,i_dip_vals)</f>
        <v/>
      </c>
      <c r="W390" s="21">
        <f>Diligence!$C$372*SUMIF(i_dip_years,W$3,i_dip_vals)</f>
        <v/>
      </c>
      <c r="X390" s="21">
        <f>Diligence!$C$372*SUMIF(i_dip_years,X$3,i_dip_vals)</f>
        <v/>
      </c>
      <c r="Y390" s="21">
        <f>Diligence!$C$372*SUMIF(i_dip_years,Y$3,i_dip_vals)</f>
        <v/>
      </c>
      <c r="Z390" s="21">
        <f>Diligence!$C$372*SUMIF(i_dip_years,Z$3,i_dip_vals)</f>
        <v/>
      </c>
      <c r="AA390" s="21">
        <f>Diligence!$C$372*SUMIF(i_dip_years,AA$3,i_dip_vals)</f>
        <v/>
      </c>
      <c r="AB390" s="21">
        <f>Diligence!$C$372*SUMIF(i_dip_years,AB$3,i_dip_vals)</f>
        <v/>
      </c>
      <c r="AC390" s="21">
        <f>Diligence!$C$372*SUMIF(i_dip_years,AC$3,i_dip_vals)</f>
        <v/>
      </c>
      <c r="AD390" s="21">
        <f>Diligence!$C$372*SUMIF(i_dip_years,AD$3,i_dip_vals)</f>
        <v/>
      </c>
      <c r="AE390" s="21">
        <f>Diligence!$C$372*SUMIF(i_dip_years,AE$3,i_dip_vals)</f>
        <v/>
      </c>
      <c r="AF390" s="21">
        <f>Diligence!$C$372*SUMIF(i_dip_years,AF$3,i_dip_vals)</f>
        <v/>
      </c>
      <c r="AG390" s="21">
        <f>Diligence!$C$372*SUMIF(i_dip_years,AG$3,i_dip_vals)</f>
        <v/>
      </c>
      <c r="AH390" s="21">
        <f>Diligence!$C$372*SUMIF(i_dip_years,AH$3,i_dip_vals)</f>
        <v/>
      </c>
      <c r="AI390" s="21">
        <f>Diligence!$C$372*SUMIF(i_dip_years,AI$3,i_dip_vals)</f>
        <v/>
      </c>
    </row>
    <row r="391">
      <c r="B391" s="2" t="inlineStr">
        <is>
          <t xml:space="preserve">  Occupancy (with the shift switch from 2027)</t>
        </is>
      </c>
      <c r="D391" s="21">
        <f>IF(D$4&gt;0,MIN(1,D389-D390+Diligence!$C$376),D389-D390)</f>
        <v/>
      </c>
      <c r="E391" s="21">
        <f>IF(E$4&gt;0,MIN(1,E389-E390+Diligence!$C$376),E389-E390)</f>
        <v/>
      </c>
      <c r="F391" s="21">
        <f>IF(F$4&gt;0,MIN(1,F389-F390+Diligence!$C$376),F389-F390)</f>
        <v/>
      </c>
      <c r="G391" s="21">
        <f>IF(G$4&gt;0,MIN(1,G389-G390+Diligence!$C$376),G389-G390)</f>
        <v/>
      </c>
      <c r="H391" s="21">
        <f>IF(H$4&gt;0,MIN(1,H389-H390+Diligence!$C$376),H389-H390)</f>
        <v/>
      </c>
      <c r="I391" s="21">
        <f>IF(I$4&gt;0,MIN(1,I389-I390+Diligence!$C$376),I389-I390)</f>
        <v/>
      </c>
      <c r="J391" s="21">
        <f>IF(J$4&gt;0,MIN(1,J389-J390+Diligence!$C$376),J389-J390)</f>
        <v/>
      </c>
      <c r="K391" s="21">
        <f>IF(K$4&gt;0,MIN(1,K389-K390+Diligence!$C$376),K389-K390)</f>
        <v/>
      </c>
      <c r="L391" s="21">
        <f>IF(L$4&gt;0,MIN(1,L389-L390+Diligence!$C$376),L389-L390)</f>
        <v/>
      </c>
      <c r="M391" s="21">
        <f>IF(M$4&gt;0,MIN(1,M389-M390+Diligence!$C$376),M389-M390)</f>
        <v/>
      </c>
      <c r="N391" s="21">
        <f>IF(N$4&gt;0,MIN(1,N389-N390+Diligence!$C$376),N389-N390)</f>
        <v/>
      </c>
      <c r="O391" s="21">
        <f>IF(O$4&gt;0,MIN(1,O389-O390+Diligence!$C$376),O389-O390)</f>
        <v/>
      </c>
      <c r="P391" s="21">
        <f>IF(P$4&gt;0,MIN(1,P389-P390+Diligence!$C$376),P389-P390)</f>
        <v/>
      </c>
      <c r="Q391" s="21">
        <f>IF(Q$4&gt;0,MIN(1,Q389-Q390+Diligence!$C$376),Q389-Q390)</f>
        <v/>
      </c>
      <c r="R391" s="21">
        <f>IF(R$4&gt;0,MIN(1,R389-R390+Diligence!$C$376),R389-R390)</f>
        <v/>
      </c>
      <c r="S391" s="21">
        <f>IF(S$4&gt;0,MIN(1,S389-S390+Diligence!$C$376),S389-S390)</f>
        <v/>
      </c>
      <c r="T391" s="21">
        <f>IF(T$4&gt;0,MIN(1,T389-T390+Diligence!$C$376),T389-T390)</f>
        <v/>
      </c>
      <c r="U391" s="21">
        <f>IF(U$4&gt;0,MIN(1,U389-U390+Diligence!$C$376),U389-U390)</f>
        <v/>
      </c>
      <c r="V391" s="21">
        <f>IF(V$4&gt;0,MIN(1,V389-V390+Diligence!$C$376),V389-V390)</f>
        <v/>
      </c>
      <c r="W391" s="21">
        <f>IF(W$4&gt;0,MIN(1,W389-W390+Diligence!$C$376),W389-W390)</f>
        <v/>
      </c>
      <c r="X391" s="21">
        <f>IF(X$4&gt;0,MIN(1,X389-X390+Diligence!$C$376),X389-X390)</f>
        <v/>
      </c>
      <c r="Y391" s="21">
        <f>IF(Y$4&gt;0,MIN(1,Y389-Y390+Diligence!$C$376),Y389-Y390)</f>
        <v/>
      </c>
      <c r="Z391" s="21">
        <f>IF(Z$4&gt;0,MIN(1,Z389-Z390+Diligence!$C$376),Z389-Z390)</f>
        <v/>
      </c>
      <c r="AA391" s="21">
        <f>IF(AA$4&gt;0,MIN(1,AA389-AA390+Diligence!$C$376),AA389-AA390)</f>
        <v/>
      </c>
      <c r="AB391" s="21">
        <f>IF(AB$4&gt;0,MIN(1,AB389-AB390+Diligence!$C$376),AB389-AB390)</f>
        <v/>
      </c>
      <c r="AC391" s="21">
        <f>IF(AC$4&gt;0,MIN(1,AC389-AC390+Diligence!$C$376),AC389-AC390)</f>
        <v/>
      </c>
      <c r="AD391" s="21">
        <f>IF(AD$4&gt;0,MIN(1,AD389-AD390+Diligence!$C$376),AD389-AD390)</f>
        <v/>
      </c>
      <c r="AE391" s="21">
        <f>IF(AE$4&gt;0,MIN(1,AE389-AE390+Diligence!$C$376),AE389-AE390)</f>
        <v/>
      </c>
      <c r="AF391" s="21">
        <f>IF(AF$4&gt;0,MIN(1,AF389-AF390+Diligence!$C$376),AF389-AF390)</f>
        <v/>
      </c>
      <c r="AG391" s="21">
        <f>IF(AG$4&gt;0,MIN(1,AG389-AG390+Diligence!$C$376),AG389-AG390)</f>
        <v/>
      </c>
      <c r="AH391" s="21">
        <f>IF(AH$4&gt;0,MIN(1,AH389-AH390+Diligence!$C$376),AH389-AH390)</f>
        <v/>
      </c>
      <c r="AI391" s="21">
        <f>IF(AI$4&gt;0,MIN(1,AI389-AI390+Diligence!$C$376),AI389-AI390)</f>
        <v/>
      </c>
    </row>
    <row r="392">
      <c r="B392" s="2" t="inlineStr">
        <is>
          <t xml:space="preserve">  Storage revenue</t>
        </is>
      </c>
      <c r="D392" s="19">
        <f>D385*D388*12*D391</f>
        <v/>
      </c>
      <c r="E392" s="19">
        <f>E385*E388*12*E391</f>
        <v/>
      </c>
      <c r="F392" s="19">
        <f>F385*F388*12*F391</f>
        <v/>
      </c>
      <c r="G392" s="19">
        <f>G385*G388*12*G391</f>
        <v/>
      </c>
      <c r="H392" s="19">
        <f>H385*H388*12*H391</f>
        <v/>
      </c>
      <c r="I392" s="19">
        <f>I385*I388*12*I391</f>
        <v/>
      </c>
      <c r="J392" s="19">
        <f>J385*J388*12*J391</f>
        <v/>
      </c>
      <c r="K392" s="19">
        <f>K385*K388*12*K391</f>
        <v/>
      </c>
      <c r="L392" s="19">
        <f>L385*L388*12*L391</f>
        <v/>
      </c>
      <c r="M392" s="19">
        <f>M385*M388*12*M391</f>
        <v/>
      </c>
      <c r="N392" s="19">
        <f>N385*N388*12*N391</f>
        <v/>
      </c>
      <c r="O392" s="19">
        <f>O385*O388*12*O391</f>
        <v/>
      </c>
      <c r="P392" s="19">
        <f>P385*P388*12*P391</f>
        <v/>
      </c>
      <c r="Q392" s="19">
        <f>Q385*Q388*12*Q391</f>
        <v/>
      </c>
      <c r="R392" s="19">
        <f>R385*R388*12*R391</f>
        <v/>
      </c>
      <c r="S392" s="19">
        <f>S385*S388*12*S391</f>
        <v/>
      </c>
      <c r="T392" s="19">
        <f>T385*T388*12*T391</f>
        <v/>
      </c>
      <c r="U392" s="19">
        <f>U385*U388*12*U391</f>
        <v/>
      </c>
      <c r="V392" s="19">
        <f>V385*V388*12*V391</f>
        <v/>
      </c>
      <c r="W392" s="19">
        <f>W385*W388*12*W391</f>
        <v/>
      </c>
      <c r="X392" s="19">
        <f>X385*X388*12*X391</f>
        <v/>
      </c>
      <c r="Y392" s="19">
        <f>Y385*Y388*12*Y391</f>
        <v/>
      </c>
      <c r="Z392" s="19">
        <f>Z385*Z388*12*Z391</f>
        <v/>
      </c>
      <c r="AA392" s="19">
        <f>AA385*AA388*12*AA391</f>
        <v/>
      </c>
      <c r="AB392" s="19">
        <f>AB385*AB388*12*AB391</f>
        <v/>
      </c>
      <c r="AC392" s="19">
        <f>AC385*AC388*12*AC391</f>
        <v/>
      </c>
      <c r="AD392" s="19">
        <f>AD385*AD388*12*AD391</f>
        <v/>
      </c>
      <c r="AE392" s="19">
        <f>AE385*AE388*12*AE391</f>
        <v/>
      </c>
      <c r="AF392" s="19">
        <f>AF385*AF388*12*AF391</f>
        <v/>
      </c>
      <c r="AG392" s="19">
        <f>AG385*AG388*12*AG391</f>
        <v/>
      </c>
      <c r="AH392" s="19">
        <f>AH385*AH388*12*AH391</f>
        <v/>
      </c>
      <c r="AI392" s="19">
        <f>AI385*AI388*12*AI391</f>
        <v/>
      </c>
    </row>
    <row r="393">
      <c r="B393" s="2" t="inlineStr">
        <is>
          <t xml:space="preserve">  Ancillary and throughput revenue</t>
        </is>
      </c>
      <c r="D393" s="19">
        <f>D392*i_W_anc</f>
        <v/>
      </c>
      <c r="E393" s="19">
        <f>E392*i_W_anc</f>
        <v/>
      </c>
      <c r="F393" s="19">
        <f>F392*i_W_anc</f>
        <v/>
      </c>
      <c r="G393" s="19">
        <f>G392*i_W_anc</f>
        <v/>
      </c>
      <c r="H393" s="19">
        <f>H392*i_W_anc</f>
        <v/>
      </c>
      <c r="I393" s="19">
        <f>I392*i_W_anc</f>
        <v/>
      </c>
      <c r="J393" s="19">
        <f>J392*i_W_anc</f>
        <v/>
      </c>
      <c r="K393" s="19">
        <f>K392*i_W_anc</f>
        <v/>
      </c>
      <c r="L393" s="19">
        <f>L392*i_W_anc</f>
        <v/>
      </c>
      <c r="M393" s="19">
        <f>M392*i_W_anc</f>
        <v/>
      </c>
      <c r="N393" s="19">
        <f>N392*i_W_anc</f>
        <v/>
      </c>
      <c r="O393" s="19">
        <f>O392*i_W_anc</f>
        <v/>
      </c>
      <c r="P393" s="19">
        <f>P392*i_W_anc</f>
        <v/>
      </c>
      <c r="Q393" s="19">
        <f>Q392*i_W_anc</f>
        <v/>
      </c>
      <c r="R393" s="19">
        <f>R392*i_W_anc</f>
        <v/>
      </c>
      <c r="S393" s="19">
        <f>S392*i_W_anc</f>
        <v/>
      </c>
      <c r="T393" s="19">
        <f>T392*i_W_anc</f>
        <v/>
      </c>
      <c r="U393" s="19">
        <f>U392*i_W_anc</f>
        <v/>
      </c>
      <c r="V393" s="19">
        <f>V392*i_W_anc</f>
        <v/>
      </c>
      <c r="W393" s="19">
        <f>W392*i_W_anc</f>
        <v/>
      </c>
      <c r="X393" s="19">
        <f>X392*i_W_anc</f>
        <v/>
      </c>
      <c r="Y393" s="19">
        <f>Y392*i_W_anc</f>
        <v/>
      </c>
      <c r="Z393" s="19">
        <f>Z392*i_W_anc</f>
        <v/>
      </c>
      <c r="AA393" s="19">
        <f>AA392*i_W_anc</f>
        <v/>
      </c>
      <c r="AB393" s="19">
        <f>AB392*i_W_anc</f>
        <v/>
      </c>
      <c r="AC393" s="19">
        <f>AC392*i_W_anc</f>
        <v/>
      </c>
      <c r="AD393" s="19">
        <f>AD392*i_W_anc</f>
        <v/>
      </c>
      <c r="AE393" s="19">
        <f>AE392*i_W_anc</f>
        <v/>
      </c>
      <c r="AF393" s="19">
        <f>AF392*i_W_anc</f>
        <v/>
      </c>
      <c r="AG393" s="19">
        <f>AG392*i_W_anc</f>
        <v/>
      </c>
      <c r="AH393" s="19">
        <f>AH392*i_W_anc</f>
        <v/>
      </c>
      <c r="AI393" s="19">
        <f>AI392*i_W_anc</f>
        <v/>
      </c>
    </row>
    <row r="394">
      <c r="B394" s="3" t="inlineStr">
        <is>
          <t xml:space="preserve">  Revenue</t>
        </is>
      </c>
      <c r="D394" s="31">
        <f>D392+D393</f>
        <v/>
      </c>
      <c r="E394" s="31">
        <f>E392+E393</f>
        <v/>
      </c>
      <c r="F394" s="31">
        <f>F392+F393</f>
        <v/>
      </c>
      <c r="G394" s="31">
        <f>G392+G393</f>
        <v/>
      </c>
      <c r="H394" s="31">
        <f>H392+H393</f>
        <v/>
      </c>
      <c r="I394" s="31">
        <f>I392+I393</f>
        <v/>
      </c>
      <c r="J394" s="31">
        <f>J392+J393</f>
        <v/>
      </c>
      <c r="K394" s="31">
        <f>K392+K393</f>
        <v/>
      </c>
      <c r="L394" s="31">
        <f>L392+L393</f>
        <v/>
      </c>
      <c r="M394" s="31">
        <f>M392+M393</f>
        <v/>
      </c>
      <c r="N394" s="31">
        <f>N392+N393</f>
        <v/>
      </c>
      <c r="O394" s="31">
        <f>O392+O393</f>
        <v/>
      </c>
      <c r="P394" s="31">
        <f>P392+P393</f>
        <v/>
      </c>
      <c r="Q394" s="31">
        <f>Q392+Q393</f>
        <v/>
      </c>
      <c r="R394" s="31">
        <f>R392+R393</f>
        <v/>
      </c>
      <c r="S394" s="31">
        <f>S392+S393</f>
        <v/>
      </c>
      <c r="T394" s="31">
        <f>T392+T393</f>
        <v/>
      </c>
      <c r="U394" s="31">
        <f>U392+U393</f>
        <v/>
      </c>
      <c r="V394" s="31">
        <f>V392+V393</f>
        <v/>
      </c>
      <c r="W394" s="31">
        <f>W392+W393</f>
        <v/>
      </c>
      <c r="X394" s="31">
        <f>X392+X393</f>
        <v/>
      </c>
      <c r="Y394" s="31">
        <f>Y392+Y393</f>
        <v/>
      </c>
      <c r="Z394" s="31">
        <f>Z392+Z393</f>
        <v/>
      </c>
      <c r="AA394" s="31">
        <f>AA392+AA393</f>
        <v/>
      </c>
      <c r="AB394" s="31">
        <f>AB392+AB393</f>
        <v/>
      </c>
      <c r="AC394" s="31">
        <f>AC392+AC393</f>
        <v/>
      </c>
      <c r="AD394" s="31">
        <f>AD392+AD393</f>
        <v/>
      </c>
      <c r="AE394" s="31">
        <f>AE392+AE393</f>
        <v/>
      </c>
      <c r="AF394" s="31">
        <f>AF392+AF393</f>
        <v/>
      </c>
      <c r="AG394" s="31">
        <f>AG392+AG393</f>
        <v/>
      </c>
      <c r="AH394" s="31">
        <f>AH392+AH393</f>
        <v/>
      </c>
      <c r="AI394" s="31">
        <f>AI392+AI393</f>
        <v/>
      </c>
    </row>
    <row r="395">
      <c r="B395" s="2" t="inlineStr">
        <is>
          <t xml:space="preserve">  Fixed cost</t>
        </is>
      </c>
      <c r="D395" s="19">
        <f>D385*i_W_fix*D381</f>
        <v/>
      </c>
      <c r="E395" s="19">
        <f>E385*i_W_fix*E381</f>
        <v/>
      </c>
      <c r="F395" s="19">
        <f>F385*i_W_fix*F381</f>
        <v/>
      </c>
      <c r="G395" s="19">
        <f>G385*i_W_fix*G381</f>
        <v/>
      </c>
      <c r="H395" s="19">
        <f>H385*i_W_fix*H381</f>
        <v/>
      </c>
      <c r="I395" s="19">
        <f>I385*i_W_fix*I381</f>
        <v/>
      </c>
      <c r="J395" s="19">
        <f>J385*i_W_fix*J381</f>
        <v/>
      </c>
      <c r="K395" s="19">
        <f>K385*i_W_fix*K381</f>
        <v/>
      </c>
      <c r="L395" s="19">
        <f>L385*i_W_fix*L381</f>
        <v/>
      </c>
      <c r="M395" s="19">
        <f>M385*i_W_fix*M381</f>
        <v/>
      </c>
      <c r="N395" s="19">
        <f>N385*i_W_fix*N381</f>
        <v/>
      </c>
      <c r="O395" s="19">
        <f>O385*i_W_fix*O381</f>
        <v/>
      </c>
      <c r="P395" s="19">
        <f>P385*i_W_fix*P381</f>
        <v/>
      </c>
      <c r="Q395" s="19">
        <f>Q385*i_W_fix*Q381</f>
        <v/>
      </c>
      <c r="R395" s="19">
        <f>R385*i_W_fix*R381</f>
        <v/>
      </c>
      <c r="S395" s="19">
        <f>S385*i_W_fix*S381</f>
        <v/>
      </c>
      <c r="T395" s="19">
        <f>T385*i_W_fix*T381</f>
        <v/>
      </c>
      <c r="U395" s="19">
        <f>U385*i_W_fix*U381</f>
        <v/>
      </c>
      <c r="V395" s="19">
        <f>V385*i_W_fix*V381</f>
        <v/>
      </c>
      <c r="W395" s="19">
        <f>W385*i_W_fix*W381</f>
        <v/>
      </c>
      <c r="X395" s="19">
        <f>X385*i_W_fix*X381</f>
        <v/>
      </c>
      <c r="Y395" s="19">
        <f>Y385*i_W_fix*Y381</f>
        <v/>
      </c>
      <c r="Z395" s="19">
        <f>Z385*i_W_fix*Z381</f>
        <v/>
      </c>
      <c r="AA395" s="19">
        <f>AA385*i_W_fix*AA381</f>
        <v/>
      </c>
      <c r="AB395" s="19">
        <f>AB385*i_W_fix*AB381</f>
        <v/>
      </c>
      <c r="AC395" s="19">
        <f>AC385*i_W_fix*AC381</f>
        <v/>
      </c>
      <c r="AD395" s="19">
        <f>AD385*i_W_fix*AD381</f>
        <v/>
      </c>
      <c r="AE395" s="19">
        <f>AE385*i_W_fix*AE381</f>
        <v/>
      </c>
      <c r="AF395" s="19">
        <f>AF385*i_W_fix*AF381</f>
        <v/>
      </c>
      <c r="AG395" s="19">
        <f>AG385*i_W_fix*AG381</f>
        <v/>
      </c>
      <c r="AH395" s="19">
        <f>AH385*i_W_fix*AH381</f>
        <v/>
      </c>
      <c r="AI395" s="19">
        <f>AI385*i_W_fix*AI381</f>
        <v/>
      </c>
    </row>
    <row r="396">
      <c r="B396" s="2" t="inlineStr">
        <is>
          <t xml:space="preserve">  Variable cost</t>
        </is>
      </c>
      <c r="D396" s="19">
        <f>i_W_var*D394</f>
        <v/>
      </c>
      <c r="E396" s="19">
        <f>i_W_var*E394</f>
        <v/>
      </c>
      <c r="F396" s="19">
        <f>i_W_var*F394</f>
        <v/>
      </c>
      <c r="G396" s="19">
        <f>i_W_var*G394</f>
        <v/>
      </c>
      <c r="H396" s="19">
        <f>i_W_var*H394</f>
        <v/>
      </c>
      <c r="I396" s="19">
        <f>i_W_var*I394</f>
        <v/>
      </c>
      <c r="J396" s="19">
        <f>i_W_var*J394</f>
        <v/>
      </c>
      <c r="K396" s="19">
        <f>i_W_var*K394</f>
        <v/>
      </c>
      <c r="L396" s="19">
        <f>i_W_var*L394</f>
        <v/>
      </c>
      <c r="M396" s="19">
        <f>i_W_var*M394</f>
        <v/>
      </c>
      <c r="N396" s="19">
        <f>i_W_var*N394</f>
        <v/>
      </c>
      <c r="O396" s="19">
        <f>i_W_var*O394</f>
        <v/>
      </c>
      <c r="P396" s="19">
        <f>i_W_var*P394</f>
        <v/>
      </c>
      <c r="Q396" s="19">
        <f>i_W_var*Q394</f>
        <v/>
      </c>
      <c r="R396" s="19">
        <f>i_W_var*R394</f>
        <v/>
      </c>
      <c r="S396" s="19">
        <f>i_W_var*S394</f>
        <v/>
      </c>
      <c r="T396" s="19">
        <f>i_W_var*T394</f>
        <v/>
      </c>
      <c r="U396" s="19">
        <f>i_W_var*U394</f>
        <v/>
      </c>
      <c r="V396" s="19">
        <f>i_W_var*V394</f>
        <v/>
      </c>
      <c r="W396" s="19">
        <f>i_W_var*W394</f>
        <v/>
      </c>
      <c r="X396" s="19">
        <f>i_W_var*X394</f>
        <v/>
      </c>
      <c r="Y396" s="19">
        <f>i_W_var*Y394</f>
        <v/>
      </c>
      <c r="Z396" s="19">
        <f>i_W_var*Z394</f>
        <v/>
      </c>
      <c r="AA396" s="19">
        <f>i_W_var*AA394</f>
        <v/>
      </c>
      <c r="AB396" s="19">
        <f>i_W_var*AB394</f>
        <v/>
      </c>
      <c r="AC396" s="19">
        <f>i_W_var*AC394</f>
        <v/>
      </c>
      <c r="AD396" s="19">
        <f>i_W_var*AD394</f>
        <v/>
      </c>
      <c r="AE396" s="19">
        <f>i_W_var*AE394</f>
        <v/>
      </c>
      <c r="AF396" s="19">
        <f>i_W_var*AF394</f>
        <v/>
      </c>
      <c r="AG396" s="19">
        <f>i_W_var*AG394</f>
        <v/>
      </c>
      <c r="AH396" s="19">
        <f>i_W_var*AH394</f>
        <v/>
      </c>
      <c r="AI396" s="19">
        <f>i_W_var*AI394</f>
        <v/>
      </c>
    </row>
    <row r="397">
      <c r="B397" s="2" t="inlineStr">
        <is>
          <t xml:space="preserve">  Concession fee</t>
        </is>
      </c>
      <c r="D397" s="19">
        <f>IF(AND(Diligence!$C$378=1,D$3&gt;i_conc_end),i_renew_fee,i_W_fee)*D394</f>
        <v/>
      </c>
      <c r="E397" s="19">
        <f>IF(AND(Diligence!$C$378=1,E$3&gt;i_conc_end),i_renew_fee,i_W_fee)*E394</f>
        <v/>
      </c>
      <c r="F397" s="19">
        <f>IF(AND(Diligence!$C$378=1,F$3&gt;i_conc_end),i_renew_fee,i_W_fee)*F394</f>
        <v/>
      </c>
      <c r="G397" s="19">
        <f>IF(AND(Diligence!$C$378=1,G$3&gt;i_conc_end),i_renew_fee,i_W_fee)*G394</f>
        <v/>
      </c>
      <c r="H397" s="19">
        <f>IF(AND(Diligence!$C$378=1,H$3&gt;i_conc_end),i_renew_fee,i_W_fee)*H394</f>
        <v/>
      </c>
      <c r="I397" s="19">
        <f>IF(AND(Diligence!$C$378=1,I$3&gt;i_conc_end),i_renew_fee,i_W_fee)*I394</f>
        <v/>
      </c>
      <c r="J397" s="19">
        <f>IF(AND(Diligence!$C$378=1,J$3&gt;i_conc_end),i_renew_fee,i_W_fee)*J394</f>
        <v/>
      </c>
      <c r="K397" s="19">
        <f>IF(AND(Diligence!$C$378=1,K$3&gt;i_conc_end),i_renew_fee,i_W_fee)*K394</f>
        <v/>
      </c>
      <c r="L397" s="19">
        <f>IF(AND(Diligence!$C$378=1,L$3&gt;i_conc_end),i_renew_fee,i_W_fee)*L394</f>
        <v/>
      </c>
      <c r="M397" s="19">
        <f>IF(AND(Diligence!$C$378=1,M$3&gt;i_conc_end),i_renew_fee,i_W_fee)*M394</f>
        <v/>
      </c>
      <c r="N397" s="19">
        <f>IF(AND(Diligence!$C$378=1,N$3&gt;i_conc_end),i_renew_fee,i_W_fee)*N394</f>
        <v/>
      </c>
      <c r="O397" s="19">
        <f>IF(AND(Diligence!$C$378=1,O$3&gt;i_conc_end),i_renew_fee,i_W_fee)*O394</f>
        <v/>
      </c>
      <c r="P397" s="19">
        <f>IF(AND(Diligence!$C$378=1,P$3&gt;i_conc_end),i_renew_fee,i_W_fee)*P394</f>
        <v/>
      </c>
      <c r="Q397" s="19">
        <f>IF(AND(Diligence!$C$378=1,Q$3&gt;i_conc_end),i_renew_fee,i_W_fee)*Q394</f>
        <v/>
      </c>
      <c r="R397" s="19">
        <f>IF(AND(Diligence!$C$378=1,R$3&gt;i_conc_end),i_renew_fee,i_W_fee)*R394</f>
        <v/>
      </c>
      <c r="S397" s="19">
        <f>IF(AND(Diligence!$C$378=1,S$3&gt;i_conc_end),i_renew_fee,i_W_fee)*S394</f>
        <v/>
      </c>
      <c r="T397" s="19">
        <f>IF(AND(Diligence!$C$378=1,T$3&gt;i_conc_end),i_renew_fee,i_W_fee)*T394</f>
        <v/>
      </c>
      <c r="U397" s="19">
        <f>IF(AND(Diligence!$C$378=1,U$3&gt;i_conc_end),i_renew_fee,i_W_fee)*U394</f>
        <v/>
      </c>
      <c r="V397" s="19">
        <f>IF(AND(Diligence!$C$378=1,V$3&gt;i_conc_end),i_renew_fee,i_W_fee)*V394</f>
        <v/>
      </c>
      <c r="W397" s="19">
        <f>IF(AND(Diligence!$C$378=1,W$3&gt;i_conc_end),i_renew_fee,i_W_fee)*W394</f>
        <v/>
      </c>
      <c r="X397" s="19">
        <f>IF(AND(Diligence!$C$378=1,X$3&gt;i_conc_end),i_renew_fee,i_W_fee)*X394</f>
        <v/>
      </c>
      <c r="Y397" s="19">
        <f>IF(AND(Diligence!$C$378=1,Y$3&gt;i_conc_end),i_renew_fee,i_W_fee)*Y394</f>
        <v/>
      </c>
      <c r="Z397" s="19">
        <f>IF(AND(Diligence!$C$378=1,Z$3&gt;i_conc_end),i_renew_fee,i_W_fee)*Z394</f>
        <v/>
      </c>
      <c r="AA397" s="19">
        <f>IF(AND(Diligence!$C$378=1,AA$3&gt;i_conc_end),i_renew_fee,i_W_fee)*AA394</f>
        <v/>
      </c>
      <c r="AB397" s="19">
        <f>IF(AND(Diligence!$C$378=1,AB$3&gt;i_conc_end),i_renew_fee,i_W_fee)*AB394</f>
        <v/>
      </c>
      <c r="AC397" s="19">
        <f>IF(AND(Diligence!$C$378=1,AC$3&gt;i_conc_end),i_renew_fee,i_W_fee)*AC394</f>
        <v/>
      </c>
      <c r="AD397" s="19">
        <f>IF(AND(Diligence!$C$378=1,AD$3&gt;i_conc_end),i_renew_fee,i_W_fee)*AD394</f>
        <v/>
      </c>
      <c r="AE397" s="19">
        <f>IF(AND(Diligence!$C$378=1,AE$3&gt;i_conc_end),i_renew_fee,i_W_fee)*AE394</f>
        <v/>
      </c>
      <c r="AF397" s="19">
        <f>IF(AND(Diligence!$C$378=1,AF$3&gt;i_conc_end),i_renew_fee,i_W_fee)*AF394</f>
        <v/>
      </c>
      <c r="AG397" s="19">
        <f>IF(AND(Diligence!$C$378=1,AG$3&gt;i_conc_end),i_renew_fee,i_W_fee)*AG394</f>
        <v/>
      </c>
      <c r="AH397" s="19">
        <f>IF(AND(Diligence!$C$378=1,AH$3&gt;i_conc_end),i_renew_fee,i_W_fee)*AH394</f>
        <v/>
      </c>
      <c r="AI397" s="19">
        <f>IF(AND(Diligence!$C$378=1,AI$3&gt;i_conc_end),i_renew_fee,i_W_fee)*AI394</f>
        <v/>
      </c>
    </row>
    <row r="398">
      <c r="B398" s="2" t="inlineStr">
        <is>
          <t xml:space="preserve">  Operating cost</t>
        </is>
      </c>
      <c r="D398" s="19">
        <f>D395+D396+D397</f>
        <v/>
      </c>
      <c r="E398" s="19">
        <f>E395+E396+E397</f>
        <v/>
      </c>
      <c r="F398" s="19">
        <f>F395+F396+F397</f>
        <v/>
      </c>
      <c r="G398" s="19">
        <f>G395+G396+G397</f>
        <v/>
      </c>
      <c r="H398" s="19">
        <f>H395+H396+H397</f>
        <v/>
      </c>
      <c r="I398" s="19">
        <f>I395+I396+I397</f>
        <v/>
      </c>
      <c r="J398" s="19">
        <f>J395+J396+J397</f>
        <v/>
      </c>
      <c r="K398" s="19">
        <f>K395+K396+K397</f>
        <v/>
      </c>
      <c r="L398" s="19">
        <f>L395+L396+L397</f>
        <v/>
      </c>
      <c r="M398" s="19">
        <f>M395+M396+M397</f>
        <v/>
      </c>
      <c r="N398" s="19">
        <f>N395+N396+N397</f>
        <v/>
      </c>
      <c r="O398" s="19">
        <f>O395+O396+O397</f>
        <v/>
      </c>
      <c r="P398" s="19">
        <f>P395+P396+P397</f>
        <v/>
      </c>
      <c r="Q398" s="19">
        <f>Q395+Q396+Q397</f>
        <v/>
      </c>
      <c r="R398" s="19">
        <f>R395+R396+R397</f>
        <v/>
      </c>
      <c r="S398" s="19">
        <f>S395+S396+S397</f>
        <v/>
      </c>
      <c r="T398" s="19">
        <f>T395+T396+T397</f>
        <v/>
      </c>
      <c r="U398" s="19">
        <f>U395+U396+U397</f>
        <v/>
      </c>
      <c r="V398" s="19">
        <f>V395+V396+V397</f>
        <v/>
      </c>
      <c r="W398" s="19">
        <f>W395+W396+W397</f>
        <v/>
      </c>
      <c r="X398" s="19">
        <f>X395+X396+X397</f>
        <v/>
      </c>
      <c r="Y398" s="19">
        <f>Y395+Y396+Y397</f>
        <v/>
      </c>
      <c r="Z398" s="19">
        <f>Z395+Z396+Z397</f>
        <v/>
      </c>
      <c r="AA398" s="19">
        <f>AA395+AA396+AA397</f>
        <v/>
      </c>
      <c r="AB398" s="19">
        <f>AB395+AB396+AB397</f>
        <v/>
      </c>
      <c r="AC398" s="19">
        <f>AC395+AC396+AC397</f>
        <v/>
      </c>
      <c r="AD398" s="19">
        <f>AD395+AD396+AD397</f>
        <v/>
      </c>
      <c r="AE398" s="19">
        <f>AE395+AE396+AE397</f>
        <v/>
      </c>
      <c r="AF398" s="19">
        <f>AF395+AF396+AF397</f>
        <v/>
      </c>
      <c r="AG398" s="19">
        <f>AG395+AG396+AG397</f>
        <v/>
      </c>
      <c r="AH398" s="19">
        <f>AH395+AH396+AH397</f>
        <v/>
      </c>
      <c r="AI398" s="19">
        <f>AI395+AI396+AI397</f>
        <v/>
      </c>
    </row>
    <row r="399">
      <c r="B399" s="3" t="inlineStr">
        <is>
          <t xml:space="preserve">  EBITDA</t>
        </is>
      </c>
      <c r="D399" s="31">
        <f>D394-D398</f>
        <v/>
      </c>
      <c r="E399" s="31">
        <f>E394-E398</f>
        <v/>
      </c>
      <c r="F399" s="31">
        <f>F394-F398</f>
        <v/>
      </c>
      <c r="G399" s="31">
        <f>G394-G398</f>
        <v/>
      </c>
      <c r="H399" s="31">
        <f>H394-H398</f>
        <v/>
      </c>
      <c r="I399" s="31">
        <f>I394-I398</f>
        <v/>
      </c>
      <c r="J399" s="31">
        <f>J394-J398</f>
        <v/>
      </c>
      <c r="K399" s="31">
        <f>K394-K398</f>
        <v/>
      </c>
      <c r="L399" s="31">
        <f>L394-L398</f>
        <v/>
      </c>
      <c r="M399" s="31">
        <f>M394-M398</f>
        <v/>
      </c>
      <c r="N399" s="31">
        <f>N394-N398</f>
        <v/>
      </c>
      <c r="O399" s="31">
        <f>O394-O398</f>
        <v/>
      </c>
      <c r="P399" s="31">
        <f>P394-P398</f>
        <v/>
      </c>
      <c r="Q399" s="31">
        <f>Q394-Q398</f>
        <v/>
      </c>
      <c r="R399" s="31">
        <f>R394-R398</f>
        <v/>
      </c>
      <c r="S399" s="31">
        <f>S394-S398</f>
        <v/>
      </c>
      <c r="T399" s="31">
        <f>T394-T398</f>
        <v/>
      </c>
      <c r="U399" s="31">
        <f>U394-U398</f>
        <v/>
      </c>
      <c r="V399" s="31">
        <f>V394-V398</f>
        <v/>
      </c>
      <c r="W399" s="31">
        <f>W394-W398</f>
        <v/>
      </c>
      <c r="X399" s="31">
        <f>X394-X398</f>
        <v/>
      </c>
      <c r="Y399" s="31">
        <f>Y394-Y398</f>
        <v/>
      </c>
      <c r="Z399" s="31">
        <f>Z394-Z398</f>
        <v/>
      </c>
      <c r="AA399" s="31">
        <f>AA394-AA398</f>
        <v/>
      </c>
      <c r="AB399" s="31">
        <f>AB394-AB398</f>
        <v/>
      </c>
      <c r="AC399" s="31">
        <f>AC394-AC398</f>
        <v/>
      </c>
      <c r="AD399" s="31">
        <f>AD394-AD398</f>
        <v/>
      </c>
      <c r="AE399" s="31">
        <f>AE394-AE398</f>
        <v/>
      </c>
      <c r="AF399" s="31">
        <f>AF394-AF398</f>
        <v/>
      </c>
      <c r="AG399" s="31">
        <f>AG394-AG398</f>
        <v/>
      </c>
      <c r="AH399" s="31">
        <f>AH394-AH398</f>
        <v/>
      </c>
      <c r="AI399" s="31">
        <f>AI394-AI398</f>
        <v/>
      </c>
    </row>
    <row r="400">
      <c r="B400" s="2" t="inlineStr">
        <is>
          <t xml:space="preserve">  Maintenance capex (with jetty 3)</t>
        </is>
      </c>
      <c r="D400" s="19">
        <f>D385*i_W_mc*D381+D384*Diligence!$C$373*SUMIF(i_jetty_years,D$3,i_jetty_vals)*D381</f>
        <v/>
      </c>
      <c r="E400" s="19">
        <f>E385*i_W_mc*E381+E384*Diligence!$C$373*SUMIF(i_jetty_years,E$3,i_jetty_vals)*E381</f>
        <v/>
      </c>
      <c r="F400" s="19">
        <f>F385*i_W_mc*F381+F384*Diligence!$C$373*SUMIF(i_jetty_years,F$3,i_jetty_vals)*F381</f>
        <v/>
      </c>
      <c r="G400" s="19">
        <f>G385*i_W_mc*G381+G384*Diligence!$C$373*SUMIF(i_jetty_years,G$3,i_jetty_vals)*G381</f>
        <v/>
      </c>
      <c r="H400" s="19">
        <f>H385*i_W_mc*H381+H384*Diligence!$C$373*SUMIF(i_jetty_years,H$3,i_jetty_vals)*H381</f>
        <v/>
      </c>
      <c r="I400" s="19">
        <f>I385*i_W_mc*I381+I384*Diligence!$C$373*SUMIF(i_jetty_years,I$3,i_jetty_vals)*I381</f>
        <v/>
      </c>
      <c r="J400" s="19">
        <f>J385*i_W_mc*J381+J384*Diligence!$C$373*SUMIF(i_jetty_years,J$3,i_jetty_vals)*J381</f>
        <v/>
      </c>
      <c r="K400" s="19">
        <f>K385*i_W_mc*K381+K384*Diligence!$C$373*SUMIF(i_jetty_years,K$3,i_jetty_vals)*K381</f>
        <v/>
      </c>
      <c r="L400" s="19">
        <f>L385*i_W_mc*L381+L384*Diligence!$C$373*SUMIF(i_jetty_years,L$3,i_jetty_vals)*L381</f>
        <v/>
      </c>
      <c r="M400" s="19">
        <f>M385*i_W_mc*M381+M384*Diligence!$C$373*SUMIF(i_jetty_years,M$3,i_jetty_vals)*M381</f>
        <v/>
      </c>
      <c r="N400" s="19">
        <f>N385*i_W_mc*N381+N384*Diligence!$C$373*SUMIF(i_jetty_years,N$3,i_jetty_vals)*N381</f>
        <v/>
      </c>
      <c r="O400" s="19">
        <f>O385*i_W_mc*O381+O384*Diligence!$C$373*SUMIF(i_jetty_years,O$3,i_jetty_vals)*O381</f>
        <v/>
      </c>
      <c r="P400" s="19">
        <f>P385*i_W_mc*P381+P384*Diligence!$C$373*SUMIF(i_jetty_years,P$3,i_jetty_vals)*P381</f>
        <v/>
      </c>
      <c r="Q400" s="19">
        <f>Q385*i_W_mc*Q381+Q384*Diligence!$C$373*SUMIF(i_jetty_years,Q$3,i_jetty_vals)*Q381</f>
        <v/>
      </c>
      <c r="R400" s="19">
        <f>R385*i_W_mc*R381+R384*Diligence!$C$373*SUMIF(i_jetty_years,R$3,i_jetty_vals)*R381</f>
        <v/>
      </c>
      <c r="S400" s="19">
        <f>S385*i_W_mc*S381+S384*Diligence!$C$373*SUMIF(i_jetty_years,S$3,i_jetty_vals)*S381</f>
        <v/>
      </c>
      <c r="T400" s="19">
        <f>T385*i_W_mc*T381+T384*Diligence!$C$373*SUMIF(i_jetty_years,T$3,i_jetty_vals)*T381</f>
        <v/>
      </c>
      <c r="U400" s="19">
        <f>U385*i_W_mc*U381+U384*Diligence!$C$373*SUMIF(i_jetty_years,U$3,i_jetty_vals)*U381</f>
        <v/>
      </c>
      <c r="V400" s="19">
        <f>V385*i_W_mc*V381+V384*Diligence!$C$373*SUMIF(i_jetty_years,V$3,i_jetty_vals)*V381</f>
        <v/>
      </c>
      <c r="W400" s="19">
        <f>W385*i_W_mc*W381+W384*Diligence!$C$373*SUMIF(i_jetty_years,W$3,i_jetty_vals)*W381</f>
        <v/>
      </c>
      <c r="X400" s="19">
        <f>X385*i_W_mc*X381+X384*Diligence!$C$373*SUMIF(i_jetty_years,X$3,i_jetty_vals)*X381</f>
        <v/>
      </c>
      <c r="Y400" s="19">
        <f>Y385*i_W_mc*Y381+Y384*Diligence!$C$373*SUMIF(i_jetty_years,Y$3,i_jetty_vals)*Y381</f>
        <v/>
      </c>
      <c r="Z400" s="19">
        <f>Z385*i_W_mc*Z381+Z384*Diligence!$C$373*SUMIF(i_jetty_years,Z$3,i_jetty_vals)*Z381</f>
        <v/>
      </c>
      <c r="AA400" s="19">
        <f>AA385*i_W_mc*AA381+AA384*Diligence!$C$373*SUMIF(i_jetty_years,AA$3,i_jetty_vals)*AA381</f>
        <v/>
      </c>
      <c r="AB400" s="19">
        <f>AB385*i_W_mc*AB381+AB384*Diligence!$C$373*SUMIF(i_jetty_years,AB$3,i_jetty_vals)*AB381</f>
        <v/>
      </c>
      <c r="AC400" s="19">
        <f>AC385*i_W_mc*AC381+AC384*Diligence!$C$373*SUMIF(i_jetty_years,AC$3,i_jetty_vals)*AC381</f>
        <v/>
      </c>
      <c r="AD400" s="19">
        <f>AD385*i_W_mc*AD381+AD384*Diligence!$C$373*SUMIF(i_jetty_years,AD$3,i_jetty_vals)*AD381</f>
        <v/>
      </c>
      <c r="AE400" s="19">
        <f>AE385*i_W_mc*AE381+AE384*Diligence!$C$373*SUMIF(i_jetty_years,AE$3,i_jetty_vals)*AE381</f>
        <v/>
      </c>
      <c r="AF400" s="19">
        <f>AF385*i_W_mc*AF381+AF384*Diligence!$C$373*SUMIF(i_jetty_years,AF$3,i_jetty_vals)*AF381</f>
        <v/>
      </c>
      <c r="AG400" s="19">
        <f>AG385*i_W_mc*AG381+AG384*Diligence!$C$373*SUMIF(i_jetty_years,AG$3,i_jetty_vals)*AG381</f>
        <v/>
      </c>
      <c r="AH400" s="19">
        <f>AH385*i_W_mc*AH381+AH384*Diligence!$C$373*SUMIF(i_jetty_years,AH$3,i_jetty_vals)*AH381</f>
        <v/>
      </c>
      <c r="AI400" s="19">
        <f>AI385*i_W_mc*AI381+AI384*Diligence!$C$373*SUMIF(i_jetty_years,AI$3,i_jetty_vals)*AI381</f>
        <v/>
      </c>
    </row>
    <row r="401">
      <c r="B401" s="3" t="inlineStr">
        <is>
          <t>Rhine Inland</t>
        </is>
      </c>
    </row>
    <row r="402">
      <c r="B402" s="2" t="inlineStr">
        <is>
          <t xml:space="preserve">  Capacity in service (million m3)</t>
        </is>
      </c>
      <c r="D402" s="24">
        <f>i_R_cap</f>
        <v/>
      </c>
      <c r="E402" s="24">
        <f>i_R_cap</f>
        <v/>
      </c>
      <c r="F402" s="24">
        <f>i_R_cap</f>
        <v/>
      </c>
      <c r="G402" s="24">
        <f>i_R_cap</f>
        <v/>
      </c>
      <c r="H402" s="24">
        <f>i_R_cap</f>
        <v/>
      </c>
      <c r="I402" s="24">
        <f>i_R_cap</f>
        <v/>
      </c>
      <c r="J402" s="24">
        <f>i_R_cap</f>
        <v/>
      </c>
      <c r="K402" s="24">
        <f>i_R_cap</f>
        <v/>
      </c>
      <c r="L402" s="24">
        <f>i_R_cap</f>
        <v/>
      </c>
      <c r="M402" s="24">
        <f>i_R_cap</f>
        <v/>
      </c>
      <c r="N402" s="24">
        <f>i_R_cap</f>
        <v/>
      </c>
      <c r="O402" s="24">
        <f>i_R_cap</f>
        <v/>
      </c>
      <c r="P402" s="24">
        <f>i_R_cap</f>
        <v/>
      </c>
      <c r="Q402" s="24">
        <f>i_R_cap</f>
        <v/>
      </c>
      <c r="R402" s="24">
        <f>i_R_cap</f>
        <v/>
      </c>
      <c r="S402" s="24">
        <f>i_R_cap</f>
        <v/>
      </c>
      <c r="T402" s="24">
        <f>i_R_cap</f>
        <v/>
      </c>
      <c r="U402" s="24">
        <f>i_R_cap</f>
        <v/>
      </c>
      <c r="V402" s="24">
        <f>i_R_cap</f>
        <v/>
      </c>
      <c r="W402" s="24">
        <f>i_R_cap</f>
        <v/>
      </c>
      <c r="X402" s="24">
        <f>i_R_cap</f>
        <v/>
      </c>
      <c r="Y402" s="24">
        <f>i_R_cap</f>
        <v/>
      </c>
      <c r="Z402" s="24">
        <f>i_R_cap</f>
        <v/>
      </c>
      <c r="AA402" s="24">
        <f>i_R_cap</f>
        <v/>
      </c>
      <c r="AB402" s="24">
        <f>i_R_cap</f>
        <v/>
      </c>
      <c r="AC402" s="24">
        <f>i_R_cap</f>
        <v/>
      </c>
      <c r="AD402" s="24">
        <f>i_R_cap</f>
        <v/>
      </c>
      <c r="AE402" s="24">
        <f>i_R_cap</f>
        <v/>
      </c>
      <c r="AF402" s="24">
        <f>i_R_cap</f>
        <v/>
      </c>
      <c r="AG402" s="24">
        <f>i_R_cap</f>
        <v/>
      </c>
      <c r="AH402" s="24">
        <f>i_R_cap</f>
        <v/>
      </c>
      <c r="AI402" s="24">
        <f>i_R_cap</f>
        <v/>
      </c>
    </row>
    <row r="403">
      <c r="B403" s="2" t="inlineStr">
        <is>
          <t xml:space="preserve">  Share on contracts signed before 2027</t>
        </is>
      </c>
      <c r="D403" s="21">
        <f>SUMIF(i_book_years,D$3,i_R_book)</f>
        <v/>
      </c>
      <c r="E403" s="21">
        <f>SUMIF(i_book_years,E$3,i_R_book)</f>
        <v/>
      </c>
      <c r="F403" s="21">
        <f>SUMIF(i_book_years,F$3,i_R_book)</f>
        <v/>
      </c>
      <c r="G403" s="21">
        <f>SUMIF(i_book_years,G$3,i_R_book)</f>
        <v/>
      </c>
      <c r="H403" s="21">
        <f>SUMIF(i_book_years,H$3,i_R_book)</f>
        <v/>
      </c>
      <c r="I403" s="21">
        <f>SUMIF(i_book_years,I$3,i_R_book)</f>
        <v/>
      </c>
      <c r="J403" s="21">
        <f>SUMIF(i_book_years,J$3,i_R_book)</f>
        <v/>
      </c>
      <c r="K403" s="21">
        <f>SUMIF(i_book_years,K$3,i_R_book)</f>
        <v/>
      </c>
      <c r="L403" s="21">
        <f>SUMIF(i_book_years,L$3,i_R_book)</f>
        <v/>
      </c>
      <c r="M403" s="21">
        <f>SUMIF(i_book_years,M$3,i_R_book)</f>
        <v/>
      </c>
      <c r="N403" s="21">
        <f>SUMIF(i_book_years,N$3,i_R_book)</f>
        <v/>
      </c>
      <c r="O403" s="21">
        <f>SUMIF(i_book_years,O$3,i_R_book)</f>
        <v/>
      </c>
      <c r="P403" s="21">
        <f>SUMIF(i_book_years,P$3,i_R_book)</f>
        <v/>
      </c>
      <c r="Q403" s="21">
        <f>SUMIF(i_book_years,Q$3,i_R_book)</f>
        <v/>
      </c>
      <c r="R403" s="21">
        <f>SUMIF(i_book_years,R$3,i_R_book)</f>
        <v/>
      </c>
      <c r="S403" s="21">
        <f>SUMIF(i_book_years,S$3,i_R_book)</f>
        <v/>
      </c>
      <c r="T403" s="21">
        <f>SUMIF(i_book_years,T$3,i_R_book)</f>
        <v/>
      </c>
      <c r="U403" s="21">
        <f>SUMIF(i_book_years,U$3,i_R_book)</f>
        <v/>
      </c>
      <c r="V403" s="21">
        <f>SUMIF(i_book_years,V$3,i_R_book)</f>
        <v/>
      </c>
      <c r="W403" s="21">
        <f>SUMIF(i_book_years,W$3,i_R_book)</f>
        <v/>
      </c>
      <c r="X403" s="21">
        <f>SUMIF(i_book_years,X$3,i_R_book)</f>
        <v/>
      </c>
      <c r="Y403" s="21">
        <f>SUMIF(i_book_years,Y$3,i_R_book)</f>
        <v/>
      </c>
      <c r="Z403" s="21">
        <f>SUMIF(i_book_years,Z$3,i_R_book)</f>
        <v/>
      </c>
      <c r="AA403" s="21">
        <f>SUMIF(i_book_years,AA$3,i_R_book)</f>
        <v/>
      </c>
      <c r="AB403" s="21">
        <f>SUMIF(i_book_years,AB$3,i_R_book)</f>
        <v/>
      </c>
      <c r="AC403" s="21">
        <f>SUMIF(i_book_years,AC$3,i_R_book)</f>
        <v/>
      </c>
      <c r="AD403" s="21">
        <f>SUMIF(i_book_years,AD$3,i_R_book)</f>
        <v/>
      </c>
      <c r="AE403" s="21">
        <f>SUMIF(i_book_years,AE$3,i_R_book)</f>
        <v/>
      </c>
      <c r="AF403" s="21">
        <f>SUMIF(i_book_years,AF$3,i_R_book)</f>
        <v/>
      </c>
      <c r="AG403" s="21">
        <f>SUMIF(i_book_years,AG$3,i_R_book)</f>
        <v/>
      </c>
      <c r="AH403" s="21">
        <f>SUMIF(i_book_years,AH$3,i_R_book)</f>
        <v/>
      </c>
      <c r="AI403" s="21">
        <f>SUMIF(i_book_years,AI$3,i_R_book)</f>
        <v/>
      </c>
    </row>
    <row r="404">
      <c r="B404" s="2" t="inlineStr">
        <is>
          <t xml:space="preserve">  Recontracting factor against current rates</t>
        </is>
      </c>
      <c r="D404" s="21">
        <f>IF(D$4=0,0,IF(Diligence!$C$371=1,i_R_mtm,i_R_mtm_plan)+Diligence!$C$377)</f>
        <v/>
      </c>
      <c r="E404" s="21">
        <f>IF(E$4=0,0,IF(Diligence!$C$371=1,i_R_mtm,i_R_mtm_plan)+Diligence!$C$377)</f>
        <v/>
      </c>
      <c r="F404" s="21">
        <f>IF(F$4=0,0,IF(Diligence!$C$371=1,i_R_mtm,i_R_mtm_plan)+Diligence!$C$377)</f>
        <v/>
      </c>
      <c r="G404" s="21">
        <f>IF(G$4=0,0,IF(Diligence!$C$371=1,i_R_mtm,i_R_mtm_plan)+Diligence!$C$377)</f>
        <v/>
      </c>
      <c r="H404" s="21">
        <f>IF(H$4=0,0,IF(Diligence!$C$371=1,i_R_mtm,i_R_mtm_plan)+Diligence!$C$377)</f>
        <v/>
      </c>
      <c r="I404" s="21">
        <f>IF(I$4=0,0,IF(Diligence!$C$371=1,i_R_mtm,i_R_mtm_plan)+Diligence!$C$377)</f>
        <v/>
      </c>
      <c r="J404" s="21">
        <f>IF(J$4=0,0,IF(Diligence!$C$371=1,i_R_mtm,i_R_mtm_plan)+Diligence!$C$377)</f>
        <v/>
      </c>
      <c r="K404" s="21">
        <f>IF(K$4=0,0,IF(Diligence!$C$371=1,i_R_mtm,i_R_mtm_plan)+Diligence!$C$377)</f>
        <v/>
      </c>
      <c r="L404" s="21">
        <f>IF(L$4=0,0,IF(Diligence!$C$371=1,i_R_mtm,i_R_mtm_plan)+Diligence!$C$377)</f>
        <v/>
      </c>
      <c r="M404" s="21">
        <f>IF(M$4=0,0,IF(Diligence!$C$371=1,i_R_mtm,i_R_mtm_plan)+Diligence!$C$377)</f>
        <v/>
      </c>
      <c r="N404" s="21">
        <f>IF(N$4=0,0,IF(Diligence!$C$371=1,i_R_mtm,i_R_mtm_plan)+Diligence!$C$377)</f>
        <v/>
      </c>
      <c r="O404" s="21">
        <f>IF(O$4=0,0,IF(Diligence!$C$371=1,i_R_mtm,i_R_mtm_plan)+Diligence!$C$377)</f>
        <v/>
      </c>
      <c r="P404" s="21">
        <f>IF(P$4=0,0,IF(Diligence!$C$371=1,i_R_mtm,i_R_mtm_plan)+Diligence!$C$377)</f>
        <v/>
      </c>
      <c r="Q404" s="21">
        <f>IF(Q$4=0,0,IF(Diligence!$C$371=1,i_R_mtm,i_R_mtm_plan)+Diligence!$C$377)</f>
        <v/>
      </c>
      <c r="R404" s="21">
        <f>IF(R$4=0,0,IF(Diligence!$C$371=1,i_R_mtm,i_R_mtm_plan)+Diligence!$C$377)</f>
        <v/>
      </c>
      <c r="S404" s="21">
        <f>IF(S$4=0,0,IF(Diligence!$C$371=1,i_R_mtm,i_R_mtm_plan)+Diligence!$C$377)</f>
        <v/>
      </c>
      <c r="T404" s="21">
        <f>IF(T$4=0,0,IF(Diligence!$C$371=1,i_R_mtm,i_R_mtm_plan)+Diligence!$C$377)</f>
        <v/>
      </c>
      <c r="U404" s="21">
        <f>IF(U$4=0,0,IF(Diligence!$C$371=1,i_R_mtm,i_R_mtm_plan)+Diligence!$C$377)</f>
        <v/>
      </c>
      <c r="V404" s="21">
        <f>IF(V$4=0,0,IF(Diligence!$C$371=1,i_R_mtm,i_R_mtm_plan)+Diligence!$C$377)</f>
        <v/>
      </c>
      <c r="W404" s="21">
        <f>IF(W$4=0,0,IF(Diligence!$C$371=1,i_R_mtm,i_R_mtm_plan)+Diligence!$C$377)</f>
        <v/>
      </c>
      <c r="X404" s="21">
        <f>IF(X$4=0,0,IF(Diligence!$C$371=1,i_R_mtm,i_R_mtm_plan)+Diligence!$C$377)</f>
        <v/>
      </c>
      <c r="Y404" s="21">
        <f>IF(Y$4=0,0,IF(Diligence!$C$371=1,i_R_mtm,i_R_mtm_plan)+Diligence!$C$377)</f>
        <v/>
      </c>
      <c r="Z404" s="21">
        <f>IF(Z$4=0,0,IF(Diligence!$C$371=1,i_R_mtm,i_R_mtm_plan)+Diligence!$C$377)</f>
        <v/>
      </c>
      <c r="AA404" s="21">
        <f>IF(AA$4=0,0,IF(Diligence!$C$371=1,i_R_mtm,i_R_mtm_plan)+Diligence!$C$377)</f>
        <v/>
      </c>
      <c r="AB404" s="21">
        <f>IF(AB$4=0,0,IF(Diligence!$C$371=1,i_R_mtm,i_R_mtm_plan)+Diligence!$C$377)</f>
        <v/>
      </c>
      <c r="AC404" s="21">
        <f>IF(AC$4=0,0,IF(Diligence!$C$371=1,i_R_mtm,i_R_mtm_plan)+Diligence!$C$377)</f>
        <v/>
      </c>
      <c r="AD404" s="21">
        <f>IF(AD$4=0,0,IF(Diligence!$C$371=1,i_R_mtm,i_R_mtm_plan)+Diligence!$C$377)</f>
        <v/>
      </c>
      <c r="AE404" s="21">
        <f>IF(AE$4=0,0,IF(Diligence!$C$371=1,i_R_mtm,i_R_mtm_plan)+Diligence!$C$377)</f>
        <v/>
      </c>
      <c r="AF404" s="21">
        <f>IF(AF$4=0,0,IF(Diligence!$C$371=1,i_R_mtm,i_R_mtm_plan)+Diligence!$C$377)</f>
        <v/>
      </c>
      <c r="AG404" s="21">
        <f>IF(AG$4=0,0,IF(Diligence!$C$371=1,i_R_mtm,i_R_mtm_plan)+Diligence!$C$377)</f>
        <v/>
      </c>
      <c r="AH404" s="21">
        <f>IF(AH$4=0,0,IF(Diligence!$C$371=1,i_R_mtm,i_R_mtm_plan)+Diligence!$C$377)</f>
        <v/>
      </c>
      <c r="AI404" s="21">
        <f>IF(AI$4=0,0,IF(Diligence!$C$371=1,i_R_mtm,i_R_mtm_plan)+Diligence!$C$377)</f>
        <v/>
      </c>
    </row>
    <row r="405">
      <c r="B405" s="2" t="inlineStr">
        <is>
          <t xml:space="preserve">  Average rate ($ per m3 per month)</t>
        </is>
      </c>
      <c r="D405" s="24">
        <f>i_R_rate*D382*(D403+(1-D403)*(1+D404))</f>
        <v/>
      </c>
      <c r="E405" s="24">
        <f>i_R_rate*E382*(E403+(1-E403)*(1+E404))</f>
        <v/>
      </c>
      <c r="F405" s="24">
        <f>i_R_rate*F382*(F403+(1-F403)*(1+F404))</f>
        <v/>
      </c>
      <c r="G405" s="24">
        <f>i_R_rate*G382*(G403+(1-G403)*(1+G404))</f>
        <v/>
      </c>
      <c r="H405" s="24">
        <f>i_R_rate*H382*(H403+(1-H403)*(1+H404))</f>
        <v/>
      </c>
      <c r="I405" s="24">
        <f>i_R_rate*I382*(I403+(1-I403)*(1+I404))</f>
        <v/>
      </c>
      <c r="J405" s="24">
        <f>i_R_rate*J382*(J403+(1-J403)*(1+J404))</f>
        <v/>
      </c>
      <c r="K405" s="24">
        <f>i_R_rate*K382*(K403+(1-K403)*(1+K404))</f>
        <v/>
      </c>
      <c r="L405" s="24">
        <f>i_R_rate*L382*(L403+(1-L403)*(1+L404))</f>
        <v/>
      </c>
      <c r="M405" s="24">
        <f>i_R_rate*M382*(M403+(1-M403)*(1+M404))</f>
        <v/>
      </c>
      <c r="N405" s="24">
        <f>i_R_rate*N382*(N403+(1-N403)*(1+N404))</f>
        <v/>
      </c>
      <c r="O405" s="24">
        <f>i_R_rate*O382*(O403+(1-O403)*(1+O404))</f>
        <v/>
      </c>
      <c r="P405" s="24">
        <f>i_R_rate*P382*(P403+(1-P403)*(1+P404))</f>
        <v/>
      </c>
      <c r="Q405" s="24">
        <f>i_R_rate*Q382*(Q403+(1-Q403)*(1+Q404))</f>
        <v/>
      </c>
      <c r="R405" s="24">
        <f>i_R_rate*R382*(R403+(1-R403)*(1+R404))</f>
        <v/>
      </c>
      <c r="S405" s="24">
        <f>i_R_rate*S382*(S403+(1-S403)*(1+S404))</f>
        <v/>
      </c>
      <c r="T405" s="24">
        <f>i_R_rate*T382*(T403+(1-T403)*(1+T404))</f>
        <v/>
      </c>
      <c r="U405" s="24">
        <f>i_R_rate*U382*(U403+(1-U403)*(1+U404))</f>
        <v/>
      </c>
      <c r="V405" s="24">
        <f>i_R_rate*V382*(V403+(1-V403)*(1+V404))</f>
        <v/>
      </c>
      <c r="W405" s="24">
        <f>i_R_rate*W382*(W403+(1-W403)*(1+W404))</f>
        <v/>
      </c>
      <c r="X405" s="24">
        <f>i_R_rate*X382*(X403+(1-X403)*(1+X404))</f>
        <v/>
      </c>
      <c r="Y405" s="24">
        <f>i_R_rate*Y382*(Y403+(1-Y403)*(1+Y404))</f>
        <v/>
      </c>
      <c r="Z405" s="24">
        <f>i_R_rate*Z382*(Z403+(1-Z403)*(1+Z404))</f>
        <v/>
      </c>
      <c r="AA405" s="24">
        <f>i_R_rate*AA382*(AA403+(1-AA403)*(1+AA404))</f>
        <v/>
      </c>
      <c r="AB405" s="24">
        <f>i_R_rate*AB382*(AB403+(1-AB403)*(1+AB404))</f>
        <v/>
      </c>
      <c r="AC405" s="24">
        <f>i_R_rate*AC382*(AC403+(1-AC403)*(1+AC404))</f>
        <v/>
      </c>
      <c r="AD405" s="24">
        <f>i_R_rate*AD382*(AD403+(1-AD403)*(1+AD404))</f>
        <v/>
      </c>
      <c r="AE405" s="24">
        <f>i_R_rate*AE382*(AE403+(1-AE403)*(1+AE404))</f>
        <v/>
      </c>
      <c r="AF405" s="24">
        <f>i_R_rate*AF382*(AF403+(1-AF403)*(1+AF404))</f>
        <v/>
      </c>
      <c r="AG405" s="24">
        <f>i_R_rate*AG382*(AG403+(1-AG403)*(1+AG404))</f>
        <v/>
      </c>
      <c r="AH405" s="24">
        <f>i_R_rate*AH382*(AH403+(1-AH403)*(1+AH404))</f>
        <v/>
      </c>
      <c r="AI405" s="24">
        <f>i_R_rate*AI382*(AI403+(1-AI403)*(1+AI404))</f>
        <v/>
      </c>
    </row>
    <row r="406">
      <c r="B406" s="2" t="inlineStr">
        <is>
          <t xml:space="preserve">  Occupancy after the transition decline and floor</t>
        </is>
      </c>
      <c r="D406" s="21">
        <f>IF(D$3&gt;i_trans_start,MAX(i_R_floor,i_R_occ-i_R_dec*(D$3-i_trans_start)),i_R_occ)</f>
        <v/>
      </c>
      <c r="E406" s="21">
        <f>IF(E$3&gt;i_trans_start,MAX(i_R_floor,i_R_occ-i_R_dec*(E$3-i_trans_start)),i_R_occ)</f>
        <v/>
      </c>
      <c r="F406" s="21">
        <f>IF(F$3&gt;i_trans_start,MAX(i_R_floor,i_R_occ-i_R_dec*(F$3-i_trans_start)),i_R_occ)</f>
        <v/>
      </c>
      <c r="G406" s="21">
        <f>IF(G$3&gt;i_trans_start,MAX(i_R_floor,i_R_occ-i_R_dec*(G$3-i_trans_start)),i_R_occ)</f>
        <v/>
      </c>
      <c r="H406" s="21">
        <f>IF(H$3&gt;i_trans_start,MAX(i_R_floor,i_R_occ-i_R_dec*(H$3-i_trans_start)),i_R_occ)</f>
        <v/>
      </c>
      <c r="I406" s="21">
        <f>IF(I$3&gt;i_trans_start,MAX(i_R_floor,i_R_occ-i_R_dec*(I$3-i_trans_start)),i_R_occ)</f>
        <v/>
      </c>
      <c r="J406" s="21">
        <f>IF(J$3&gt;i_trans_start,MAX(i_R_floor,i_R_occ-i_R_dec*(J$3-i_trans_start)),i_R_occ)</f>
        <v/>
      </c>
      <c r="K406" s="21">
        <f>IF(K$3&gt;i_trans_start,MAX(i_R_floor,i_R_occ-i_R_dec*(K$3-i_trans_start)),i_R_occ)</f>
        <v/>
      </c>
      <c r="L406" s="21">
        <f>IF(L$3&gt;i_trans_start,MAX(i_R_floor,i_R_occ-i_R_dec*(L$3-i_trans_start)),i_R_occ)</f>
        <v/>
      </c>
      <c r="M406" s="21">
        <f>IF(M$3&gt;i_trans_start,MAX(i_R_floor,i_R_occ-i_R_dec*(M$3-i_trans_start)),i_R_occ)</f>
        <v/>
      </c>
      <c r="N406" s="21">
        <f>IF(N$3&gt;i_trans_start,MAX(i_R_floor,i_R_occ-i_R_dec*(N$3-i_trans_start)),i_R_occ)</f>
        <v/>
      </c>
      <c r="O406" s="21">
        <f>IF(O$3&gt;i_trans_start,MAX(i_R_floor,i_R_occ-i_R_dec*(O$3-i_trans_start)),i_R_occ)</f>
        <v/>
      </c>
      <c r="P406" s="21">
        <f>IF(P$3&gt;i_trans_start,MAX(i_R_floor,i_R_occ-i_R_dec*(P$3-i_trans_start)),i_R_occ)</f>
        <v/>
      </c>
      <c r="Q406" s="21">
        <f>IF(Q$3&gt;i_trans_start,MAX(i_R_floor,i_R_occ-i_R_dec*(Q$3-i_trans_start)),i_R_occ)</f>
        <v/>
      </c>
      <c r="R406" s="21">
        <f>IF(R$3&gt;i_trans_start,MAX(i_R_floor,i_R_occ-i_R_dec*(R$3-i_trans_start)),i_R_occ)</f>
        <v/>
      </c>
      <c r="S406" s="21">
        <f>IF(S$3&gt;i_trans_start,MAX(i_R_floor,i_R_occ-i_R_dec*(S$3-i_trans_start)),i_R_occ)</f>
        <v/>
      </c>
      <c r="T406" s="21">
        <f>IF(T$3&gt;i_trans_start,MAX(i_R_floor,i_R_occ-i_R_dec*(T$3-i_trans_start)),i_R_occ)</f>
        <v/>
      </c>
      <c r="U406" s="21">
        <f>IF(U$3&gt;i_trans_start,MAX(i_R_floor,i_R_occ-i_R_dec*(U$3-i_trans_start)),i_R_occ)</f>
        <v/>
      </c>
      <c r="V406" s="21">
        <f>IF(V$3&gt;i_trans_start,MAX(i_R_floor,i_R_occ-i_R_dec*(V$3-i_trans_start)),i_R_occ)</f>
        <v/>
      </c>
      <c r="W406" s="21">
        <f>IF(W$3&gt;i_trans_start,MAX(i_R_floor,i_R_occ-i_R_dec*(W$3-i_trans_start)),i_R_occ)</f>
        <v/>
      </c>
      <c r="X406" s="21">
        <f>IF(X$3&gt;i_trans_start,MAX(i_R_floor,i_R_occ-i_R_dec*(X$3-i_trans_start)),i_R_occ)</f>
        <v/>
      </c>
      <c r="Y406" s="21">
        <f>IF(Y$3&gt;i_trans_start,MAX(i_R_floor,i_R_occ-i_R_dec*(Y$3-i_trans_start)),i_R_occ)</f>
        <v/>
      </c>
      <c r="Z406" s="21">
        <f>IF(Z$3&gt;i_trans_start,MAX(i_R_floor,i_R_occ-i_R_dec*(Z$3-i_trans_start)),i_R_occ)</f>
        <v/>
      </c>
      <c r="AA406" s="21">
        <f>IF(AA$3&gt;i_trans_start,MAX(i_R_floor,i_R_occ-i_R_dec*(AA$3-i_trans_start)),i_R_occ)</f>
        <v/>
      </c>
      <c r="AB406" s="21">
        <f>IF(AB$3&gt;i_trans_start,MAX(i_R_floor,i_R_occ-i_R_dec*(AB$3-i_trans_start)),i_R_occ)</f>
        <v/>
      </c>
      <c r="AC406" s="21">
        <f>IF(AC$3&gt;i_trans_start,MAX(i_R_floor,i_R_occ-i_R_dec*(AC$3-i_trans_start)),i_R_occ)</f>
        <v/>
      </c>
      <c r="AD406" s="21">
        <f>IF(AD$3&gt;i_trans_start,MAX(i_R_floor,i_R_occ-i_R_dec*(AD$3-i_trans_start)),i_R_occ)</f>
        <v/>
      </c>
      <c r="AE406" s="21">
        <f>IF(AE$3&gt;i_trans_start,MAX(i_R_floor,i_R_occ-i_R_dec*(AE$3-i_trans_start)),i_R_occ)</f>
        <v/>
      </c>
      <c r="AF406" s="21">
        <f>IF(AF$3&gt;i_trans_start,MAX(i_R_floor,i_R_occ-i_R_dec*(AF$3-i_trans_start)),i_R_occ)</f>
        <v/>
      </c>
      <c r="AG406" s="21">
        <f>IF(AG$3&gt;i_trans_start,MAX(i_R_floor,i_R_occ-i_R_dec*(AG$3-i_trans_start)),i_R_occ)</f>
        <v/>
      </c>
      <c r="AH406" s="21">
        <f>IF(AH$3&gt;i_trans_start,MAX(i_R_floor,i_R_occ-i_R_dec*(AH$3-i_trans_start)),i_R_occ)</f>
        <v/>
      </c>
      <c r="AI406" s="21">
        <f>IF(AI$3&gt;i_trans_start,MAX(i_R_floor,i_R_occ-i_R_dec*(AI$3-i_trans_start)),i_R_occ)</f>
        <v/>
      </c>
    </row>
    <row r="407">
      <c r="B407" s="2" t="inlineStr">
        <is>
          <t xml:space="preserve">  Occupancy (with the shift switch from 2027)</t>
        </is>
      </c>
      <c r="D407" s="21">
        <f>IF(D$4&gt;0,MIN(1,D406+Diligence!$C$376),D406)</f>
        <v/>
      </c>
      <c r="E407" s="21">
        <f>IF(E$4&gt;0,MIN(1,E406+Diligence!$C$376),E406)</f>
        <v/>
      </c>
      <c r="F407" s="21">
        <f>IF(F$4&gt;0,MIN(1,F406+Diligence!$C$376),F406)</f>
        <v/>
      </c>
      <c r="G407" s="21">
        <f>IF(G$4&gt;0,MIN(1,G406+Diligence!$C$376),G406)</f>
        <v/>
      </c>
      <c r="H407" s="21">
        <f>IF(H$4&gt;0,MIN(1,H406+Diligence!$C$376),H406)</f>
        <v/>
      </c>
      <c r="I407" s="21">
        <f>IF(I$4&gt;0,MIN(1,I406+Diligence!$C$376),I406)</f>
        <v/>
      </c>
      <c r="J407" s="21">
        <f>IF(J$4&gt;0,MIN(1,J406+Diligence!$C$376),J406)</f>
        <v/>
      </c>
      <c r="K407" s="21">
        <f>IF(K$4&gt;0,MIN(1,K406+Diligence!$C$376),K406)</f>
        <v/>
      </c>
      <c r="L407" s="21">
        <f>IF(L$4&gt;0,MIN(1,L406+Diligence!$C$376),L406)</f>
        <v/>
      </c>
      <c r="M407" s="21">
        <f>IF(M$4&gt;0,MIN(1,M406+Diligence!$C$376),M406)</f>
        <v/>
      </c>
      <c r="N407" s="21">
        <f>IF(N$4&gt;0,MIN(1,N406+Diligence!$C$376),N406)</f>
        <v/>
      </c>
      <c r="O407" s="21">
        <f>IF(O$4&gt;0,MIN(1,O406+Diligence!$C$376),O406)</f>
        <v/>
      </c>
      <c r="P407" s="21">
        <f>IF(P$4&gt;0,MIN(1,P406+Diligence!$C$376),P406)</f>
        <v/>
      </c>
      <c r="Q407" s="21">
        <f>IF(Q$4&gt;0,MIN(1,Q406+Diligence!$C$376),Q406)</f>
        <v/>
      </c>
      <c r="R407" s="21">
        <f>IF(R$4&gt;0,MIN(1,R406+Diligence!$C$376),R406)</f>
        <v/>
      </c>
      <c r="S407" s="21">
        <f>IF(S$4&gt;0,MIN(1,S406+Diligence!$C$376),S406)</f>
        <v/>
      </c>
      <c r="T407" s="21">
        <f>IF(T$4&gt;0,MIN(1,T406+Diligence!$C$376),T406)</f>
        <v/>
      </c>
      <c r="U407" s="21">
        <f>IF(U$4&gt;0,MIN(1,U406+Diligence!$C$376),U406)</f>
        <v/>
      </c>
      <c r="V407" s="21">
        <f>IF(V$4&gt;0,MIN(1,V406+Diligence!$C$376),V406)</f>
        <v/>
      </c>
      <c r="W407" s="21">
        <f>IF(W$4&gt;0,MIN(1,W406+Diligence!$C$376),W406)</f>
        <v/>
      </c>
      <c r="X407" s="21">
        <f>IF(X$4&gt;0,MIN(1,X406+Diligence!$C$376),X406)</f>
        <v/>
      </c>
      <c r="Y407" s="21">
        <f>IF(Y$4&gt;0,MIN(1,Y406+Diligence!$C$376),Y406)</f>
        <v/>
      </c>
      <c r="Z407" s="21">
        <f>IF(Z$4&gt;0,MIN(1,Z406+Diligence!$C$376),Z406)</f>
        <v/>
      </c>
      <c r="AA407" s="21">
        <f>IF(AA$4&gt;0,MIN(1,AA406+Diligence!$C$376),AA406)</f>
        <v/>
      </c>
      <c r="AB407" s="21">
        <f>IF(AB$4&gt;0,MIN(1,AB406+Diligence!$C$376),AB406)</f>
        <v/>
      </c>
      <c r="AC407" s="21">
        <f>IF(AC$4&gt;0,MIN(1,AC406+Diligence!$C$376),AC406)</f>
        <v/>
      </c>
      <c r="AD407" s="21">
        <f>IF(AD$4&gt;0,MIN(1,AD406+Diligence!$C$376),AD406)</f>
        <v/>
      </c>
      <c r="AE407" s="21">
        <f>IF(AE$4&gt;0,MIN(1,AE406+Diligence!$C$376),AE406)</f>
        <v/>
      </c>
      <c r="AF407" s="21">
        <f>IF(AF$4&gt;0,MIN(1,AF406+Diligence!$C$376),AF406)</f>
        <v/>
      </c>
      <c r="AG407" s="21">
        <f>IF(AG$4&gt;0,MIN(1,AG406+Diligence!$C$376),AG406)</f>
        <v/>
      </c>
      <c r="AH407" s="21">
        <f>IF(AH$4&gt;0,MIN(1,AH406+Diligence!$C$376),AH406)</f>
        <v/>
      </c>
      <c r="AI407" s="21">
        <f>IF(AI$4&gt;0,MIN(1,AI406+Diligence!$C$376),AI406)</f>
        <v/>
      </c>
    </row>
    <row r="408">
      <c r="B408" s="2" t="inlineStr">
        <is>
          <t xml:space="preserve">  Storage revenue</t>
        </is>
      </c>
      <c r="D408" s="19">
        <f>D402*D405*12*D407</f>
        <v/>
      </c>
      <c r="E408" s="19">
        <f>E402*E405*12*E407</f>
        <v/>
      </c>
      <c r="F408" s="19">
        <f>F402*F405*12*F407</f>
        <v/>
      </c>
      <c r="G408" s="19">
        <f>G402*G405*12*G407</f>
        <v/>
      </c>
      <c r="H408" s="19">
        <f>H402*H405*12*H407</f>
        <v/>
      </c>
      <c r="I408" s="19">
        <f>I402*I405*12*I407</f>
        <v/>
      </c>
      <c r="J408" s="19">
        <f>J402*J405*12*J407</f>
        <v/>
      </c>
      <c r="K408" s="19">
        <f>K402*K405*12*K407</f>
        <v/>
      </c>
      <c r="L408" s="19">
        <f>L402*L405*12*L407</f>
        <v/>
      </c>
      <c r="M408" s="19">
        <f>M402*M405*12*M407</f>
        <v/>
      </c>
      <c r="N408" s="19">
        <f>N402*N405*12*N407</f>
        <v/>
      </c>
      <c r="O408" s="19">
        <f>O402*O405*12*O407</f>
        <v/>
      </c>
      <c r="P408" s="19">
        <f>P402*P405*12*P407</f>
        <v/>
      </c>
      <c r="Q408" s="19">
        <f>Q402*Q405*12*Q407</f>
        <v/>
      </c>
      <c r="R408" s="19">
        <f>R402*R405*12*R407</f>
        <v/>
      </c>
      <c r="S408" s="19">
        <f>S402*S405*12*S407</f>
        <v/>
      </c>
      <c r="T408" s="19">
        <f>T402*T405*12*T407</f>
        <v/>
      </c>
      <c r="U408" s="19">
        <f>U402*U405*12*U407</f>
        <v/>
      </c>
      <c r="V408" s="19">
        <f>V402*V405*12*V407</f>
        <v/>
      </c>
      <c r="W408" s="19">
        <f>W402*W405*12*W407</f>
        <v/>
      </c>
      <c r="X408" s="19">
        <f>X402*X405*12*X407</f>
        <v/>
      </c>
      <c r="Y408" s="19">
        <f>Y402*Y405*12*Y407</f>
        <v/>
      </c>
      <c r="Z408" s="19">
        <f>Z402*Z405*12*Z407</f>
        <v/>
      </c>
      <c r="AA408" s="19">
        <f>AA402*AA405*12*AA407</f>
        <v/>
      </c>
      <c r="AB408" s="19">
        <f>AB402*AB405*12*AB407</f>
        <v/>
      </c>
      <c r="AC408" s="19">
        <f>AC402*AC405*12*AC407</f>
        <v/>
      </c>
      <c r="AD408" s="19">
        <f>AD402*AD405*12*AD407</f>
        <v/>
      </c>
      <c r="AE408" s="19">
        <f>AE402*AE405*12*AE407</f>
        <v/>
      </c>
      <c r="AF408" s="19">
        <f>AF402*AF405*12*AF407</f>
        <v/>
      </c>
      <c r="AG408" s="19">
        <f>AG402*AG405*12*AG407</f>
        <v/>
      </c>
      <c r="AH408" s="19">
        <f>AH402*AH405*12*AH407</f>
        <v/>
      </c>
      <c r="AI408" s="19">
        <f>AI402*AI405*12*AI407</f>
        <v/>
      </c>
    </row>
    <row r="409">
      <c r="B409" s="2" t="inlineStr">
        <is>
          <t xml:space="preserve">  Ancillary and throughput revenue</t>
        </is>
      </c>
      <c r="D409" s="19">
        <f>D408*i_R_anc</f>
        <v/>
      </c>
      <c r="E409" s="19">
        <f>E408*i_R_anc</f>
        <v/>
      </c>
      <c r="F409" s="19">
        <f>F408*i_R_anc</f>
        <v/>
      </c>
      <c r="G409" s="19">
        <f>G408*i_R_anc</f>
        <v/>
      </c>
      <c r="H409" s="19">
        <f>H408*i_R_anc</f>
        <v/>
      </c>
      <c r="I409" s="19">
        <f>I408*i_R_anc</f>
        <v/>
      </c>
      <c r="J409" s="19">
        <f>J408*i_R_anc</f>
        <v/>
      </c>
      <c r="K409" s="19">
        <f>K408*i_R_anc</f>
        <v/>
      </c>
      <c r="L409" s="19">
        <f>L408*i_R_anc</f>
        <v/>
      </c>
      <c r="M409" s="19">
        <f>M408*i_R_anc</f>
        <v/>
      </c>
      <c r="N409" s="19">
        <f>N408*i_R_anc</f>
        <v/>
      </c>
      <c r="O409" s="19">
        <f>O408*i_R_anc</f>
        <v/>
      </c>
      <c r="P409" s="19">
        <f>P408*i_R_anc</f>
        <v/>
      </c>
      <c r="Q409" s="19">
        <f>Q408*i_R_anc</f>
        <v/>
      </c>
      <c r="R409" s="19">
        <f>R408*i_R_anc</f>
        <v/>
      </c>
      <c r="S409" s="19">
        <f>S408*i_R_anc</f>
        <v/>
      </c>
      <c r="T409" s="19">
        <f>T408*i_R_anc</f>
        <v/>
      </c>
      <c r="U409" s="19">
        <f>U408*i_R_anc</f>
        <v/>
      </c>
      <c r="V409" s="19">
        <f>V408*i_R_anc</f>
        <v/>
      </c>
      <c r="W409" s="19">
        <f>W408*i_R_anc</f>
        <v/>
      </c>
      <c r="X409" s="19">
        <f>X408*i_R_anc</f>
        <v/>
      </c>
      <c r="Y409" s="19">
        <f>Y408*i_R_anc</f>
        <v/>
      </c>
      <c r="Z409" s="19">
        <f>Z408*i_R_anc</f>
        <v/>
      </c>
      <c r="AA409" s="19">
        <f>AA408*i_R_anc</f>
        <v/>
      </c>
      <c r="AB409" s="19">
        <f>AB408*i_R_anc</f>
        <v/>
      </c>
      <c r="AC409" s="19">
        <f>AC408*i_R_anc</f>
        <v/>
      </c>
      <c r="AD409" s="19">
        <f>AD408*i_R_anc</f>
        <v/>
      </c>
      <c r="AE409" s="19">
        <f>AE408*i_R_anc</f>
        <v/>
      </c>
      <c r="AF409" s="19">
        <f>AF408*i_R_anc</f>
        <v/>
      </c>
      <c r="AG409" s="19">
        <f>AG408*i_R_anc</f>
        <v/>
      </c>
      <c r="AH409" s="19">
        <f>AH408*i_R_anc</f>
        <v/>
      </c>
      <c r="AI409" s="19">
        <f>AI408*i_R_anc</f>
        <v/>
      </c>
    </row>
    <row r="410">
      <c r="B410" s="3" t="inlineStr">
        <is>
          <t xml:space="preserve">  Revenue</t>
        </is>
      </c>
      <c r="D410" s="31">
        <f>D408+D409</f>
        <v/>
      </c>
      <c r="E410" s="31">
        <f>E408+E409</f>
        <v/>
      </c>
      <c r="F410" s="31">
        <f>F408+F409</f>
        <v/>
      </c>
      <c r="G410" s="31">
        <f>G408+G409</f>
        <v/>
      </c>
      <c r="H410" s="31">
        <f>H408+H409</f>
        <v/>
      </c>
      <c r="I410" s="31">
        <f>I408+I409</f>
        <v/>
      </c>
      <c r="J410" s="31">
        <f>J408+J409</f>
        <v/>
      </c>
      <c r="K410" s="31">
        <f>K408+K409</f>
        <v/>
      </c>
      <c r="L410" s="31">
        <f>L408+L409</f>
        <v/>
      </c>
      <c r="M410" s="31">
        <f>M408+M409</f>
        <v/>
      </c>
      <c r="N410" s="31">
        <f>N408+N409</f>
        <v/>
      </c>
      <c r="O410" s="31">
        <f>O408+O409</f>
        <v/>
      </c>
      <c r="P410" s="31">
        <f>P408+P409</f>
        <v/>
      </c>
      <c r="Q410" s="31">
        <f>Q408+Q409</f>
        <v/>
      </c>
      <c r="R410" s="31">
        <f>R408+R409</f>
        <v/>
      </c>
      <c r="S410" s="31">
        <f>S408+S409</f>
        <v/>
      </c>
      <c r="T410" s="31">
        <f>T408+T409</f>
        <v/>
      </c>
      <c r="U410" s="31">
        <f>U408+U409</f>
        <v/>
      </c>
      <c r="V410" s="31">
        <f>V408+V409</f>
        <v/>
      </c>
      <c r="W410" s="31">
        <f>W408+W409</f>
        <v/>
      </c>
      <c r="X410" s="31">
        <f>X408+X409</f>
        <v/>
      </c>
      <c r="Y410" s="31">
        <f>Y408+Y409</f>
        <v/>
      </c>
      <c r="Z410" s="31">
        <f>Z408+Z409</f>
        <v/>
      </c>
      <c r="AA410" s="31">
        <f>AA408+AA409</f>
        <v/>
      </c>
      <c r="AB410" s="31">
        <f>AB408+AB409</f>
        <v/>
      </c>
      <c r="AC410" s="31">
        <f>AC408+AC409</f>
        <v/>
      </c>
      <c r="AD410" s="31">
        <f>AD408+AD409</f>
        <v/>
      </c>
      <c r="AE410" s="31">
        <f>AE408+AE409</f>
        <v/>
      </c>
      <c r="AF410" s="31">
        <f>AF408+AF409</f>
        <v/>
      </c>
      <c r="AG410" s="31">
        <f>AG408+AG409</f>
        <v/>
      </c>
      <c r="AH410" s="31">
        <f>AH408+AH409</f>
        <v/>
      </c>
      <c r="AI410" s="31">
        <f>AI408+AI409</f>
        <v/>
      </c>
    </row>
    <row r="411">
      <c r="B411" s="2" t="inlineStr">
        <is>
          <t xml:space="preserve">  Fixed cost</t>
        </is>
      </c>
      <c r="D411" s="19">
        <f>D402*i_R_fix*D381</f>
        <v/>
      </c>
      <c r="E411" s="19">
        <f>E402*i_R_fix*E381</f>
        <v/>
      </c>
      <c r="F411" s="19">
        <f>F402*i_R_fix*F381</f>
        <v/>
      </c>
      <c r="G411" s="19">
        <f>G402*i_R_fix*G381</f>
        <v/>
      </c>
      <c r="H411" s="19">
        <f>H402*i_R_fix*H381</f>
        <v/>
      </c>
      <c r="I411" s="19">
        <f>I402*i_R_fix*I381</f>
        <v/>
      </c>
      <c r="J411" s="19">
        <f>J402*i_R_fix*J381</f>
        <v/>
      </c>
      <c r="K411" s="19">
        <f>K402*i_R_fix*K381</f>
        <v/>
      </c>
      <c r="L411" s="19">
        <f>L402*i_R_fix*L381</f>
        <v/>
      </c>
      <c r="M411" s="19">
        <f>M402*i_R_fix*M381</f>
        <v/>
      </c>
      <c r="N411" s="19">
        <f>N402*i_R_fix*N381</f>
        <v/>
      </c>
      <c r="O411" s="19">
        <f>O402*i_R_fix*O381</f>
        <v/>
      </c>
      <c r="P411" s="19">
        <f>P402*i_R_fix*P381</f>
        <v/>
      </c>
      <c r="Q411" s="19">
        <f>Q402*i_R_fix*Q381</f>
        <v/>
      </c>
      <c r="R411" s="19">
        <f>R402*i_R_fix*R381</f>
        <v/>
      </c>
      <c r="S411" s="19">
        <f>S402*i_R_fix*S381</f>
        <v/>
      </c>
      <c r="T411" s="19">
        <f>T402*i_R_fix*T381</f>
        <v/>
      </c>
      <c r="U411" s="19">
        <f>U402*i_R_fix*U381</f>
        <v/>
      </c>
      <c r="V411" s="19">
        <f>V402*i_R_fix*V381</f>
        <v/>
      </c>
      <c r="W411" s="19">
        <f>W402*i_R_fix*W381</f>
        <v/>
      </c>
      <c r="X411" s="19">
        <f>X402*i_R_fix*X381</f>
        <v/>
      </c>
      <c r="Y411" s="19">
        <f>Y402*i_R_fix*Y381</f>
        <v/>
      </c>
      <c r="Z411" s="19">
        <f>Z402*i_R_fix*Z381</f>
        <v/>
      </c>
      <c r="AA411" s="19">
        <f>AA402*i_R_fix*AA381</f>
        <v/>
      </c>
      <c r="AB411" s="19">
        <f>AB402*i_R_fix*AB381</f>
        <v/>
      </c>
      <c r="AC411" s="19">
        <f>AC402*i_R_fix*AC381</f>
        <v/>
      </c>
      <c r="AD411" s="19">
        <f>AD402*i_R_fix*AD381</f>
        <v/>
      </c>
      <c r="AE411" s="19">
        <f>AE402*i_R_fix*AE381</f>
        <v/>
      </c>
      <c r="AF411" s="19">
        <f>AF402*i_R_fix*AF381</f>
        <v/>
      </c>
      <c r="AG411" s="19">
        <f>AG402*i_R_fix*AG381</f>
        <v/>
      </c>
      <c r="AH411" s="19">
        <f>AH402*i_R_fix*AH381</f>
        <v/>
      </c>
      <c r="AI411" s="19">
        <f>AI402*i_R_fix*AI381</f>
        <v/>
      </c>
    </row>
    <row r="412">
      <c r="B412" s="2" t="inlineStr">
        <is>
          <t xml:space="preserve">  Variable cost</t>
        </is>
      </c>
      <c r="D412" s="19">
        <f>i_R_var*D410</f>
        <v/>
      </c>
      <c r="E412" s="19">
        <f>i_R_var*E410</f>
        <v/>
      </c>
      <c r="F412" s="19">
        <f>i_R_var*F410</f>
        <v/>
      </c>
      <c r="G412" s="19">
        <f>i_R_var*G410</f>
        <v/>
      </c>
      <c r="H412" s="19">
        <f>i_R_var*H410</f>
        <v/>
      </c>
      <c r="I412" s="19">
        <f>i_R_var*I410</f>
        <v/>
      </c>
      <c r="J412" s="19">
        <f>i_R_var*J410</f>
        <v/>
      </c>
      <c r="K412" s="19">
        <f>i_R_var*K410</f>
        <v/>
      </c>
      <c r="L412" s="19">
        <f>i_R_var*L410</f>
        <v/>
      </c>
      <c r="M412" s="19">
        <f>i_R_var*M410</f>
        <v/>
      </c>
      <c r="N412" s="19">
        <f>i_R_var*N410</f>
        <v/>
      </c>
      <c r="O412" s="19">
        <f>i_R_var*O410</f>
        <v/>
      </c>
      <c r="P412" s="19">
        <f>i_R_var*P410</f>
        <v/>
      </c>
      <c r="Q412" s="19">
        <f>i_R_var*Q410</f>
        <v/>
      </c>
      <c r="R412" s="19">
        <f>i_R_var*R410</f>
        <v/>
      </c>
      <c r="S412" s="19">
        <f>i_R_var*S410</f>
        <v/>
      </c>
      <c r="T412" s="19">
        <f>i_R_var*T410</f>
        <v/>
      </c>
      <c r="U412" s="19">
        <f>i_R_var*U410</f>
        <v/>
      </c>
      <c r="V412" s="19">
        <f>i_R_var*V410</f>
        <v/>
      </c>
      <c r="W412" s="19">
        <f>i_R_var*W410</f>
        <v/>
      </c>
      <c r="X412" s="19">
        <f>i_R_var*X410</f>
        <v/>
      </c>
      <c r="Y412" s="19">
        <f>i_R_var*Y410</f>
        <v/>
      </c>
      <c r="Z412" s="19">
        <f>i_R_var*Z410</f>
        <v/>
      </c>
      <c r="AA412" s="19">
        <f>i_R_var*AA410</f>
        <v/>
      </c>
      <c r="AB412" s="19">
        <f>i_R_var*AB410</f>
        <v/>
      </c>
      <c r="AC412" s="19">
        <f>i_R_var*AC410</f>
        <v/>
      </c>
      <c r="AD412" s="19">
        <f>i_R_var*AD410</f>
        <v/>
      </c>
      <c r="AE412" s="19">
        <f>i_R_var*AE410</f>
        <v/>
      </c>
      <c r="AF412" s="19">
        <f>i_R_var*AF410</f>
        <v/>
      </c>
      <c r="AG412" s="19">
        <f>i_R_var*AG410</f>
        <v/>
      </c>
      <c r="AH412" s="19">
        <f>i_R_var*AH410</f>
        <v/>
      </c>
      <c r="AI412" s="19">
        <f>i_R_var*AI410</f>
        <v/>
      </c>
    </row>
    <row r="413">
      <c r="B413" s="2" t="inlineStr">
        <is>
          <t xml:space="preserve">  Operating cost</t>
        </is>
      </c>
      <c r="D413" s="19">
        <f>D411+D412</f>
        <v/>
      </c>
      <c r="E413" s="19">
        <f>E411+E412</f>
        <v/>
      </c>
      <c r="F413" s="19">
        <f>F411+F412</f>
        <v/>
      </c>
      <c r="G413" s="19">
        <f>G411+G412</f>
        <v/>
      </c>
      <c r="H413" s="19">
        <f>H411+H412</f>
        <v/>
      </c>
      <c r="I413" s="19">
        <f>I411+I412</f>
        <v/>
      </c>
      <c r="J413" s="19">
        <f>J411+J412</f>
        <v/>
      </c>
      <c r="K413" s="19">
        <f>K411+K412</f>
        <v/>
      </c>
      <c r="L413" s="19">
        <f>L411+L412</f>
        <v/>
      </c>
      <c r="M413" s="19">
        <f>M411+M412</f>
        <v/>
      </c>
      <c r="N413" s="19">
        <f>N411+N412</f>
        <v/>
      </c>
      <c r="O413" s="19">
        <f>O411+O412</f>
        <v/>
      </c>
      <c r="P413" s="19">
        <f>P411+P412</f>
        <v/>
      </c>
      <c r="Q413" s="19">
        <f>Q411+Q412</f>
        <v/>
      </c>
      <c r="R413" s="19">
        <f>R411+R412</f>
        <v/>
      </c>
      <c r="S413" s="19">
        <f>S411+S412</f>
        <v/>
      </c>
      <c r="T413" s="19">
        <f>T411+T412</f>
        <v/>
      </c>
      <c r="U413" s="19">
        <f>U411+U412</f>
        <v/>
      </c>
      <c r="V413" s="19">
        <f>V411+V412</f>
        <v/>
      </c>
      <c r="W413" s="19">
        <f>W411+W412</f>
        <v/>
      </c>
      <c r="X413" s="19">
        <f>X411+X412</f>
        <v/>
      </c>
      <c r="Y413" s="19">
        <f>Y411+Y412</f>
        <v/>
      </c>
      <c r="Z413" s="19">
        <f>Z411+Z412</f>
        <v/>
      </c>
      <c r="AA413" s="19">
        <f>AA411+AA412</f>
        <v/>
      </c>
      <c r="AB413" s="19">
        <f>AB411+AB412</f>
        <v/>
      </c>
      <c r="AC413" s="19">
        <f>AC411+AC412</f>
        <v/>
      </c>
      <c r="AD413" s="19">
        <f>AD411+AD412</f>
        <v/>
      </c>
      <c r="AE413" s="19">
        <f>AE411+AE412</f>
        <v/>
      </c>
      <c r="AF413" s="19">
        <f>AF411+AF412</f>
        <v/>
      </c>
      <c r="AG413" s="19">
        <f>AG411+AG412</f>
        <v/>
      </c>
      <c r="AH413" s="19">
        <f>AH411+AH412</f>
        <v/>
      </c>
      <c r="AI413" s="19">
        <f>AI411+AI412</f>
        <v/>
      </c>
    </row>
    <row r="414">
      <c r="B414" s="3" t="inlineStr">
        <is>
          <t xml:space="preserve">  EBITDA</t>
        </is>
      </c>
      <c r="D414" s="31">
        <f>D410-D413</f>
        <v/>
      </c>
      <c r="E414" s="31">
        <f>E410-E413</f>
        <v/>
      </c>
      <c r="F414" s="31">
        <f>F410-F413</f>
        <v/>
      </c>
      <c r="G414" s="31">
        <f>G410-G413</f>
        <v/>
      </c>
      <c r="H414" s="31">
        <f>H410-H413</f>
        <v/>
      </c>
      <c r="I414" s="31">
        <f>I410-I413</f>
        <v/>
      </c>
      <c r="J414" s="31">
        <f>J410-J413</f>
        <v/>
      </c>
      <c r="K414" s="31">
        <f>K410-K413</f>
        <v/>
      </c>
      <c r="L414" s="31">
        <f>L410-L413</f>
        <v/>
      </c>
      <c r="M414" s="31">
        <f>M410-M413</f>
        <v/>
      </c>
      <c r="N414" s="31">
        <f>N410-N413</f>
        <v/>
      </c>
      <c r="O414" s="31">
        <f>O410-O413</f>
        <v/>
      </c>
      <c r="P414" s="31">
        <f>P410-P413</f>
        <v/>
      </c>
      <c r="Q414" s="31">
        <f>Q410-Q413</f>
        <v/>
      </c>
      <c r="R414" s="31">
        <f>R410-R413</f>
        <v/>
      </c>
      <c r="S414" s="31">
        <f>S410-S413</f>
        <v/>
      </c>
      <c r="T414" s="31">
        <f>T410-T413</f>
        <v/>
      </c>
      <c r="U414" s="31">
        <f>U410-U413</f>
        <v/>
      </c>
      <c r="V414" s="31">
        <f>V410-V413</f>
        <v/>
      </c>
      <c r="W414" s="31">
        <f>W410-W413</f>
        <v/>
      </c>
      <c r="X414" s="31">
        <f>X410-X413</f>
        <v/>
      </c>
      <c r="Y414" s="31">
        <f>Y410-Y413</f>
        <v/>
      </c>
      <c r="Z414" s="31">
        <f>Z410-Z413</f>
        <v/>
      </c>
      <c r="AA414" s="31">
        <f>AA410-AA413</f>
        <v/>
      </c>
      <c r="AB414" s="31">
        <f>AB410-AB413</f>
        <v/>
      </c>
      <c r="AC414" s="31">
        <f>AC410-AC413</f>
        <v/>
      </c>
      <c r="AD414" s="31">
        <f>AD410-AD413</f>
        <v/>
      </c>
      <c r="AE414" s="31">
        <f>AE410-AE413</f>
        <v/>
      </c>
      <c r="AF414" s="31">
        <f>AF410-AF413</f>
        <v/>
      </c>
      <c r="AG414" s="31">
        <f>AG410-AG413</f>
        <v/>
      </c>
      <c r="AH414" s="31">
        <f>AH410-AH413</f>
        <v/>
      </c>
      <c r="AI414" s="31">
        <f>AI410-AI413</f>
        <v/>
      </c>
    </row>
    <row r="415">
      <c r="B415" s="2" t="inlineStr">
        <is>
          <t xml:space="preserve">  Maintenance capex</t>
        </is>
      </c>
      <c r="D415" s="19">
        <f>D402*i_R_mc*D381</f>
        <v/>
      </c>
      <c r="E415" s="19">
        <f>E402*i_R_mc*E381</f>
        <v/>
      </c>
      <c r="F415" s="19">
        <f>F402*i_R_mc*F381</f>
        <v/>
      </c>
      <c r="G415" s="19">
        <f>G402*i_R_mc*G381</f>
        <v/>
      </c>
      <c r="H415" s="19">
        <f>H402*i_R_mc*H381</f>
        <v/>
      </c>
      <c r="I415" s="19">
        <f>I402*i_R_mc*I381</f>
        <v/>
      </c>
      <c r="J415" s="19">
        <f>J402*i_R_mc*J381</f>
        <v/>
      </c>
      <c r="K415" s="19">
        <f>K402*i_R_mc*K381</f>
        <v/>
      </c>
      <c r="L415" s="19">
        <f>L402*i_R_mc*L381</f>
        <v/>
      </c>
      <c r="M415" s="19">
        <f>M402*i_R_mc*M381</f>
        <v/>
      </c>
      <c r="N415" s="19">
        <f>N402*i_R_mc*N381</f>
        <v/>
      </c>
      <c r="O415" s="19">
        <f>O402*i_R_mc*O381</f>
        <v/>
      </c>
      <c r="P415" s="19">
        <f>P402*i_R_mc*P381</f>
        <v/>
      </c>
      <c r="Q415" s="19">
        <f>Q402*i_R_mc*Q381</f>
        <v/>
      </c>
      <c r="R415" s="19">
        <f>R402*i_R_mc*R381</f>
        <v/>
      </c>
      <c r="S415" s="19">
        <f>S402*i_R_mc*S381</f>
        <v/>
      </c>
      <c r="T415" s="19">
        <f>T402*i_R_mc*T381</f>
        <v/>
      </c>
      <c r="U415" s="19">
        <f>U402*i_R_mc*U381</f>
        <v/>
      </c>
      <c r="V415" s="19">
        <f>V402*i_R_mc*V381</f>
        <v/>
      </c>
      <c r="W415" s="19">
        <f>W402*i_R_mc*W381</f>
        <v/>
      </c>
      <c r="X415" s="19">
        <f>X402*i_R_mc*X381</f>
        <v/>
      </c>
      <c r="Y415" s="19">
        <f>Y402*i_R_mc*Y381</f>
        <v/>
      </c>
      <c r="Z415" s="19">
        <f>Z402*i_R_mc*Z381</f>
        <v/>
      </c>
      <c r="AA415" s="19">
        <f>AA402*i_R_mc*AA381</f>
        <v/>
      </c>
      <c r="AB415" s="19">
        <f>AB402*i_R_mc*AB381</f>
        <v/>
      </c>
      <c r="AC415" s="19">
        <f>AC402*i_R_mc*AC381</f>
        <v/>
      </c>
      <c r="AD415" s="19">
        <f>AD402*i_R_mc*AD381</f>
        <v/>
      </c>
      <c r="AE415" s="19">
        <f>AE402*i_R_mc*AE381</f>
        <v/>
      </c>
      <c r="AF415" s="19">
        <f>AF402*i_R_mc*AF381</f>
        <v/>
      </c>
      <c r="AG415" s="19">
        <f>AG402*i_R_mc*AG381</f>
        <v/>
      </c>
      <c r="AH415" s="19">
        <f>AH402*i_R_mc*AH381</f>
        <v/>
      </c>
      <c r="AI415" s="19">
        <f>AI402*i_R_mc*AI381</f>
        <v/>
      </c>
    </row>
    <row r="416">
      <c r="B416" s="3" t="inlineStr">
        <is>
          <t>Thamesbridge</t>
        </is>
      </c>
    </row>
    <row r="417">
      <c r="B417" s="2" t="inlineStr">
        <is>
          <t xml:space="preserve">  Capacity in service (million m3)</t>
        </is>
      </c>
      <c r="D417" s="24">
        <f>i_T_cap</f>
        <v/>
      </c>
      <c r="E417" s="24">
        <f>i_T_cap</f>
        <v/>
      </c>
      <c r="F417" s="24">
        <f>i_T_cap</f>
        <v/>
      </c>
      <c r="G417" s="24">
        <f>i_T_cap</f>
        <v/>
      </c>
      <c r="H417" s="24">
        <f>i_T_cap</f>
        <v/>
      </c>
      <c r="I417" s="24">
        <f>i_T_cap</f>
        <v/>
      </c>
      <c r="J417" s="24">
        <f>i_T_cap</f>
        <v/>
      </c>
      <c r="K417" s="24">
        <f>i_T_cap</f>
        <v/>
      </c>
      <c r="L417" s="24">
        <f>i_T_cap</f>
        <v/>
      </c>
      <c r="M417" s="24">
        <f>i_T_cap</f>
        <v/>
      </c>
      <c r="N417" s="24">
        <f>i_T_cap</f>
        <v/>
      </c>
      <c r="O417" s="24">
        <f>i_T_cap</f>
        <v/>
      </c>
      <c r="P417" s="24">
        <f>i_T_cap</f>
        <v/>
      </c>
      <c r="Q417" s="24">
        <f>i_T_cap</f>
        <v/>
      </c>
      <c r="R417" s="24">
        <f>i_T_cap</f>
        <v/>
      </c>
      <c r="S417" s="24">
        <f>i_T_cap</f>
        <v/>
      </c>
      <c r="T417" s="24">
        <f>i_T_cap</f>
        <v/>
      </c>
      <c r="U417" s="24">
        <f>i_T_cap</f>
        <v/>
      </c>
      <c r="V417" s="24">
        <f>i_T_cap</f>
        <v/>
      </c>
      <c r="W417" s="24">
        <f>i_T_cap</f>
        <v/>
      </c>
      <c r="X417" s="24">
        <f>i_T_cap</f>
        <v/>
      </c>
      <c r="Y417" s="24">
        <f>i_T_cap</f>
        <v/>
      </c>
      <c r="Z417" s="24">
        <f>i_T_cap</f>
        <v/>
      </c>
      <c r="AA417" s="24">
        <f>i_T_cap</f>
        <v/>
      </c>
      <c r="AB417" s="24">
        <f>i_T_cap</f>
        <v/>
      </c>
      <c r="AC417" s="24">
        <f>i_T_cap</f>
        <v/>
      </c>
      <c r="AD417" s="24">
        <f>i_T_cap</f>
        <v/>
      </c>
      <c r="AE417" s="24">
        <f>i_T_cap</f>
        <v/>
      </c>
      <c r="AF417" s="24">
        <f>i_T_cap</f>
        <v/>
      </c>
      <c r="AG417" s="24">
        <f>i_T_cap</f>
        <v/>
      </c>
      <c r="AH417" s="24">
        <f>i_T_cap</f>
        <v/>
      </c>
      <c r="AI417" s="24">
        <f>i_T_cap</f>
        <v/>
      </c>
    </row>
    <row r="418">
      <c r="B418" s="2" t="inlineStr">
        <is>
          <t xml:space="preserve">  Share on contracts signed before 2027</t>
        </is>
      </c>
      <c r="D418" s="21">
        <f>SUMIF(i_book_years,D$3,i_T_book)</f>
        <v/>
      </c>
      <c r="E418" s="21">
        <f>SUMIF(i_book_years,E$3,i_T_book)</f>
        <v/>
      </c>
      <c r="F418" s="21">
        <f>SUMIF(i_book_years,F$3,i_T_book)</f>
        <v/>
      </c>
      <c r="G418" s="21">
        <f>SUMIF(i_book_years,G$3,i_T_book)</f>
        <v/>
      </c>
      <c r="H418" s="21">
        <f>SUMIF(i_book_years,H$3,i_T_book)</f>
        <v/>
      </c>
      <c r="I418" s="21">
        <f>SUMIF(i_book_years,I$3,i_T_book)</f>
        <v/>
      </c>
      <c r="J418" s="21">
        <f>SUMIF(i_book_years,J$3,i_T_book)</f>
        <v/>
      </c>
      <c r="K418" s="21">
        <f>SUMIF(i_book_years,K$3,i_T_book)</f>
        <v/>
      </c>
      <c r="L418" s="21">
        <f>SUMIF(i_book_years,L$3,i_T_book)</f>
        <v/>
      </c>
      <c r="M418" s="21">
        <f>SUMIF(i_book_years,M$3,i_T_book)</f>
        <v/>
      </c>
      <c r="N418" s="21">
        <f>SUMIF(i_book_years,N$3,i_T_book)</f>
        <v/>
      </c>
      <c r="O418" s="21">
        <f>SUMIF(i_book_years,O$3,i_T_book)</f>
        <v/>
      </c>
      <c r="P418" s="21">
        <f>SUMIF(i_book_years,P$3,i_T_book)</f>
        <v/>
      </c>
      <c r="Q418" s="21">
        <f>SUMIF(i_book_years,Q$3,i_T_book)</f>
        <v/>
      </c>
      <c r="R418" s="21">
        <f>SUMIF(i_book_years,R$3,i_T_book)</f>
        <v/>
      </c>
      <c r="S418" s="21">
        <f>SUMIF(i_book_years,S$3,i_T_book)</f>
        <v/>
      </c>
      <c r="T418" s="21">
        <f>SUMIF(i_book_years,T$3,i_T_book)</f>
        <v/>
      </c>
      <c r="U418" s="21">
        <f>SUMIF(i_book_years,U$3,i_T_book)</f>
        <v/>
      </c>
      <c r="V418" s="21">
        <f>SUMIF(i_book_years,V$3,i_T_book)</f>
        <v/>
      </c>
      <c r="W418" s="21">
        <f>SUMIF(i_book_years,W$3,i_T_book)</f>
        <v/>
      </c>
      <c r="X418" s="21">
        <f>SUMIF(i_book_years,X$3,i_T_book)</f>
        <v/>
      </c>
      <c r="Y418" s="21">
        <f>SUMIF(i_book_years,Y$3,i_T_book)</f>
        <v/>
      </c>
      <c r="Z418" s="21">
        <f>SUMIF(i_book_years,Z$3,i_T_book)</f>
        <v/>
      </c>
      <c r="AA418" s="21">
        <f>SUMIF(i_book_years,AA$3,i_T_book)</f>
        <v/>
      </c>
      <c r="AB418" s="21">
        <f>SUMIF(i_book_years,AB$3,i_T_book)</f>
        <v/>
      </c>
      <c r="AC418" s="21">
        <f>SUMIF(i_book_years,AC$3,i_T_book)</f>
        <v/>
      </c>
      <c r="AD418" s="21">
        <f>SUMIF(i_book_years,AD$3,i_T_book)</f>
        <v/>
      </c>
      <c r="AE418" s="21">
        <f>SUMIF(i_book_years,AE$3,i_T_book)</f>
        <v/>
      </c>
      <c r="AF418" s="21">
        <f>SUMIF(i_book_years,AF$3,i_T_book)</f>
        <v/>
      </c>
      <c r="AG418" s="21">
        <f>SUMIF(i_book_years,AG$3,i_T_book)</f>
        <v/>
      </c>
      <c r="AH418" s="21">
        <f>SUMIF(i_book_years,AH$3,i_T_book)</f>
        <v/>
      </c>
      <c r="AI418" s="21">
        <f>SUMIF(i_book_years,AI$3,i_T_book)</f>
        <v/>
      </c>
    </row>
    <row r="419">
      <c r="B419" s="2" t="inlineStr">
        <is>
          <t xml:space="preserve">  Recontracting factor against current rates</t>
        </is>
      </c>
      <c r="D419" s="21">
        <f>IF(D$4=0,0,IF(Diligence!$C$371=1,i_T_mtm,i_T_mtm_plan)+Diligence!$C$377)</f>
        <v/>
      </c>
      <c r="E419" s="21">
        <f>IF(E$4=0,0,IF(Diligence!$C$371=1,i_T_mtm,i_T_mtm_plan)+Diligence!$C$377)</f>
        <v/>
      </c>
      <c r="F419" s="21">
        <f>IF(F$4=0,0,IF(Diligence!$C$371=1,i_T_mtm,i_T_mtm_plan)+Diligence!$C$377)</f>
        <v/>
      </c>
      <c r="G419" s="21">
        <f>IF(G$4=0,0,IF(Diligence!$C$371=1,i_T_mtm,i_T_mtm_plan)+Diligence!$C$377)</f>
        <v/>
      </c>
      <c r="H419" s="21">
        <f>IF(H$4=0,0,IF(Diligence!$C$371=1,i_T_mtm,i_T_mtm_plan)+Diligence!$C$377)</f>
        <v/>
      </c>
      <c r="I419" s="21">
        <f>IF(I$4=0,0,IF(Diligence!$C$371=1,i_T_mtm,i_T_mtm_plan)+Diligence!$C$377)</f>
        <v/>
      </c>
      <c r="J419" s="21">
        <f>IF(J$4=0,0,IF(Diligence!$C$371=1,i_T_mtm,i_T_mtm_plan)+Diligence!$C$377)</f>
        <v/>
      </c>
      <c r="K419" s="21">
        <f>IF(K$4=0,0,IF(Diligence!$C$371=1,i_T_mtm,i_T_mtm_plan)+Diligence!$C$377)</f>
        <v/>
      </c>
      <c r="L419" s="21">
        <f>IF(L$4=0,0,IF(Diligence!$C$371=1,i_T_mtm,i_T_mtm_plan)+Diligence!$C$377)</f>
        <v/>
      </c>
      <c r="M419" s="21">
        <f>IF(M$4=0,0,IF(Diligence!$C$371=1,i_T_mtm,i_T_mtm_plan)+Diligence!$C$377)</f>
        <v/>
      </c>
      <c r="N419" s="21">
        <f>IF(N$4=0,0,IF(Diligence!$C$371=1,i_T_mtm,i_T_mtm_plan)+Diligence!$C$377)</f>
        <v/>
      </c>
      <c r="O419" s="21">
        <f>IF(O$4=0,0,IF(Diligence!$C$371=1,i_T_mtm,i_T_mtm_plan)+Diligence!$C$377)</f>
        <v/>
      </c>
      <c r="P419" s="21">
        <f>IF(P$4=0,0,IF(Diligence!$C$371=1,i_T_mtm,i_T_mtm_plan)+Diligence!$C$377)</f>
        <v/>
      </c>
      <c r="Q419" s="21">
        <f>IF(Q$4=0,0,IF(Diligence!$C$371=1,i_T_mtm,i_T_mtm_plan)+Diligence!$C$377)</f>
        <v/>
      </c>
      <c r="R419" s="21">
        <f>IF(R$4=0,0,IF(Diligence!$C$371=1,i_T_mtm,i_T_mtm_plan)+Diligence!$C$377)</f>
        <v/>
      </c>
      <c r="S419" s="21">
        <f>IF(S$4=0,0,IF(Diligence!$C$371=1,i_T_mtm,i_T_mtm_plan)+Diligence!$C$377)</f>
        <v/>
      </c>
      <c r="T419" s="21">
        <f>IF(T$4=0,0,IF(Diligence!$C$371=1,i_T_mtm,i_T_mtm_plan)+Diligence!$C$377)</f>
        <v/>
      </c>
      <c r="U419" s="21">
        <f>IF(U$4=0,0,IF(Diligence!$C$371=1,i_T_mtm,i_T_mtm_plan)+Diligence!$C$377)</f>
        <v/>
      </c>
      <c r="V419" s="21">
        <f>IF(V$4=0,0,IF(Diligence!$C$371=1,i_T_mtm,i_T_mtm_plan)+Diligence!$C$377)</f>
        <v/>
      </c>
      <c r="W419" s="21">
        <f>IF(W$4=0,0,IF(Diligence!$C$371=1,i_T_mtm,i_T_mtm_plan)+Diligence!$C$377)</f>
        <v/>
      </c>
      <c r="X419" s="21">
        <f>IF(X$4=0,0,IF(Diligence!$C$371=1,i_T_mtm,i_T_mtm_plan)+Diligence!$C$377)</f>
        <v/>
      </c>
      <c r="Y419" s="21">
        <f>IF(Y$4=0,0,IF(Diligence!$C$371=1,i_T_mtm,i_T_mtm_plan)+Diligence!$C$377)</f>
        <v/>
      </c>
      <c r="Z419" s="21">
        <f>IF(Z$4=0,0,IF(Diligence!$C$371=1,i_T_mtm,i_T_mtm_plan)+Diligence!$C$377)</f>
        <v/>
      </c>
      <c r="AA419" s="21">
        <f>IF(AA$4=0,0,IF(Diligence!$C$371=1,i_T_mtm,i_T_mtm_plan)+Diligence!$C$377)</f>
        <v/>
      </c>
      <c r="AB419" s="21">
        <f>IF(AB$4=0,0,IF(Diligence!$C$371=1,i_T_mtm,i_T_mtm_plan)+Diligence!$C$377)</f>
        <v/>
      </c>
      <c r="AC419" s="21">
        <f>IF(AC$4=0,0,IF(Diligence!$C$371=1,i_T_mtm,i_T_mtm_plan)+Diligence!$C$377)</f>
        <v/>
      </c>
      <c r="AD419" s="21">
        <f>IF(AD$4=0,0,IF(Diligence!$C$371=1,i_T_mtm,i_T_mtm_plan)+Diligence!$C$377)</f>
        <v/>
      </c>
      <c r="AE419" s="21">
        <f>IF(AE$4=0,0,IF(Diligence!$C$371=1,i_T_mtm,i_T_mtm_plan)+Diligence!$C$377)</f>
        <v/>
      </c>
      <c r="AF419" s="21">
        <f>IF(AF$4=0,0,IF(Diligence!$C$371=1,i_T_mtm,i_T_mtm_plan)+Diligence!$C$377)</f>
        <v/>
      </c>
      <c r="AG419" s="21">
        <f>IF(AG$4=0,0,IF(Diligence!$C$371=1,i_T_mtm,i_T_mtm_plan)+Diligence!$C$377)</f>
        <v/>
      </c>
      <c r="AH419" s="21">
        <f>IF(AH$4=0,0,IF(Diligence!$C$371=1,i_T_mtm,i_T_mtm_plan)+Diligence!$C$377)</f>
        <v/>
      </c>
      <c r="AI419" s="21">
        <f>IF(AI$4=0,0,IF(Diligence!$C$371=1,i_T_mtm,i_T_mtm_plan)+Diligence!$C$377)</f>
        <v/>
      </c>
    </row>
    <row r="420">
      <c r="B420" s="2" t="inlineStr">
        <is>
          <t xml:space="preserve">  Average rate ($ per m3 per month)</t>
        </is>
      </c>
      <c r="D420" s="24">
        <f>i_T_rate*D382*(D418+(1-D418)*(1+D419))</f>
        <v/>
      </c>
      <c r="E420" s="24">
        <f>i_T_rate*E382*(E418+(1-E418)*(1+E419))</f>
        <v/>
      </c>
      <c r="F420" s="24">
        <f>i_T_rate*F382*(F418+(1-F418)*(1+F419))</f>
        <v/>
      </c>
      <c r="G420" s="24">
        <f>i_T_rate*G382*(G418+(1-G418)*(1+G419))</f>
        <v/>
      </c>
      <c r="H420" s="24">
        <f>i_T_rate*H382*(H418+(1-H418)*(1+H419))</f>
        <v/>
      </c>
      <c r="I420" s="24">
        <f>i_T_rate*I382*(I418+(1-I418)*(1+I419))</f>
        <v/>
      </c>
      <c r="J420" s="24">
        <f>i_T_rate*J382*(J418+(1-J418)*(1+J419))</f>
        <v/>
      </c>
      <c r="K420" s="24">
        <f>i_T_rate*K382*(K418+(1-K418)*(1+K419))</f>
        <v/>
      </c>
      <c r="L420" s="24">
        <f>i_T_rate*L382*(L418+(1-L418)*(1+L419))</f>
        <v/>
      </c>
      <c r="M420" s="24">
        <f>i_T_rate*M382*(M418+(1-M418)*(1+M419))</f>
        <v/>
      </c>
      <c r="N420" s="24">
        <f>i_T_rate*N382*(N418+(1-N418)*(1+N419))</f>
        <v/>
      </c>
      <c r="O420" s="24">
        <f>i_T_rate*O382*(O418+(1-O418)*(1+O419))</f>
        <v/>
      </c>
      <c r="P420" s="24">
        <f>i_T_rate*P382*(P418+(1-P418)*(1+P419))</f>
        <v/>
      </c>
      <c r="Q420" s="24">
        <f>i_T_rate*Q382*(Q418+(1-Q418)*(1+Q419))</f>
        <v/>
      </c>
      <c r="R420" s="24">
        <f>i_T_rate*R382*(R418+(1-R418)*(1+R419))</f>
        <v/>
      </c>
      <c r="S420" s="24">
        <f>i_T_rate*S382*(S418+(1-S418)*(1+S419))</f>
        <v/>
      </c>
      <c r="T420" s="24">
        <f>i_T_rate*T382*(T418+(1-T418)*(1+T419))</f>
        <v/>
      </c>
      <c r="U420" s="24">
        <f>i_T_rate*U382*(U418+(1-U418)*(1+U419))</f>
        <v/>
      </c>
      <c r="V420" s="24">
        <f>i_T_rate*V382*(V418+(1-V418)*(1+V419))</f>
        <v/>
      </c>
      <c r="W420" s="24">
        <f>i_T_rate*W382*(W418+(1-W418)*(1+W419))</f>
        <v/>
      </c>
      <c r="X420" s="24">
        <f>i_T_rate*X382*(X418+(1-X418)*(1+X419))</f>
        <v/>
      </c>
      <c r="Y420" s="24">
        <f>i_T_rate*Y382*(Y418+(1-Y418)*(1+Y419))</f>
        <v/>
      </c>
      <c r="Z420" s="24">
        <f>i_T_rate*Z382*(Z418+(1-Z418)*(1+Z419))</f>
        <v/>
      </c>
      <c r="AA420" s="24">
        <f>i_T_rate*AA382*(AA418+(1-AA418)*(1+AA419))</f>
        <v/>
      </c>
      <c r="AB420" s="24">
        <f>i_T_rate*AB382*(AB418+(1-AB418)*(1+AB419))</f>
        <v/>
      </c>
      <c r="AC420" s="24">
        <f>i_T_rate*AC382*(AC418+(1-AC418)*(1+AC419))</f>
        <v/>
      </c>
      <c r="AD420" s="24">
        <f>i_T_rate*AD382*(AD418+(1-AD418)*(1+AD419))</f>
        <v/>
      </c>
      <c r="AE420" s="24">
        <f>i_T_rate*AE382*(AE418+(1-AE418)*(1+AE419))</f>
        <v/>
      </c>
      <c r="AF420" s="24">
        <f>i_T_rate*AF382*(AF418+(1-AF418)*(1+AF419))</f>
        <v/>
      </c>
      <c r="AG420" s="24">
        <f>i_T_rate*AG382*(AG418+(1-AG418)*(1+AG419))</f>
        <v/>
      </c>
      <c r="AH420" s="24">
        <f>i_T_rate*AH382*(AH418+(1-AH418)*(1+AH419))</f>
        <v/>
      </c>
      <c r="AI420" s="24">
        <f>i_T_rate*AI382*(AI418+(1-AI418)*(1+AI419))</f>
        <v/>
      </c>
    </row>
    <row r="421">
      <c r="B421" s="2" t="inlineStr">
        <is>
          <t xml:space="preserve">  Occupancy after the transition decline and floor</t>
        </is>
      </c>
      <c r="D421" s="21">
        <f>IF(D$3&gt;i_trans_start,MAX(i_T_floor,i_T_occ-i_T_dec*(D$3-i_trans_start)),i_T_occ)</f>
        <v/>
      </c>
      <c r="E421" s="21">
        <f>IF(E$3&gt;i_trans_start,MAX(i_T_floor,i_T_occ-i_T_dec*(E$3-i_trans_start)),i_T_occ)</f>
        <v/>
      </c>
      <c r="F421" s="21">
        <f>IF(F$3&gt;i_trans_start,MAX(i_T_floor,i_T_occ-i_T_dec*(F$3-i_trans_start)),i_T_occ)</f>
        <v/>
      </c>
      <c r="G421" s="21">
        <f>IF(G$3&gt;i_trans_start,MAX(i_T_floor,i_T_occ-i_T_dec*(G$3-i_trans_start)),i_T_occ)</f>
        <v/>
      </c>
      <c r="H421" s="21">
        <f>IF(H$3&gt;i_trans_start,MAX(i_T_floor,i_T_occ-i_T_dec*(H$3-i_trans_start)),i_T_occ)</f>
        <v/>
      </c>
      <c r="I421" s="21">
        <f>IF(I$3&gt;i_trans_start,MAX(i_T_floor,i_T_occ-i_T_dec*(I$3-i_trans_start)),i_T_occ)</f>
        <v/>
      </c>
      <c r="J421" s="21">
        <f>IF(J$3&gt;i_trans_start,MAX(i_T_floor,i_T_occ-i_T_dec*(J$3-i_trans_start)),i_T_occ)</f>
        <v/>
      </c>
      <c r="K421" s="21">
        <f>IF(K$3&gt;i_trans_start,MAX(i_T_floor,i_T_occ-i_T_dec*(K$3-i_trans_start)),i_T_occ)</f>
        <v/>
      </c>
      <c r="L421" s="21">
        <f>IF(L$3&gt;i_trans_start,MAX(i_T_floor,i_T_occ-i_T_dec*(L$3-i_trans_start)),i_T_occ)</f>
        <v/>
      </c>
      <c r="M421" s="21">
        <f>IF(M$3&gt;i_trans_start,MAX(i_T_floor,i_T_occ-i_T_dec*(M$3-i_trans_start)),i_T_occ)</f>
        <v/>
      </c>
      <c r="N421" s="21">
        <f>IF(N$3&gt;i_trans_start,MAX(i_T_floor,i_T_occ-i_T_dec*(N$3-i_trans_start)),i_T_occ)</f>
        <v/>
      </c>
      <c r="O421" s="21">
        <f>IF(O$3&gt;i_trans_start,MAX(i_T_floor,i_T_occ-i_T_dec*(O$3-i_trans_start)),i_T_occ)</f>
        <v/>
      </c>
      <c r="P421" s="21">
        <f>IF(P$3&gt;i_trans_start,MAX(i_T_floor,i_T_occ-i_T_dec*(P$3-i_trans_start)),i_T_occ)</f>
        <v/>
      </c>
      <c r="Q421" s="21">
        <f>IF(Q$3&gt;i_trans_start,MAX(i_T_floor,i_T_occ-i_T_dec*(Q$3-i_trans_start)),i_T_occ)</f>
        <v/>
      </c>
      <c r="R421" s="21">
        <f>IF(R$3&gt;i_trans_start,MAX(i_T_floor,i_T_occ-i_T_dec*(R$3-i_trans_start)),i_T_occ)</f>
        <v/>
      </c>
      <c r="S421" s="21">
        <f>IF(S$3&gt;i_trans_start,MAX(i_T_floor,i_T_occ-i_T_dec*(S$3-i_trans_start)),i_T_occ)</f>
        <v/>
      </c>
      <c r="T421" s="21">
        <f>IF(T$3&gt;i_trans_start,MAX(i_T_floor,i_T_occ-i_T_dec*(T$3-i_trans_start)),i_T_occ)</f>
        <v/>
      </c>
      <c r="U421" s="21">
        <f>IF(U$3&gt;i_trans_start,MAX(i_T_floor,i_T_occ-i_T_dec*(U$3-i_trans_start)),i_T_occ)</f>
        <v/>
      </c>
      <c r="V421" s="21">
        <f>IF(V$3&gt;i_trans_start,MAX(i_T_floor,i_T_occ-i_T_dec*(V$3-i_trans_start)),i_T_occ)</f>
        <v/>
      </c>
      <c r="W421" s="21">
        <f>IF(W$3&gt;i_trans_start,MAX(i_T_floor,i_T_occ-i_T_dec*(W$3-i_trans_start)),i_T_occ)</f>
        <v/>
      </c>
      <c r="X421" s="21">
        <f>IF(X$3&gt;i_trans_start,MAX(i_T_floor,i_T_occ-i_T_dec*(X$3-i_trans_start)),i_T_occ)</f>
        <v/>
      </c>
      <c r="Y421" s="21">
        <f>IF(Y$3&gt;i_trans_start,MAX(i_T_floor,i_T_occ-i_T_dec*(Y$3-i_trans_start)),i_T_occ)</f>
        <v/>
      </c>
      <c r="Z421" s="21">
        <f>IF(Z$3&gt;i_trans_start,MAX(i_T_floor,i_T_occ-i_T_dec*(Z$3-i_trans_start)),i_T_occ)</f>
        <v/>
      </c>
      <c r="AA421" s="21">
        <f>IF(AA$3&gt;i_trans_start,MAX(i_T_floor,i_T_occ-i_T_dec*(AA$3-i_trans_start)),i_T_occ)</f>
        <v/>
      </c>
      <c r="AB421" s="21">
        <f>IF(AB$3&gt;i_trans_start,MAX(i_T_floor,i_T_occ-i_T_dec*(AB$3-i_trans_start)),i_T_occ)</f>
        <v/>
      </c>
      <c r="AC421" s="21">
        <f>IF(AC$3&gt;i_trans_start,MAX(i_T_floor,i_T_occ-i_T_dec*(AC$3-i_trans_start)),i_T_occ)</f>
        <v/>
      </c>
      <c r="AD421" s="21">
        <f>IF(AD$3&gt;i_trans_start,MAX(i_T_floor,i_T_occ-i_T_dec*(AD$3-i_trans_start)),i_T_occ)</f>
        <v/>
      </c>
      <c r="AE421" s="21">
        <f>IF(AE$3&gt;i_trans_start,MAX(i_T_floor,i_T_occ-i_T_dec*(AE$3-i_trans_start)),i_T_occ)</f>
        <v/>
      </c>
      <c r="AF421" s="21">
        <f>IF(AF$3&gt;i_trans_start,MAX(i_T_floor,i_T_occ-i_T_dec*(AF$3-i_trans_start)),i_T_occ)</f>
        <v/>
      </c>
      <c r="AG421" s="21">
        <f>IF(AG$3&gt;i_trans_start,MAX(i_T_floor,i_T_occ-i_T_dec*(AG$3-i_trans_start)),i_T_occ)</f>
        <v/>
      </c>
      <c r="AH421" s="21">
        <f>IF(AH$3&gt;i_trans_start,MAX(i_T_floor,i_T_occ-i_T_dec*(AH$3-i_trans_start)),i_T_occ)</f>
        <v/>
      </c>
      <c r="AI421" s="21">
        <f>IF(AI$3&gt;i_trans_start,MAX(i_T_floor,i_T_occ-i_T_dec*(AI$3-i_trans_start)),i_T_occ)</f>
        <v/>
      </c>
    </row>
    <row r="422">
      <c r="B422" s="2" t="inlineStr">
        <is>
          <t xml:space="preserve">  Occupancy (with the shift switch from 2027)</t>
        </is>
      </c>
      <c r="D422" s="21">
        <f>IF(D$4&gt;0,MIN(1,D421+Diligence!$C$376),D421)</f>
        <v/>
      </c>
      <c r="E422" s="21">
        <f>IF(E$4&gt;0,MIN(1,E421+Diligence!$C$376),E421)</f>
        <v/>
      </c>
      <c r="F422" s="21">
        <f>IF(F$4&gt;0,MIN(1,F421+Diligence!$C$376),F421)</f>
        <v/>
      </c>
      <c r="G422" s="21">
        <f>IF(G$4&gt;0,MIN(1,G421+Diligence!$C$376),G421)</f>
        <v/>
      </c>
      <c r="H422" s="21">
        <f>IF(H$4&gt;0,MIN(1,H421+Diligence!$C$376),H421)</f>
        <v/>
      </c>
      <c r="I422" s="21">
        <f>IF(I$4&gt;0,MIN(1,I421+Diligence!$C$376),I421)</f>
        <v/>
      </c>
      <c r="J422" s="21">
        <f>IF(J$4&gt;0,MIN(1,J421+Diligence!$C$376),J421)</f>
        <v/>
      </c>
      <c r="K422" s="21">
        <f>IF(K$4&gt;0,MIN(1,K421+Diligence!$C$376),K421)</f>
        <v/>
      </c>
      <c r="L422" s="21">
        <f>IF(L$4&gt;0,MIN(1,L421+Diligence!$C$376),L421)</f>
        <v/>
      </c>
      <c r="M422" s="21">
        <f>IF(M$4&gt;0,MIN(1,M421+Diligence!$C$376),M421)</f>
        <v/>
      </c>
      <c r="N422" s="21">
        <f>IF(N$4&gt;0,MIN(1,N421+Diligence!$C$376),N421)</f>
        <v/>
      </c>
      <c r="O422" s="21">
        <f>IF(O$4&gt;0,MIN(1,O421+Diligence!$C$376),O421)</f>
        <v/>
      </c>
      <c r="P422" s="21">
        <f>IF(P$4&gt;0,MIN(1,P421+Diligence!$C$376),P421)</f>
        <v/>
      </c>
      <c r="Q422" s="21">
        <f>IF(Q$4&gt;0,MIN(1,Q421+Diligence!$C$376),Q421)</f>
        <v/>
      </c>
      <c r="R422" s="21">
        <f>IF(R$4&gt;0,MIN(1,R421+Diligence!$C$376),R421)</f>
        <v/>
      </c>
      <c r="S422" s="21">
        <f>IF(S$4&gt;0,MIN(1,S421+Diligence!$C$376),S421)</f>
        <v/>
      </c>
      <c r="T422" s="21">
        <f>IF(T$4&gt;0,MIN(1,T421+Diligence!$C$376),T421)</f>
        <v/>
      </c>
      <c r="U422" s="21">
        <f>IF(U$4&gt;0,MIN(1,U421+Diligence!$C$376),U421)</f>
        <v/>
      </c>
      <c r="V422" s="21">
        <f>IF(V$4&gt;0,MIN(1,V421+Diligence!$C$376),V421)</f>
        <v/>
      </c>
      <c r="W422" s="21">
        <f>IF(W$4&gt;0,MIN(1,W421+Diligence!$C$376),W421)</f>
        <v/>
      </c>
      <c r="X422" s="21">
        <f>IF(X$4&gt;0,MIN(1,X421+Diligence!$C$376),X421)</f>
        <v/>
      </c>
      <c r="Y422" s="21">
        <f>IF(Y$4&gt;0,MIN(1,Y421+Diligence!$C$376),Y421)</f>
        <v/>
      </c>
      <c r="Z422" s="21">
        <f>IF(Z$4&gt;0,MIN(1,Z421+Diligence!$C$376),Z421)</f>
        <v/>
      </c>
      <c r="AA422" s="21">
        <f>IF(AA$4&gt;0,MIN(1,AA421+Diligence!$C$376),AA421)</f>
        <v/>
      </c>
      <c r="AB422" s="21">
        <f>IF(AB$4&gt;0,MIN(1,AB421+Diligence!$C$376),AB421)</f>
        <v/>
      </c>
      <c r="AC422" s="21">
        <f>IF(AC$4&gt;0,MIN(1,AC421+Diligence!$C$376),AC421)</f>
        <v/>
      </c>
      <c r="AD422" s="21">
        <f>IF(AD$4&gt;0,MIN(1,AD421+Diligence!$C$376),AD421)</f>
        <v/>
      </c>
      <c r="AE422" s="21">
        <f>IF(AE$4&gt;0,MIN(1,AE421+Diligence!$C$376),AE421)</f>
        <v/>
      </c>
      <c r="AF422" s="21">
        <f>IF(AF$4&gt;0,MIN(1,AF421+Diligence!$C$376),AF421)</f>
        <v/>
      </c>
      <c r="AG422" s="21">
        <f>IF(AG$4&gt;0,MIN(1,AG421+Diligence!$C$376),AG421)</f>
        <v/>
      </c>
      <c r="AH422" s="21">
        <f>IF(AH$4&gt;0,MIN(1,AH421+Diligence!$C$376),AH421)</f>
        <v/>
      </c>
      <c r="AI422" s="21">
        <f>IF(AI$4&gt;0,MIN(1,AI421+Diligence!$C$376),AI421)</f>
        <v/>
      </c>
    </row>
    <row r="423">
      <c r="B423" s="2" t="inlineStr">
        <is>
          <t xml:space="preserve">  Storage revenue</t>
        </is>
      </c>
      <c r="D423" s="19">
        <f>D417*D420*12*D422</f>
        <v/>
      </c>
      <c r="E423" s="19">
        <f>E417*E420*12*E422</f>
        <v/>
      </c>
      <c r="F423" s="19">
        <f>F417*F420*12*F422</f>
        <v/>
      </c>
      <c r="G423" s="19">
        <f>G417*G420*12*G422</f>
        <v/>
      </c>
      <c r="H423" s="19">
        <f>H417*H420*12*H422</f>
        <v/>
      </c>
      <c r="I423" s="19">
        <f>I417*I420*12*I422</f>
        <v/>
      </c>
      <c r="J423" s="19">
        <f>J417*J420*12*J422</f>
        <v/>
      </c>
      <c r="K423" s="19">
        <f>K417*K420*12*K422</f>
        <v/>
      </c>
      <c r="L423" s="19">
        <f>L417*L420*12*L422</f>
        <v/>
      </c>
      <c r="M423" s="19">
        <f>M417*M420*12*M422</f>
        <v/>
      </c>
      <c r="N423" s="19">
        <f>N417*N420*12*N422</f>
        <v/>
      </c>
      <c r="O423" s="19">
        <f>O417*O420*12*O422</f>
        <v/>
      </c>
      <c r="P423" s="19">
        <f>P417*P420*12*P422</f>
        <v/>
      </c>
      <c r="Q423" s="19">
        <f>Q417*Q420*12*Q422</f>
        <v/>
      </c>
      <c r="R423" s="19">
        <f>R417*R420*12*R422</f>
        <v/>
      </c>
      <c r="S423" s="19">
        <f>S417*S420*12*S422</f>
        <v/>
      </c>
      <c r="T423" s="19">
        <f>T417*T420*12*T422</f>
        <v/>
      </c>
      <c r="U423" s="19">
        <f>U417*U420*12*U422</f>
        <v/>
      </c>
      <c r="V423" s="19">
        <f>V417*V420*12*V422</f>
        <v/>
      </c>
      <c r="W423" s="19">
        <f>W417*W420*12*W422</f>
        <v/>
      </c>
      <c r="X423" s="19">
        <f>X417*X420*12*X422</f>
        <v/>
      </c>
      <c r="Y423" s="19">
        <f>Y417*Y420*12*Y422</f>
        <v/>
      </c>
      <c r="Z423" s="19">
        <f>Z417*Z420*12*Z422</f>
        <v/>
      </c>
      <c r="AA423" s="19">
        <f>AA417*AA420*12*AA422</f>
        <v/>
      </c>
      <c r="AB423" s="19">
        <f>AB417*AB420*12*AB422</f>
        <v/>
      </c>
      <c r="AC423" s="19">
        <f>AC417*AC420*12*AC422</f>
        <v/>
      </c>
      <c r="AD423" s="19">
        <f>AD417*AD420*12*AD422</f>
        <v/>
      </c>
      <c r="AE423" s="19">
        <f>AE417*AE420*12*AE422</f>
        <v/>
      </c>
      <c r="AF423" s="19">
        <f>AF417*AF420*12*AF422</f>
        <v/>
      </c>
      <c r="AG423" s="19">
        <f>AG417*AG420*12*AG422</f>
        <v/>
      </c>
      <c r="AH423" s="19">
        <f>AH417*AH420*12*AH422</f>
        <v/>
      </c>
      <c r="AI423" s="19">
        <f>AI417*AI420*12*AI422</f>
        <v/>
      </c>
    </row>
    <row r="424">
      <c r="B424" s="2" t="inlineStr">
        <is>
          <t xml:space="preserve">  Ancillary and throughput revenue</t>
        </is>
      </c>
      <c r="D424" s="19">
        <f>D423*i_T_anc</f>
        <v/>
      </c>
      <c r="E424" s="19">
        <f>E423*i_T_anc</f>
        <v/>
      </c>
      <c r="F424" s="19">
        <f>F423*i_T_anc</f>
        <v/>
      </c>
      <c r="G424" s="19">
        <f>G423*i_T_anc</f>
        <v/>
      </c>
      <c r="H424" s="19">
        <f>H423*i_T_anc</f>
        <v/>
      </c>
      <c r="I424" s="19">
        <f>I423*i_T_anc</f>
        <v/>
      </c>
      <c r="J424" s="19">
        <f>J423*i_T_anc</f>
        <v/>
      </c>
      <c r="K424" s="19">
        <f>K423*i_T_anc</f>
        <v/>
      </c>
      <c r="L424" s="19">
        <f>L423*i_T_anc</f>
        <v/>
      </c>
      <c r="M424" s="19">
        <f>M423*i_T_anc</f>
        <v/>
      </c>
      <c r="N424" s="19">
        <f>N423*i_T_anc</f>
        <v/>
      </c>
      <c r="O424" s="19">
        <f>O423*i_T_anc</f>
        <v/>
      </c>
      <c r="P424" s="19">
        <f>P423*i_T_anc</f>
        <v/>
      </c>
      <c r="Q424" s="19">
        <f>Q423*i_T_anc</f>
        <v/>
      </c>
      <c r="R424" s="19">
        <f>R423*i_T_anc</f>
        <v/>
      </c>
      <c r="S424" s="19">
        <f>S423*i_T_anc</f>
        <v/>
      </c>
      <c r="T424" s="19">
        <f>T423*i_T_anc</f>
        <v/>
      </c>
      <c r="U424" s="19">
        <f>U423*i_T_anc</f>
        <v/>
      </c>
      <c r="V424" s="19">
        <f>V423*i_T_anc</f>
        <v/>
      </c>
      <c r="W424" s="19">
        <f>W423*i_T_anc</f>
        <v/>
      </c>
      <c r="X424" s="19">
        <f>X423*i_T_anc</f>
        <v/>
      </c>
      <c r="Y424" s="19">
        <f>Y423*i_T_anc</f>
        <v/>
      </c>
      <c r="Z424" s="19">
        <f>Z423*i_T_anc</f>
        <v/>
      </c>
      <c r="AA424" s="19">
        <f>AA423*i_T_anc</f>
        <v/>
      </c>
      <c r="AB424" s="19">
        <f>AB423*i_T_anc</f>
        <v/>
      </c>
      <c r="AC424" s="19">
        <f>AC423*i_T_anc</f>
        <v/>
      </c>
      <c r="AD424" s="19">
        <f>AD423*i_T_anc</f>
        <v/>
      </c>
      <c r="AE424" s="19">
        <f>AE423*i_T_anc</f>
        <v/>
      </c>
      <c r="AF424" s="19">
        <f>AF423*i_T_anc</f>
        <v/>
      </c>
      <c r="AG424" s="19">
        <f>AG423*i_T_anc</f>
        <v/>
      </c>
      <c r="AH424" s="19">
        <f>AH423*i_T_anc</f>
        <v/>
      </c>
      <c r="AI424" s="19">
        <f>AI423*i_T_anc</f>
        <v/>
      </c>
    </row>
    <row r="425">
      <c r="B425" s="3" t="inlineStr">
        <is>
          <t xml:space="preserve">  Revenue</t>
        </is>
      </c>
      <c r="D425" s="31">
        <f>D423+D424</f>
        <v/>
      </c>
      <c r="E425" s="31">
        <f>E423+E424</f>
        <v/>
      </c>
      <c r="F425" s="31">
        <f>F423+F424</f>
        <v/>
      </c>
      <c r="G425" s="31">
        <f>G423+G424</f>
        <v/>
      </c>
      <c r="H425" s="31">
        <f>H423+H424</f>
        <v/>
      </c>
      <c r="I425" s="31">
        <f>I423+I424</f>
        <v/>
      </c>
      <c r="J425" s="31">
        <f>J423+J424</f>
        <v/>
      </c>
      <c r="K425" s="31">
        <f>K423+K424</f>
        <v/>
      </c>
      <c r="L425" s="31">
        <f>L423+L424</f>
        <v/>
      </c>
      <c r="M425" s="31">
        <f>M423+M424</f>
        <v/>
      </c>
      <c r="N425" s="31">
        <f>N423+N424</f>
        <v/>
      </c>
      <c r="O425" s="31">
        <f>O423+O424</f>
        <v/>
      </c>
      <c r="P425" s="31">
        <f>P423+P424</f>
        <v/>
      </c>
      <c r="Q425" s="31">
        <f>Q423+Q424</f>
        <v/>
      </c>
      <c r="R425" s="31">
        <f>R423+R424</f>
        <v/>
      </c>
      <c r="S425" s="31">
        <f>S423+S424</f>
        <v/>
      </c>
      <c r="T425" s="31">
        <f>T423+T424</f>
        <v/>
      </c>
      <c r="U425" s="31">
        <f>U423+U424</f>
        <v/>
      </c>
      <c r="V425" s="31">
        <f>V423+V424</f>
        <v/>
      </c>
      <c r="W425" s="31">
        <f>W423+W424</f>
        <v/>
      </c>
      <c r="X425" s="31">
        <f>X423+X424</f>
        <v/>
      </c>
      <c r="Y425" s="31">
        <f>Y423+Y424</f>
        <v/>
      </c>
      <c r="Z425" s="31">
        <f>Z423+Z424</f>
        <v/>
      </c>
      <c r="AA425" s="31">
        <f>AA423+AA424</f>
        <v/>
      </c>
      <c r="AB425" s="31">
        <f>AB423+AB424</f>
        <v/>
      </c>
      <c r="AC425" s="31">
        <f>AC423+AC424</f>
        <v/>
      </c>
      <c r="AD425" s="31">
        <f>AD423+AD424</f>
        <v/>
      </c>
      <c r="AE425" s="31">
        <f>AE423+AE424</f>
        <v/>
      </c>
      <c r="AF425" s="31">
        <f>AF423+AF424</f>
        <v/>
      </c>
      <c r="AG425" s="31">
        <f>AG423+AG424</f>
        <v/>
      </c>
      <c r="AH425" s="31">
        <f>AH423+AH424</f>
        <v/>
      </c>
      <c r="AI425" s="31">
        <f>AI423+AI424</f>
        <v/>
      </c>
    </row>
    <row r="426">
      <c r="B426" s="2" t="inlineStr">
        <is>
          <t xml:space="preserve">  Fixed cost</t>
        </is>
      </c>
      <c r="D426" s="19">
        <f>D417*i_T_fix*D381</f>
        <v/>
      </c>
      <c r="E426" s="19">
        <f>E417*i_T_fix*E381</f>
        <v/>
      </c>
      <c r="F426" s="19">
        <f>F417*i_T_fix*F381</f>
        <v/>
      </c>
      <c r="G426" s="19">
        <f>G417*i_T_fix*G381</f>
        <v/>
      </c>
      <c r="H426" s="19">
        <f>H417*i_T_fix*H381</f>
        <v/>
      </c>
      <c r="I426" s="19">
        <f>I417*i_T_fix*I381</f>
        <v/>
      </c>
      <c r="J426" s="19">
        <f>J417*i_T_fix*J381</f>
        <v/>
      </c>
      <c r="K426" s="19">
        <f>K417*i_T_fix*K381</f>
        <v/>
      </c>
      <c r="L426" s="19">
        <f>L417*i_T_fix*L381</f>
        <v/>
      </c>
      <c r="M426" s="19">
        <f>M417*i_T_fix*M381</f>
        <v/>
      </c>
      <c r="N426" s="19">
        <f>N417*i_T_fix*N381</f>
        <v/>
      </c>
      <c r="O426" s="19">
        <f>O417*i_T_fix*O381</f>
        <v/>
      </c>
      <c r="P426" s="19">
        <f>P417*i_T_fix*P381</f>
        <v/>
      </c>
      <c r="Q426" s="19">
        <f>Q417*i_T_fix*Q381</f>
        <v/>
      </c>
      <c r="R426" s="19">
        <f>R417*i_T_fix*R381</f>
        <v/>
      </c>
      <c r="S426" s="19">
        <f>S417*i_T_fix*S381</f>
        <v/>
      </c>
      <c r="T426" s="19">
        <f>T417*i_T_fix*T381</f>
        <v/>
      </c>
      <c r="U426" s="19">
        <f>U417*i_T_fix*U381</f>
        <v/>
      </c>
      <c r="V426" s="19">
        <f>V417*i_T_fix*V381</f>
        <v/>
      </c>
      <c r="W426" s="19">
        <f>W417*i_T_fix*W381</f>
        <v/>
      </c>
      <c r="X426" s="19">
        <f>X417*i_T_fix*X381</f>
        <v/>
      </c>
      <c r="Y426" s="19">
        <f>Y417*i_T_fix*Y381</f>
        <v/>
      </c>
      <c r="Z426" s="19">
        <f>Z417*i_T_fix*Z381</f>
        <v/>
      </c>
      <c r="AA426" s="19">
        <f>AA417*i_T_fix*AA381</f>
        <v/>
      </c>
      <c r="AB426" s="19">
        <f>AB417*i_T_fix*AB381</f>
        <v/>
      </c>
      <c r="AC426" s="19">
        <f>AC417*i_T_fix*AC381</f>
        <v/>
      </c>
      <c r="AD426" s="19">
        <f>AD417*i_T_fix*AD381</f>
        <v/>
      </c>
      <c r="AE426" s="19">
        <f>AE417*i_T_fix*AE381</f>
        <v/>
      </c>
      <c r="AF426" s="19">
        <f>AF417*i_T_fix*AF381</f>
        <v/>
      </c>
      <c r="AG426" s="19">
        <f>AG417*i_T_fix*AG381</f>
        <v/>
      </c>
      <c r="AH426" s="19">
        <f>AH417*i_T_fix*AH381</f>
        <v/>
      </c>
      <c r="AI426" s="19">
        <f>AI417*i_T_fix*AI381</f>
        <v/>
      </c>
    </row>
    <row r="427">
      <c r="B427" s="2" t="inlineStr">
        <is>
          <t xml:space="preserve">  Variable cost</t>
        </is>
      </c>
      <c r="D427" s="19">
        <f>i_T_var*D425</f>
        <v/>
      </c>
      <c r="E427" s="19">
        <f>i_T_var*E425</f>
        <v/>
      </c>
      <c r="F427" s="19">
        <f>i_T_var*F425</f>
        <v/>
      </c>
      <c r="G427" s="19">
        <f>i_T_var*G425</f>
        <v/>
      </c>
      <c r="H427" s="19">
        <f>i_T_var*H425</f>
        <v/>
      </c>
      <c r="I427" s="19">
        <f>i_T_var*I425</f>
        <v/>
      </c>
      <c r="J427" s="19">
        <f>i_T_var*J425</f>
        <v/>
      </c>
      <c r="K427" s="19">
        <f>i_T_var*K425</f>
        <v/>
      </c>
      <c r="L427" s="19">
        <f>i_T_var*L425</f>
        <v/>
      </c>
      <c r="M427" s="19">
        <f>i_T_var*M425</f>
        <v/>
      </c>
      <c r="N427" s="19">
        <f>i_T_var*N425</f>
        <v/>
      </c>
      <c r="O427" s="19">
        <f>i_T_var*O425</f>
        <v/>
      </c>
      <c r="P427" s="19">
        <f>i_T_var*P425</f>
        <v/>
      </c>
      <c r="Q427" s="19">
        <f>i_T_var*Q425</f>
        <v/>
      </c>
      <c r="R427" s="19">
        <f>i_T_var*R425</f>
        <v/>
      </c>
      <c r="S427" s="19">
        <f>i_T_var*S425</f>
        <v/>
      </c>
      <c r="T427" s="19">
        <f>i_T_var*T425</f>
        <v/>
      </c>
      <c r="U427" s="19">
        <f>i_T_var*U425</f>
        <v/>
      </c>
      <c r="V427" s="19">
        <f>i_T_var*V425</f>
        <v/>
      </c>
      <c r="W427" s="19">
        <f>i_T_var*W425</f>
        <v/>
      </c>
      <c r="X427" s="19">
        <f>i_T_var*X425</f>
        <v/>
      </c>
      <c r="Y427" s="19">
        <f>i_T_var*Y425</f>
        <v/>
      </c>
      <c r="Z427" s="19">
        <f>i_T_var*Z425</f>
        <v/>
      </c>
      <c r="AA427" s="19">
        <f>i_T_var*AA425</f>
        <v/>
      </c>
      <c r="AB427" s="19">
        <f>i_T_var*AB425</f>
        <v/>
      </c>
      <c r="AC427" s="19">
        <f>i_T_var*AC425</f>
        <v/>
      </c>
      <c r="AD427" s="19">
        <f>i_T_var*AD425</f>
        <v/>
      </c>
      <c r="AE427" s="19">
        <f>i_T_var*AE425</f>
        <v/>
      </c>
      <c r="AF427" s="19">
        <f>i_T_var*AF425</f>
        <v/>
      </c>
      <c r="AG427" s="19">
        <f>i_T_var*AG425</f>
        <v/>
      </c>
      <c r="AH427" s="19">
        <f>i_T_var*AH425</f>
        <v/>
      </c>
      <c r="AI427" s="19">
        <f>i_T_var*AI425</f>
        <v/>
      </c>
    </row>
    <row r="428">
      <c r="B428" s="2" t="inlineStr">
        <is>
          <t xml:space="preserve">  Operating cost</t>
        </is>
      </c>
      <c r="D428" s="19">
        <f>D426+D427</f>
        <v/>
      </c>
      <c r="E428" s="19">
        <f>E426+E427</f>
        <v/>
      </c>
      <c r="F428" s="19">
        <f>F426+F427</f>
        <v/>
      </c>
      <c r="G428" s="19">
        <f>G426+G427</f>
        <v/>
      </c>
      <c r="H428" s="19">
        <f>H426+H427</f>
        <v/>
      </c>
      <c r="I428" s="19">
        <f>I426+I427</f>
        <v/>
      </c>
      <c r="J428" s="19">
        <f>J426+J427</f>
        <v/>
      </c>
      <c r="K428" s="19">
        <f>K426+K427</f>
        <v/>
      </c>
      <c r="L428" s="19">
        <f>L426+L427</f>
        <v/>
      </c>
      <c r="M428" s="19">
        <f>M426+M427</f>
        <v/>
      </c>
      <c r="N428" s="19">
        <f>N426+N427</f>
        <v/>
      </c>
      <c r="O428" s="19">
        <f>O426+O427</f>
        <v/>
      </c>
      <c r="P428" s="19">
        <f>P426+P427</f>
        <v/>
      </c>
      <c r="Q428" s="19">
        <f>Q426+Q427</f>
        <v/>
      </c>
      <c r="R428" s="19">
        <f>R426+R427</f>
        <v/>
      </c>
      <c r="S428" s="19">
        <f>S426+S427</f>
        <v/>
      </c>
      <c r="T428" s="19">
        <f>T426+T427</f>
        <v/>
      </c>
      <c r="U428" s="19">
        <f>U426+U427</f>
        <v/>
      </c>
      <c r="V428" s="19">
        <f>V426+V427</f>
        <v/>
      </c>
      <c r="W428" s="19">
        <f>W426+W427</f>
        <v/>
      </c>
      <c r="X428" s="19">
        <f>X426+X427</f>
        <v/>
      </c>
      <c r="Y428" s="19">
        <f>Y426+Y427</f>
        <v/>
      </c>
      <c r="Z428" s="19">
        <f>Z426+Z427</f>
        <v/>
      </c>
      <c r="AA428" s="19">
        <f>AA426+AA427</f>
        <v/>
      </c>
      <c r="AB428" s="19">
        <f>AB426+AB427</f>
        <v/>
      </c>
      <c r="AC428" s="19">
        <f>AC426+AC427</f>
        <v/>
      </c>
      <c r="AD428" s="19">
        <f>AD426+AD427</f>
        <v/>
      </c>
      <c r="AE428" s="19">
        <f>AE426+AE427</f>
        <v/>
      </c>
      <c r="AF428" s="19">
        <f>AF426+AF427</f>
        <v/>
      </c>
      <c r="AG428" s="19">
        <f>AG426+AG427</f>
        <v/>
      </c>
      <c r="AH428" s="19">
        <f>AH426+AH427</f>
        <v/>
      </c>
      <c r="AI428" s="19">
        <f>AI426+AI427</f>
        <v/>
      </c>
    </row>
    <row r="429">
      <c r="B429" s="3" t="inlineStr">
        <is>
          <t xml:space="preserve">  EBITDA</t>
        </is>
      </c>
      <c r="D429" s="31">
        <f>D425-D428</f>
        <v/>
      </c>
      <c r="E429" s="31">
        <f>E425-E428</f>
        <v/>
      </c>
      <c r="F429" s="31">
        <f>F425-F428</f>
        <v/>
      </c>
      <c r="G429" s="31">
        <f>G425-G428</f>
        <v/>
      </c>
      <c r="H429" s="31">
        <f>H425-H428</f>
        <v/>
      </c>
      <c r="I429" s="31">
        <f>I425-I428</f>
        <v/>
      </c>
      <c r="J429" s="31">
        <f>J425-J428</f>
        <v/>
      </c>
      <c r="K429" s="31">
        <f>K425-K428</f>
        <v/>
      </c>
      <c r="L429" s="31">
        <f>L425-L428</f>
        <v/>
      </c>
      <c r="M429" s="31">
        <f>M425-M428</f>
        <v/>
      </c>
      <c r="N429" s="31">
        <f>N425-N428</f>
        <v/>
      </c>
      <c r="O429" s="31">
        <f>O425-O428</f>
        <v/>
      </c>
      <c r="P429" s="31">
        <f>P425-P428</f>
        <v/>
      </c>
      <c r="Q429" s="31">
        <f>Q425-Q428</f>
        <v/>
      </c>
      <c r="R429" s="31">
        <f>R425-R428</f>
        <v/>
      </c>
      <c r="S429" s="31">
        <f>S425-S428</f>
        <v/>
      </c>
      <c r="T429" s="31">
        <f>T425-T428</f>
        <v/>
      </c>
      <c r="U429" s="31">
        <f>U425-U428</f>
        <v/>
      </c>
      <c r="V429" s="31">
        <f>V425-V428</f>
        <v/>
      </c>
      <c r="W429" s="31">
        <f>W425-W428</f>
        <v/>
      </c>
      <c r="X429" s="31">
        <f>X425-X428</f>
        <v/>
      </c>
      <c r="Y429" s="31">
        <f>Y425-Y428</f>
        <v/>
      </c>
      <c r="Z429" s="31">
        <f>Z425-Z428</f>
        <v/>
      </c>
      <c r="AA429" s="31">
        <f>AA425-AA428</f>
        <v/>
      </c>
      <c r="AB429" s="31">
        <f>AB425-AB428</f>
        <v/>
      </c>
      <c r="AC429" s="31">
        <f>AC425-AC428</f>
        <v/>
      </c>
      <c r="AD429" s="31">
        <f>AD425-AD428</f>
        <v/>
      </c>
      <c r="AE429" s="31">
        <f>AE425-AE428</f>
        <v/>
      </c>
      <c r="AF429" s="31">
        <f>AF425-AF428</f>
        <v/>
      </c>
      <c r="AG429" s="31">
        <f>AG425-AG428</f>
        <v/>
      </c>
      <c r="AH429" s="31">
        <f>AH425-AH428</f>
        <v/>
      </c>
      <c r="AI429" s="31">
        <f>AI425-AI428</f>
        <v/>
      </c>
    </row>
    <row r="430">
      <c r="B430" s="2" t="inlineStr">
        <is>
          <t xml:space="preserve">  Maintenance capex</t>
        </is>
      </c>
      <c r="D430" s="19">
        <f>D417*i_T_mc*D381</f>
        <v/>
      </c>
      <c r="E430" s="19">
        <f>E417*i_T_mc*E381</f>
        <v/>
      </c>
      <c r="F430" s="19">
        <f>F417*i_T_mc*F381</f>
        <v/>
      </c>
      <c r="G430" s="19">
        <f>G417*i_T_mc*G381</f>
        <v/>
      </c>
      <c r="H430" s="19">
        <f>H417*i_T_mc*H381</f>
        <v/>
      </c>
      <c r="I430" s="19">
        <f>I417*i_T_mc*I381</f>
        <v/>
      </c>
      <c r="J430" s="19">
        <f>J417*i_T_mc*J381</f>
        <v/>
      </c>
      <c r="K430" s="19">
        <f>K417*i_T_mc*K381</f>
        <v/>
      </c>
      <c r="L430" s="19">
        <f>L417*i_T_mc*L381</f>
        <v/>
      </c>
      <c r="M430" s="19">
        <f>M417*i_T_mc*M381</f>
        <v/>
      </c>
      <c r="N430" s="19">
        <f>N417*i_T_mc*N381</f>
        <v/>
      </c>
      <c r="O430" s="19">
        <f>O417*i_T_mc*O381</f>
        <v/>
      </c>
      <c r="P430" s="19">
        <f>P417*i_T_mc*P381</f>
        <v/>
      </c>
      <c r="Q430" s="19">
        <f>Q417*i_T_mc*Q381</f>
        <v/>
      </c>
      <c r="R430" s="19">
        <f>R417*i_T_mc*R381</f>
        <v/>
      </c>
      <c r="S430" s="19">
        <f>S417*i_T_mc*S381</f>
        <v/>
      </c>
      <c r="T430" s="19">
        <f>T417*i_T_mc*T381</f>
        <v/>
      </c>
      <c r="U430" s="19">
        <f>U417*i_T_mc*U381</f>
        <v/>
      </c>
      <c r="V430" s="19">
        <f>V417*i_T_mc*V381</f>
        <v/>
      </c>
      <c r="W430" s="19">
        <f>W417*i_T_mc*W381</f>
        <v/>
      </c>
      <c r="X430" s="19">
        <f>X417*i_T_mc*X381</f>
        <v/>
      </c>
      <c r="Y430" s="19">
        <f>Y417*i_T_mc*Y381</f>
        <v/>
      </c>
      <c r="Z430" s="19">
        <f>Z417*i_T_mc*Z381</f>
        <v/>
      </c>
      <c r="AA430" s="19">
        <f>AA417*i_T_mc*AA381</f>
        <v/>
      </c>
      <c r="AB430" s="19">
        <f>AB417*i_T_mc*AB381</f>
        <v/>
      </c>
      <c r="AC430" s="19">
        <f>AC417*i_T_mc*AC381</f>
        <v/>
      </c>
      <c r="AD430" s="19">
        <f>AD417*i_T_mc*AD381</f>
        <v/>
      </c>
      <c r="AE430" s="19">
        <f>AE417*i_T_mc*AE381</f>
        <v/>
      </c>
      <c r="AF430" s="19">
        <f>AF417*i_T_mc*AF381</f>
        <v/>
      </c>
      <c r="AG430" s="19">
        <f>AG417*i_T_mc*AG381</f>
        <v/>
      </c>
      <c r="AH430" s="19">
        <f>AH417*i_T_mc*AH381</f>
        <v/>
      </c>
      <c r="AI430" s="19">
        <f>AI417*i_T_mc*AI381</f>
        <v/>
      </c>
    </row>
    <row r="431">
      <c r="B431" s="3" t="inlineStr">
        <is>
          <t>Sabine Bend</t>
        </is>
      </c>
    </row>
    <row r="432">
      <c r="B432" s="2" t="inlineStr">
        <is>
          <t xml:space="preserve">  Capacity in service (million m3)</t>
        </is>
      </c>
      <c r="D432" s="24">
        <f>i_G_cap</f>
        <v/>
      </c>
      <c r="E432" s="24">
        <f>i_G_cap</f>
        <v/>
      </c>
      <c r="F432" s="24">
        <f>i_G_cap</f>
        <v/>
      </c>
      <c r="G432" s="24">
        <f>i_G_cap</f>
        <v/>
      </c>
      <c r="H432" s="24">
        <f>i_G_cap</f>
        <v/>
      </c>
      <c r="I432" s="24">
        <f>i_G_cap</f>
        <v/>
      </c>
      <c r="J432" s="24">
        <f>i_G_cap</f>
        <v/>
      </c>
      <c r="K432" s="24">
        <f>i_G_cap</f>
        <v/>
      </c>
      <c r="L432" s="24">
        <f>i_G_cap</f>
        <v/>
      </c>
      <c r="M432" s="24">
        <f>i_G_cap</f>
        <v/>
      </c>
      <c r="N432" s="24">
        <f>i_G_cap</f>
        <v/>
      </c>
      <c r="O432" s="24">
        <f>i_G_cap</f>
        <v/>
      </c>
      <c r="P432" s="24">
        <f>i_G_cap</f>
        <v/>
      </c>
      <c r="Q432" s="24">
        <f>i_G_cap</f>
        <v/>
      </c>
      <c r="R432" s="24">
        <f>i_G_cap</f>
        <v/>
      </c>
      <c r="S432" s="24">
        <f>i_G_cap</f>
        <v/>
      </c>
      <c r="T432" s="24">
        <f>i_G_cap</f>
        <v/>
      </c>
      <c r="U432" s="24">
        <f>i_G_cap</f>
        <v/>
      </c>
      <c r="V432" s="24">
        <f>i_G_cap</f>
        <v/>
      </c>
      <c r="W432" s="24">
        <f>i_G_cap</f>
        <v/>
      </c>
      <c r="X432" s="24">
        <f>i_G_cap</f>
        <v/>
      </c>
      <c r="Y432" s="24">
        <f>i_G_cap</f>
        <v/>
      </c>
      <c r="Z432" s="24">
        <f>i_G_cap</f>
        <v/>
      </c>
      <c r="AA432" s="24">
        <f>i_G_cap</f>
        <v/>
      </c>
      <c r="AB432" s="24">
        <f>i_G_cap</f>
        <v/>
      </c>
      <c r="AC432" s="24">
        <f>i_G_cap</f>
        <v/>
      </c>
      <c r="AD432" s="24">
        <f>i_G_cap</f>
        <v/>
      </c>
      <c r="AE432" s="24">
        <f>i_G_cap</f>
        <v/>
      </c>
      <c r="AF432" s="24">
        <f>i_G_cap</f>
        <v/>
      </c>
      <c r="AG432" s="24">
        <f>i_G_cap</f>
        <v/>
      </c>
      <c r="AH432" s="24">
        <f>i_G_cap</f>
        <v/>
      </c>
      <c r="AI432" s="24">
        <f>i_G_cap</f>
        <v/>
      </c>
    </row>
    <row r="433">
      <c r="B433" s="2" t="inlineStr">
        <is>
          <t xml:space="preserve">  Share on contracts signed before 2027</t>
        </is>
      </c>
      <c r="D433" s="21">
        <f>SUMIF(i_book_years,D$3,i_G_book)</f>
        <v/>
      </c>
      <c r="E433" s="21">
        <f>SUMIF(i_book_years,E$3,i_G_book)</f>
        <v/>
      </c>
      <c r="F433" s="21">
        <f>SUMIF(i_book_years,F$3,i_G_book)</f>
        <v/>
      </c>
      <c r="G433" s="21">
        <f>SUMIF(i_book_years,G$3,i_G_book)</f>
        <v/>
      </c>
      <c r="H433" s="21">
        <f>SUMIF(i_book_years,H$3,i_G_book)</f>
        <v/>
      </c>
      <c r="I433" s="21">
        <f>SUMIF(i_book_years,I$3,i_G_book)</f>
        <v/>
      </c>
      <c r="J433" s="21">
        <f>SUMIF(i_book_years,J$3,i_G_book)</f>
        <v/>
      </c>
      <c r="K433" s="21">
        <f>SUMIF(i_book_years,K$3,i_G_book)</f>
        <v/>
      </c>
      <c r="L433" s="21">
        <f>SUMIF(i_book_years,L$3,i_G_book)</f>
        <v/>
      </c>
      <c r="M433" s="21">
        <f>SUMIF(i_book_years,M$3,i_G_book)</f>
        <v/>
      </c>
      <c r="N433" s="21">
        <f>SUMIF(i_book_years,N$3,i_G_book)</f>
        <v/>
      </c>
      <c r="O433" s="21">
        <f>SUMIF(i_book_years,O$3,i_G_book)</f>
        <v/>
      </c>
      <c r="P433" s="21">
        <f>SUMIF(i_book_years,P$3,i_G_book)</f>
        <v/>
      </c>
      <c r="Q433" s="21">
        <f>SUMIF(i_book_years,Q$3,i_G_book)</f>
        <v/>
      </c>
      <c r="R433" s="21">
        <f>SUMIF(i_book_years,R$3,i_G_book)</f>
        <v/>
      </c>
      <c r="S433" s="21">
        <f>SUMIF(i_book_years,S$3,i_G_book)</f>
        <v/>
      </c>
      <c r="T433" s="21">
        <f>SUMIF(i_book_years,T$3,i_G_book)</f>
        <v/>
      </c>
      <c r="U433" s="21">
        <f>SUMIF(i_book_years,U$3,i_G_book)</f>
        <v/>
      </c>
      <c r="V433" s="21">
        <f>SUMIF(i_book_years,V$3,i_G_book)</f>
        <v/>
      </c>
      <c r="W433" s="21">
        <f>SUMIF(i_book_years,W$3,i_G_book)</f>
        <v/>
      </c>
      <c r="X433" s="21">
        <f>SUMIF(i_book_years,X$3,i_G_book)</f>
        <v/>
      </c>
      <c r="Y433" s="21">
        <f>SUMIF(i_book_years,Y$3,i_G_book)</f>
        <v/>
      </c>
      <c r="Z433" s="21">
        <f>SUMIF(i_book_years,Z$3,i_G_book)</f>
        <v/>
      </c>
      <c r="AA433" s="21">
        <f>SUMIF(i_book_years,AA$3,i_G_book)</f>
        <v/>
      </c>
      <c r="AB433" s="21">
        <f>SUMIF(i_book_years,AB$3,i_G_book)</f>
        <v/>
      </c>
      <c r="AC433" s="21">
        <f>SUMIF(i_book_years,AC$3,i_G_book)</f>
        <v/>
      </c>
      <c r="AD433" s="21">
        <f>SUMIF(i_book_years,AD$3,i_G_book)</f>
        <v/>
      </c>
      <c r="AE433" s="21">
        <f>SUMIF(i_book_years,AE$3,i_G_book)</f>
        <v/>
      </c>
      <c r="AF433" s="21">
        <f>SUMIF(i_book_years,AF$3,i_G_book)</f>
        <v/>
      </c>
      <c r="AG433" s="21">
        <f>SUMIF(i_book_years,AG$3,i_G_book)</f>
        <v/>
      </c>
      <c r="AH433" s="21">
        <f>SUMIF(i_book_years,AH$3,i_G_book)</f>
        <v/>
      </c>
      <c r="AI433" s="21">
        <f>SUMIF(i_book_years,AI$3,i_G_book)</f>
        <v/>
      </c>
    </row>
    <row r="434">
      <c r="B434" s="2" t="inlineStr">
        <is>
          <t xml:space="preserve">  Recontracting factor against current rates</t>
        </is>
      </c>
      <c r="D434" s="21">
        <f>IF(D$4=0,0,IF(Diligence!$C$371=1,i_G_mtm,i_G_mtm_plan)+Diligence!$C$377)</f>
        <v/>
      </c>
      <c r="E434" s="21">
        <f>IF(E$4=0,0,IF(Diligence!$C$371=1,i_G_mtm,i_G_mtm_plan)+Diligence!$C$377)</f>
        <v/>
      </c>
      <c r="F434" s="21">
        <f>IF(F$4=0,0,IF(Diligence!$C$371=1,i_G_mtm,i_G_mtm_plan)+Diligence!$C$377)</f>
        <v/>
      </c>
      <c r="G434" s="21">
        <f>IF(G$4=0,0,IF(Diligence!$C$371=1,i_G_mtm,i_G_mtm_plan)+Diligence!$C$377)</f>
        <v/>
      </c>
      <c r="H434" s="21">
        <f>IF(H$4=0,0,IF(Diligence!$C$371=1,i_G_mtm,i_G_mtm_plan)+Diligence!$C$377)</f>
        <v/>
      </c>
      <c r="I434" s="21">
        <f>IF(I$4=0,0,IF(Diligence!$C$371=1,i_G_mtm,i_G_mtm_plan)+Diligence!$C$377)</f>
        <v/>
      </c>
      <c r="J434" s="21">
        <f>IF(J$4=0,0,IF(Diligence!$C$371=1,i_G_mtm,i_G_mtm_plan)+Diligence!$C$377)</f>
        <v/>
      </c>
      <c r="K434" s="21">
        <f>IF(K$4=0,0,IF(Diligence!$C$371=1,i_G_mtm,i_G_mtm_plan)+Diligence!$C$377)</f>
        <v/>
      </c>
      <c r="L434" s="21">
        <f>IF(L$4=0,0,IF(Diligence!$C$371=1,i_G_mtm,i_G_mtm_plan)+Diligence!$C$377)</f>
        <v/>
      </c>
      <c r="M434" s="21">
        <f>IF(M$4=0,0,IF(Diligence!$C$371=1,i_G_mtm,i_G_mtm_plan)+Diligence!$C$377)</f>
        <v/>
      </c>
      <c r="N434" s="21">
        <f>IF(N$4=0,0,IF(Diligence!$C$371=1,i_G_mtm,i_G_mtm_plan)+Diligence!$C$377)</f>
        <v/>
      </c>
      <c r="O434" s="21">
        <f>IF(O$4=0,0,IF(Diligence!$C$371=1,i_G_mtm,i_G_mtm_plan)+Diligence!$C$377)</f>
        <v/>
      </c>
      <c r="P434" s="21">
        <f>IF(P$4=0,0,IF(Diligence!$C$371=1,i_G_mtm,i_G_mtm_plan)+Diligence!$C$377)</f>
        <v/>
      </c>
      <c r="Q434" s="21">
        <f>IF(Q$4=0,0,IF(Diligence!$C$371=1,i_G_mtm,i_G_mtm_plan)+Diligence!$C$377)</f>
        <v/>
      </c>
      <c r="R434" s="21">
        <f>IF(R$4=0,0,IF(Diligence!$C$371=1,i_G_mtm,i_G_mtm_plan)+Diligence!$C$377)</f>
        <v/>
      </c>
      <c r="S434" s="21">
        <f>IF(S$4=0,0,IF(Diligence!$C$371=1,i_G_mtm,i_G_mtm_plan)+Diligence!$C$377)</f>
        <v/>
      </c>
      <c r="T434" s="21">
        <f>IF(T$4=0,0,IF(Diligence!$C$371=1,i_G_mtm,i_G_mtm_plan)+Diligence!$C$377)</f>
        <v/>
      </c>
      <c r="U434" s="21">
        <f>IF(U$4=0,0,IF(Diligence!$C$371=1,i_G_mtm,i_G_mtm_plan)+Diligence!$C$377)</f>
        <v/>
      </c>
      <c r="V434" s="21">
        <f>IF(V$4=0,0,IF(Diligence!$C$371=1,i_G_mtm,i_G_mtm_plan)+Diligence!$C$377)</f>
        <v/>
      </c>
      <c r="W434" s="21">
        <f>IF(W$4=0,0,IF(Diligence!$C$371=1,i_G_mtm,i_G_mtm_plan)+Diligence!$C$377)</f>
        <v/>
      </c>
      <c r="X434" s="21">
        <f>IF(X$4=0,0,IF(Diligence!$C$371=1,i_G_mtm,i_G_mtm_plan)+Diligence!$C$377)</f>
        <v/>
      </c>
      <c r="Y434" s="21">
        <f>IF(Y$4=0,0,IF(Diligence!$C$371=1,i_G_mtm,i_G_mtm_plan)+Diligence!$C$377)</f>
        <v/>
      </c>
      <c r="Z434" s="21">
        <f>IF(Z$4=0,0,IF(Diligence!$C$371=1,i_G_mtm,i_G_mtm_plan)+Diligence!$C$377)</f>
        <v/>
      </c>
      <c r="AA434" s="21">
        <f>IF(AA$4=0,0,IF(Diligence!$C$371=1,i_G_mtm,i_G_mtm_plan)+Diligence!$C$377)</f>
        <v/>
      </c>
      <c r="AB434" s="21">
        <f>IF(AB$4=0,0,IF(Diligence!$C$371=1,i_G_mtm,i_G_mtm_plan)+Diligence!$C$377)</f>
        <v/>
      </c>
      <c r="AC434" s="21">
        <f>IF(AC$4=0,0,IF(Diligence!$C$371=1,i_G_mtm,i_G_mtm_plan)+Diligence!$C$377)</f>
        <v/>
      </c>
      <c r="AD434" s="21">
        <f>IF(AD$4=0,0,IF(Diligence!$C$371=1,i_G_mtm,i_G_mtm_plan)+Diligence!$C$377)</f>
        <v/>
      </c>
      <c r="AE434" s="21">
        <f>IF(AE$4=0,0,IF(Diligence!$C$371=1,i_G_mtm,i_G_mtm_plan)+Diligence!$C$377)</f>
        <v/>
      </c>
      <c r="AF434" s="21">
        <f>IF(AF$4=0,0,IF(Diligence!$C$371=1,i_G_mtm,i_G_mtm_plan)+Diligence!$C$377)</f>
        <v/>
      </c>
      <c r="AG434" s="21">
        <f>IF(AG$4=0,0,IF(Diligence!$C$371=1,i_G_mtm,i_G_mtm_plan)+Diligence!$C$377)</f>
        <v/>
      </c>
      <c r="AH434" s="21">
        <f>IF(AH$4=0,0,IF(Diligence!$C$371=1,i_G_mtm,i_G_mtm_plan)+Diligence!$C$377)</f>
        <v/>
      </c>
      <c r="AI434" s="21">
        <f>IF(AI$4=0,0,IF(Diligence!$C$371=1,i_G_mtm,i_G_mtm_plan)+Diligence!$C$377)</f>
        <v/>
      </c>
    </row>
    <row r="435">
      <c r="B435" s="2" t="inlineStr">
        <is>
          <t xml:space="preserve">  Average rate ($ per m3 per month)</t>
        </is>
      </c>
      <c r="D435" s="24">
        <f>i_G_rate*D382*(D433+(1-D433)*(1+D434))</f>
        <v/>
      </c>
      <c r="E435" s="24">
        <f>i_G_rate*E382*(E433+(1-E433)*(1+E434))</f>
        <v/>
      </c>
      <c r="F435" s="24">
        <f>i_G_rate*F382*(F433+(1-F433)*(1+F434))</f>
        <v/>
      </c>
      <c r="G435" s="24">
        <f>i_G_rate*G382*(G433+(1-G433)*(1+G434))</f>
        <v/>
      </c>
      <c r="H435" s="24">
        <f>i_G_rate*H382*(H433+(1-H433)*(1+H434))</f>
        <v/>
      </c>
      <c r="I435" s="24">
        <f>i_G_rate*I382*(I433+(1-I433)*(1+I434))</f>
        <v/>
      </c>
      <c r="J435" s="24">
        <f>i_G_rate*J382*(J433+(1-J433)*(1+J434))</f>
        <v/>
      </c>
      <c r="K435" s="24">
        <f>i_G_rate*K382*(K433+(1-K433)*(1+K434))</f>
        <v/>
      </c>
      <c r="L435" s="24">
        <f>i_G_rate*L382*(L433+(1-L433)*(1+L434))</f>
        <v/>
      </c>
      <c r="M435" s="24">
        <f>i_G_rate*M382*(M433+(1-M433)*(1+M434))</f>
        <v/>
      </c>
      <c r="N435" s="24">
        <f>i_G_rate*N382*(N433+(1-N433)*(1+N434))</f>
        <v/>
      </c>
      <c r="O435" s="24">
        <f>i_G_rate*O382*(O433+(1-O433)*(1+O434))</f>
        <v/>
      </c>
      <c r="P435" s="24">
        <f>i_G_rate*P382*(P433+(1-P433)*(1+P434))</f>
        <v/>
      </c>
      <c r="Q435" s="24">
        <f>i_G_rate*Q382*(Q433+(1-Q433)*(1+Q434))</f>
        <v/>
      </c>
      <c r="R435" s="24">
        <f>i_G_rate*R382*(R433+(1-R433)*(1+R434))</f>
        <v/>
      </c>
      <c r="S435" s="24">
        <f>i_G_rate*S382*(S433+(1-S433)*(1+S434))</f>
        <v/>
      </c>
      <c r="T435" s="24">
        <f>i_G_rate*T382*(T433+(1-T433)*(1+T434))</f>
        <v/>
      </c>
      <c r="U435" s="24">
        <f>i_G_rate*U382*(U433+(1-U433)*(1+U434))</f>
        <v/>
      </c>
      <c r="V435" s="24">
        <f>i_G_rate*V382*(V433+(1-V433)*(1+V434))</f>
        <v/>
      </c>
      <c r="W435" s="24">
        <f>i_G_rate*W382*(W433+(1-W433)*(1+W434))</f>
        <v/>
      </c>
      <c r="X435" s="24">
        <f>i_G_rate*X382*(X433+(1-X433)*(1+X434))</f>
        <v/>
      </c>
      <c r="Y435" s="24">
        <f>i_G_rate*Y382*(Y433+(1-Y433)*(1+Y434))</f>
        <v/>
      </c>
      <c r="Z435" s="24">
        <f>i_G_rate*Z382*(Z433+(1-Z433)*(1+Z434))</f>
        <v/>
      </c>
      <c r="AA435" s="24">
        <f>i_G_rate*AA382*(AA433+(1-AA433)*(1+AA434))</f>
        <v/>
      </c>
      <c r="AB435" s="24">
        <f>i_G_rate*AB382*(AB433+(1-AB433)*(1+AB434))</f>
        <v/>
      </c>
      <c r="AC435" s="24">
        <f>i_G_rate*AC382*(AC433+(1-AC433)*(1+AC434))</f>
        <v/>
      </c>
      <c r="AD435" s="24">
        <f>i_G_rate*AD382*(AD433+(1-AD433)*(1+AD434))</f>
        <v/>
      </c>
      <c r="AE435" s="24">
        <f>i_G_rate*AE382*(AE433+(1-AE433)*(1+AE434))</f>
        <v/>
      </c>
      <c r="AF435" s="24">
        <f>i_G_rate*AF382*(AF433+(1-AF433)*(1+AF434))</f>
        <v/>
      </c>
      <c r="AG435" s="24">
        <f>i_G_rate*AG382*(AG433+(1-AG433)*(1+AG434))</f>
        <v/>
      </c>
      <c r="AH435" s="24">
        <f>i_G_rate*AH382*(AH433+(1-AH433)*(1+AH434))</f>
        <v/>
      </c>
      <c r="AI435" s="24">
        <f>i_G_rate*AI382*(AI433+(1-AI433)*(1+AI434))</f>
        <v/>
      </c>
    </row>
    <row r="436">
      <c r="B436" s="2" t="inlineStr">
        <is>
          <t xml:space="preserve">  Occupancy after the transition decline and floor</t>
        </is>
      </c>
      <c r="D436" s="21">
        <f>IF(D$3&gt;i_trans_start,MAX(i_G_floor,i_G_occ-i_G_dec*(D$3-i_trans_start)),i_G_occ)</f>
        <v/>
      </c>
      <c r="E436" s="21">
        <f>IF(E$3&gt;i_trans_start,MAX(i_G_floor,i_G_occ-i_G_dec*(E$3-i_trans_start)),i_G_occ)</f>
        <v/>
      </c>
      <c r="F436" s="21">
        <f>IF(F$3&gt;i_trans_start,MAX(i_G_floor,i_G_occ-i_G_dec*(F$3-i_trans_start)),i_G_occ)</f>
        <v/>
      </c>
      <c r="G436" s="21">
        <f>IF(G$3&gt;i_trans_start,MAX(i_G_floor,i_G_occ-i_G_dec*(G$3-i_trans_start)),i_G_occ)</f>
        <v/>
      </c>
      <c r="H436" s="21">
        <f>IF(H$3&gt;i_trans_start,MAX(i_G_floor,i_G_occ-i_G_dec*(H$3-i_trans_start)),i_G_occ)</f>
        <v/>
      </c>
      <c r="I436" s="21">
        <f>IF(I$3&gt;i_trans_start,MAX(i_G_floor,i_G_occ-i_G_dec*(I$3-i_trans_start)),i_G_occ)</f>
        <v/>
      </c>
      <c r="J436" s="21">
        <f>IF(J$3&gt;i_trans_start,MAX(i_G_floor,i_G_occ-i_G_dec*(J$3-i_trans_start)),i_G_occ)</f>
        <v/>
      </c>
      <c r="K436" s="21">
        <f>IF(K$3&gt;i_trans_start,MAX(i_G_floor,i_G_occ-i_G_dec*(K$3-i_trans_start)),i_G_occ)</f>
        <v/>
      </c>
      <c r="L436" s="21">
        <f>IF(L$3&gt;i_trans_start,MAX(i_G_floor,i_G_occ-i_G_dec*(L$3-i_trans_start)),i_G_occ)</f>
        <v/>
      </c>
      <c r="M436" s="21">
        <f>IF(M$3&gt;i_trans_start,MAX(i_G_floor,i_G_occ-i_G_dec*(M$3-i_trans_start)),i_G_occ)</f>
        <v/>
      </c>
      <c r="N436" s="21">
        <f>IF(N$3&gt;i_trans_start,MAX(i_G_floor,i_G_occ-i_G_dec*(N$3-i_trans_start)),i_G_occ)</f>
        <v/>
      </c>
      <c r="O436" s="21">
        <f>IF(O$3&gt;i_trans_start,MAX(i_G_floor,i_G_occ-i_G_dec*(O$3-i_trans_start)),i_G_occ)</f>
        <v/>
      </c>
      <c r="P436" s="21">
        <f>IF(P$3&gt;i_trans_start,MAX(i_G_floor,i_G_occ-i_G_dec*(P$3-i_trans_start)),i_G_occ)</f>
        <v/>
      </c>
      <c r="Q436" s="21">
        <f>IF(Q$3&gt;i_trans_start,MAX(i_G_floor,i_G_occ-i_G_dec*(Q$3-i_trans_start)),i_G_occ)</f>
        <v/>
      </c>
      <c r="R436" s="21">
        <f>IF(R$3&gt;i_trans_start,MAX(i_G_floor,i_G_occ-i_G_dec*(R$3-i_trans_start)),i_G_occ)</f>
        <v/>
      </c>
      <c r="S436" s="21">
        <f>IF(S$3&gt;i_trans_start,MAX(i_G_floor,i_G_occ-i_G_dec*(S$3-i_trans_start)),i_G_occ)</f>
        <v/>
      </c>
      <c r="T436" s="21">
        <f>IF(T$3&gt;i_trans_start,MAX(i_G_floor,i_G_occ-i_G_dec*(T$3-i_trans_start)),i_G_occ)</f>
        <v/>
      </c>
      <c r="U436" s="21">
        <f>IF(U$3&gt;i_trans_start,MAX(i_G_floor,i_G_occ-i_G_dec*(U$3-i_trans_start)),i_G_occ)</f>
        <v/>
      </c>
      <c r="V436" s="21">
        <f>IF(V$3&gt;i_trans_start,MAX(i_G_floor,i_G_occ-i_G_dec*(V$3-i_trans_start)),i_G_occ)</f>
        <v/>
      </c>
      <c r="W436" s="21">
        <f>IF(W$3&gt;i_trans_start,MAX(i_G_floor,i_G_occ-i_G_dec*(W$3-i_trans_start)),i_G_occ)</f>
        <v/>
      </c>
      <c r="X436" s="21">
        <f>IF(X$3&gt;i_trans_start,MAX(i_G_floor,i_G_occ-i_G_dec*(X$3-i_trans_start)),i_G_occ)</f>
        <v/>
      </c>
      <c r="Y436" s="21">
        <f>IF(Y$3&gt;i_trans_start,MAX(i_G_floor,i_G_occ-i_G_dec*(Y$3-i_trans_start)),i_G_occ)</f>
        <v/>
      </c>
      <c r="Z436" s="21">
        <f>IF(Z$3&gt;i_trans_start,MAX(i_G_floor,i_G_occ-i_G_dec*(Z$3-i_trans_start)),i_G_occ)</f>
        <v/>
      </c>
      <c r="AA436" s="21">
        <f>IF(AA$3&gt;i_trans_start,MAX(i_G_floor,i_G_occ-i_G_dec*(AA$3-i_trans_start)),i_G_occ)</f>
        <v/>
      </c>
      <c r="AB436" s="21">
        <f>IF(AB$3&gt;i_trans_start,MAX(i_G_floor,i_G_occ-i_G_dec*(AB$3-i_trans_start)),i_G_occ)</f>
        <v/>
      </c>
      <c r="AC436" s="21">
        <f>IF(AC$3&gt;i_trans_start,MAX(i_G_floor,i_G_occ-i_G_dec*(AC$3-i_trans_start)),i_G_occ)</f>
        <v/>
      </c>
      <c r="AD436" s="21">
        <f>IF(AD$3&gt;i_trans_start,MAX(i_G_floor,i_G_occ-i_G_dec*(AD$3-i_trans_start)),i_G_occ)</f>
        <v/>
      </c>
      <c r="AE436" s="21">
        <f>IF(AE$3&gt;i_trans_start,MAX(i_G_floor,i_G_occ-i_G_dec*(AE$3-i_trans_start)),i_G_occ)</f>
        <v/>
      </c>
      <c r="AF436" s="21">
        <f>IF(AF$3&gt;i_trans_start,MAX(i_G_floor,i_G_occ-i_G_dec*(AF$3-i_trans_start)),i_G_occ)</f>
        <v/>
      </c>
      <c r="AG436" s="21">
        <f>IF(AG$3&gt;i_trans_start,MAX(i_G_floor,i_G_occ-i_G_dec*(AG$3-i_trans_start)),i_G_occ)</f>
        <v/>
      </c>
      <c r="AH436" s="21">
        <f>IF(AH$3&gt;i_trans_start,MAX(i_G_floor,i_G_occ-i_G_dec*(AH$3-i_trans_start)),i_G_occ)</f>
        <v/>
      </c>
      <c r="AI436" s="21">
        <f>IF(AI$3&gt;i_trans_start,MAX(i_G_floor,i_G_occ-i_G_dec*(AI$3-i_trans_start)),i_G_occ)</f>
        <v/>
      </c>
    </row>
    <row r="437">
      <c r="B437" s="2" t="inlineStr">
        <is>
          <t xml:space="preserve">  Occupancy (with the shift switch from 2027)</t>
        </is>
      </c>
      <c r="D437" s="21">
        <f>IF(D$4&gt;0,MIN(1,D436+Diligence!$C$376),D436)</f>
        <v/>
      </c>
      <c r="E437" s="21">
        <f>IF(E$4&gt;0,MIN(1,E436+Diligence!$C$376),E436)</f>
        <v/>
      </c>
      <c r="F437" s="21">
        <f>IF(F$4&gt;0,MIN(1,F436+Diligence!$C$376),F436)</f>
        <v/>
      </c>
      <c r="G437" s="21">
        <f>IF(G$4&gt;0,MIN(1,G436+Diligence!$C$376),G436)</f>
        <v/>
      </c>
      <c r="H437" s="21">
        <f>IF(H$4&gt;0,MIN(1,H436+Diligence!$C$376),H436)</f>
        <v/>
      </c>
      <c r="I437" s="21">
        <f>IF(I$4&gt;0,MIN(1,I436+Diligence!$C$376),I436)</f>
        <v/>
      </c>
      <c r="J437" s="21">
        <f>IF(J$4&gt;0,MIN(1,J436+Diligence!$C$376),J436)</f>
        <v/>
      </c>
      <c r="K437" s="21">
        <f>IF(K$4&gt;0,MIN(1,K436+Diligence!$C$376),K436)</f>
        <v/>
      </c>
      <c r="L437" s="21">
        <f>IF(L$4&gt;0,MIN(1,L436+Diligence!$C$376),L436)</f>
        <v/>
      </c>
      <c r="M437" s="21">
        <f>IF(M$4&gt;0,MIN(1,M436+Diligence!$C$376),M436)</f>
        <v/>
      </c>
      <c r="N437" s="21">
        <f>IF(N$4&gt;0,MIN(1,N436+Diligence!$C$376),N436)</f>
        <v/>
      </c>
      <c r="O437" s="21">
        <f>IF(O$4&gt;0,MIN(1,O436+Diligence!$C$376),O436)</f>
        <v/>
      </c>
      <c r="P437" s="21">
        <f>IF(P$4&gt;0,MIN(1,P436+Diligence!$C$376),P436)</f>
        <v/>
      </c>
      <c r="Q437" s="21">
        <f>IF(Q$4&gt;0,MIN(1,Q436+Diligence!$C$376),Q436)</f>
        <v/>
      </c>
      <c r="R437" s="21">
        <f>IF(R$4&gt;0,MIN(1,R436+Diligence!$C$376),R436)</f>
        <v/>
      </c>
      <c r="S437" s="21">
        <f>IF(S$4&gt;0,MIN(1,S436+Diligence!$C$376),S436)</f>
        <v/>
      </c>
      <c r="T437" s="21">
        <f>IF(T$4&gt;0,MIN(1,T436+Diligence!$C$376),T436)</f>
        <v/>
      </c>
      <c r="U437" s="21">
        <f>IF(U$4&gt;0,MIN(1,U436+Diligence!$C$376),U436)</f>
        <v/>
      </c>
      <c r="V437" s="21">
        <f>IF(V$4&gt;0,MIN(1,V436+Diligence!$C$376),V436)</f>
        <v/>
      </c>
      <c r="W437" s="21">
        <f>IF(W$4&gt;0,MIN(1,W436+Diligence!$C$376),W436)</f>
        <v/>
      </c>
      <c r="X437" s="21">
        <f>IF(X$4&gt;0,MIN(1,X436+Diligence!$C$376),X436)</f>
        <v/>
      </c>
      <c r="Y437" s="21">
        <f>IF(Y$4&gt;0,MIN(1,Y436+Diligence!$C$376),Y436)</f>
        <v/>
      </c>
      <c r="Z437" s="21">
        <f>IF(Z$4&gt;0,MIN(1,Z436+Diligence!$C$376),Z436)</f>
        <v/>
      </c>
      <c r="AA437" s="21">
        <f>IF(AA$4&gt;0,MIN(1,AA436+Diligence!$C$376),AA436)</f>
        <v/>
      </c>
      <c r="AB437" s="21">
        <f>IF(AB$4&gt;0,MIN(1,AB436+Diligence!$C$376),AB436)</f>
        <v/>
      </c>
      <c r="AC437" s="21">
        <f>IF(AC$4&gt;0,MIN(1,AC436+Diligence!$C$376),AC436)</f>
        <v/>
      </c>
      <c r="AD437" s="21">
        <f>IF(AD$4&gt;0,MIN(1,AD436+Diligence!$C$376),AD436)</f>
        <v/>
      </c>
      <c r="AE437" s="21">
        <f>IF(AE$4&gt;0,MIN(1,AE436+Diligence!$C$376),AE436)</f>
        <v/>
      </c>
      <c r="AF437" s="21">
        <f>IF(AF$4&gt;0,MIN(1,AF436+Diligence!$C$376),AF436)</f>
        <v/>
      </c>
      <c r="AG437" s="21">
        <f>IF(AG$4&gt;0,MIN(1,AG436+Diligence!$C$376),AG436)</f>
        <v/>
      </c>
      <c r="AH437" s="21">
        <f>IF(AH$4&gt;0,MIN(1,AH436+Diligence!$C$376),AH436)</f>
        <v/>
      </c>
      <c r="AI437" s="21">
        <f>IF(AI$4&gt;0,MIN(1,AI436+Diligence!$C$376),AI436)</f>
        <v/>
      </c>
    </row>
    <row r="438">
      <c r="B438" s="2" t="inlineStr">
        <is>
          <t xml:space="preserve">  Storage revenue</t>
        </is>
      </c>
      <c r="D438" s="19">
        <f>D432*D435*12*D437</f>
        <v/>
      </c>
      <c r="E438" s="19">
        <f>E432*E435*12*E437</f>
        <v/>
      </c>
      <c r="F438" s="19">
        <f>F432*F435*12*F437</f>
        <v/>
      </c>
      <c r="G438" s="19">
        <f>G432*G435*12*G437</f>
        <v/>
      </c>
      <c r="H438" s="19">
        <f>H432*H435*12*H437</f>
        <v/>
      </c>
      <c r="I438" s="19">
        <f>I432*I435*12*I437</f>
        <v/>
      </c>
      <c r="J438" s="19">
        <f>J432*J435*12*J437</f>
        <v/>
      </c>
      <c r="K438" s="19">
        <f>K432*K435*12*K437</f>
        <v/>
      </c>
      <c r="L438" s="19">
        <f>L432*L435*12*L437</f>
        <v/>
      </c>
      <c r="M438" s="19">
        <f>M432*M435*12*M437</f>
        <v/>
      </c>
      <c r="N438" s="19">
        <f>N432*N435*12*N437</f>
        <v/>
      </c>
      <c r="O438" s="19">
        <f>O432*O435*12*O437</f>
        <v/>
      </c>
      <c r="P438" s="19">
        <f>P432*P435*12*P437</f>
        <v/>
      </c>
      <c r="Q438" s="19">
        <f>Q432*Q435*12*Q437</f>
        <v/>
      </c>
      <c r="R438" s="19">
        <f>R432*R435*12*R437</f>
        <v/>
      </c>
      <c r="S438" s="19">
        <f>S432*S435*12*S437</f>
        <v/>
      </c>
      <c r="T438" s="19">
        <f>T432*T435*12*T437</f>
        <v/>
      </c>
      <c r="U438" s="19">
        <f>U432*U435*12*U437</f>
        <v/>
      </c>
      <c r="V438" s="19">
        <f>V432*V435*12*V437</f>
        <v/>
      </c>
      <c r="W438" s="19">
        <f>W432*W435*12*W437</f>
        <v/>
      </c>
      <c r="X438" s="19">
        <f>X432*X435*12*X437</f>
        <v/>
      </c>
      <c r="Y438" s="19">
        <f>Y432*Y435*12*Y437</f>
        <v/>
      </c>
      <c r="Z438" s="19">
        <f>Z432*Z435*12*Z437</f>
        <v/>
      </c>
      <c r="AA438" s="19">
        <f>AA432*AA435*12*AA437</f>
        <v/>
      </c>
      <c r="AB438" s="19">
        <f>AB432*AB435*12*AB437</f>
        <v/>
      </c>
      <c r="AC438" s="19">
        <f>AC432*AC435*12*AC437</f>
        <v/>
      </c>
      <c r="AD438" s="19">
        <f>AD432*AD435*12*AD437</f>
        <v/>
      </c>
      <c r="AE438" s="19">
        <f>AE432*AE435*12*AE437</f>
        <v/>
      </c>
      <c r="AF438" s="19">
        <f>AF432*AF435*12*AF437</f>
        <v/>
      </c>
      <c r="AG438" s="19">
        <f>AG432*AG435*12*AG437</f>
        <v/>
      </c>
      <c r="AH438" s="19">
        <f>AH432*AH435*12*AH437</f>
        <v/>
      </c>
      <c r="AI438" s="19">
        <f>AI432*AI435*12*AI437</f>
        <v/>
      </c>
    </row>
    <row r="439">
      <c r="B439" s="2" t="inlineStr">
        <is>
          <t xml:space="preserve">  Ancillary and throughput revenue</t>
        </is>
      </c>
      <c r="D439" s="19">
        <f>D438*i_G_anc</f>
        <v/>
      </c>
      <c r="E439" s="19">
        <f>E438*i_G_anc</f>
        <v/>
      </c>
      <c r="F439" s="19">
        <f>F438*i_G_anc</f>
        <v/>
      </c>
      <c r="G439" s="19">
        <f>G438*i_G_anc</f>
        <v/>
      </c>
      <c r="H439" s="19">
        <f>H438*i_G_anc</f>
        <v/>
      </c>
      <c r="I439" s="19">
        <f>I438*i_G_anc</f>
        <v/>
      </c>
      <c r="J439" s="19">
        <f>J438*i_G_anc</f>
        <v/>
      </c>
      <c r="K439" s="19">
        <f>K438*i_G_anc</f>
        <v/>
      </c>
      <c r="L439" s="19">
        <f>L438*i_G_anc</f>
        <v/>
      </c>
      <c r="M439" s="19">
        <f>M438*i_G_anc</f>
        <v/>
      </c>
      <c r="N439" s="19">
        <f>N438*i_G_anc</f>
        <v/>
      </c>
      <c r="O439" s="19">
        <f>O438*i_G_anc</f>
        <v/>
      </c>
      <c r="P439" s="19">
        <f>P438*i_G_anc</f>
        <v/>
      </c>
      <c r="Q439" s="19">
        <f>Q438*i_G_anc</f>
        <v/>
      </c>
      <c r="R439" s="19">
        <f>R438*i_G_anc</f>
        <v/>
      </c>
      <c r="S439" s="19">
        <f>S438*i_G_anc</f>
        <v/>
      </c>
      <c r="T439" s="19">
        <f>T438*i_G_anc</f>
        <v/>
      </c>
      <c r="U439" s="19">
        <f>U438*i_G_anc</f>
        <v/>
      </c>
      <c r="V439" s="19">
        <f>V438*i_G_anc</f>
        <v/>
      </c>
      <c r="W439" s="19">
        <f>W438*i_G_anc</f>
        <v/>
      </c>
      <c r="X439" s="19">
        <f>X438*i_G_anc</f>
        <v/>
      </c>
      <c r="Y439" s="19">
        <f>Y438*i_G_anc</f>
        <v/>
      </c>
      <c r="Z439" s="19">
        <f>Z438*i_G_anc</f>
        <v/>
      </c>
      <c r="AA439" s="19">
        <f>AA438*i_G_anc</f>
        <v/>
      </c>
      <c r="AB439" s="19">
        <f>AB438*i_G_anc</f>
        <v/>
      </c>
      <c r="AC439" s="19">
        <f>AC438*i_G_anc</f>
        <v/>
      </c>
      <c r="AD439" s="19">
        <f>AD438*i_G_anc</f>
        <v/>
      </c>
      <c r="AE439" s="19">
        <f>AE438*i_G_anc</f>
        <v/>
      </c>
      <c r="AF439" s="19">
        <f>AF438*i_G_anc</f>
        <v/>
      </c>
      <c r="AG439" s="19">
        <f>AG438*i_G_anc</f>
        <v/>
      </c>
      <c r="AH439" s="19">
        <f>AH438*i_G_anc</f>
        <v/>
      </c>
      <c r="AI439" s="19">
        <f>AI438*i_G_anc</f>
        <v/>
      </c>
    </row>
    <row r="440">
      <c r="B440" s="3" t="inlineStr">
        <is>
          <t xml:space="preserve">  Revenue</t>
        </is>
      </c>
      <c r="D440" s="31">
        <f>D438+D439</f>
        <v/>
      </c>
      <c r="E440" s="31">
        <f>E438+E439</f>
        <v/>
      </c>
      <c r="F440" s="31">
        <f>F438+F439</f>
        <v/>
      </c>
      <c r="G440" s="31">
        <f>G438+G439</f>
        <v/>
      </c>
      <c r="H440" s="31">
        <f>H438+H439</f>
        <v/>
      </c>
      <c r="I440" s="31">
        <f>I438+I439</f>
        <v/>
      </c>
      <c r="J440" s="31">
        <f>J438+J439</f>
        <v/>
      </c>
      <c r="K440" s="31">
        <f>K438+K439</f>
        <v/>
      </c>
      <c r="L440" s="31">
        <f>L438+L439</f>
        <v/>
      </c>
      <c r="M440" s="31">
        <f>M438+M439</f>
        <v/>
      </c>
      <c r="N440" s="31">
        <f>N438+N439</f>
        <v/>
      </c>
      <c r="O440" s="31">
        <f>O438+O439</f>
        <v/>
      </c>
      <c r="P440" s="31">
        <f>P438+P439</f>
        <v/>
      </c>
      <c r="Q440" s="31">
        <f>Q438+Q439</f>
        <v/>
      </c>
      <c r="R440" s="31">
        <f>R438+R439</f>
        <v/>
      </c>
      <c r="S440" s="31">
        <f>S438+S439</f>
        <v/>
      </c>
      <c r="T440" s="31">
        <f>T438+T439</f>
        <v/>
      </c>
      <c r="U440" s="31">
        <f>U438+U439</f>
        <v/>
      </c>
      <c r="V440" s="31">
        <f>V438+V439</f>
        <v/>
      </c>
      <c r="W440" s="31">
        <f>W438+W439</f>
        <v/>
      </c>
      <c r="X440" s="31">
        <f>X438+X439</f>
        <v/>
      </c>
      <c r="Y440" s="31">
        <f>Y438+Y439</f>
        <v/>
      </c>
      <c r="Z440" s="31">
        <f>Z438+Z439</f>
        <v/>
      </c>
      <c r="AA440" s="31">
        <f>AA438+AA439</f>
        <v/>
      </c>
      <c r="AB440" s="31">
        <f>AB438+AB439</f>
        <v/>
      </c>
      <c r="AC440" s="31">
        <f>AC438+AC439</f>
        <v/>
      </c>
      <c r="AD440" s="31">
        <f>AD438+AD439</f>
        <v/>
      </c>
      <c r="AE440" s="31">
        <f>AE438+AE439</f>
        <v/>
      </c>
      <c r="AF440" s="31">
        <f>AF438+AF439</f>
        <v/>
      </c>
      <c r="AG440" s="31">
        <f>AG438+AG439</f>
        <v/>
      </c>
      <c r="AH440" s="31">
        <f>AH438+AH439</f>
        <v/>
      </c>
      <c r="AI440" s="31">
        <f>AI438+AI439</f>
        <v/>
      </c>
    </row>
    <row r="441">
      <c r="B441" s="2" t="inlineStr">
        <is>
          <t xml:space="preserve">  Fixed cost</t>
        </is>
      </c>
      <c r="D441" s="19">
        <f>D432*i_G_fix*D381</f>
        <v/>
      </c>
      <c r="E441" s="19">
        <f>E432*i_G_fix*E381</f>
        <v/>
      </c>
      <c r="F441" s="19">
        <f>F432*i_G_fix*F381</f>
        <v/>
      </c>
      <c r="G441" s="19">
        <f>G432*i_G_fix*G381</f>
        <v/>
      </c>
      <c r="H441" s="19">
        <f>H432*i_G_fix*H381</f>
        <v/>
      </c>
      <c r="I441" s="19">
        <f>I432*i_G_fix*I381</f>
        <v/>
      </c>
      <c r="J441" s="19">
        <f>J432*i_G_fix*J381</f>
        <v/>
      </c>
      <c r="K441" s="19">
        <f>K432*i_G_fix*K381</f>
        <v/>
      </c>
      <c r="L441" s="19">
        <f>L432*i_G_fix*L381</f>
        <v/>
      </c>
      <c r="M441" s="19">
        <f>M432*i_G_fix*M381</f>
        <v/>
      </c>
      <c r="N441" s="19">
        <f>N432*i_G_fix*N381</f>
        <v/>
      </c>
      <c r="O441" s="19">
        <f>O432*i_G_fix*O381</f>
        <v/>
      </c>
      <c r="P441" s="19">
        <f>P432*i_G_fix*P381</f>
        <v/>
      </c>
      <c r="Q441" s="19">
        <f>Q432*i_G_fix*Q381</f>
        <v/>
      </c>
      <c r="R441" s="19">
        <f>R432*i_G_fix*R381</f>
        <v/>
      </c>
      <c r="S441" s="19">
        <f>S432*i_G_fix*S381</f>
        <v/>
      </c>
      <c r="T441" s="19">
        <f>T432*i_G_fix*T381</f>
        <v/>
      </c>
      <c r="U441" s="19">
        <f>U432*i_G_fix*U381</f>
        <v/>
      </c>
      <c r="V441" s="19">
        <f>V432*i_G_fix*V381</f>
        <v/>
      </c>
      <c r="W441" s="19">
        <f>W432*i_G_fix*W381</f>
        <v/>
      </c>
      <c r="X441" s="19">
        <f>X432*i_G_fix*X381</f>
        <v/>
      </c>
      <c r="Y441" s="19">
        <f>Y432*i_G_fix*Y381</f>
        <v/>
      </c>
      <c r="Z441" s="19">
        <f>Z432*i_G_fix*Z381</f>
        <v/>
      </c>
      <c r="AA441" s="19">
        <f>AA432*i_G_fix*AA381</f>
        <v/>
      </c>
      <c r="AB441" s="19">
        <f>AB432*i_G_fix*AB381</f>
        <v/>
      </c>
      <c r="AC441" s="19">
        <f>AC432*i_G_fix*AC381</f>
        <v/>
      </c>
      <c r="AD441" s="19">
        <f>AD432*i_G_fix*AD381</f>
        <v/>
      </c>
      <c r="AE441" s="19">
        <f>AE432*i_G_fix*AE381</f>
        <v/>
      </c>
      <c r="AF441" s="19">
        <f>AF432*i_G_fix*AF381</f>
        <v/>
      </c>
      <c r="AG441" s="19">
        <f>AG432*i_G_fix*AG381</f>
        <v/>
      </c>
      <c r="AH441" s="19">
        <f>AH432*i_G_fix*AH381</f>
        <v/>
      </c>
      <c r="AI441" s="19">
        <f>AI432*i_G_fix*AI381</f>
        <v/>
      </c>
    </row>
    <row r="442">
      <c r="B442" s="2" t="inlineStr">
        <is>
          <t xml:space="preserve">  Variable cost</t>
        </is>
      </c>
      <c r="D442" s="19">
        <f>i_G_var*D440</f>
        <v/>
      </c>
      <c r="E442" s="19">
        <f>i_G_var*E440</f>
        <v/>
      </c>
      <c r="F442" s="19">
        <f>i_G_var*F440</f>
        <v/>
      </c>
      <c r="G442" s="19">
        <f>i_G_var*G440</f>
        <v/>
      </c>
      <c r="H442" s="19">
        <f>i_G_var*H440</f>
        <v/>
      </c>
      <c r="I442" s="19">
        <f>i_G_var*I440</f>
        <v/>
      </c>
      <c r="J442" s="19">
        <f>i_G_var*J440</f>
        <v/>
      </c>
      <c r="K442" s="19">
        <f>i_G_var*K440</f>
        <v/>
      </c>
      <c r="L442" s="19">
        <f>i_G_var*L440</f>
        <v/>
      </c>
      <c r="M442" s="19">
        <f>i_G_var*M440</f>
        <v/>
      </c>
      <c r="N442" s="19">
        <f>i_G_var*N440</f>
        <v/>
      </c>
      <c r="O442" s="19">
        <f>i_G_var*O440</f>
        <v/>
      </c>
      <c r="P442" s="19">
        <f>i_G_var*P440</f>
        <v/>
      </c>
      <c r="Q442" s="19">
        <f>i_G_var*Q440</f>
        <v/>
      </c>
      <c r="R442" s="19">
        <f>i_G_var*R440</f>
        <v/>
      </c>
      <c r="S442" s="19">
        <f>i_G_var*S440</f>
        <v/>
      </c>
      <c r="T442" s="19">
        <f>i_G_var*T440</f>
        <v/>
      </c>
      <c r="U442" s="19">
        <f>i_G_var*U440</f>
        <v/>
      </c>
      <c r="V442" s="19">
        <f>i_G_var*V440</f>
        <v/>
      </c>
      <c r="W442" s="19">
        <f>i_G_var*W440</f>
        <v/>
      </c>
      <c r="X442" s="19">
        <f>i_G_var*X440</f>
        <v/>
      </c>
      <c r="Y442" s="19">
        <f>i_G_var*Y440</f>
        <v/>
      </c>
      <c r="Z442" s="19">
        <f>i_G_var*Z440</f>
        <v/>
      </c>
      <c r="AA442" s="19">
        <f>i_G_var*AA440</f>
        <v/>
      </c>
      <c r="AB442" s="19">
        <f>i_G_var*AB440</f>
        <v/>
      </c>
      <c r="AC442" s="19">
        <f>i_G_var*AC440</f>
        <v/>
      </c>
      <c r="AD442" s="19">
        <f>i_G_var*AD440</f>
        <v/>
      </c>
      <c r="AE442" s="19">
        <f>i_G_var*AE440</f>
        <v/>
      </c>
      <c r="AF442" s="19">
        <f>i_G_var*AF440</f>
        <v/>
      </c>
      <c r="AG442" s="19">
        <f>i_G_var*AG440</f>
        <v/>
      </c>
      <c r="AH442" s="19">
        <f>i_G_var*AH440</f>
        <v/>
      </c>
      <c r="AI442" s="19">
        <f>i_G_var*AI440</f>
        <v/>
      </c>
    </row>
    <row r="443">
      <c r="B443" s="2" t="inlineStr">
        <is>
          <t xml:space="preserve">  Extra windstorm insurance</t>
        </is>
      </c>
      <c r="D443" s="19">
        <f>IF(D$4&gt;0,Diligence!$C$374*i_g_ins*D381,0)</f>
        <v/>
      </c>
      <c r="E443" s="19">
        <f>IF(E$4&gt;0,Diligence!$C$374*i_g_ins*E381,0)</f>
        <v/>
      </c>
      <c r="F443" s="19">
        <f>IF(F$4&gt;0,Diligence!$C$374*i_g_ins*F381,0)</f>
        <v/>
      </c>
      <c r="G443" s="19">
        <f>IF(G$4&gt;0,Diligence!$C$374*i_g_ins*G381,0)</f>
        <v/>
      </c>
      <c r="H443" s="19">
        <f>IF(H$4&gt;0,Diligence!$C$374*i_g_ins*H381,0)</f>
        <v/>
      </c>
      <c r="I443" s="19">
        <f>IF(I$4&gt;0,Diligence!$C$374*i_g_ins*I381,0)</f>
        <v/>
      </c>
      <c r="J443" s="19">
        <f>IF(J$4&gt;0,Diligence!$C$374*i_g_ins*J381,0)</f>
        <v/>
      </c>
      <c r="K443" s="19">
        <f>IF(K$4&gt;0,Diligence!$C$374*i_g_ins*K381,0)</f>
        <v/>
      </c>
      <c r="L443" s="19">
        <f>IF(L$4&gt;0,Diligence!$C$374*i_g_ins*L381,0)</f>
        <v/>
      </c>
      <c r="M443" s="19">
        <f>IF(M$4&gt;0,Diligence!$C$374*i_g_ins*M381,0)</f>
        <v/>
      </c>
      <c r="N443" s="19">
        <f>IF(N$4&gt;0,Diligence!$C$374*i_g_ins*N381,0)</f>
        <v/>
      </c>
      <c r="O443" s="19">
        <f>IF(O$4&gt;0,Diligence!$C$374*i_g_ins*O381,0)</f>
        <v/>
      </c>
      <c r="P443" s="19">
        <f>IF(P$4&gt;0,Diligence!$C$374*i_g_ins*P381,0)</f>
        <v/>
      </c>
      <c r="Q443" s="19">
        <f>IF(Q$4&gt;0,Diligence!$C$374*i_g_ins*Q381,0)</f>
        <v/>
      </c>
      <c r="R443" s="19">
        <f>IF(R$4&gt;0,Diligence!$C$374*i_g_ins*R381,0)</f>
        <v/>
      </c>
      <c r="S443" s="19">
        <f>IF(S$4&gt;0,Diligence!$C$374*i_g_ins*S381,0)</f>
        <v/>
      </c>
      <c r="T443" s="19">
        <f>IF(T$4&gt;0,Diligence!$C$374*i_g_ins*T381,0)</f>
        <v/>
      </c>
      <c r="U443" s="19">
        <f>IF(U$4&gt;0,Diligence!$C$374*i_g_ins*U381,0)</f>
        <v/>
      </c>
      <c r="V443" s="19">
        <f>IF(V$4&gt;0,Diligence!$C$374*i_g_ins*V381,0)</f>
        <v/>
      </c>
      <c r="W443" s="19">
        <f>IF(W$4&gt;0,Diligence!$C$374*i_g_ins*W381,0)</f>
        <v/>
      </c>
      <c r="X443" s="19">
        <f>IF(X$4&gt;0,Diligence!$C$374*i_g_ins*X381,0)</f>
        <v/>
      </c>
      <c r="Y443" s="19">
        <f>IF(Y$4&gt;0,Diligence!$C$374*i_g_ins*Y381,0)</f>
        <v/>
      </c>
      <c r="Z443" s="19">
        <f>IF(Z$4&gt;0,Diligence!$C$374*i_g_ins*Z381,0)</f>
        <v/>
      </c>
      <c r="AA443" s="19">
        <f>IF(AA$4&gt;0,Diligence!$C$374*i_g_ins*AA381,0)</f>
        <v/>
      </c>
      <c r="AB443" s="19">
        <f>IF(AB$4&gt;0,Diligence!$C$374*i_g_ins*AB381,0)</f>
        <v/>
      </c>
      <c r="AC443" s="19">
        <f>IF(AC$4&gt;0,Diligence!$C$374*i_g_ins*AC381,0)</f>
        <v/>
      </c>
      <c r="AD443" s="19">
        <f>IF(AD$4&gt;0,Diligence!$C$374*i_g_ins*AD381,0)</f>
        <v/>
      </c>
      <c r="AE443" s="19">
        <f>IF(AE$4&gt;0,Diligence!$C$374*i_g_ins*AE381,0)</f>
        <v/>
      </c>
      <c r="AF443" s="19">
        <f>IF(AF$4&gt;0,Diligence!$C$374*i_g_ins*AF381,0)</f>
        <v/>
      </c>
      <c r="AG443" s="19">
        <f>IF(AG$4&gt;0,Diligence!$C$374*i_g_ins*AG381,0)</f>
        <v/>
      </c>
      <c r="AH443" s="19">
        <f>IF(AH$4&gt;0,Diligence!$C$374*i_g_ins*AH381,0)</f>
        <v/>
      </c>
      <c r="AI443" s="19">
        <f>IF(AI$4&gt;0,Diligence!$C$374*i_g_ins*AI381,0)</f>
        <v/>
      </c>
    </row>
    <row r="444">
      <c r="B444" s="2" t="inlineStr">
        <is>
          <t xml:space="preserve">  Operating cost</t>
        </is>
      </c>
      <c r="D444" s="19">
        <f>D441+D442+D443</f>
        <v/>
      </c>
      <c r="E444" s="19">
        <f>E441+E442+E443</f>
        <v/>
      </c>
      <c r="F444" s="19">
        <f>F441+F442+F443</f>
        <v/>
      </c>
      <c r="G444" s="19">
        <f>G441+G442+G443</f>
        <v/>
      </c>
      <c r="H444" s="19">
        <f>H441+H442+H443</f>
        <v/>
      </c>
      <c r="I444" s="19">
        <f>I441+I442+I443</f>
        <v/>
      </c>
      <c r="J444" s="19">
        <f>J441+J442+J443</f>
        <v/>
      </c>
      <c r="K444" s="19">
        <f>K441+K442+K443</f>
        <v/>
      </c>
      <c r="L444" s="19">
        <f>L441+L442+L443</f>
        <v/>
      </c>
      <c r="M444" s="19">
        <f>M441+M442+M443</f>
        <v/>
      </c>
      <c r="N444" s="19">
        <f>N441+N442+N443</f>
        <v/>
      </c>
      <c r="O444" s="19">
        <f>O441+O442+O443</f>
        <v/>
      </c>
      <c r="P444" s="19">
        <f>P441+P442+P443</f>
        <v/>
      </c>
      <c r="Q444" s="19">
        <f>Q441+Q442+Q443</f>
        <v/>
      </c>
      <c r="R444" s="19">
        <f>R441+R442+R443</f>
        <v/>
      </c>
      <c r="S444" s="19">
        <f>S441+S442+S443</f>
        <v/>
      </c>
      <c r="T444" s="19">
        <f>T441+T442+T443</f>
        <v/>
      </c>
      <c r="U444" s="19">
        <f>U441+U442+U443</f>
        <v/>
      </c>
      <c r="V444" s="19">
        <f>V441+V442+V443</f>
        <v/>
      </c>
      <c r="W444" s="19">
        <f>W441+W442+W443</f>
        <v/>
      </c>
      <c r="X444" s="19">
        <f>X441+X442+X443</f>
        <v/>
      </c>
      <c r="Y444" s="19">
        <f>Y441+Y442+Y443</f>
        <v/>
      </c>
      <c r="Z444" s="19">
        <f>Z441+Z442+Z443</f>
        <v/>
      </c>
      <c r="AA444" s="19">
        <f>AA441+AA442+AA443</f>
        <v/>
      </c>
      <c r="AB444" s="19">
        <f>AB441+AB442+AB443</f>
        <v/>
      </c>
      <c r="AC444" s="19">
        <f>AC441+AC442+AC443</f>
        <v/>
      </c>
      <c r="AD444" s="19">
        <f>AD441+AD442+AD443</f>
        <v/>
      </c>
      <c r="AE444" s="19">
        <f>AE441+AE442+AE443</f>
        <v/>
      </c>
      <c r="AF444" s="19">
        <f>AF441+AF442+AF443</f>
        <v/>
      </c>
      <c r="AG444" s="19">
        <f>AG441+AG442+AG443</f>
        <v/>
      </c>
      <c r="AH444" s="19">
        <f>AH441+AH442+AH443</f>
        <v/>
      </c>
      <c r="AI444" s="19">
        <f>AI441+AI442+AI443</f>
        <v/>
      </c>
    </row>
    <row r="445">
      <c r="B445" s="3" t="inlineStr">
        <is>
          <t xml:space="preserve">  EBITDA</t>
        </is>
      </c>
      <c r="D445" s="31">
        <f>D440-D444</f>
        <v/>
      </c>
      <c r="E445" s="31">
        <f>E440-E444</f>
        <v/>
      </c>
      <c r="F445" s="31">
        <f>F440-F444</f>
        <v/>
      </c>
      <c r="G445" s="31">
        <f>G440-G444</f>
        <v/>
      </c>
      <c r="H445" s="31">
        <f>H440-H444</f>
        <v/>
      </c>
      <c r="I445" s="31">
        <f>I440-I444</f>
        <v/>
      </c>
      <c r="J445" s="31">
        <f>J440-J444</f>
        <v/>
      </c>
      <c r="K445" s="31">
        <f>K440-K444</f>
        <v/>
      </c>
      <c r="L445" s="31">
        <f>L440-L444</f>
        <v/>
      </c>
      <c r="M445" s="31">
        <f>M440-M444</f>
        <v/>
      </c>
      <c r="N445" s="31">
        <f>N440-N444</f>
        <v/>
      </c>
      <c r="O445" s="31">
        <f>O440-O444</f>
        <v/>
      </c>
      <c r="P445" s="31">
        <f>P440-P444</f>
        <v/>
      </c>
      <c r="Q445" s="31">
        <f>Q440-Q444</f>
        <v/>
      </c>
      <c r="R445" s="31">
        <f>R440-R444</f>
        <v/>
      </c>
      <c r="S445" s="31">
        <f>S440-S444</f>
        <v/>
      </c>
      <c r="T445" s="31">
        <f>T440-T444</f>
        <v/>
      </c>
      <c r="U445" s="31">
        <f>U440-U444</f>
        <v/>
      </c>
      <c r="V445" s="31">
        <f>V440-V444</f>
        <v/>
      </c>
      <c r="W445" s="31">
        <f>W440-W444</f>
        <v/>
      </c>
      <c r="X445" s="31">
        <f>X440-X444</f>
        <v/>
      </c>
      <c r="Y445" s="31">
        <f>Y440-Y444</f>
        <v/>
      </c>
      <c r="Z445" s="31">
        <f>Z440-Z444</f>
        <v/>
      </c>
      <c r="AA445" s="31">
        <f>AA440-AA444</f>
        <v/>
      </c>
      <c r="AB445" s="31">
        <f>AB440-AB444</f>
        <v/>
      </c>
      <c r="AC445" s="31">
        <f>AC440-AC444</f>
        <v/>
      </c>
      <c r="AD445" s="31">
        <f>AD440-AD444</f>
        <v/>
      </c>
      <c r="AE445" s="31">
        <f>AE440-AE444</f>
        <v/>
      </c>
      <c r="AF445" s="31">
        <f>AF440-AF444</f>
        <v/>
      </c>
      <c r="AG445" s="31">
        <f>AG440-AG444</f>
        <v/>
      </c>
      <c r="AH445" s="31">
        <f>AH440-AH444</f>
        <v/>
      </c>
      <c r="AI445" s="31">
        <f>AI440-AI444</f>
        <v/>
      </c>
    </row>
    <row r="446">
      <c r="B446" s="2" t="inlineStr">
        <is>
          <t xml:space="preserve">  Maintenance capex</t>
        </is>
      </c>
      <c r="D446" s="19">
        <f>D432*i_G_mc*D381</f>
        <v/>
      </c>
      <c r="E446" s="19">
        <f>E432*i_G_mc*E381</f>
        <v/>
      </c>
      <c r="F446" s="19">
        <f>F432*i_G_mc*F381</f>
        <v/>
      </c>
      <c r="G446" s="19">
        <f>G432*i_G_mc*G381</f>
        <v/>
      </c>
      <c r="H446" s="19">
        <f>H432*i_G_mc*H381</f>
        <v/>
      </c>
      <c r="I446" s="19">
        <f>I432*i_G_mc*I381</f>
        <v/>
      </c>
      <c r="J446" s="19">
        <f>J432*i_G_mc*J381</f>
        <v/>
      </c>
      <c r="K446" s="19">
        <f>K432*i_G_mc*K381</f>
        <v/>
      </c>
      <c r="L446" s="19">
        <f>L432*i_G_mc*L381</f>
        <v/>
      </c>
      <c r="M446" s="19">
        <f>M432*i_G_mc*M381</f>
        <v/>
      </c>
      <c r="N446" s="19">
        <f>N432*i_G_mc*N381</f>
        <v/>
      </c>
      <c r="O446" s="19">
        <f>O432*i_G_mc*O381</f>
        <v/>
      </c>
      <c r="P446" s="19">
        <f>P432*i_G_mc*P381</f>
        <v/>
      </c>
      <c r="Q446" s="19">
        <f>Q432*i_G_mc*Q381</f>
        <v/>
      </c>
      <c r="R446" s="19">
        <f>R432*i_G_mc*R381</f>
        <v/>
      </c>
      <c r="S446" s="19">
        <f>S432*i_G_mc*S381</f>
        <v/>
      </c>
      <c r="T446" s="19">
        <f>T432*i_G_mc*T381</f>
        <v/>
      </c>
      <c r="U446" s="19">
        <f>U432*i_G_mc*U381</f>
        <v/>
      </c>
      <c r="V446" s="19">
        <f>V432*i_G_mc*V381</f>
        <v/>
      </c>
      <c r="W446" s="19">
        <f>W432*i_G_mc*W381</f>
        <v/>
      </c>
      <c r="X446" s="19">
        <f>X432*i_G_mc*X381</f>
        <v/>
      </c>
      <c r="Y446" s="19">
        <f>Y432*i_G_mc*Y381</f>
        <v/>
      </c>
      <c r="Z446" s="19">
        <f>Z432*i_G_mc*Z381</f>
        <v/>
      </c>
      <c r="AA446" s="19">
        <f>AA432*i_G_mc*AA381</f>
        <v/>
      </c>
      <c r="AB446" s="19">
        <f>AB432*i_G_mc*AB381</f>
        <v/>
      </c>
      <c r="AC446" s="19">
        <f>AC432*i_G_mc*AC381</f>
        <v/>
      </c>
      <c r="AD446" s="19">
        <f>AD432*i_G_mc*AD381</f>
        <v/>
      </c>
      <c r="AE446" s="19">
        <f>AE432*i_G_mc*AE381</f>
        <v/>
      </c>
      <c r="AF446" s="19">
        <f>AF432*i_G_mc*AF381</f>
        <v/>
      </c>
      <c r="AG446" s="19">
        <f>AG432*i_G_mc*AG381</f>
        <v/>
      </c>
      <c r="AH446" s="19">
        <f>AH432*i_G_mc*AH381</f>
        <v/>
      </c>
      <c r="AI446" s="19">
        <f>AI432*i_G_mc*AI381</f>
        <v/>
      </c>
    </row>
    <row r="447">
      <c r="B447" s="3" t="inlineStr">
        <is>
          <t>Sabine Bend expansion (renewable fuels)</t>
        </is>
      </c>
    </row>
    <row r="448">
      <c r="B448" s="2" t="inlineStr">
        <is>
          <t xml:space="preserve">  Growth capex</t>
        </is>
      </c>
      <c r="D448" s="19">
        <f>Diligence!$C$375*SUMIF(i_exp_capex_years,D$3,i_exp_capex_vals)*D381</f>
        <v/>
      </c>
      <c r="E448" s="19">
        <f>Diligence!$C$375*SUMIF(i_exp_capex_years,E$3,i_exp_capex_vals)*E381</f>
        <v/>
      </c>
      <c r="F448" s="19">
        <f>Diligence!$C$375*SUMIF(i_exp_capex_years,F$3,i_exp_capex_vals)*F381</f>
        <v/>
      </c>
      <c r="G448" s="19">
        <f>Diligence!$C$375*SUMIF(i_exp_capex_years,G$3,i_exp_capex_vals)*G381</f>
        <v/>
      </c>
      <c r="H448" s="19">
        <f>Diligence!$C$375*SUMIF(i_exp_capex_years,H$3,i_exp_capex_vals)*H381</f>
        <v/>
      </c>
      <c r="I448" s="19">
        <f>Diligence!$C$375*SUMIF(i_exp_capex_years,I$3,i_exp_capex_vals)*I381</f>
        <v/>
      </c>
      <c r="J448" s="19">
        <f>Diligence!$C$375*SUMIF(i_exp_capex_years,J$3,i_exp_capex_vals)*J381</f>
        <v/>
      </c>
      <c r="K448" s="19">
        <f>Diligence!$C$375*SUMIF(i_exp_capex_years,K$3,i_exp_capex_vals)*K381</f>
        <v/>
      </c>
      <c r="L448" s="19">
        <f>Diligence!$C$375*SUMIF(i_exp_capex_years,L$3,i_exp_capex_vals)*L381</f>
        <v/>
      </c>
      <c r="M448" s="19">
        <f>Diligence!$C$375*SUMIF(i_exp_capex_years,M$3,i_exp_capex_vals)*M381</f>
        <v/>
      </c>
      <c r="N448" s="19">
        <f>Diligence!$C$375*SUMIF(i_exp_capex_years,N$3,i_exp_capex_vals)*N381</f>
        <v/>
      </c>
      <c r="O448" s="19">
        <f>Diligence!$C$375*SUMIF(i_exp_capex_years,O$3,i_exp_capex_vals)*O381</f>
        <v/>
      </c>
      <c r="P448" s="19">
        <f>Diligence!$C$375*SUMIF(i_exp_capex_years,P$3,i_exp_capex_vals)*P381</f>
        <v/>
      </c>
      <c r="Q448" s="19">
        <f>Diligence!$C$375*SUMIF(i_exp_capex_years,Q$3,i_exp_capex_vals)*Q381</f>
        <v/>
      </c>
      <c r="R448" s="19">
        <f>Diligence!$C$375*SUMIF(i_exp_capex_years,R$3,i_exp_capex_vals)*R381</f>
        <v/>
      </c>
      <c r="S448" s="19">
        <f>Diligence!$C$375*SUMIF(i_exp_capex_years,S$3,i_exp_capex_vals)*S381</f>
        <v/>
      </c>
      <c r="T448" s="19">
        <f>Diligence!$C$375*SUMIF(i_exp_capex_years,T$3,i_exp_capex_vals)*T381</f>
        <v/>
      </c>
      <c r="U448" s="19">
        <f>Diligence!$C$375*SUMIF(i_exp_capex_years,U$3,i_exp_capex_vals)*U381</f>
        <v/>
      </c>
      <c r="V448" s="19">
        <f>Diligence!$C$375*SUMIF(i_exp_capex_years,V$3,i_exp_capex_vals)*V381</f>
        <v/>
      </c>
      <c r="W448" s="19">
        <f>Diligence!$C$375*SUMIF(i_exp_capex_years,W$3,i_exp_capex_vals)*W381</f>
        <v/>
      </c>
      <c r="X448" s="19">
        <f>Diligence!$C$375*SUMIF(i_exp_capex_years,X$3,i_exp_capex_vals)*X381</f>
        <v/>
      </c>
      <c r="Y448" s="19">
        <f>Diligence!$C$375*SUMIF(i_exp_capex_years,Y$3,i_exp_capex_vals)*Y381</f>
        <v/>
      </c>
      <c r="Z448" s="19">
        <f>Diligence!$C$375*SUMIF(i_exp_capex_years,Z$3,i_exp_capex_vals)*Z381</f>
        <v/>
      </c>
      <c r="AA448" s="19">
        <f>Diligence!$C$375*SUMIF(i_exp_capex_years,AA$3,i_exp_capex_vals)*AA381</f>
        <v/>
      </c>
      <c r="AB448" s="19">
        <f>Diligence!$C$375*SUMIF(i_exp_capex_years,AB$3,i_exp_capex_vals)*AB381</f>
        <v/>
      </c>
      <c r="AC448" s="19">
        <f>Diligence!$C$375*SUMIF(i_exp_capex_years,AC$3,i_exp_capex_vals)*AC381</f>
        <v/>
      </c>
      <c r="AD448" s="19">
        <f>Diligence!$C$375*SUMIF(i_exp_capex_years,AD$3,i_exp_capex_vals)*AD381</f>
        <v/>
      </c>
      <c r="AE448" s="19">
        <f>Diligence!$C$375*SUMIF(i_exp_capex_years,AE$3,i_exp_capex_vals)*AE381</f>
        <v/>
      </c>
      <c r="AF448" s="19">
        <f>Diligence!$C$375*SUMIF(i_exp_capex_years,AF$3,i_exp_capex_vals)*AF381</f>
        <v/>
      </c>
      <c r="AG448" s="19">
        <f>Diligence!$C$375*SUMIF(i_exp_capex_years,AG$3,i_exp_capex_vals)*AG381</f>
        <v/>
      </c>
      <c r="AH448" s="19">
        <f>Diligence!$C$375*SUMIF(i_exp_capex_years,AH$3,i_exp_capex_vals)*AH381</f>
        <v/>
      </c>
      <c r="AI448" s="19">
        <f>Diligence!$C$375*SUMIF(i_exp_capex_years,AI$3,i_exp_capex_vals)*AI381</f>
        <v/>
      </c>
    </row>
    <row r="449">
      <c r="B449" s="2" t="inlineStr">
        <is>
          <t xml:space="preserve">  Operating (1/0)</t>
        </is>
      </c>
      <c r="D449" s="22">
        <f>IF(D$3&gt;=i_exp_start,Diligence!$C$375,0)</f>
        <v/>
      </c>
      <c r="E449" s="22">
        <f>IF(E$3&gt;=i_exp_start,Diligence!$C$375,0)</f>
        <v/>
      </c>
      <c r="F449" s="22">
        <f>IF(F$3&gt;=i_exp_start,Diligence!$C$375,0)</f>
        <v/>
      </c>
      <c r="G449" s="22">
        <f>IF(G$3&gt;=i_exp_start,Diligence!$C$375,0)</f>
        <v/>
      </c>
      <c r="H449" s="22">
        <f>IF(H$3&gt;=i_exp_start,Diligence!$C$375,0)</f>
        <v/>
      </c>
      <c r="I449" s="22">
        <f>IF(I$3&gt;=i_exp_start,Diligence!$C$375,0)</f>
        <v/>
      </c>
      <c r="J449" s="22">
        <f>IF(J$3&gt;=i_exp_start,Diligence!$C$375,0)</f>
        <v/>
      </c>
      <c r="K449" s="22">
        <f>IF(K$3&gt;=i_exp_start,Diligence!$C$375,0)</f>
        <v/>
      </c>
      <c r="L449" s="22">
        <f>IF(L$3&gt;=i_exp_start,Diligence!$C$375,0)</f>
        <v/>
      </c>
      <c r="M449" s="22">
        <f>IF(M$3&gt;=i_exp_start,Diligence!$C$375,0)</f>
        <v/>
      </c>
      <c r="N449" s="22">
        <f>IF(N$3&gt;=i_exp_start,Diligence!$C$375,0)</f>
        <v/>
      </c>
      <c r="O449" s="22">
        <f>IF(O$3&gt;=i_exp_start,Diligence!$C$375,0)</f>
        <v/>
      </c>
      <c r="P449" s="22">
        <f>IF(P$3&gt;=i_exp_start,Diligence!$C$375,0)</f>
        <v/>
      </c>
      <c r="Q449" s="22">
        <f>IF(Q$3&gt;=i_exp_start,Diligence!$C$375,0)</f>
        <v/>
      </c>
      <c r="R449" s="22">
        <f>IF(R$3&gt;=i_exp_start,Diligence!$C$375,0)</f>
        <v/>
      </c>
      <c r="S449" s="22">
        <f>IF(S$3&gt;=i_exp_start,Diligence!$C$375,0)</f>
        <v/>
      </c>
      <c r="T449" s="22">
        <f>IF(T$3&gt;=i_exp_start,Diligence!$C$375,0)</f>
        <v/>
      </c>
      <c r="U449" s="22">
        <f>IF(U$3&gt;=i_exp_start,Diligence!$C$375,0)</f>
        <v/>
      </c>
      <c r="V449" s="22">
        <f>IF(V$3&gt;=i_exp_start,Diligence!$C$375,0)</f>
        <v/>
      </c>
      <c r="W449" s="22">
        <f>IF(W$3&gt;=i_exp_start,Diligence!$C$375,0)</f>
        <v/>
      </c>
      <c r="X449" s="22">
        <f>IF(X$3&gt;=i_exp_start,Diligence!$C$375,0)</f>
        <v/>
      </c>
      <c r="Y449" s="22">
        <f>IF(Y$3&gt;=i_exp_start,Diligence!$C$375,0)</f>
        <v/>
      </c>
      <c r="Z449" s="22">
        <f>IF(Z$3&gt;=i_exp_start,Diligence!$C$375,0)</f>
        <v/>
      </c>
      <c r="AA449" s="22">
        <f>IF(AA$3&gt;=i_exp_start,Diligence!$C$375,0)</f>
        <v/>
      </c>
      <c r="AB449" s="22">
        <f>IF(AB$3&gt;=i_exp_start,Diligence!$C$375,0)</f>
        <v/>
      </c>
      <c r="AC449" s="22">
        <f>IF(AC$3&gt;=i_exp_start,Diligence!$C$375,0)</f>
        <v/>
      </c>
      <c r="AD449" s="22">
        <f>IF(AD$3&gt;=i_exp_start,Diligence!$C$375,0)</f>
        <v/>
      </c>
      <c r="AE449" s="22">
        <f>IF(AE$3&gt;=i_exp_start,Diligence!$C$375,0)</f>
        <v/>
      </c>
      <c r="AF449" s="22">
        <f>IF(AF$3&gt;=i_exp_start,Diligence!$C$375,0)</f>
        <v/>
      </c>
      <c r="AG449" s="22">
        <f>IF(AG$3&gt;=i_exp_start,Diligence!$C$375,0)</f>
        <v/>
      </c>
      <c r="AH449" s="22">
        <f>IF(AH$3&gt;=i_exp_start,Diligence!$C$375,0)</f>
        <v/>
      </c>
      <c r="AI449" s="22">
        <f>IF(AI$3&gt;=i_exp_start,Diligence!$C$375,0)</f>
        <v/>
      </c>
    </row>
    <row r="450">
      <c r="B450" s="2" t="inlineStr">
        <is>
          <t xml:space="preserve">  Under the anchor contract (1/0)</t>
        </is>
      </c>
      <c r="D450" s="22">
        <f>IF(D$3&lt;i_exp_start+i_exp_years,1,0)</f>
        <v/>
      </c>
      <c r="E450" s="22">
        <f>IF(E$3&lt;i_exp_start+i_exp_years,1,0)</f>
        <v/>
      </c>
      <c r="F450" s="22">
        <f>IF(F$3&lt;i_exp_start+i_exp_years,1,0)</f>
        <v/>
      </c>
      <c r="G450" s="22">
        <f>IF(G$3&lt;i_exp_start+i_exp_years,1,0)</f>
        <v/>
      </c>
      <c r="H450" s="22">
        <f>IF(H$3&lt;i_exp_start+i_exp_years,1,0)</f>
        <v/>
      </c>
      <c r="I450" s="22">
        <f>IF(I$3&lt;i_exp_start+i_exp_years,1,0)</f>
        <v/>
      </c>
      <c r="J450" s="22">
        <f>IF(J$3&lt;i_exp_start+i_exp_years,1,0)</f>
        <v/>
      </c>
      <c r="K450" s="22">
        <f>IF(K$3&lt;i_exp_start+i_exp_years,1,0)</f>
        <v/>
      </c>
      <c r="L450" s="22">
        <f>IF(L$3&lt;i_exp_start+i_exp_years,1,0)</f>
        <v/>
      </c>
      <c r="M450" s="22">
        <f>IF(M$3&lt;i_exp_start+i_exp_years,1,0)</f>
        <v/>
      </c>
      <c r="N450" s="22">
        <f>IF(N$3&lt;i_exp_start+i_exp_years,1,0)</f>
        <v/>
      </c>
      <c r="O450" s="22">
        <f>IF(O$3&lt;i_exp_start+i_exp_years,1,0)</f>
        <v/>
      </c>
      <c r="P450" s="22">
        <f>IF(P$3&lt;i_exp_start+i_exp_years,1,0)</f>
        <v/>
      </c>
      <c r="Q450" s="22">
        <f>IF(Q$3&lt;i_exp_start+i_exp_years,1,0)</f>
        <v/>
      </c>
      <c r="R450" s="22">
        <f>IF(R$3&lt;i_exp_start+i_exp_years,1,0)</f>
        <v/>
      </c>
      <c r="S450" s="22">
        <f>IF(S$3&lt;i_exp_start+i_exp_years,1,0)</f>
        <v/>
      </c>
      <c r="T450" s="22">
        <f>IF(T$3&lt;i_exp_start+i_exp_years,1,0)</f>
        <v/>
      </c>
      <c r="U450" s="22">
        <f>IF(U$3&lt;i_exp_start+i_exp_years,1,0)</f>
        <v/>
      </c>
      <c r="V450" s="22">
        <f>IF(V$3&lt;i_exp_start+i_exp_years,1,0)</f>
        <v/>
      </c>
      <c r="W450" s="22">
        <f>IF(W$3&lt;i_exp_start+i_exp_years,1,0)</f>
        <v/>
      </c>
      <c r="X450" s="22">
        <f>IF(X$3&lt;i_exp_start+i_exp_years,1,0)</f>
        <v/>
      </c>
      <c r="Y450" s="22">
        <f>IF(Y$3&lt;i_exp_start+i_exp_years,1,0)</f>
        <v/>
      </c>
      <c r="Z450" s="22">
        <f>IF(Z$3&lt;i_exp_start+i_exp_years,1,0)</f>
        <v/>
      </c>
      <c r="AA450" s="22">
        <f>IF(AA$3&lt;i_exp_start+i_exp_years,1,0)</f>
        <v/>
      </c>
      <c r="AB450" s="22">
        <f>IF(AB$3&lt;i_exp_start+i_exp_years,1,0)</f>
        <v/>
      </c>
      <c r="AC450" s="22">
        <f>IF(AC$3&lt;i_exp_start+i_exp_years,1,0)</f>
        <v/>
      </c>
      <c r="AD450" s="22">
        <f>IF(AD$3&lt;i_exp_start+i_exp_years,1,0)</f>
        <v/>
      </c>
      <c r="AE450" s="22">
        <f>IF(AE$3&lt;i_exp_start+i_exp_years,1,0)</f>
        <v/>
      </c>
      <c r="AF450" s="22">
        <f>IF(AF$3&lt;i_exp_start+i_exp_years,1,0)</f>
        <v/>
      </c>
      <c r="AG450" s="22">
        <f>IF(AG$3&lt;i_exp_start+i_exp_years,1,0)</f>
        <v/>
      </c>
      <c r="AH450" s="22">
        <f>IF(AH$3&lt;i_exp_start+i_exp_years,1,0)</f>
        <v/>
      </c>
      <c r="AI450" s="22">
        <f>IF(AI$3&lt;i_exp_start+i_exp_years,1,0)</f>
        <v/>
      </c>
    </row>
    <row r="451">
      <c r="B451" s="2" t="inlineStr">
        <is>
          <t xml:space="preserve">  Rate ($ per m3 per month)</t>
        </is>
      </c>
      <c r="D451" s="24">
        <f>i_exp_rate*D382*IF(D450=1,1,1+i_exp_mtm)</f>
        <v/>
      </c>
      <c r="E451" s="24">
        <f>i_exp_rate*E382*IF(E450=1,1,1+i_exp_mtm)</f>
        <v/>
      </c>
      <c r="F451" s="24">
        <f>i_exp_rate*F382*IF(F450=1,1,1+i_exp_mtm)</f>
        <v/>
      </c>
      <c r="G451" s="24">
        <f>i_exp_rate*G382*IF(G450=1,1,1+i_exp_mtm)</f>
        <v/>
      </c>
      <c r="H451" s="24">
        <f>i_exp_rate*H382*IF(H450=1,1,1+i_exp_mtm)</f>
        <v/>
      </c>
      <c r="I451" s="24">
        <f>i_exp_rate*I382*IF(I450=1,1,1+i_exp_mtm)</f>
        <v/>
      </c>
      <c r="J451" s="24">
        <f>i_exp_rate*J382*IF(J450=1,1,1+i_exp_mtm)</f>
        <v/>
      </c>
      <c r="K451" s="24">
        <f>i_exp_rate*K382*IF(K450=1,1,1+i_exp_mtm)</f>
        <v/>
      </c>
      <c r="L451" s="24">
        <f>i_exp_rate*L382*IF(L450=1,1,1+i_exp_mtm)</f>
        <v/>
      </c>
      <c r="M451" s="24">
        <f>i_exp_rate*M382*IF(M450=1,1,1+i_exp_mtm)</f>
        <v/>
      </c>
      <c r="N451" s="24">
        <f>i_exp_rate*N382*IF(N450=1,1,1+i_exp_mtm)</f>
        <v/>
      </c>
      <c r="O451" s="24">
        <f>i_exp_rate*O382*IF(O450=1,1,1+i_exp_mtm)</f>
        <v/>
      </c>
      <c r="P451" s="24">
        <f>i_exp_rate*P382*IF(P450=1,1,1+i_exp_mtm)</f>
        <v/>
      </c>
      <c r="Q451" s="24">
        <f>i_exp_rate*Q382*IF(Q450=1,1,1+i_exp_mtm)</f>
        <v/>
      </c>
      <c r="R451" s="24">
        <f>i_exp_rate*R382*IF(R450=1,1,1+i_exp_mtm)</f>
        <v/>
      </c>
      <c r="S451" s="24">
        <f>i_exp_rate*S382*IF(S450=1,1,1+i_exp_mtm)</f>
        <v/>
      </c>
      <c r="T451" s="24">
        <f>i_exp_rate*T382*IF(T450=1,1,1+i_exp_mtm)</f>
        <v/>
      </c>
      <c r="U451" s="24">
        <f>i_exp_rate*U382*IF(U450=1,1,1+i_exp_mtm)</f>
        <v/>
      </c>
      <c r="V451" s="24">
        <f>i_exp_rate*V382*IF(V450=1,1,1+i_exp_mtm)</f>
        <v/>
      </c>
      <c r="W451" s="24">
        <f>i_exp_rate*W382*IF(W450=1,1,1+i_exp_mtm)</f>
        <v/>
      </c>
      <c r="X451" s="24">
        <f>i_exp_rate*X382*IF(X450=1,1,1+i_exp_mtm)</f>
        <v/>
      </c>
      <c r="Y451" s="24">
        <f>i_exp_rate*Y382*IF(Y450=1,1,1+i_exp_mtm)</f>
        <v/>
      </c>
      <c r="Z451" s="24">
        <f>i_exp_rate*Z382*IF(Z450=1,1,1+i_exp_mtm)</f>
        <v/>
      </c>
      <c r="AA451" s="24">
        <f>i_exp_rate*AA382*IF(AA450=1,1,1+i_exp_mtm)</f>
        <v/>
      </c>
      <c r="AB451" s="24">
        <f>i_exp_rate*AB382*IF(AB450=1,1,1+i_exp_mtm)</f>
        <v/>
      </c>
      <c r="AC451" s="24">
        <f>i_exp_rate*AC382*IF(AC450=1,1,1+i_exp_mtm)</f>
        <v/>
      </c>
      <c r="AD451" s="24">
        <f>i_exp_rate*AD382*IF(AD450=1,1,1+i_exp_mtm)</f>
        <v/>
      </c>
      <c r="AE451" s="24">
        <f>i_exp_rate*AE382*IF(AE450=1,1,1+i_exp_mtm)</f>
        <v/>
      </c>
      <c r="AF451" s="24">
        <f>i_exp_rate*AF382*IF(AF450=1,1,1+i_exp_mtm)</f>
        <v/>
      </c>
      <c r="AG451" s="24">
        <f>i_exp_rate*AG382*IF(AG450=1,1,1+i_exp_mtm)</f>
        <v/>
      </c>
      <c r="AH451" s="24">
        <f>i_exp_rate*AH382*IF(AH450=1,1,1+i_exp_mtm)</f>
        <v/>
      </c>
      <c r="AI451" s="24">
        <f>i_exp_rate*AI382*IF(AI450=1,1,1+i_exp_mtm)</f>
        <v/>
      </c>
    </row>
    <row r="452">
      <c r="B452" s="2" t="inlineStr">
        <is>
          <t xml:space="preserve">  Occupancy</t>
        </is>
      </c>
      <c r="D452" s="21">
        <f>IF(D450=1,i_exp_occ_c,i_exp_occ_m)</f>
        <v/>
      </c>
      <c r="E452" s="21">
        <f>IF(E450=1,i_exp_occ_c,i_exp_occ_m)</f>
        <v/>
      </c>
      <c r="F452" s="21">
        <f>IF(F450=1,i_exp_occ_c,i_exp_occ_m)</f>
        <v/>
      </c>
      <c r="G452" s="21">
        <f>IF(G450=1,i_exp_occ_c,i_exp_occ_m)</f>
        <v/>
      </c>
      <c r="H452" s="21">
        <f>IF(H450=1,i_exp_occ_c,i_exp_occ_m)</f>
        <v/>
      </c>
      <c r="I452" s="21">
        <f>IF(I450=1,i_exp_occ_c,i_exp_occ_m)</f>
        <v/>
      </c>
      <c r="J452" s="21">
        <f>IF(J450=1,i_exp_occ_c,i_exp_occ_m)</f>
        <v/>
      </c>
      <c r="K452" s="21">
        <f>IF(K450=1,i_exp_occ_c,i_exp_occ_m)</f>
        <v/>
      </c>
      <c r="L452" s="21">
        <f>IF(L450=1,i_exp_occ_c,i_exp_occ_m)</f>
        <v/>
      </c>
      <c r="M452" s="21">
        <f>IF(M450=1,i_exp_occ_c,i_exp_occ_m)</f>
        <v/>
      </c>
      <c r="N452" s="21">
        <f>IF(N450=1,i_exp_occ_c,i_exp_occ_m)</f>
        <v/>
      </c>
      <c r="O452" s="21">
        <f>IF(O450=1,i_exp_occ_c,i_exp_occ_m)</f>
        <v/>
      </c>
      <c r="P452" s="21">
        <f>IF(P450=1,i_exp_occ_c,i_exp_occ_m)</f>
        <v/>
      </c>
      <c r="Q452" s="21">
        <f>IF(Q450=1,i_exp_occ_c,i_exp_occ_m)</f>
        <v/>
      </c>
      <c r="R452" s="21">
        <f>IF(R450=1,i_exp_occ_c,i_exp_occ_m)</f>
        <v/>
      </c>
      <c r="S452" s="21">
        <f>IF(S450=1,i_exp_occ_c,i_exp_occ_m)</f>
        <v/>
      </c>
      <c r="T452" s="21">
        <f>IF(T450=1,i_exp_occ_c,i_exp_occ_m)</f>
        <v/>
      </c>
      <c r="U452" s="21">
        <f>IF(U450=1,i_exp_occ_c,i_exp_occ_m)</f>
        <v/>
      </c>
      <c r="V452" s="21">
        <f>IF(V450=1,i_exp_occ_c,i_exp_occ_m)</f>
        <v/>
      </c>
      <c r="W452" s="21">
        <f>IF(W450=1,i_exp_occ_c,i_exp_occ_m)</f>
        <v/>
      </c>
      <c r="X452" s="21">
        <f>IF(X450=1,i_exp_occ_c,i_exp_occ_m)</f>
        <v/>
      </c>
      <c r="Y452" s="21">
        <f>IF(Y450=1,i_exp_occ_c,i_exp_occ_m)</f>
        <v/>
      </c>
      <c r="Z452" s="21">
        <f>IF(Z450=1,i_exp_occ_c,i_exp_occ_m)</f>
        <v/>
      </c>
      <c r="AA452" s="21">
        <f>IF(AA450=1,i_exp_occ_c,i_exp_occ_m)</f>
        <v/>
      </c>
      <c r="AB452" s="21">
        <f>IF(AB450=1,i_exp_occ_c,i_exp_occ_m)</f>
        <v/>
      </c>
      <c r="AC452" s="21">
        <f>IF(AC450=1,i_exp_occ_c,i_exp_occ_m)</f>
        <v/>
      </c>
      <c r="AD452" s="21">
        <f>IF(AD450=1,i_exp_occ_c,i_exp_occ_m)</f>
        <v/>
      </c>
      <c r="AE452" s="21">
        <f>IF(AE450=1,i_exp_occ_c,i_exp_occ_m)</f>
        <v/>
      </c>
      <c r="AF452" s="21">
        <f>IF(AF450=1,i_exp_occ_c,i_exp_occ_m)</f>
        <v/>
      </c>
      <c r="AG452" s="21">
        <f>IF(AG450=1,i_exp_occ_c,i_exp_occ_m)</f>
        <v/>
      </c>
      <c r="AH452" s="21">
        <f>IF(AH450=1,i_exp_occ_c,i_exp_occ_m)</f>
        <v/>
      </c>
      <c r="AI452" s="21">
        <f>IF(AI450=1,i_exp_occ_c,i_exp_occ_m)</f>
        <v/>
      </c>
    </row>
    <row r="453">
      <c r="B453" s="2" t="inlineStr">
        <is>
          <t xml:space="preserve">  Storage revenue</t>
        </is>
      </c>
      <c r="D453" s="19">
        <f>D449*i_exp_cap*D451*12*D452</f>
        <v/>
      </c>
      <c r="E453" s="19">
        <f>E449*i_exp_cap*E451*12*E452</f>
        <v/>
      </c>
      <c r="F453" s="19">
        <f>F449*i_exp_cap*F451*12*F452</f>
        <v/>
      </c>
      <c r="G453" s="19">
        <f>G449*i_exp_cap*G451*12*G452</f>
        <v/>
      </c>
      <c r="H453" s="19">
        <f>H449*i_exp_cap*H451*12*H452</f>
        <v/>
      </c>
      <c r="I453" s="19">
        <f>I449*i_exp_cap*I451*12*I452</f>
        <v/>
      </c>
      <c r="J453" s="19">
        <f>J449*i_exp_cap*J451*12*J452</f>
        <v/>
      </c>
      <c r="K453" s="19">
        <f>K449*i_exp_cap*K451*12*K452</f>
        <v/>
      </c>
      <c r="L453" s="19">
        <f>L449*i_exp_cap*L451*12*L452</f>
        <v/>
      </c>
      <c r="M453" s="19">
        <f>M449*i_exp_cap*M451*12*M452</f>
        <v/>
      </c>
      <c r="N453" s="19">
        <f>N449*i_exp_cap*N451*12*N452</f>
        <v/>
      </c>
      <c r="O453" s="19">
        <f>O449*i_exp_cap*O451*12*O452</f>
        <v/>
      </c>
      <c r="P453" s="19">
        <f>P449*i_exp_cap*P451*12*P452</f>
        <v/>
      </c>
      <c r="Q453" s="19">
        <f>Q449*i_exp_cap*Q451*12*Q452</f>
        <v/>
      </c>
      <c r="R453" s="19">
        <f>R449*i_exp_cap*R451*12*R452</f>
        <v/>
      </c>
      <c r="S453" s="19">
        <f>S449*i_exp_cap*S451*12*S452</f>
        <v/>
      </c>
      <c r="T453" s="19">
        <f>T449*i_exp_cap*T451*12*T452</f>
        <v/>
      </c>
      <c r="U453" s="19">
        <f>U449*i_exp_cap*U451*12*U452</f>
        <v/>
      </c>
      <c r="V453" s="19">
        <f>V449*i_exp_cap*V451*12*V452</f>
        <v/>
      </c>
      <c r="W453" s="19">
        <f>W449*i_exp_cap*W451*12*W452</f>
        <v/>
      </c>
      <c r="X453" s="19">
        <f>X449*i_exp_cap*X451*12*X452</f>
        <v/>
      </c>
      <c r="Y453" s="19">
        <f>Y449*i_exp_cap*Y451*12*Y452</f>
        <v/>
      </c>
      <c r="Z453" s="19">
        <f>Z449*i_exp_cap*Z451*12*Z452</f>
        <v/>
      </c>
      <c r="AA453" s="19">
        <f>AA449*i_exp_cap*AA451*12*AA452</f>
        <v/>
      </c>
      <c r="AB453" s="19">
        <f>AB449*i_exp_cap*AB451*12*AB452</f>
        <v/>
      </c>
      <c r="AC453" s="19">
        <f>AC449*i_exp_cap*AC451*12*AC452</f>
        <v/>
      </c>
      <c r="AD453" s="19">
        <f>AD449*i_exp_cap*AD451*12*AD452</f>
        <v/>
      </c>
      <c r="AE453" s="19">
        <f>AE449*i_exp_cap*AE451*12*AE452</f>
        <v/>
      </c>
      <c r="AF453" s="19">
        <f>AF449*i_exp_cap*AF451*12*AF452</f>
        <v/>
      </c>
      <c r="AG453" s="19">
        <f>AG449*i_exp_cap*AG451*12*AG452</f>
        <v/>
      </c>
      <c r="AH453" s="19">
        <f>AH449*i_exp_cap*AH451*12*AH452</f>
        <v/>
      </c>
      <c r="AI453" s="19">
        <f>AI449*i_exp_cap*AI451*12*AI452</f>
        <v/>
      </c>
    </row>
    <row r="454">
      <c r="B454" s="3" t="inlineStr">
        <is>
          <t xml:space="preserve">  Revenue</t>
        </is>
      </c>
      <c r="D454" s="31">
        <f>D453*(1+i_exp_anc)</f>
        <v/>
      </c>
      <c r="E454" s="31">
        <f>E453*(1+i_exp_anc)</f>
        <v/>
      </c>
      <c r="F454" s="31">
        <f>F453*(1+i_exp_anc)</f>
        <v/>
      </c>
      <c r="G454" s="31">
        <f>G453*(1+i_exp_anc)</f>
        <v/>
      </c>
      <c r="H454" s="31">
        <f>H453*(1+i_exp_anc)</f>
        <v/>
      </c>
      <c r="I454" s="31">
        <f>I453*(1+i_exp_anc)</f>
        <v/>
      </c>
      <c r="J454" s="31">
        <f>J453*(1+i_exp_anc)</f>
        <v/>
      </c>
      <c r="K454" s="31">
        <f>K453*(1+i_exp_anc)</f>
        <v/>
      </c>
      <c r="L454" s="31">
        <f>L453*(1+i_exp_anc)</f>
        <v/>
      </c>
      <c r="M454" s="31">
        <f>M453*(1+i_exp_anc)</f>
        <v/>
      </c>
      <c r="N454" s="31">
        <f>N453*(1+i_exp_anc)</f>
        <v/>
      </c>
      <c r="O454" s="31">
        <f>O453*(1+i_exp_anc)</f>
        <v/>
      </c>
      <c r="P454" s="31">
        <f>P453*(1+i_exp_anc)</f>
        <v/>
      </c>
      <c r="Q454" s="31">
        <f>Q453*(1+i_exp_anc)</f>
        <v/>
      </c>
      <c r="R454" s="31">
        <f>R453*(1+i_exp_anc)</f>
        <v/>
      </c>
      <c r="S454" s="31">
        <f>S453*(1+i_exp_anc)</f>
        <v/>
      </c>
      <c r="T454" s="31">
        <f>T453*(1+i_exp_anc)</f>
        <v/>
      </c>
      <c r="U454" s="31">
        <f>U453*(1+i_exp_anc)</f>
        <v/>
      </c>
      <c r="V454" s="31">
        <f>V453*(1+i_exp_anc)</f>
        <v/>
      </c>
      <c r="W454" s="31">
        <f>W453*(1+i_exp_anc)</f>
        <v/>
      </c>
      <c r="X454" s="31">
        <f>X453*(1+i_exp_anc)</f>
        <v/>
      </c>
      <c r="Y454" s="31">
        <f>Y453*(1+i_exp_anc)</f>
        <v/>
      </c>
      <c r="Z454" s="31">
        <f>Z453*(1+i_exp_anc)</f>
        <v/>
      </c>
      <c r="AA454" s="31">
        <f>AA453*(1+i_exp_anc)</f>
        <v/>
      </c>
      <c r="AB454" s="31">
        <f>AB453*(1+i_exp_anc)</f>
        <v/>
      </c>
      <c r="AC454" s="31">
        <f>AC453*(1+i_exp_anc)</f>
        <v/>
      </c>
      <c r="AD454" s="31">
        <f>AD453*(1+i_exp_anc)</f>
        <v/>
      </c>
      <c r="AE454" s="31">
        <f>AE453*(1+i_exp_anc)</f>
        <v/>
      </c>
      <c r="AF454" s="31">
        <f>AF453*(1+i_exp_anc)</f>
        <v/>
      </c>
      <c r="AG454" s="31">
        <f>AG453*(1+i_exp_anc)</f>
        <v/>
      </c>
      <c r="AH454" s="31">
        <f>AH453*(1+i_exp_anc)</f>
        <v/>
      </c>
      <c r="AI454" s="31">
        <f>AI453*(1+i_exp_anc)</f>
        <v/>
      </c>
    </row>
    <row r="455">
      <c r="B455" s="2" t="inlineStr">
        <is>
          <t xml:space="preserve">  Operating cost</t>
        </is>
      </c>
      <c r="D455" s="19">
        <f>D449*i_exp_fix*i_exp_cap*D381+i_exp_var*D454</f>
        <v/>
      </c>
      <c r="E455" s="19">
        <f>E449*i_exp_fix*i_exp_cap*E381+i_exp_var*E454</f>
        <v/>
      </c>
      <c r="F455" s="19">
        <f>F449*i_exp_fix*i_exp_cap*F381+i_exp_var*F454</f>
        <v/>
      </c>
      <c r="G455" s="19">
        <f>G449*i_exp_fix*i_exp_cap*G381+i_exp_var*G454</f>
        <v/>
      </c>
      <c r="H455" s="19">
        <f>H449*i_exp_fix*i_exp_cap*H381+i_exp_var*H454</f>
        <v/>
      </c>
      <c r="I455" s="19">
        <f>I449*i_exp_fix*i_exp_cap*I381+i_exp_var*I454</f>
        <v/>
      </c>
      <c r="J455" s="19">
        <f>J449*i_exp_fix*i_exp_cap*J381+i_exp_var*J454</f>
        <v/>
      </c>
      <c r="K455" s="19">
        <f>K449*i_exp_fix*i_exp_cap*K381+i_exp_var*K454</f>
        <v/>
      </c>
      <c r="L455" s="19">
        <f>L449*i_exp_fix*i_exp_cap*L381+i_exp_var*L454</f>
        <v/>
      </c>
      <c r="M455" s="19">
        <f>M449*i_exp_fix*i_exp_cap*M381+i_exp_var*M454</f>
        <v/>
      </c>
      <c r="N455" s="19">
        <f>N449*i_exp_fix*i_exp_cap*N381+i_exp_var*N454</f>
        <v/>
      </c>
      <c r="O455" s="19">
        <f>O449*i_exp_fix*i_exp_cap*O381+i_exp_var*O454</f>
        <v/>
      </c>
      <c r="P455" s="19">
        <f>P449*i_exp_fix*i_exp_cap*P381+i_exp_var*P454</f>
        <v/>
      </c>
      <c r="Q455" s="19">
        <f>Q449*i_exp_fix*i_exp_cap*Q381+i_exp_var*Q454</f>
        <v/>
      </c>
      <c r="R455" s="19">
        <f>R449*i_exp_fix*i_exp_cap*R381+i_exp_var*R454</f>
        <v/>
      </c>
      <c r="S455" s="19">
        <f>S449*i_exp_fix*i_exp_cap*S381+i_exp_var*S454</f>
        <v/>
      </c>
      <c r="T455" s="19">
        <f>T449*i_exp_fix*i_exp_cap*T381+i_exp_var*T454</f>
        <v/>
      </c>
      <c r="U455" s="19">
        <f>U449*i_exp_fix*i_exp_cap*U381+i_exp_var*U454</f>
        <v/>
      </c>
      <c r="V455" s="19">
        <f>V449*i_exp_fix*i_exp_cap*V381+i_exp_var*V454</f>
        <v/>
      </c>
      <c r="W455" s="19">
        <f>W449*i_exp_fix*i_exp_cap*W381+i_exp_var*W454</f>
        <v/>
      </c>
      <c r="X455" s="19">
        <f>X449*i_exp_fix*i_exp_cap*X381+i_exp_var*X454</f>
        <v/>
      </c>
      <c r="Y455" s="19">
        <f>Y449*i_exp_fix*i_exp_cap*Y381+i_exp_var*Y454</f>
        <v/>
      </c>
      <c r="Z455" s="19">
        <f>Z449*i_exp_fix*i_exp_cap*Z381+i_exp_var*Z454</f>
        <v/>
      </c>
      <c r="AA455" s="19">
        <f>AA449*i_exp_fix*i_exp_cap*AA381+i_exp_var*AA454</f>
        <v/>
      </c>
      <c r="AB455" s="19">
        <f>AB449*i_exp_fix*i_exp_cap*AB381+i_exp_var*AB454</f>
        <v/>
      </c>
      <c r="AC455" s="19">
        <f>AC449*i_exp_fix*i_exp_cap*AC381+i_exp_var*AC454</f>
        <v/>
      </c>
      <c r="AD455" s="19">
        <f>AD449*i_exp_fix*i_exp_cap*AD381+i_exp_var*AD454</f>
        <v/>
      </c>
      <c r="AE455" s="19">
        <f>AE449*i_exp_fix*i_exp_cap*AE381+i_exp_var*AE454</f>
        <v/>
      </c>
      <c r="AF455" s="19">
        <f>AF449*i_exp_fix*i_exp_cap*AF381+i_exp_var*AF454</f>
        <v/>
      </c>
      <c r="AG455" s="19">
        <f>AG449*i_exp_fix*i_exp_cap*AG381+i_exp_var*AG454</f>
        <v/>
      </c>
      <c r="AH455" s="19">
        <f>AH449*i_exp_fix*i_exp_cap*AH381+i_exp_var*AH454</f>
        <v/>
      </c>
      <c r="AI455" s="19">
        <f>AI449*i_exp_fix*i_exp_cap*AI381+i_exp_var*AI454</f>
        <v/>
      </c>
    </row>
    <row r="456">
      <c r="B456" s="3" t="inlineStr">
        <is>
          <t xml:space="preserve">  EBITDA</t>
        </is>
      </c>
      <c r="D456" s="31">
        <f>D454-D455</f>
        <v/>
      </c>
      <c r="E456" s="31">
        <f>E454-E455</f>
        <v/>
      </c>
      <c r="F456" s="31">
        <f>F454-F455</f>
        <v/>
      </c>
      <c r="G456" s="31">
        <f>G454-G455</f>
        <v/>
      </c>
      <c r="H456" s="31">
        <f>H454-H455</f>
        <v/>
      </c>
      <c r="I456" s="31">
        <f>I454-I455</f>
        <v/>
      </c>
      <c r="J456" s="31">
        <f>J454-J455</f>
        <v/>
      </c>
      <c r="K456" s="31">
        <f>K454-K455</f>
        <v/>
      </c>
      <c r="L456" s="31">
        <f>L454-L455</f>
        <v/>
      </c>
      <c r="M456" s="31">
        <f>M454-M455</f>
        <v/>
      </c>
      <c r="N456" s="31">
        <f>N454-N455</f>
        <v/>
      </c>
      <c r="O456" s="31">
        <f>O454-O455</f>
        <v/>
      </c>
      <c r="P456" s="31">
        <f>P454-P455</f>
        <v/>
      </c>
      <c r="Q456" s="31">
        <f>Q454-Q455</f>
        <v/>
      </c>
      <c r="R456" s="31">
        <f>R454-R455</f>
        <v/>
      </c>
      <c r="S456" s="31">
        <f>S454-S455</f>
        <v/>
      </c>
      <c r="T456" s="31">
        <f>T454-T455</f>
        <v/>
      </c>
      <c r="U456" s="31">
        <f>U454-U455</f>
        <v/>
      </c>
      <c r="V456" s="31">
        <f>V454-V455</f>
        <v/>
      </c>
      <c r="W456" s="31">
        <f>W454-W455</f>
        <v/>
      </c>
      <c r="X456" s="31">
        <f>X454-X455</f>
        <v/>
      </c>
      <c r="Y456" s="31">
        <f>Y454-Y455</f>
        <v/>
      </c>
      <c r="Z456" s="31">
        <f>Z454-Z455</f>
        <v/>
      </c>
      <c r="AA456" s="31">
        <f>AA454-AA455</f>
        <v/>
      </c>
      <c r="AB456" s="31">
        <f>AB454-AB455</f>
        <v/>
      </c>
      <c r="AC456" s="31">
        <f>AC454-AC455</f>
        <v/>
      </c>
      <c r="AD456" s="31">
        <f>AD454-AD455</f>
        <v/>
      </c>
      <c r="AE456" s="31">
        <f>AE454-AE455</f>
        <v/>
      </c>
      <c r="AF456" s="31">
        <f>AF454-AF455</f>
        <v/>
      </c>
      <c r="AG456" s="31">
        <f>AG454-AG455</f>
        <v/>
      </c>
      <c r="AH456" s="31">
        <f>AH454-AH455</f>
        <v/>
      </c>
      <c r="AI456" s="31">
        <f>AI454-AI455</f>
        <v/>
      </c>
    </row>
    <row r="457">
      <c r="B457" s="2" t="inlineStr">
        <is>
          <t xml:space="preserve">  Maintenance capex</t>
        </is>
      </c>
      <c r="D457" s="19">
        <f>D449*i_exp_mc*i_exp_cap*D381</f>
        <v/>
      </c>
      <c r="E457" s="19">
        <f>E449*i_exp_mc*i_exp_cap*E381</f>
        <v/>
      </c>
      <c r="F457" s="19">
        <f>F449*i_exp_mc*i_exp_cap*F381</f>
        <v/>
      </c>
      <c r="G457" s="19">
        <f>G449*i_exp_mc*i_exp_cap*G381</f>
        <v/>
      </c>
      <c r="H457" s="19">
        <f>H449*i_exp_mc*i_exp_cap*H381</f>
        <v/>
      </c>
      <c r="I457" s="19">
        <f>I449*i_exp_mc*i_exp_cap*I381</f>
        <v/>
      </c>
      <c r="J457" s="19">
        <f>J449*i_exp_mc*i_exp_cap*J381</f>
        <v/>
      </c>
      <c r="K457" s="19">
        <f>K449*i_exp_mc*i_exp_cap*K381</f>
        <v/>
      </c>
      <c r="L457" s="19">
        <f>L449*i_exp_mc*i_exp_cap*L381</f>
        <v/>
      </c>
      <c r="M457" s="19">
        <f>M449*i_exp_mc*i_exp_cap*M381</f>
        <v/>
      </c>
      <c r="N457" s="19">
        <f>N449*i_exp_mc*i_exp_cap*N381</f>
        <v/>
      </c>
      <c r="O457" s="19">
        <f>O449*i_exp_mc*i_exp_cap*O381</f>
        <v/>
      </c>
      <c r="P457" s="19">
        <f>P449*i_exp_mc*i_exp_cap*P381</f>
        <v/>
      </c>
      <c r="Q457" s="19">
        <f>Q449*i_exp_mc*i_exp_cap*Q381</f>
        <v/>
      </c>
      <c r="R457" s="19">
        <f>R449*i_exp_mc*i_exp_cap*R381</f>
        <v/>
      </c>
      <c r="S457" s="19">
        <f>S449*i_exp_mc*i_exp_cap*S381</f>
        <v/>
      </c>
      <c r="T457" s="19">
        <f>T449*i_exp_mc*i_exp_cap*T381</f>
        <v/>
      </c>
      <c r="U457" s="19">
        <f>U449*i_exp_mc*i_exp_cap*U381</f>
        <v/>
      </c>
      <c r="V457" s="19">
        <f>V449*i_exp_mc*i_exp_cap*V381</f>
        <v/>
      </c>
      <c r="W457" s="19">
        <f>W449*i_exp_mc*i_exp_cap*W381</f>
        <v/>
      </c>
      <c r="X457" s="19">
        <f>X449*i_exp_mc*i_exp_cap*X381</f>
        <v/>
      </c>
      <c r="Y457" s="19">
        <f>Y449*i_exp_mc*i_exp_cap*Y381</f>
        <v/>
      </c>
      <c r="Z457" s="19">
        <f>Z449*i_exp_mc*i_exp_cap*Z381</f>
        <v/>
      </c>
      <c r="AA457" s="19">
        <f>AA449*i_exp_mc*i_exp_cap*AA381</f>
        <v/>
      </c>
      <c r="AB457" s="19">
        <f>AB449*i_exp_mc*i_exp_cap*AB381</f>
        <v/>
      </c>
      <c r="AC457" s="19">
        <f>AC449*i_exp_mc*i_exp_cap*AC381</f>
        <v/>
      </c>
      <c r="AD457" s="19">
        <f>AD449*i_exp_mc*i_exp_cap*AD381</f>
        <v/>
      </c>
      <c r="AE457" s="19">
        <f>AE449*i_exp_mc*i_exp_cap*AE381</f>
        <v/>
      </c>
      <c r="AF457" s="19">
        <f>AF449*i_exp_mc*i_exp_cap*AF381</f>
        <v/>
      </c>
      <c r="AG457" s="19">
        <f>AG449*i_exp_mc*i_exp_cap*AG381</f>
        <v/>
      </c>
      <c r="AH457" s="19">
        <f>AH449*i_exp_mc*i_exp_cap*AH381</f>
        <v/>
      </c>
      <c r="AI457" s="19">
        <f>AI449*i_exp_mc*i_exp_cap*AI381</f>
        <v/>
      </c>
    </row>
    <row r="459">
      <c r="B459" s="5" t="inlineStr">
        <is>
          <t>Consolidated</t>
        </is>
      </c>
    </row>
    <row r="460">
      <c r="B460" s="2" t="inlineStr">
        <is>
          <t>Revenue</t>
        </is>
      </c>
      <c r="D460" s="19">
        <f>D394+D410+D425+D440+D454</f>
        <v/>
      </c>
      <c r="E460" s="19">
        <f>E394+E410+E425+E440+E454</f>
        <v/>
      </c>
      <c r="F460" s="19">
        <f>F394+F410+F425+F440+F454</f>
        <v/>
      </c>
      <c r="G460" s="19">
        <f>G394+G410+G425+G440+G454</f>
        <v/>
      </c>
      <c r="H460" s="19">
        <f>H394+H410+H425+H440+H454</f>
        <v/>
      </c>
      <c r="I460" s="19">
        <f>I394+I410+I425+I440+I454</f>
        <v/>
      </c>
      <c r="J460" s="19">
        <f>J394+J410+J425+J440+J454</f>
        <v/>
      </c>
      <c r="K460" s="19">
        <f>K394+K410+K425+K440+K454</f>
        <v/>
      </c>
      <c r="L460" s="19">
        <f>L394+L410+L425+L440+L454</f>
        <v/>
      </c>
      <c r="M460" s="19">
        <f>M394+M410+M425+M440+M454</f>
        <v/>
      </c>
      <c r="N460" s="19">
        <f>N394+N410+N425+N440+N454</f>
        <v/>
      </c>
      <c r="O460" s="19">
        <f>O394+O410+O425+O440+O454</f>
        <v/>
      </c>
      <c r="P460" s="19">
        <f>P394+P410+P425+P440+P454</f>
        <v/>
      </c>
      <c r="Q460" s="19">
        <f>Q394+Q410+Q425+Q440+Q454</f>
        <v/>
      </c>
      <c r="R460" s="19">
        <f>R394+R410+R425+R440+R454</f>
        <v/>
      </c>
      <c r="S460" s="19">
        <f>S394+S410+S425+S440+S454</f>
        <v/>
      </c>
      <c r="T460" s="19">
        <f>T394+T410+T425+T440+T454</f>
        <v/>
      </c>
      <c r="U460" s="19">
        <f>U394+U410+U425+U440+U454</f>
        <v/>
      </c>
      <c r="V460" s="19">
        <f>V394+V410+V425+V440+V454</f>
        <v/>
      </c>
      <c r="W460" s="19">
        <f>W394+W410+W425+W440+W454</f>
        <v/>
      </c>
      <c r="X460" s="19">
        <f>X394+X410+X425+X440+X454</f>
        <v/>
      </c>
      <c r="Y460" s="19">
        <f>Y394+Y410+Y425+Y440+Y454</f>
        <v/>
      </c>
      <c r="Z460" s="19">
        <f>Z394+Z410+Z425+Z440+Z454</f>
        <v/>
      </c>
      <c r="AA460" s="19">
        <f>AA394+AA410+AA425+AA440+AA454</f>
        <v/>
      </c>
      <c r="AB460" s="19">
        <f>AB394+AB410+AB425+AB440+AB454</f>
        <v/>
      </c>
      <c r="AC460" s="19">
        <f>AC394+AC410+AC425+AC440+AC454</f>
        <v/>
      </c>
      <c r="AD460" s="19">
        <f>AD394+AD410+AD425+AD440+AD454</f>
        <v/>
      </c>
      <c r="AE460" s="19">
        <f>AE394+AE410+AE425+AE440+AE454</f>
        <v/>
      </c>
      <c r="AF460" s="19">
        <f>AF394+AF410+AF425+AF440+AF454</f>
        <v/>
      </c>
      <c r="AG460" s="19">
        <f>AG394+AG410+AG425+AG440+AG454</f>
        <v/>
      </c>
      <c r="AH460" s="19">
        <f>AH394+AH410+AH425+AH440+AH454</f>
        <v/>
      </c>
      <c r="AI460" s="19">
        <f>AI394+AI410+AI425+AI440+AI454</f>
        <v/>
      </c>
    </row>
    <row r="461">
      <c r="B461" s="2" t="inlineStr">
        <is>
          <t>Business unit EBITDA (with the expansion)</t>
        </is>
      </c>
      <c r="D461" s="19">
        <f>D399+D414+D429+D445+D456</f>
        <v/>
      </c>
      <c r="E461" s="19">
        <f>E399+E414+E429+E445+E456</f>
        <v/>
      </c>
      <c r="F461" s="19">
        <f>F399+F414+F429+F445+F456</f>
        <v/>
      </c>
      <c r="G461" s="19">
        <f>G399+G414+G429+G445+G456</f>
        <v/>
      </c>
      <c r="H461" s="19">
        <f>H399+H414+H429+H445+H456</f>
        <v/>
      </c>
      <c r="I461" s="19">
        <f>I399+I414+I429+I445+I456</f>
        <v/>
      </c>
      <c r="J461" s="19">
        <f>J399+J414+J429+J445+J456</f>
        <v/>
      </c>
      <c r="K461" s="19">
        <f>K399+K414+K429+K445+K456</f>
        <v/>
      </c>
      <c r="L461" s="19">
        <f>L399+L414+L429+L445+L456</f>
        <v/>
      </c>
      <c r="M461" s="19">
        <f>M399+M414+M429+M445+M456</f>
        <v/>
      </c>
      <c r="N461" s="19">
        <f>N399+N414+N429+N445+N456</f>
        <v/>
      </c>
      <c r="O461" s="19">
        <f>O399+O414+O429+O445+O456</f>
        <v/>
      </c>
      <c r="P461" s="19">
        <f>P399+P414+P429+P445+P456</f>
        <v/>
      </c>
      <c r="Q461" s="19">
        <f>Q399+Q414+Q429+Q445+Q456</f>
        <v/>
      </c>
      <c r="R461" s="19">
        <f>R399+R414+R429+R445+R456</f>
        <v/>
      </c>
      <c r="S461" s="19">
        <f>S399+S414+S429+S445+S456</f>
        <v/>
      </c>
      <c r="T461" s="19">
        <f>T399+T414+T429+T445+T456</f>
        <v/>
      </c>
      <c r="U461" s="19">
        <f>U399+U414+U429+U445+U456</f>
        <v/>
      </c>
      <c r="V461" s="19">
        <f>V399+V414+V429+V445+V456</f>
        <v/>
      </c>
      <c r="W461" s="19">
        <f>W399+W414+W429+W445+W456</f>
        <v/>
      </c>
      <c r="X461" s="19">
        <f>X399+X414+X429+X445+X456</f>
        <v/>
      </c>
      <c r="Y461" s="19">
        <f>Y399+Y414+Y429+Y445+Y456</f>
        <v/>
      </c>
      <c r="Z461" s="19">
        <f>Z399+Z414+Z429+Z445+Z456</f>
        <v/>
      </c>
      <c r="AA461" s="19">
        <f>AA399+AA414+AA429+AA445+AA456</f>
        <v/>
      </c>
      <c r="AB461" s="19">
        <f>AB399+AB414+AB429+AB445+AB456</f>
        <v/>
      </c>
      <c r="AC461" s="19">
        <f>AC399+AC414+AC429+AC445+AC456</f>
        <v/>
      </c>
      <c r="AD461" s="19">
        <f>AD399+AD414+AD429+AD445+AD456</f>
        <v/>
      </c>
      <c r="AE461" s="19">
        <f>AE399+AE414+AE429+AE445+AE456</f>
        <v/>
      </c>
      <c r="AF461" s="19">
        <f>AF399+AF414+AF429+AF445+AF456</f>
        <v/>
      </c>
      <c r="AG461" s="19">
        <f>AG399+AG414+AG429+AG445+AG456</f>
        <v/>
      </c>
      <c r="AH461" s="19">
        <f>AH399+AH414+AH429+AH445+AH456</f>
        <v/>
      </c>
      <c r="AI461" s="19">
        <f>AI399+AI414+AI429+AI445+AI456</f>
        <v/>
      </c>
    </row>
    <row r="462">
      <c r="B462" s="2" t="inlineStr">
        <is>
          <t>Corporate costs</t>
        </is>
      </c>
      <c r="D462" s="19">
        <f>i_corp*D381*IF(OR(Diligence!$C$378=1,D$3&lt;=i_conc_end),1,i_corp_after_w)+IF(D$3&gt;=i_mitig_start,Diligence!$C$380*D381,0)</f>
        <v/>
      </c>
      <c r="E462" s="19">
        <f>i_corp*E381*IF(OR(Diligence!$C$378=1,E$3&lt;=i_conc_end),1,i_corp_after_w)+IF(E$3&gt;=i_mitig_start,Diligence!$C$380*E381,0)</f>
        <v/>
      </c>
      <c r="F462" s="19">
        <f>i_corp*F381*IF(OR(Diligence!$C$378=1,F$3&lt;=i_conc_end),1,i_corp_after_w)+IF(F$3&gt;=i_mitig_start,Diligence!$C$380*F381,0)</f>
        <v/>
      </c>
      <c r="G462" s="19">
        <f>i_corp*G381*IF(OR(Diligence!$C$378=1,G$3&lt;=i_conc_end),1,i_corp_after_w)+IF(G$3&gt;=i_mitig_start,Diligence!$C$380*G381,0)</f>
        <v/>
      </c>
      <c r="H462" s="19">
        <f>i_corp*H381*IF(OR(Diligence!$C$378=1,H$3&lt;=i_conc_end),1,i_corp_after_w)+IF(H$3&gt;=i_mitig_start,Diligence!$C$380*H381,0)</f>
        <v/>
      </c>
      <c r="I462" s="19">
        <f>i_corp*I381*IF(OR(Diligence!$C$378=1,I$3&lt;=i_conc_end),1,i_corp_after_w)+IF(I$3&gt;=i_mitig_start,Diligence!$C$380*I381,0)</f>
        <v/>
      </c>
      <c r="J462" s="19">
        <f>i_corp*J381*IF(OR(Diligence!$C$378=1,J$3&lt;=i_conc_end),1,i_corp_after_w)+IF(J$3&gt;=i_mitig_start,Diligence!$C$380*J381,0)</f>
        <v/>
      </c>
      <c r="K462" s="19">
        <f>i_corp*K381*IF(OR(Diligence!$C$378=1,K$3&lt;=i_conc_end),1,i_corp_after_w)+IF(K$3&gt;=i_mitig_start,Diligence!$C$380*K381,0)</f>
        <v/>
      </c>
      <c r="L462" s="19">
        <f>i_corp*L381*IF(OR(Diligence!$C$378=1,L$3&lt;=i_conc_end),1,i_corp_after_w)+IF(L$3&gt;=i_mitig_start,Diligence!$C$380*L381,0)</f>
        <v/>
      </c>
      <c r="M462" s="19">
        <f>i_corp*M381*IF(OR(Diligence!$C$378=1,M$3&lt;=i_conc_end),1,i_corp_after_w)+IF(M$3&gt;=i_mitig_start,Diligence!$C$380*M381,0)</f>
        <v/>
      </c>
      <c r="N462" s="19">
        <f>i_corp*N381*IF(OR(Diligence!$C$378=1,N$3&lt;=i_conc_end),1,i_corp_after_w)+IF(N$3&gt;=i_mitig_start,Diligence!$C$380*N381,0)</f>
        <v/>
      </c>
      <c r="O462" s="19">
        <f>i_corp*O381*IF(OR(Diligence!$C$378=1,O$3&lt;=i_conc_end),1,i_corp_after_w)+IF(O$3&gt;=i_mitig_start,Diligence!$C$380*O381,0)</f>
        <v/>
      </c>
      <c r="P462" s="19">
        <f>i_corp*P381*IF(OR(Diligence!$C$378=1,P$3&lt;=i_conc_end),1,i_corp_after_w)+IF(P$3&gt;=i_mitig_start,Diligence!$C$380*P381,0)</f>
        <v/>
      </c>
      <c r="Q462" s="19">
        <f>i_corp*Q381*IF(OR(Diligence!$C$378=1,Q$3&lt;=i_conc_end),1,i_corp_after_w)+IF(Q$3&gt;=i_mitig_start,Diligence!$C$380*Q381,0)</f>
        <v/>
      </c>
      <c r="R462" s="19">
        <f>i_corp*R381*IF(OR(Diligence!$C$378=1,R$3&lt;=i_conc_end),1,i_corp_after_w)+IF(R$3&gt;=i_mitig_start,Diligence!$C$380*R381,0)</f>
        <v/>
      </c>
      <c r="S462" s="19">
        <f>i_corp*S381*IF(OR(Diligence!$C$378=1,S$3&lt;=i_conc_end),1,i_corp_after_w)+IF(S$3&gt;=i_mitig_start,Diligence!$C$380*S381,0)</f>
        <v/>
      </c>
      <c r="T462" s="19">
        <f>i_corp*T381*IF(OR(Diligence!$C$378=1,T$3&lt;=i_conc_end),1,i_corp_after_w)+IF(T$3&gt;=i_mitig_start,Diligence!$C$380*T381,0)</f>
        <v/>
      </c>
      <c r="U462" s="19">
        <f>i_corp*U381*IF(OR(Diligence!$C$378=1,U$3&lt;=i_conc_end),1,i_corp_after_w)+IF(U$3&gt;=i_mitig_start,Diligence!$C$380*U381,0)</f>
        <v/>
      </c>
      <c r="V462" s="19">
        <f>i_corp*V381*IF(OR(Diligence!$C$378=1,V$3&lt;=i_conc_end),1,i_corp_after_w)+IF(V$3&gt;=i_mitig_start,Diligence!$C$380*V381,0)</f>
        <v/>
      </c>
      <c r="W462" s="19">
        <f>i_corp*W381*IF(OR(Diligence!$C$378=1,W$3&lt;=i_conc_end),1,i_corp_after_w)+IF(W$3&gt;=i_mitig_start,Diligence!$C$380*W381,0)</f>
        <v/>
      </c>
      <c r="X462" s="19">
        <f>i_corp*X381*IF(OR(Diligence!$C$378=1,X$3&lt;=i_conc_end),1,i_corp_after_w)+IF(X$3&gt;=i_mitig_start,Diligence!$C$380*X381,0)</f>
        <v/>
      </c>
      <c r="Y462" s="19">
        <f>i_corp*Y381*IF(OR(Diligence!$C$378=1,Y$3&lt;=i_conc_end),1,i_corp_after_w)+IF(Y$3&gt;=i_mitig_start,Diligence!$C$380*Y381,0)</f>
        <v/>
      </c>
      <c r="Z462" s="19">
        <f>i_corp*Z381*IF(OR(Diligence!$C$378=1,Z$3&lt;=i_conc_end),1,i_corp_after_w)+IF(Z$3&gt;=i_mitig_start,Diligence!$C$380*Z381,0)</f>
        <v/>
      </c>
      <c r="AA462" s="19">
        <f>i_corp*AA381*IF(OR(Diligence!$C$378=1,AA$3&lt;=i_conc_end),1,i_corp_after_w)+IF(AA$3&gt;=i_mitig_start,Diligence!$C$380*AA381,0)</f>
        <v/>
      </c>
      <c r="AB462" s="19">
        <f>i_corp*AB381*IF(OR(Diligence!$C$378=1,AB$3&lt;=i_conc_end),1,i_corp_after_w)+IF(AB$3&gt;=i_mitig_start,Diligence!$C$380*AB381,0)</f>
        <v/>
      </c>
      <c r="AC462" s="19">
        <f>i_corp*AC381*IF(OR(Diligence!$C$378=1,AC$3&lt;=i_conc_end),1,i_corp_after_w)+IF(AC$3&gt;=i_mitig_start,Diligence!$C$380*AC381,0)</f>
        <v/>
      </c>
      <c r="AD462" s="19">
        <f>i_corp*AD381*IF(OR(Diligence!$C$378=1,AD$3&lt;=i_conc_end),1,i_corp_after_w)+IF(AD$3&gt;=i_mitig_start,Diligence!$C$380*AD381,0)</f>
        <v/>
      </c>
      <c r="AE462" s="19">
        <f>i_corp*AE381*IF(OR(Diligence!$C$378=1,AE$3&lt;=i_conc_end),1,i_corp_after_w)+IF(AE$3&gt;=i_mitig_start,Diligence!$C$380*AE381,0)</f>
        <v/>
      </c>
      <c r="AF462" s="19">
        <f>i_corp*AF381*IF(OR(Diligence!$C$378=1,AF$3&lt;=i_conc_end),1,i_corp_after_w)+IF(AF$3&gt;=i_mitig_start,Diligence!$C$380*AF381,0)</f>
        <v/>
      </c>
      <c r="AG462" s="19">
        <f>i_corp*AG381*IF(OR(Diligence!$C$378=1,AG$3&lt;=i_conc_end),1,i_corp_after_w)+IF(AG$3&gt;=i_mitig_start,Diligence!$C$380*AG381,0)</f>
        <v/>
      </c>
      <c r="AH462" s="19">
        <f>i_corp*AH381*IF(OR(Diligence!$C$378=1,AH$3&lt;=i_conc_end),1,i_corp_after_w)+IF(AH$3&gt;=i_mitig_start,Diligence!$C$380*AH381,0)</f>
        <v/>
      </c>
      <c r="AI462" s="19">
        <f>i_corp*AI381*IF(OR(Diligence!$C$378=1,AI$3&lt;=i_conc_end),1,i_corp_after_w)+IF(AI$3&gt;=i_mitig_start,Diligence!$C$380*AI381,0)</f>
        <v/>
      </c>
    </row>
    <row r="463">
      <c r="B463" s="3" t="inlineStr">
        <is>
          <t>EBITDA</t>
        </is>
      </c>
      <c r="D463" s="31">
        <f>D461-D462</f>
        <v/>
      </c>
      <c r="E463" s="31">
        <f>E461-E462</f>
        <v/>
      </c>
      <c r="F463" s="31">
        <f>F461-F462</f>
        <v/>
      </c>
      <c r="G463" s="31">
        <f>G461-G462</f>
        <v/>
      </c>
      <c r="H463" s="31">
        <f>H461-H462</f>
        <v/>
      </c>
      <c r="I463" s="31">
        <f>I461-I462</f>
        <v/>
      </c>
      <c r="J463" s="31">
        <f>J461-J462</f>
        <v/>
      </c>
      <c r="K463" s="31">
        <f>K461-K462</f>
        <v/>
      </c>
      <c r="L463" s="31">
        <f>L461-L462</f>
        <v/>
      </c>
      <c r="M463" s="31">
        <f>M461-M462</f>
        <v/>
      </c>
      <c r="N463" s="31">
        <f>N461-N462</f>
        <v/>
      </c>
      <c r="O463" s="31">
        <f>O461-O462</f>
        <v/>
      </c>
      <c r="P463" s="31">
        <f>P461-P462</f>
        <v/>
      </c>
      <c r="Q463" s="31">
        <f>Q461-Q462</f>
        <v/>
      </c>
      <c r="R463" s="31">
        <f>R461-R462</f>
        <v/>
      </c>
      <c r="S463" s="31">
        <f>S461-S462</f>
        <v/>
      </c>
      <c r="T463" s="31">
        <f>T461-T462</f>
        <v/>
      </c>
      <c r="U463" s="31">
        <f>U461-U462</f>
        <v/>
      </c>
      <c r="V463" s="31">
        <f>V461-V462</f>
        <v/>
      </c>
      <c r="W463" s="31">
        <f>W461-W462</f>
        <v/>
      </c>
      <c r="X463" s="31">
        <f>X461-X462</f>
        <v/>
      </c>
      <c r="Y463" s="31">
        <f>Y461-Y462</f>
        <v/>
      </c>
      <c r="Z463" s="31">
        <f>Z461-Z462</f>
        <v/>
      </c>
      <c r="AA463" s="31">
        <f>AA461-AA462</f>
        <v/>
      </c>
      <c r="AB463" s="31">
        <f>AB461-AB462</f>
        <v/>
      </c>
      <c r="AC463" s="31">
        <f>AC461-AC462</f>
        <v/>
      </c>
      <c r="AD463" s="31">
        <f>AD461-AD462</f>
        <v/>
      </c>
      <c r="AE463" s="31">
        <f>AE461-AE462</f>
        <v/>
      </c>
      <c r="AF463" s="31">
        <f>AF461-AF462</f>
        <v/>
      </c>
      <c r="AG463" s="31">
        <f>AG461-AG462</f>
        <v/>
      </c>
      <c r="AH463" s="31">
        <f>AH461-AH462</f>
        <v/>
      </c>
      <c r="AI463" s="31">
        <f>AI461-AI462</f>
        <v/>
      </c>
    </row>
    <row r="464">
      <c r="B464" s="2" t="inlineStr">
        <is>
          <t>Maintenance capex</t>
        </is>
      </c>
      <c r="D464" s="19">
        <f>D400+D415+D430+D446+D457</f>
        <v/>
      </c>
      <c r="E464" s="19">
        <f>E400+E415+E430+E446+E457</f>
        <v/>
      </c>
      <c r="F464" s="19">
        <f>F400+F415+F430+F446+F457</f>
        <v/>
      </c>
      <c r="G464" s="19">
        <f>G400+G415+G430+G446+G457</f>
        <v/>
      </c>
      <c r="H464" s="19">
        <f>H400+H415+H430+H446+H457</f>
        <v/>
      </c>
      <c r="I464" s="19">
        <f>I400+I415+I430+I446+I457</f>
        <v/>
      </c>
      <c r="J464" s="19">
        <f>J400+J415+J430+J446+J457</f>
        <v/>
      </c>
      <c r="K464" s="19">
        <f>K400+K415+K430+K446+K457</f>
        <v/>
      </c>
      <c r="L464" s="19">
        <f>L400+L415+L430+L446+L457</f>
        <v/>
      </c>
      <c r="M464" s="19">
        <f>M400+M415+M430+M446+M457</f>
        <v/>
      </c>
      <c r="N464" s="19">
        <f>N400+N415+N430+N446+N457</f>
        <v/>
      </c>
      <c r="O464" s="19">
        <f>O400+O415+O430+O446+O457</f>
        <v/>
      </c>
      <c r="P464" s="19">
        <f>P400+P415+P430+P446+P457</f>
        <v/>
      </c>
      <c r="Q464" s="19">
        <f>Q400+Q415+Q430+Q446+Q457</f>
        <v/>
      </c>
      <c r="R464" s="19">
        <f>R400+R415+R430+R446+R457</f>
        <v/>
      </c>
      <c r="S464" s="19">
        <f>S400+S415+S430+S446+S457</f>
        <v/>
      </c>
      <c r="T464" s="19">
        <f>T400+T415+T430+T446+T457</f>
        <v/>
      </c>
      <c r="U464" s="19">
        <f>U400+U415+U430+U446+U457</f>
        <v/>
      </c>
      <c r="V464" s="19">
        <f>V400+V415+V430+V446+V457</f>
        <v/>
      </c>
      <c r="W464" s="19">
        <f>W400+W415+W430+W446+W457</f>
        <v/>
      </c>
      <c r="X464" s="19">
        <f>X400+X415+X430+X446+X457</f>
        <v/>
      </c>
      <c r="Y464" s="19">
        <f>Y400+Y415+Y430+Y446+Y457</f>
        <v/>
      </c>
      <c r="Z464" s="19">
        <f>Z400+Z415+Z430+Z446+Z457</f>
        <v/>
      </c>
      <c r="AA464" s="19">
        <f>AA400+AA415+AA430+AA446+AA457</f>
        <v/>
      </c>
      <c r="AB464" s="19">
        <f>AB400+AB415+AB430+AB446+AB457</f>
        <v/>
      </c>
      <c r="AC464" s="19">
        <f>AC400+AC415+AC430+AC446+AC457</f>
        <v/>
      </c>
      <c r="AD464" s="19">
        <f>AD400+AD415+AD430+AD446+AD457</f>
        <v/>
      </c>
      <c r="AE464" s="19">
        <f>AE400+AE415+AE430+AE446+AE457</f>
        <v/>
      </c>
      <c r="AF464" s="19">
        <f>AF400+AF415+AF430+AF446+AF457</f>
        <v/>
      </c>
      <c r="AG464" s="19">
        <f>AG400+AG415+AG430+AG446+AG457</f>
        <v/>
      </c>
      <c r="AH464" s="19">
        <f>AH400+AH415+AH430+AH446+AH457</f>
        <v/>
      </c>
      <c r="AI464" s="19">
        <f>AI400+AI415+AI430+AI446+AI457</f>
        <v/>
      </c>
    </row>
    <row r="465">
      <c r="B465" s="2" t="inlineStr">
        <is>
          <t>Growth capex</t>
        </is>
      </c>
      <c r="D465" s="19">
        <f>D448</f>
        <v/>
      </c>
      <c r="E465" s="19">
        <f>E448</f>
        <v/>
      </c>
      <c r="F465" s="19">
        <f>F448</f>
        <v/>
      </c>
      <c r="G465" s="19">
        <f>G448</f>
        <v/>
      </c>
      <c r="H465" s="19">
        <f>H448</f>
        <v/>
      </c>
      <c r="I465" s="19">
        <f>I448</f>
        <v/>
      </c>
      <c r="J465" s="19">
        <f>J448</f>
        <v/>
      </c>
      <c r="K465" s="19">
        <f>K448</f>
        <v/>
      </c>
      <c r="L465" s="19">
        <f>L448</f>
        <v/>
      </c>
      <c r="M465" s="19">
        <f>M448</f>
        <v/>
      </c>
      <c r="N465" s="19">
        <f>N448</f>
        <v/>
      </c>
      <c r="O465" s="19">
        <f>O448</f>
        <v/>
      </c>
      <c r="P465" s="19">
        <f>P448</f>
        <v/>
      </c>
      <c r="Q465" s="19">
        <f>Q448</f>
        <v/>
      </c>
      <c r="R465" s="19">
        <f>R448</f>
        <v/>
      </c>
      <c r="S465" s="19">
        <f>S448</f>
        <v/>
      </c>
      <c r="T465" s="19">
        <f>T448</f>
        <v/>
      </c>
      <c r="U465" s="19">
        <f>U448</f>
        <v/>
      </c>
      <c r="V465" s="19">
        <f>V448</f>
        <v/>
      </c>
      <c r="W465" s="19">
        <f>W448</f>
        <v/>
      </c>
      <c r="X465" s="19">
        <f>X448</f>
        <v/>
      </c>
      <c r="Y465" s="19">
        <f>Y448</f>
        <v/>
      </c>
      <c r="Z465" s="19">
        <f>Z448</f>
        <v/>
      </c>
      <c r="AA465" s="19">
        <f>AA448</f>
        <v/>
      </c>
      <c r="AB465" s="19">
        <f>AB448</f>
        <v/>
      </c>
      <c r="AC465" s="19">
        <f>AC448</f>
        <v/>
      </c>
      <c r="AD465" s="19">
        <f>AD448</f>
        <v/>
      </c>
      <c r="AE465" s="19">
        <f>AE448</f>
        <v/>
      </c>
      <c r="AF465" s="19">
        <f>AF448</f>
        <v/>
      </c>
      <c r="AG465" s="19">
        <f>AG448</f>
        <v/>
      </c>
      <c r="AH465" s="19">
        <f>AH448</f>
        <v/>
      </c>
      <c r="AI465" s="19">
        <f>AI448</f>
        <v/>
      </c>
    </row>
    <row r="466">
      <c r="B466" s="2" t="inlineStr">
        <is>
          <t>Tax depreciation</t>
        </is>
      </c>
      <c r="D466" s="19">
        <f>D464+IF(D$3&lt;=i_tax_dep_end,i_tax_dep_extra,0)</f>
        <v/>
      </c>
      <c r="E466" s="19">
        <f>E464+IF(E$3&lt;=i_tax_dep_end,i_tax_dep_extra,0)</f>
        <v/>
      </c>
      <c r="F466" s="19">
        <f>F464+IF(F$3&lt;=i_tax_dep_end,i_tax_dep_extra,0)</f>
        <v/>
      </c>
      <c r="G466" s="19">
        <f>G464+IF(G$3&lt;=i_tax_dep_end,i_tax_dep_extra,0)</f>
        <v/>
      </c>
      <c r="H466" s="19">
        <f>H464+IF(H$3&lt;=i_tax_dep_end,i_tax_dep_extra,0)</f>
        <v/>
      </c>
      <c r="I466" s="19">
        <f>I464+IF(I$3&lt;=i_tax_dep_end,i_tax_dep_extra,0)</f>
        <v/>
      </c>
      <c r="J466" s="19">
        <f>J464+IF(J$3&lt;=i_tax_dep_end,i_tax_dep_extra,0)</f>
        <v/>
      </c>
      <c r="K466" s="19">
        <f>K464+IF(K$3&lt;=i_tax_dep_end,i_tax_dep_extra,0)</f>
        <v/>
      </c>
      <c r="L466" s="19">
        <f>L464+IF(L$3&lt;=i_tax_dep_end,i_tax_dep_extra,0)</f>
        <v/>
      </c>
      <c r="M466" s="19">
        <f>M464+IF(M$3&lt;=i_tax_dep_end,i_tax_dep_extra,0)</f>
        <v/>
      </c>
      <c r="N466" s="19">
        <f>N464+IF(N$3&lt;=i_tax_dep_end,i_tax_dep_extra,0)</f>
        <v/>
      </c>
      <c r="O466" s="19">
        <f>O464+IF(O$3&lt;=i_tax_dep_end,i_tax_dep_extra,0)</f>
        <v/>
      </c>
      <c r="P466" s="19">
        <f>P464+IF(P$3&lt;=i_tax_dep_end,i_tax_dep_extra,0)</f>
        <v/>
      </c>
      <c r="Q466" s="19">
        <f>Q464+IF(Q$3&lt;=i_tax_dep_end,i_tax_dep_extra,0)</f>
        <v/>
      </c>
      <c r="R466" s="19">
        <f>R464+IF(R$3&lt;=i_tax_dep_end,i_tax_dep_extra,0)</f>
        <v/>
      </c>
      <c r="S466" s="19">
        <f>S464+IF(S$3&lt;=i_tax_dep_end,i_tax_dep_extra,0)</f>
        <v/>
      </c>
      <c r="T466" s="19">
        <f>T464+IF(T$3&lt;=i_tax_dep_end,i_tax_dep_extra,0)</f>
        <v/>
      </c>
      <c r="U466" s="19">
        <f>U464+IF(U$3&lt;=i_tax_dep_end,i_tax_dep_extra,0)</f>
        <v/>
      </c>
      <c r="V466" s="19">
        <f>V464+IF(V$3&lt;=i_tax_dep_end,i_tax_dep_extra,0)</f>
        <v/>
      </c>
      <c r="W466" s="19">
        <f>W464+IF(W$3&lt;=i_tax_dep_end,i_tax_dep_extra,0)</f>
        <v/>
      </c>
      <c r="X466" s="19">
        <f>X464+IF(X$3&lt;=i_tax_dep_end,i_tax_dep_extra,0)</f>
        <v/>
      </c>
      <c r="Y466" s="19">
        <f>Y464+IF(Y$3&lt;=i_tax_dep_end,i_tax_dep_extra,0)</f>
        <v/>
      </c>
      <c r="Z466" s="19">
        <f>Z464+IF(Z$3&lt;=i_tax_dep_end,i_tax_dep_extra,0)</f>
        <v/>
      </c>
      <c r="AA466" s="19">
        <f>AA464+IF(AA$3&lt;=i_tax_dep_end,i_tax_dep_extra,0)</f>
        <v/>
      </c>
      <c r="AB466" s="19">
        <f>AB464+IF(AB$3&lt;=i_tax_dep_end,i_tax_dep_extra,0)</f>
        <v/>
      </c>
      <c r="AC466" s="19">
        <f>AC464+IF(AC$3&lt;=i_tax_dep_end,i_tax_dep_extra,0)</f>
        <v/>
      </c>
      <c r="AD466" s="19">
        <f>AD464+IF(AD$3&lt;=i_tax_dep_end,i_tax_dep_extra,0)</f>
        <v/>
      </c>
      <c r="AE466" s="19">
        <f>AE464+IF(AE$3&lt;=i_tax_dep_end,i_tax_dep_extra,0)</f>
        <v/>
      </c>
      <c r="AF466" s="19">
        <f>AF464+IF(AF$3&lt;=i_tax_dep_end,i_tax_dep_extra,0)</f>
        <v/>
      </c>
      <c r="AG466" s="19">
        <f>AG464+IF(AG$3&lt;=i_tax_dep_end,i_tax_dep_extra,0)</f>
        <v/>
      </c>
      <c r="AH466" s="19">
        <f>AH464+IF(AH$3&lt;=i_tax_dep_end,i_tax_dep_extra,0)</f>
        <v/>
      </c>
      <c r="AI466" s="19">
        <f>AI464+IF(AI$3&lt;=i_tax_dep_end,i_tax_dep_extra,0)</f>
        <v/>
      </c>
    </row>
    <row r="467">
      <c r="B467" s="2" t="inlineStr">
        <is>
          <t>Unlevered cash tax</t>
        </is>
      </c>
      <c r="D467" s="19">
        <f>i_tax*MAX(0,D463-D466)</f>
        <v/>
      </c>
      <c r="E467" s="19">
        <f>i_tax*MAX(0,E463-E466)</f>
        <v/>
      </c>
      <c r="F467" s="19">
        <f>i_tax*MAX(0,F463-F466)</f>
        <v/>
      </c>
      <c r="G467" s="19">
        <f>i_tax*MAX(0,G463-G466)</f>
        <v/>
      </c>
      <c r="H467" s="19">
        <f>i_tax*MAX(0,H463-H466)</f>
        <v/>
      </c>
      <c r="I467" s="19">
        <f>i_tax*MAX(0,I463-I466)</f>
        <v/>
      </c>
      <c r="J467" s="19">
        <f>i_tax*MAX(0,J463-J466)</f>
        <v/>
      </c>
      <c r="K467" s="19">
        <f>i_tax*MAX(0,K463-K466)</f>
        <v/>
      </c>
      <c r="L467" s="19">
        <f>i_tax*MAX(0,L463-L466)</f>
        <v/>
      </c>
      <c r="M467" s="19">
        <f>i_tax*MAX(0,M463-M466)</f>
        <v/>
      </c>
      <c r="N467" s="19">
        <f>i_tax*MAX(0,N463-N466)</f>
        <v/>
      </c>
      <c r="O467" s="19">
        <f>i_tax*MAX(0,O463-O466)</f>
        <v/>
      </c>
      <c r="P467" s="19">
        <f>i_tax*MAX(0,P463-P466)</f>
        <v/>
      </c>
      <c r="Q467" s="19">
        <f>i_tax*MAX(0,Q463-Q466)</f>
        <v/>
      </c>
      <c r="R467" s="19">
        <f>i_tax*MAX(0,R463-R466)</f>
        <v/>
      </c>
      <c r="S467" s="19">
        <f>i_tax*MAX(0,S463-S466)</f>
        <v/>
      </c>
      <c r="T467" s="19">
        <f>i_tax*MAX(0,T463-T466)</f>
        <v/>
      </c>
      <c r="U467" s="19">
        <f>i_tax*MAX(0,U463-U466)</f>
        <v/>
      </c>
      <c r="V467" s="19">
        <f>i_tax*MAX(0,V463-V466)</f>
        <v/>
      </c>
      <c r="W467" s="19">
        <f>i_tax*MAX(0,W463-W466)</f>
        <v/>
      </c>
      <c r="X467" s="19">
        <f>i_tax*MAX(0,X463-X466)</f>
        <v/>
      </c>
      <c r="Y467" s="19">
        <f>i_tax*MAX(0,Y463-Y466)</f>
        <v/>
      </c>
      <c r="Z467" s="19">
        <f>i_tax*MAX(0,Z463-Z466)</f>
        <v/>
      </c>
      <c r="AA467" s="19">
        <f>i_tax*MAX(0,AA463-AA466)</f>
        <v/>
      </c>
      <c r="AB467" s="19">
        <f>i_tax*MAX(0,AB463-AB466)</f>
        <v/>
      </c>
      <c r="AC467" s="19">
        <f>i_tax*MAX(0,AC463-AC466)</f>
        <v/>
      </c>
      <c r="AD467" s="19">
        <f>i_tax*MAX(0,AD463-AD466)</f>
        <v/>
      </c>
      <c r="AE467" s="19">
        <f>i_tax*MAX(0,AE463-AE466)</f>
        <v/>
      </c>
      <c r="AF467" s="19">
        <f>i_tax*MAX(0,AF463-AF466)</f>
        <v/>
      </c>
      <c r="AG467" s="19">
        <f>i_tax*MAX(0,AG463-AG466)</f>
        <v/>
      </c>
      <c r="AH467" s="19">
        <f>i_tax*MAX(0,AH463-AH466)</f>
        <v/>
      </c>
      <c r="AI467" s="19">
        <f>i_tax*MAX(0,AI463-AI466)</f>
        <v/>
      </c>
    </row>
    <row r="468">
      <c r="B468" s="2" t="inlineStr">
        <is>
          <t>Westerhaven handback works</t>
        </is>
      </c>
      <c r="D468" s="19">
        <f>IF(AND(Diligence!$C$378=0,D$3=i_conc_end),i_handback*D381,0)</f>
        <v/>
      </c>
      <c r="E468" s="19">
        <f>IF(AND(Diligence!$C$378=0,E$3=i_conc_end),i_handback*E381,0)</f>
        <v/>
      </c>
      <c r="F468" s="19">
        <f>IF(AND(Diligence!$C$378=0,F$3=i_conc_end),i_handback*F381,0)</f>
        <v/>
      </c>
      <c r="G468" s="19">
        <f>IF(AND(Diligence!$C$378=0,G$3=i_conc_end),i_handback*G381,0)</f>
        <v/>
      </c>
      <c r="H468" s="19">
        <f>IF(AND(Diligence!$C$378=0,H$3=i_conc_end),i_handback*H381,0)</f>
        <v/>
      </c>
      <c r="I468" s="19">
        <f>IF(AND(Diligence!$C$378=0,I$3=i_conc_end),i_handback*I381,0)</f>
        <v/>
      </c>
      <c r="J468" s="19">
        <f>IF(AND(Diligence!$C$378=0,J$3=i_conc_end),i_handback*J381,0)</f>
        <v/>
      </c>
      <c r="K468" s="19">
        <f>IF(AND(Diligence!$C$378=0,K$3=i_conc_end),i_handback*K381,0)</f>
        <v/>
      </c>
      <c r="L468" s="19">
        <f>IF(AND(Diligence!$C$378=0,L$3=i_conc_end),i_handback*L381,0)</f>
        <v/>
      </c>
      <c r="M468" s="19">
        <f>IF(AND(Diligence!$C$378=0,M$3=i_conc_end),i_handback*M381,0)</f>
        <v/>
      </c>
      <c r="N468" s="19">
        <f>IF(AND(Diligence!$C$378=0,N$3=i_conc_end),i_handback*N381,0)</f>
        <v/>
      </c>
      <c r="O468" s="19">
        <f>IF(AND(Diligence!$C$378=0,O$3=i_conc_end),i_handback*O381,0)</f>
        <v/>
      </c>
      <c r="P468" s="19">
        <f>IF(AND(Diligence!$C$378=0,P$3=i_conc_end),i_handback*P381,0)</f>
        <v/>
      </c>
      <c r="Q468" s="19">
        <f>IF(AND(Diligence!$C$378=0,Q$3=i_conc_end),i_handback*Q381,0)</f>
        <v/>
      </c>
      <c r="R468" s="19">
        <f>IF(AND(Diligence!$C$378=0,R$3=i_conc_end),i_handback*R381,0)</f>
        <v/>
      </c>
      <c r="S468" s="19">
        <f>IF(AND(Diligence!$C$378=0,S$3=i_conc_end),i_handback*S381,0)</f>
        <v/>
      </c>
      <c r="T468" s="19">
        <f>IF(AND(Diligence!$C$378=0,T$3=i_conc_end),i_handback*T381,0)</f>
        <v/>
      </c>
      <c r="U468" s="19">
        <f>IF(AND(Diligence!$C$378=0,U$3=i_conc_end),i_handback*U381,0)</f>
        <v/>
      </c>
      <c r="V468" s="19">
        <f>IF(AND(Diligence!$C$378=0,V$3=i_conc_end),i_handback*V381,0)</f>
        <v/>
      </c>
      <c r="W468" s="19">
        <f>IF(AND(Diligence!$C$378=0,W$3=i_conc_end),i_handback*W381,0)</f>
        <v/>
      </c>
      <c r="X468" s="19">
        <f>IF(AND(Diligence!$C$378=0,X$3=i_conc_end),i_handback*X381,0)</f>
        <v/>
      </c>
      <c r="Y468" s="19">
        <f>IF(AND(Diligence!$C$378=0,Y$3=i_conc_end),i_handback*Y381,0)</f>
        <v/>
      </c>
      <c r="Z468" s="19">
        <f>IF(AND(Diligence!$C$378=0,Z$3=i_conc_end),i_handback*Z381,0)</f>
        <v/>
      </c>
      <c r="AA468" s="19">
        <f>IF(AND(Diligence!$C$378=0,AA$3=i_conc_end),i_handback*AA381,0)</f>
        <v/>
      </c>
      <c r="AB468" s="19">
        <f>IF(AND(Diligence!$C$378=0,AB$3=i_conc_end),i_handback*AB381,0)</f>
        <v/>
      </c>
      <c r="AC468" s="19">
        <f>IF(AND(Diligence!$C$378=0,AC$3=i_conc_end),i_handback*AC381,0)</f>
        <v/>
      </c>
      <c r="AD468" s="19">
        <f>IF(AND(Diligence!$C$378=0,AD$3=i_conc_end),i_handback*AD381,0)</f>
        <v/>
      </c>
      <c r="AE468" s="19">
        <f>IF(AND(Diligence!$C$378=0,AE$3=i_conc_end),i_handback*AE381,0)</f>
        <v/>
      </c>
      <c r="AF468" s="19">
        <f>IF(AND(Diligence!$C$378=0,AF$3=i_conc_end),i_handback*AF381,0)</f>
        <v/>
      </c>
      <c r="AG468" s="19">
        <f>IF(AND(Diligence!$C$378=0,AG$3=i_conc_end),i_handback*AG381,0)</f>
        <v/>
      </c>
      <c r="AH468" s="19">
        <f>IF(AND(Diligence!$C$378=0,AH$3=i_conc_end),i_handback*AH381,0)</f>
        <v/>
      </c>
      <c r="AI468" s="19">
        <f>IF(AND(Diligence!$C$378=0,AI$3=i_conc_end),i_handback*AI381,0)</f>
        <v/>
      </c>
    </row>
    <row r="469">
      <c r="B469" s="3" t="inlineStr">
        <is>
          <t>Free cash flow (unlevered)</t>
        </is>
      </c>
      <c r="D469" s="31">
        <f>D463-D464-D465-D467-D468</f>
        <v/>
      </c>
      <c r="E469" s="31">
        <f>E463-E464-E465-E467-E468</f>
        <v/>
      </c>
      <c r="F469" s="31">
        <f>F463-F464-F465-F467-F468</f>
        <v/>
      </c>
      <c r="G469" s="31">
        <f>G463-G464-G465-G467-G468</f>
        <v/>
      </c>
      <c r="H469" s="31">
        <f>H463-H464-H465-H467-H468</f>
        <v/>
      </c>
      <c r="I469" s="31">
        <f>I463-I464-I465-I467-I468</f>
        <v/>
      </c>
      <c r="J469" s="31">
        <f>J463-J464-J465-J467-J468</f>
        <v/>
      </c>
      <c r="K469" s="31">
        <f>K463-K464-K465-K467-K468</f>
        <v/>
      </c>
      <c r="L469" s="31">
        <f>L463-L464-L465-L467-L468</f>
        <v/>
      </c>
      <c r="M469" s="31">
        <f>M463-M464-M465-M467-M468</f>
        <v/>
      </c>
      <c r="N469" s="31">
        <f>N463-N464-N465-N467-N468</f>
        <v/>
      </c>
      <c r="O469" s="31">
        <f>O463-O464-O465-O467-O468</f>
        <v/>
      </c>
      <c r="P469" s="31">
        <f>P463-P464-P465-P467-P468</f>
        <v/>
      </c>
      <c r="Q469" s="31">
        <f>Q463-Q464-Q465-Q467-Q468</f>
        <v/>
      </c>
      <c r="R469" s="31">
        <f>R463-R464-R465-R467-R468</f>
        <v/>
      </c>
      <c r="S469" s="31">
        <f>S463-S464-S465-S467-S468</f>
        <v/>
      </c>
      <c r="T469" s="31">
        <f>T463-T464-T465-T467-T468</f>
        <v/>
      </c>
      <c r="U469" s="31">
        <f>U463-U464-U465-U467-U468</f>
        <v/>
      </c>
      <c r="V469" s="31">
        <f>V463-V464-V465-V467-V468</f>
        <v/>
      </c>
      <c r="W469" s="31">
        <f>W463-W464-W465-W467-W468</f>
        <v/>
      </c>
      <c r="X469" s="31">
        <f>X463-X464-X465-X467-X468</f>
        <v/>
      </c>
      <c r="Y469" s="31">
        <f>Y463-Y464-Y465-Y467-Y468</f>
        <v/>
      </c>
      <c r="Z469" s="31">
        <f>Z463-Z464-Z465-Z467-Z468</f>
        <v/>
      </c>
      <c r="AA469" s="31">
        <f>AA463-AA464-AA465-AA467-AA468</f>
        <v/>
      </c>
      <c r="AB469" s="31">
        <f>AB463-AB464-AB465-AB467-AB468</f>
        <v/>
      </c>
      <c r="AC469" s="31">
        <f>AC463-AC464-AC465-AC467-AC468</f>
        <v/>
      </c>
      <c r="AD469" s="31">
        <f>AD463-AD464-AD465-AD467-AD468</f>
        <v/>
      </c>
      <c r="AE469" s="31">
        <f>AE463-AE464-AE465-AE467-AE468</f>
        <v/>
      </c>
      <c r="AF469" s="31">
        <f>AF463-AF464-AF465-AF467-AF468</f>
        <v/>
      </c>
      <c r="AG469" s="31">
        <f>AG463-AG464-AG465-AG467-AG468</f>
        <v/>
      </c>
      <c r="AH469" s="31">
        <f>AH463-AH464-AH465-AH467-AH468</f>
        <v/>
      </c>
      <c r="AI469" s="31">
        <f>AI463-AI464-AI465-AI467-AI468</f>
        <v/>
      </c>
    </row>
    <row r="470">
      <c r="B470" s="2" t="inlineStr">
        <is>
          <t>Present value at the discount rate (2027 to 2056)</t>
        </is>
      </c>
      <c r="D470" s="19">
        <f>IF(AND(D$3&gt;i_base_year,D$3&lt;=i_last),D469/(1+i_r)^D$4,0)</f>
        <v/>
      </c>
      <c r="E470" s="19">
        <f>IF(AND(E$3&gt;i_base_year,E$3&lt;=i_last),E469/(1+i_r)^E$4,0)</f>
        <v/>
      </c>
      <c r="F470" s="19">
        <f>IF(AND(F$3&gt;i_base_year,F$3&lt;=i_last),F469/(1+i_r)^F$4,0)</f>
        <v/>
      </c>
      <c r="G470" s="19">
        <f>IF(AND(G$3&gt;i_base_year,G$3&lt;=i_last),G469/(1+i_r)^G$4,0)</f>
        <v/>
      </c>
      <c r="H470" s="19">
        <f>IF(AND(H$3&gt;i_base_year,H$3&lt;=i_last),H469/(1+i_r)^H$4,0)</f>
        <v/>
      </c>
      <c r="I470" s="19">
        <f>IF(AND(I$3&gt;i_base_year,I$3&lt;=i_last),I469/(1+i_r)^I$4,0)</f>
        <v/>
      </c>
      <c r="J470" s="19">
        <f>IF(AND(J$3&gt;i_base_year,J$3&lt;=i_last),J469/(1+i_r)^J$4,0)</f>
        <v/>
      </c>
      <c r="K470" s="19">
        <f>IF(AND(K$3&gt;i_base_year,K$3&lt;=i_last),K469/(1+i_r)^K$4,0)</f>
        <v/>
      </c>
      <c r="L470" s="19">
        <f>IF(AND(L$3&gt;i_base_year,L$3&lt;=i_last),L469/(1+i_r)^L$4,0)</f>
        <v/>
      </c>
      <c r="M470" s="19">
        <f>IF(AND(M$3&gt;i_base_year,M$3&lt;=i_last),M469/(1+i_r)^M$4,0)</f>
        <v/>
      </c>
      <c r="N470" s="19">
        <f>IF(AND(N$3&gt;i_base_year,N$3&lt;=i_last),N469/(1+i_r)^N$4,0)</f>
        <v/>
      </c>
      <c r="O470" s="19">
        <f>IF(AND(O$3&gt;i_base_year,O$3&lt;=i_last),O469/(1+i_r)^O$4,0)</f>
        <v/>
      </c>
      <c r="P470" s="19">
        <f>IF(AND(P$3&gt;i_base_year,P$3&lt;=i_last),P469/(1+i_r)^P$4,0)</f>
        <v/>
      </c>
      <c r="Q470" s="19">
        <f>IF(AND(Q$3&gt;i_base_year,Q$3&lt;=i_last),Q469/(1+i_r)^Q$4,0)</f>
        <v/>
      </c>
      <c r="R470" s="19">
        <f>IF(AND(R$3&gt;i_base_year,R$3&lt;=i_last),R469/(1+i_r)^R$4,0)</f>
        <v/>
      </c>
      <c r="S470" s="19">
        <f>IF(AND(S$3&gt;i_base_year,S$3&lt;=i_last),S469/(1+i_r)^S$4,0)</f>
        <v/>
      </c>
      <c r="T470" s="19">
        <f>IF(AND(T$3&gt;i_base_year,T$3&lt;=i_last),T469/(1+i_r)^T$4,0)</f>
        <v/>
      </c>
      <c r="U470" s="19">
        <f>IF(AND(U$3&gt;i_base_year,U$3&lt;=i_last),U469/(1+i_r)^U$4,0)</f>
        <v/>
      </c>
      <c r="V470" s="19">
        <f>IF(AND(V$3&gt;i_base_year,V$3&lt;=i_last),V469/(1+i_r)^V$4,0)</f>
        <v/>
      </c>
      <c r="W470" s="19">
        <f>IF(AND(W$3&gt;i_base_year,W$3&lt;=i_last),W469/(1+i_r)^W$4,0)</f>
        <v/>
      </c>
      <c r="X470" s="19">
        <f>IF(AND(X$3&gt;i_base_year,X$3&lt;=i_last),X469/(1+i_r)^X$4,0)</f>
        <v/>
      </c>
      <c r="Y470" s="19">
        <f>IF(AND(Y$3&gt;i_base_year,Y$3&lt;=i_last),Y469/(1+i_r)^Y$4,0)</f>
        <v/>
      </c>
      <c r="Z470" s="19">
        <f>IF(AND(Z$3&gt;i_base_year,Z$3&lt;=i_last),Z469/(1+i_r)^Z$4,0)</f>
        <v/>
      </c>
      <c r="AA470" s="19">
        <f>IF(AND(AA$3&gt;i_base_year,AA$3&lt;=i_last),AA469/(1+i_r)^AA$4,0)</f>
        <v/>
      </c>
      <c r="AB470" s="19">
        <f>IF(AND(AB$3&gt;i_base_year,AB$3&lt;=i_last),AB469/(1+i_r)^AB$4,0)</f>
        <v/>
      </c>
      <c r="AC470" s="19">
        <f>IF(AND(AC$3&gt;i_base_year,AC$3&lt;=i_last),AC469/(1+i_r)^AC$4,0)</f>
        <v/>
      </c>
      <c r="AD470" s="19">
        <f>IF(AND(AD$3&gt;i_base_year,AD$3&lt;=i_last),AD469/(1+i_r)^AD$4,0)</f>
        <v/>
      </c>
      <c r="AE470" s="19">
        <f>IF(AND(AE$3&gt;i_base_year,AE$3&lt;=i_last),AE469/(1+i_r)^AE$4,0)</f>
        <v/>
      </c>
      <c r="AF470" s="19">
        <f>IF(AND(AF$3&gt;i_base_year,AF$3&lt;=i_last),AF469/(1+i_r)^AF$4,0)</f>
        <v/>
      </c>
      <c r="AG470" s="19">
        <f>IF(AND(AG$3&gt;i_base_year,AG$3&lt;=i_last),AG469/(1+i_r)^AG$4,0)</f>
        <v/>
      </c>
      <c r="AH470" s="19">
        <f>IF(AND(AH$3&gt;i_base_year,AH$3&lt;=i_last),AH469/(1+i_r)^AH$4,0)</f>
        <v/>
      </c>
      <c r="AI470" s="19">
        <f>IF(AND(AI$3&gt;i_base_year,AI$3&lt;=i_last),AI469/(1+i_r)^AI$4,0)</f>
        <v/>
      </c>
    </row>
    <row r="471">
      <c r="B471" s="2" t="inlineStr">
        <is>
          <t>Present value of 2027 to 2056 free cash flow</t>
        </is>
      </c>
      <c r="C471" s="19">
        <f>SUM(D470:AI470)</f>
        <v/>
      </c>
    </row>
    <row r="472">
      <c r="B472" s="2" t="inlineStr">
        <is>
          <t>Terminal value at the end of 2056 (on 2057 free cash flow)</t>
        </is>
      </c>
      <c r="C472" s="19">
        <f>AI469/(i_r-i_g)</f>
        <v/>
      </c>
    </row>
    <row r="473">
      <c r="B473" s="2" t="inlineStr">
        <is>
          <t>Present value of the terminal value</t>
        </is>
      </c>
      <c r="C473" s="19">
        <f>C472/(1+i_r)^(i_last-i_base_year)</f>
        <v/>
      </c>
    </row>
    <row r="474">
      <c r="B474" s="3" t="inlineStr">
        <is>
          <t>Enterprise value at 31 December 2026</t>
        </is>
      </c>
      <c r="C474" s="31">
        <f>C471+C473</f>
        <v/>
      </c>
    </row>
    <row r="477">
      <c r="B477" s="5" t="inlineStr">
        <is>
          <t>Platform case: seller's plan with the expansion</t>
        </is>
      </c>
    </row>
    <row r="478">
      <c r="B478" s="4" t="inlineStr">
        <is>
          <t>Inflation</t>
        </is>
      </c>
      <c r="C478" s="27">
        <f>Inputs!$F$219</f>
        <v/>
      </c>
    </row>
    <row r="479">
      <c r="B479" s="4" t="inlineStr">
        <is>
          <t>Buyer's recontracting rates (1) or seller's plan rates (0)</t>
        </is>
      </c>
      <c r="C479" s="26">
        <f>Inputs!$F$220</f>
        <v/>
      </c>
    </row>
    <row r="480">
      <c r="B480" s="4" t="inlineStr">
        <is>
          <t>Largest Westerhaven customer leaves (1/0)</t>
        </is>
      </c>
      <c r="C480" s="26">
        <f>Inputs!$F$221</f>
        <v/>
      </c>
    </row>
    <row r="481">
      <c r="B481" s="4" t="inlineStr">
        <is>
          <t>Jetty 3 refurbishment (1/0)</t>
        </is>
      </c>
      <c r="C481" s="26">
        <f>Inputs!$F$222</f>
        <v/>
      </c>
    </row>
    <row r="482">
      <c r="B482" s="4" t="inlineStr">
        <is>
          <t>Sabine Bend extra insurance (1/0)</t>
        </is>
      </c>
      <c r="C482" s="26">
        <f>Inputs!$F$223</f>
        <v/>
      </c>
    </row>
    <row r="483">
      <c r="B483" s="4" t="inlineStr">
        <is>
          <t>Expansion built (1/0)</t>
        </is>
      </c>
      <c r="C483" s="26">
        <f>Inputs!$F$224</f>
        <v/>
      </c>
    </row>
    <row r="484">
      <c r="B484" s="4" t="inlineStr">
        <is>
          <t>Occupancy shift from 2027</t>
        </is>
      </c>
      <c r="C484" s="27">
        <f>Inputs!$F$225</f>
        <v/>
      </c>
    </row>
    <row r="485">
      <c r="B485" s="4" t="inlineStr">
        <is>
          <t>Recontracting shift</t>
        </is>
      </c>
      <c r="C485" s="27">
        <f>Inputs!$F$226</f>
        <v/>
      </c>
    </row>
    <row r="486">
      <c r="B486" s="4" t="inlineStr">
        <is>
          <t>Concession renewed (1/0)</t>
        </is>
      </c>
      <c r="C486" s="26">
        <f>Inputs!$F$227</f>
        <v/>
      </c>
    </row>
    <row r="487">
      <c r="B487" s="4" t="inlineStr">
        <is>
          <t>Westerhaven capacity multiplier</t>
        </is>
      </c>
      <c r="C487" s="28">
        <f>Inputs!$F$228</f>
        <v/>
      </c>
    </row>
    <row r="488">
      <c r="B488" s="4" t="inlineStr">
        <is>
          <t>Extra yearly cost from 2028 ($m, 2026 dollars)</t>
        </is>
      </c>
      <c r="C488" s="29">
        <f>Inputs!$F$229</f>
        <v/>
      </c>
    </row>
    <row r="489">
      <c r="B489" s="2" t="inlineStr">
        <is>
          <t>Cost index (inflation)</t>
        </is>
      </c>
      <c r="D489" s="30">
        <f>(1+Diligence!$C$478)^D$4</f>
        <v/>
      </c>
      <c r="E489" s="30">
        <f>(1+Diligence!$C$478)^E$4</f>
        <v/>
      </c>
      <c r="F489" s="30">
        <f>(1+Diligence!$C$478)^F$4</f>
        <v/>
      </c>
      <c r="G489" s="30">
        <f>(1+Diligence!$C$478)^G$4</f>
        <v/>
      </c>
      <c r="H489" s="30">
        <f>(1+Diligence!$C$478)^H$4</f>
        <v/>
      </c>
      <c r="I489" s="30">
        <f>(1+Diligence!$C$478)^I$4</f>
        <v/>
      </c>
      <c r="J489" s="30">
        <f>(1+Diligence!$C$478)^J$4</f>
        <v/>
      </c>
      <c r="K489" s="30">
        <f>(1+Diligence!$C$478)^K$4</f>
        <v/>
      </c>
      <c r="L489" s="30">
        <f>(1+Diligence!$C$478)^L$4</f>
        <v/>
      </c>
      <c r="M489" s="30">
        <f>(1+Diligence!$C$478)^M$4</f>
        <v/>
      </c>
      <c r="N489" s="30">
        <f>(1+Diligence!$C$478)^N$4</f>
        <v/>
      </c>
      <c r="O489" s="30">
        <f>(1+Diligence!$C$478)^O$4</f>
        <v/>
      </c>
      <c r="P489" s="30">
        <f>(1+Diligence!$C$478)^P$4</f>
        <v/>
      </c>
      <c r="Q489" s="30">
        <f>(1+Diligence!$C$478)^Q$4</f>
        <v/>
      </c>
      <c r="R489" s="30">
        <f>(1+Diligence!$C$478)^R$4</f>
        <v/>
      </c>
      <c r="S489" s="30">
        <f>(1+Diligence!$C$478)^S$4</f>
        <v/>
      </c>
      <c r="T489" s="30">
        <f>(1+Diligence!$C$478)^T$4</f>
        <v/>
      </c>
      <c r="U489" s="30">
        <f>(1+Diligence!$C$478)^U$4</f>
        <v/>
      </c>
      <c r="V489" s="30">
        <f>(1+Diligence!$C$478)^V$4</f>
        <v/>
      </c>
      <c r="W489" s="30">
        <f>(1+Diligence!$C$478)^W$4</f>
        <v/>
      </c>
      <c r="X489" s="30">
        <f>(1+Diligence!$C$478)^X$4</f>
        <v/>
      </c>
      <c r="Y489" s="30">
        <f>(1+Diligence!$C$478)^Y$4</f>
        <v/>
      </c>
      <c r="Z489" s="30">
        <f>(1+Diligence!$C$478)^Z$4</f>
        <v/>
      </c>
      <c r="AA489" s="30">
        <f>(1+Diligence!$C$478)^AA$4</f>
        <v/>
      </c>
      <c r="AB489" s="30">
        <f>(1+Diligence!$C$478)^AB$4</f>
        <v/>
      </c>
      <c r="AC489" s="30">
        <f>(1+Diligence!$C$478)^AC$4</f>
        <v/>
      </c>
      <c r="AD489" s="30">
        <f>(1+Diligence!$C$478)^AD$4</f>
        <v/>
      </c>
      <c r="AE489" s="30">
        <f>(1+Diligence!$C$478)^AE$4</f>
        <v/>
      </c>
      <c r="AF489" s="30">
        <f>(1+Diligence!$C$478)^AF$4</f>
        <v/>
      </c>
      <c r="AG489" s="30">
        <f>(1+Diligence!$C$478)^AG$4</f>
        <v/>
      </c>
      <c r="AH489" s="30">
        <f>(1+Diligence!$C$478)^AH$4</f>
        <v/>
      </c>
      <c r="AI489" s="30">
        <f>(1+Diligence!$C$478)^AI$4</f>
        <v/>
      </c>
    </row>
    <row r="490">
      <c r="B490" s="2" t="inlineStr">
        <is>
          <t>Rate index (inflation x pass-through)</t>
        </is>
      </c>
      <c r="D490" s="30">
        <f>(1+Diligence!$C$478*i_index_share)^D$4</f>
        <v/>
      </c>
      <c r="E490" s="30">
        <f>(1+Diligence!$C$478*i_index_share)^E$4</f>
        <v/>
      </c>
      <c r="F490" s="30">
        <f>(1+Diligence!$C$478*i_index_share)^F$4</f>
        <v/>
      </c>
      <c r="G490" s="30">
        <f>(1+Diligence!$C$478*i_index_share)^G$4</f>
        <v/>
      </c>
      <c r="H490" s="30">
        <f>(1+Diligence!$C$478*i_index_share)^H$4</f>
        <v/>
      </c>
      <c r="I490" s="30">
        <f>(1+Diligence!$C$478*i_index_share)^I$4</f>
        <v/>
      </c>
      <c r="J490" s="30">
        <f>(1+Diligence!$C$478*i_index_share)^J$4</f>
        <v/>
      </c>
      <c r="K490" s="30">
        <f>(1+Diligence!$C$478*i_index_share)^K$4</f>
        <v/>
      </c>
      <c r="L490" s="30">
        <f>(1+Diligence!$C$478*i_index_share)^L$4</f>
        <v/>
      </c>
      <c r="M490" s="30">
        <f>(1+Diligence!$C$478*i_index_share)^M$4</f>
        <v/>
      </c>
      <c r="N490" s="30">
        <f>(1+Diligence!$C$478*i_index_share)^N$4</f>
        <v/>
      </c>
      <c r="O490" s="30">
        <f>(1+Diligence!$C$478*i_index_share)^O$4</f>
        <v/>
      </c>
      <c r="P490" s="30">
        <f>(1+Diligence!$C$478*i_index_share)^P$4</f>
        <v/>
      </c>
      <c r="Q490" s="30">
        <f>(1+Diligence!$C$478*i_index_share)^Q$4</f>
        <v/>
      </c>
      <c r="R490" s="30">
        <f>(1+Diligence!$C$478*i_index_share)^R$4</f>
        <v/>
      </c>
      <c r="S490" s="30">
        <f>(1+Diligence!$C$478*i_index_share)^S$4</f>
        <v/>
      </c>
      <c r="T490" s="30">
        <f>(1+Diligence!$C$478*i_index_share)^T$4</f>
        <v/>
      </c>
      <c r="U490" s="30">
        <f>(1+Diligence!$C$478*i_index_share)^U$4</f>
        <v/>
      </c>
      <c r="V490" s="30">
        <f>(1+Diligence!$C$478*i_index_share)^V$4</f>
        <v/>
      </c>
      <c r="W490" s="30">
        <f>(1+Diligence!$C$478*i_index_share)^W$4</f>
        <v/>
      </c>
      <c r="X490" s="30">
        <f>(1+Diligence!$C$478*i_index_share)^X$4</f>
        <v/>
      </c>
      <c r="Y490" s="30">
        <f>(1+Diligence!$C$478*i_index_share)^Y$4</f>
        <v/>
      </c>
      <c r="Z490" s="30">
        <f>(1+Diligence!$C$478*i_index_share)^Z$4</f>
        <v/>
      </c>
      <c r="AA490" s="30">
        <f>(1+Diligence!$C$478*i_index_share)^AA$4</f>
        <v/>
      </c>
      <c r="AB490" s="30">
        <f>(1+Diligence!$C$478*i_index_share)^AB$4</f>
        <v/>
      </c>
      <c r="AC490" s="30">
        <f>(1+Diligence!$C$478*i_index_share)^AC$4</f>
        <v/>
      </c>
      <c r="AD490" s="30">
        <f>(1+Diligence!$C$478*i_index_share)^AD$4</f>
        <v/>
      </c>
      <c r="AE490" s="30">
        <f>(1+Diligence!$C$478*i_index_share)^AE$4</f>
        <v/>
      </c>
      <c r="AF490" s="30">
        <f>(1+Diligence!$C$478*i_index_share)^AF$4</f>
        <v/>
      </c>
      <c r="AG490" s="30">
        <f>(1+Diligence!$C$478*i_index_share)^AG$4</f>
        <v/>
      </c>
      <c r="AH490" s="30">
        <f>(1+Diligence!$C$478*i_index_share)^AH$4</f>
        <v/>
      </c>
      <c r="AI490" s="30">
        <f>(1+Diligence!$C$478*i_index_share)^AI$4</f>
        <v/>
      </c>
    </row>
    <row r="491">
      <c r="B491" s="3" t="inlineStr">
        <is>
          <t>Westerhaven</t>
        </is>
      </c>
    </row>
    <row r="492">
      <c r="B492" s="2" t="inlineStr">
        <is>
          <t xml:space="preserve">  Concession in force (1/0)</t>
        </is>
      </c>
      <c r="D492" s="22">
        <f>IF(Diligence!$C$486=1,1,IF(D$3&lt;=i_conc_end,1,0))</f>
        <v/>
      </c>
      <c r="E492" s="22">
        <f>IF(Diligence!$C$486=1,1,IF(E$3&lt;=i_conc_end,1,0))</f>
        <v/>
      </c>
      <c r="F492" s="22">
        <f>IF(Diligence!$C$486=1,1,IF(F$3&lt;=i_conc_end,1,0))</f>
        <v/>
      </c>
      <c r="G492" s="22">
        <f>IF(Diligence!$C$486=1,1,IF(G$3&lt;=i_conc_end,1,0))</f>
        <v/>
      </c>
      <c r="H492" s="22">
        <f>IF(Diligence!$C$486=1,1,IF(H$3&lt;=i_conc_end,1,0))</f>
        <v/>
      </c>
      <c r="I492" s="22">
        <f>IF(Diligence!$C$486=1,1,IF(I$3&lt;=i_conc_end,1,0))</f>
        <v/>
      </c>
      <c r="J492" s="22">
        <f>IF(Diligence!$C$486=1,1,IF(J$3&lt;=i_conc_end,1,0))</f>
        <v/>
      </c>
      <c r="K492" s="22">
        <f>IF(Diligence!$C$486=1,1,IF(K$3&lt;=i_conc_end,1,0))</f>
        <v/>
      </c>
      <c r="L492" s="22">
        <f>IF(Diligence!$C$486=1,1,IF(L$3&lt;=i_conc_end,1,0))</f>
        <v/>
      </c>
      <c r="M492" s="22">
        <f>IF(Diligence!$C$486=1,1,IF(M$3&lt;=i_conc_end,1,0))</f>
        <v/>
      </c>
      <c r="N492" s="22">
        <f>IF(Diligence!$C$486=1,1,IF(N$3&lt;=i_conc_end,1,0))</f>
        <v/>
      </c>
      <c r="O492" s="22">
        <f>IF(Diligence!$C$486=1,1,IF(O$3&lt;=i_conc_end,1,0))</f>
        <v/>
      </c>
      <c r="P492" s="22">
        <f>IF(Diligence!$C$486=1,1,IF(P$3&lt;=i_conc_end,1,0))</f>
        <v/>
      </c>
      <c r="Q492" s="22">
        <f>IF(Diligence!$C$486=1,1,IF(Q$3&lt;=i_conc_end,1,0))</f>
        <v/>
      </c>
      <c r="R492" s="22">
        <f>IF(Diligence!$C$486=1,1,IF(R$3&lt;=i_conc_end,1,0))</f>
        <v/>
      </c>
      <c r="S492" s="22">
        <f>IF(Diligence!$C$486=1,1,IF(S$3&lt;=i_conc_end,1,0))</f>
        <v/>
      </c>
      <c r="T492" s="22">
        <f>IF(Diligence!$C$486=1,1,IF(T$3&lt;=i_conc_end,1,0))</f>
        <v/>
      </c>
      <c r="U492" s="22">
        <f>IF(Diligence!$C$486=1,1,IF(U$3&lt;=i_conc_end,1,0))</f>
        <v/>
      </c>
      <c r="V492" s="22">
        <f>IF(Diligence!$C$486=1,1,IF(V$3&lt;=i_conc_end,1,0))</f>
        <v/>
      </c>
      <c r="W492" s="22">
        <f>IF(Diligence!$C$486=1,1,IF(W$3&lt;=i_conc_end,1,0))</f>
        <v/>
      </c>
      <c r="X492" s="22">
        <f>IF(Diligence!$C$486=1,1,IF(X$3&lt;=i_conc_end,1,0))</f>
        <v/>
      </c>
      <c r="Y492" s="22">
        <f>IF(Diligence!$C$486=1,1,IF(Y$3&lt;=i_conc_end,1,0))</f>
        <v/>
      </c>
      <c r="Z492" s="22">
        <f>IF(Diligence!$C$486=1,1,IF(Z$3&lt;=i_conc_end,1,0))</f>
        <v/>
      </c>
      <c r="AA492" s="22">
        <f>IF(Diligence!$C$486=1,1,IF(AA$3&lt;=i_conc_end,1,0))</f>
        <v/>
      </c>
      <c r="AB492" s="22">
        <f>IF(Diligence!$C$486=1,1,IF(AB$3&lt;=i_conc_end,1,0))</f>
        <v/>
      </c>
      <c r="AC492" s="22">
        <f>IF(Diligence!$C$486=1,1,IF(AC$3&lt;=i_conc_end,1,0))</f>
        <v/>
      </c>
      <c r="AD492" s="22">
        <f>IF(Diligence!$C$486=1,1,IF(AD$3&lt;=i_conc_end,1,0))</f>
        <v/>
      </c>
      <c r="AE492" s="22">
        <f>IF(Diligence!$C$486=1,1,IF(AE$3&lt;=i_conc_end,1,0))</f>
        <v/>
      </c>
      <c r="AF492" s="22">
        <f>IF(Diligence!$C$486=1,1,IF(AF$3&lt;=i_conc_end,1,0))</f>
        <v/>
      </c>
      <c r="AG492" s="22">
        <f>IF(Diligence!$C$486=1,1,IF(AG$3&lt;=i_conc_end,1,0))</f>
        <v/>
      </c>
      <c r="AH492" s="22">
        <f>IF(Diligence!$C$486=1,1,IF(AH$3&lt;=i_conc_end,1,0))</f>
        <v/>
      </c>
      <c r="AI492" s="22">
        <f>IF(Diligence!$C$486=1,1,IF(AI$3&lt;=i_conc_end,1,0))</f>
        <v/>
      </c>
    </row>
    <row r="493">
      <c r="B493" s="2" t="inlineStr">
        <is>
          <t xml:space="preserve">  Capacity in service (million m3)</t>
        </is>
      </c>
      <c r="D493" s="24">
        <f>i_W_cap*Diligence!$C$487*D492</f>
        <v/>
      </c>
      <c r="E493" s="24">
        <f>i_W_cap*Diligence!$C$487*E492</f>
        <v/>
      </c>
      <c r="F493" s="24">
        <f>i_W_cap*Diligence!$C$487*F492</f>
        <v/>
      </c>
      <c r="G493" s="24">
        <f>i_W_cap*Diligence!$C$487*G492</f>
        <v/>
      </c>
      <c r="H493" s="24">
        <f>i_W_cap*Diligence!$C$487*H492</f>
        <v/>
      </c>
      <c r="I493" s="24">
        <f>i_W_cap*Diligence!$C$487*I492</f>
        <v/>
      </c>
      <c r="J493" s="24">
        <f>i_W_cap*Diligence!$C$487*J492</f>
        <v/>
      </c>
      <c r="K493" s="24">
        <f>i_W_cap*Diligence!$C$487*K492</f>
        <v/>
      </c>
      <c r="L493" s="24">
        <f>i_W_cap*Diligence!$C$487*L492</f>
        <v/>
      </c>
      <c r="M493" s="24">
        <f>i_W_cap*Diligence!$C$487*M492</f>
        <v/>
      </c>
      <c r="N493" s="24">
        <f>i_W_cap*Diligence!$C$487*N492</f>
        <v/>
      </c>
      <c r="O493" s="24">
        <f>i_W_cap*Diligence!$C$487*O492</f>
        <v/>
      </c>
      <c r="P493" s="24">
        <f>i_W_cap*Diligence!$C$487*P492</f>
        <v/>
      </c>
      <c r="Q493" s="24">
        <f>i_W_cap*Diligence!$C$487*Q492</f>
        <v/>
      </c>
      <c r="R493" s="24">
        <f>i_W_cap*Diligence!$C$487*R492</f>
        <v/>
      </c>
      <c r="S493" s="24">
        <f>i_W_cap*Diligence!$C$487*S492</f>
        <v/>
      </c>
      <c r="T493" s="24">
        <f>i_W_cap*Diligence!$C$487*T492</f>
        <v/>
      </c>
      <c r="U493" s="24">
        <f>i_W_cap*Diligence!$C$487*U492</f>
        <v/>
      </c>
      <c r="V493" s="24">
        <f>i_W_cap*Diligence!$C$487*V492</f>
        <v/>
      </c>
      <c r="W493" s="24">
        <f>i_W_cap*Diligence!$C$487*W492</f>
        <v/>
      </c>
      <c r="X493" s="24">
        <f>i_W_cap*Diligence!$C$487*X492</f>
        <v/>
      </c>
      <c r="Y493" s="24">
        <f>i_W_cap*Diligence!$C$487*Y492</f>
        <v/>
      </c>
      <c r="Z493" s="24">
        <f>i_W_cap*Diligence!$C$487*Z492</f>
        <v/>
      </c>
      <c r="AA493" s="24">
        <f>i_W_cap*Diligence!$C$487*AA492</f>
        <v/>
      </c>
      <c r="AB493" s="24">
        <f>i_W_cap*Diligence!$C$487*AB492</f>
        <v/>
      </c>
      <c r="AC493" s="24">
        <f>i_W_cap*Diligence!$C$487*AC492</f>
        <v/>
      </c>
      <c r="AD493" s="24">
        <f>i_W_cap*Diligence!$C$487*AD492</f>
        <v/>
      </c>
      <c r="AE493" s="24">
        <f>i_W_cap*Diligence!$C$487*AE492</f>
        <v/>
      </c>
      <c r="AF493" s="24">
        <f>i_W_cap*Diligence!$C$487*AF492</f>
        <v/>
      </c>
      <c r="AG493" s="24">
        <f>i_W_cap*Diligence!$C$487*AG492</f>
        <v/>
      </c>
      <c r="AH493" s="24">
        <f>i_W_cap*Diligence!$C$487*AH492</f>
        <v/>
      </c>
      <c r="AI493" s="24">
        <f>i_W_cap*Diligence!$C$487*AI492</f>
        <v/>
      </c>
    </row>
    <row r="494">
      <c r="B494" s="2" t="inlineStr">
        <is>
          <t xml:space="preserve">  Share on contracts signed before 2027</t>
        </is>
      </c>
      <c r="D494" s="21">
        <f>SUMIF(i_book_years,D$3,i_W_book)</f>
        <v/>
      </c>
      <c r="E494" s="21">
        <f>SUMIF(i_book_years,E$3,i_W_book)</f>
        <v/>
      </c>
      <c r="F494" s="21">
        <f>SUMIF(i_book_years,F$3,i_W_book)</f>
        <v/>
      </c>
      <c r="G494" s="21">
        <f>SUMIF(i_book_years,G$3,i_W_book)</f>
        <v/>
      </c>
      <c r="H494" s="21">
        <f>SUMIF(i_book_years,H$3,i_W_book)</f>
        <v/>
      </c>
      <c r="I494" s="21">
        <f>SUMIF(i_book_years,I$3,i_W_book)</f>
        <v/>
      </c>
      <c r="J494" s="21">
        <f>SUMIF(i_book_years,J$3,i_W_book)</f>
        <v/>
      </c>
      <c r="K494" s="21">
        <f>SUMIF(i_book_years,K$3,i_W_book)</f>
        <v/>
      </c>
      <c r="L494" s="21">
        <f>SUMIF(i_book_years,L$3,i_W_book)</f>
        <v/>
      </c>
      <c r="M494" s="21">
        <f>SUMIF(i_book_years,M$3,i_W_book)</f>
        <v/>
      </c>
      <c r="N494" s="21">
        <f>SUMIF(i_book_years,N$3,i_W_book)</f>
        <v/>
      </c>
      <c r="O494" s="21">
        <f>SUMIF(i_book_years,O$3,i_W_book)</f>
        <v/>
      </c>
      <c r="P494" s="21">
        <f>SUMIF(i_book_years,P$3,i_W_book)</f>
        <v/>
      </c>
      <c r="Q494" s="21">
        <f>SUMIF(i_book_years,Q$3,i_W_book)</f>
        <v/>
      </c>
      <c r="R494" s="21">
        <f>SUMIF(i_book_years,R$3,i_W_book)</f>
        <v/>
      </c>
      <c r="S494" s="21">
        <f>SUMIF(i_book_years,S$3,i_W_book)</f>
        <v/>
      </c>
      <c r="T494" s="21">
        <f>SUMIF(i_book_years,T$3,i_W_book)</f>
        <v/>
      </c>
      <c r="U494" s="21">
        <f>SUMIF(i_book_years,U$3,i_W_book)</f>
        <v/>
      </c>
      <c r="V494" s="21">
        <f>SUMIF(i_book_years,V$3,i_W_book)</f>
        <v/>
      </c>
      <c r="W494" s="21">
        <f>SUMIF(i_book_years,W$3,i_W_book)</f>
        <v/>
      </c>
      <c r="X494" s="21">
        <f>SUMIF(i_book_years,X$3,i_W_book)</f>
        <v/>
      </c>
      <c r="Y494" s="21">
        <f>SUMIF(i_book_years,Y$3,i_W_book)</f>
        <v/>
      </c>
      <c r="Z494" s="21">
        <f>SUMIF(i_book_years,Z$3,i_W_book)</f>
        <v/>
      </c>
      <c r="AA494" s="21">
        <f>SUMIF(i_book_years,AA$3,i_W_book)</f>
        <v/>
      </c>
      <c r="AB494" s="21">
        <f>SUMIF(i_book_years,AB$3,i_W_book)</f>
        <v/>
      </c>
      <c r="AC494" s="21">
        <f>SUMIF(i_book_years,AC$3,i_W_book)</f>
        <v/>
      </c>
      <c r="AD494" s="21">
        <f>SUMIF(i_book_years,AD$3,i_W_book)</f>
        <v/>
      </c>
      <c r="AE494" s="21">
        <f>SUMIF(i_book_years,AE$3,i_W_book)</f>
        <v/>
      </c>
      <c r="AF494" s="21">
        <f>SUMIF(i_book_years,AF$3,i_W_book)</f>
        <v/>
      </c>
      <c r="AG494" s="21">
        <f>SUMIF(i_book_years,AG$3,i_W_book)</f>
        <v/>
      </c>
      <c r="AH494" s="21">
        <f>SUMIF(i_book_years,AH$3,i_W_book)</f>
        <v/>
      </c>
      <c r="AI494" s="21">
        <f>SUMIF(i_book_years,AI$3,i_W_book)</f>
        <v/>
      </c>
    </row>
    <row r="495">
      <c r="B495" s="2" t="inlineStr">
        <is>
          <t xml:space="preserve">  Recontracting factor against current rates</t>
        </is>
      </c>
      <c r="D495" s="21">
        <f>IF(D$4=0,0,IF(Diligence!$C$479=1,i_W_mtm,i_W_mtm_plan)+Diligence!$C$485)</f>
        <v/>
      </c>
      <c r="E495" s="21">
        <f>IF(E$4=0,0,IF(Diligence!$C$479=1,i_W_mtm,i_W_mtm_plan)+Diligence!$C$485)</f>
        <v/>
      </c>
      <c r="F495" s="21">
        <f>IF(F$4=0,0,IF(Diligence!$C$479=1,i_W_mtm,i_W_mtm_plan)+Diligence!$C$485)</f>
        <v/>
      </c>
      <c r="G495" s="21">
        <f>IF(G$4=0,0,IF(Diligence!$C$479=1,i_W_mtm,i_W_mtm_plan)+Diligence!$C$485)</f>
        <v/>
      </c>
      <c r="H495" s="21">
        <f>IF(H$4=0,0,IF(Diligence!$C$479=1,i_W_mtm,i_W_mtm_plan)+Diligence!$C$485)</f>
        <v/>
      </c>
      <c r="I495" s="21">
        <f>IF(I$4=0,0,IF(Diligence!$C$479=1,i_W_mtm,i_W_mtm_plan)+Diligence!$C$485)</f>
        <v/>
      </c>
      <c r="J495" s="21">
        <f>IF(J$4=0,0,IF(Diligence!$C$479=1,i_W_mtm,i_W_mtm_plan)+Diligence!$C$485)</f>
        <v/>
      </c>
      <c r="K495" s="21">
        <f>IF(K$4=0,0,IF(Diligence!$C$479=1,i_W_mtm,i_W_mtm_plan)+Diligence!$C$485)</f>
        <v/>
      </c>
      <c r="L495" s="21">
        <f>IF(L$4=0,0,IF(Diligence!$C$479=1,i_W_mtm,i_W_mtm_plan)+Diligence!$C$485)</f>
        <v/>
      </c>
      <c r="M495" s="21">
        <f>IF(M$4=0,0,IF(Diligence!$C$479=1,i_W_mtm,i_W_mtm_plan)+Diligence!$C$485)</f>
        <v/>
      </c>
      <c r="N495" s="21">
        <f>IF(N$4=0,0,IF(Diligence!$C$479=1,i_W_mtm,i_W_mtm_plan)+Diligence!$C$485)</f>
        <v/>
      </c>
      <c r="O495" s="21">
        <f>IF(O$4=0,0,IF(Diligence!$C$479=1,i_W_mtm,i_W_mtm_plan)+Diligence!$C$485)</f>
        <v/>
      </c>
      <c r="P495" s="21">
        <f>IF(P$4=0,0,IF(Diligence!$C$479=1,i_W_mtm,i_W_mtm_plan)+Diligence!$C$485)</f>
        <v/>
      </c>
      <c r="Q495" s="21">
        <f>IF(Q$4=0,0,IF(Diligence!$C$479=1,i_W_mtm,i_W_mtm_plan)+Diligence!$C$485)</f>
        <v/>
      </c>
      <c r="R495" s="21">
        <f>IF(R$4=0,0,IF(Diligence!$C$479=1,i_W_mtm,i_W_mtm_plan)+Diligence!$C$485)</f>
        <v/>
      </c>
      <c r="S495" s="21">
        <f>IF(S$4=0,0,IF(Diligence!$C$479=1,i_W_mtm,i_W_mtm_plan)+Diligence!$C$485)</f>
        <v/>
      </c>
      <c r="T495" s="21">
        <f>IF(T$4=0,0,IF(Diligence!$C$479=1,i_W_mtm,i_W_mtm_plan)+Diligence!$C$485)</f>
        <v/>
      </c>
      <c r="U495" s="21">
        <f>IF(U$4=0,0,IF(Diligence!$C$479=1,i_W_mtm,i_W_mtm_plan)+Diligence!$C$485)</f>
        <v/>
      </c>
      <c r="V495" s="21">
        <f>IF(V$4=0,0,IF(Diligence!$C$479=1,i_W_mtm,i_W_mtm_plan)+Diligence!$C$485)</f>
        <v/>
      </c>
      <c r="W495" s="21">
        <f>IF(W$4=0,0,IF(Diligence!$C$479=1,i_W_mtm,i_W_mtm_plan)+Diligence!$C$485)</f>
        <v/>
      </c>
      <c r="X495" s="21">
        <f>IF(X$4=0,0,IF(Diligence!$C$479=1,i_W_mtm,i_W_mtm_plan)+Diligence!$C$485)</f>
        <v/>
      </c>
      <c r="Y495" s="21">
        <f>IF(Y$4=0,0,IF(Diligence!$C$479=1,i_W_mtm,i_W_mtm_plan)+Diligence!$C$485)</f>
        <v/>
      </c>
      <c r="Z495" s="21">
        <f>IF(Z$4=0,0,IF(Diligence!$C$479=1,i_W_mtm,i_W_mtm_plan)+Diligence!$C$485)</f>
        <v/>
      </c>
      <c r="AA495" s="21">
        <f>IF(AA$4=0,0,IF(Diligence!$C$479=1,i_W_mtm,i_W_mtm_plan)+Diligence!$C$485)</f>
        <v/>
      </c>
      <c r="AB495" s="21">
        <f>IF(AB$4=0,0,IF(Diligence!$C$479=1,i_W_mtm,i_W_mtm_plan)+Diligence!$C$485)</f>
        <v/>
      </c>
      <c r="AC495" s="21">
        <f>IF(AC$4=0,0,IF(Diligence!$C$479=1,i_W_mtm,i_W_mtm_plan)+Diligence!$C$485)</f>
        <v/>
      </c>
      <c r="AD495" s="21">
        <f>IF(AD$4=0,0,IF(Diligence!$C$479=1,i_W_mtm,i_W_mtm_plan)+Diligence!$C$485)</f>
        <v/>
      </c>
      <c r="AE495" s="21">
        <f>IF(AE$4=0,0,IF(Diligence!$C$479=1,i_W_mtm,i_W_mtm_plan)+Diligence!$C$485)</f>
        <v/>
      </c>
      <c r="AF495" s="21">
        <f>IF(AF$4=0,0,IF(Diligence!$C$479=1,i_W_mtm,i_W_mtm_plan)+Diligence!$C$485)</f>
        <v/>
      </c>
      <c r="AG495" s="21">
        <f>IF(AG$4=0,0,IF(Diligence!$C$479=1,i_W_mtm,i_W_mtm_plan)+Diligence!$C$485)</f>
        <v/>
      </c>
      <c r="AH495" s="21">
        <f>IF(AH$4=0,0,IF(Diligence!$C$479=1,i_W_mtm,i_W_mtm_plan)+Diligence!$C$485)</f>
        <v/>
      </c>
      <c r="AI495" s="21">
        <f>IF(AI$4=0,0,IF(Diligence!$C$479=1,i_W_mtm,i_W_mtm_plan)+Diligence!$C$485)</f>
        <v/>
      </c>
    </row>
    <row r="496">
      <c r="B496" s="2" t="inlineStr">
        <is>
          <t xml:space="preserve">  Average rate ($ per m3 per month)</t>
        </is>
      </c>
      <c r="D496" s="24">
        <f>i_W_rate*D490*(D494+(1-D494)*(1+D495))</f>
        <v/>
      </c>
      <c r="E496" s="24">
        <f>i_W_rate*E490*(E494+(1-E494)*(1+E495))</f>
        <v/>
      </c>
      <c r="F496" s="24">
        <f>i_W_rate*F490*(F494+(1-F494)*(1+F495))</f>
        <v/>
      </c>
      <c r="G496" s="24">
        <f>i_W_rate*G490*(G494+(1-G494)*(1+G495))</f>
        <v/>
      </c>
      <c r="H496" s="24">
        <f>i_W_rate*H490*(H494+(1-H494)*(1+H495))</f>
        <v/>
      </c>
      <c r="I496" s="24">
        <f>i_W_rate*I490*(I494+(1-I494)*(1+I495))</f>
        <v/>
      </c>
      <c r="J496" s="24">
        <f>i_W_rate*J490*(J494+(1-J494)*(1+J495))</f>
        <v/>
      </c>
      <c r="K496" s="24">
        <f>i_W_rate*K490*(K494+(1-K494)*(1+K495))</f>
        <v/>
      </c>
      <c r="L496" s="24">
        <f>i_W_rate*L490*(L494+(1-L494)*(1+L495))</f>
        <v/>
      </c>
      <c r="M496" s="24">
        <f>i_W_rate*M490*(M494+(1-M494)*(1+M495))</f>
        <v/>
      </c>
      <c r="N496" s="24">
        <f>i_W_rate*N490*(N494+(1-N494)*(1+N495))</f>
        <v/>
      </c>
      <c r="O496" s="24">
        <f>i_W_rate*O490*(O494+(1-O494)*(1+O495))</f>
        <v/>
      </c>
      <c r="P496" s="24">
        <f>i_W_rate*P490*(P494+(1-P494)*(1+P495))</f>
        <v/>
      </c>
      <c r="Q496" s="24">
        <f>i_W_rate*Q490*(Q494+(1-Q494)*(1+Q495))</f>
        <v/>
      </c>
      <c r="R496" s="24">
        <f>i_W_rate*R490*(R494+(1-R494)*(1+R495))</f>
        <v/>
      </c>
      <c r="S496" s="24">
        <f>i_W_rate*S490*(S494+(1-S494)*(1+S495))</f>
        <v/>
      </c>
      <c r="T496" s="24">
        <f>i_W_rate*T490*(T494+(1-T494)*(1+T495))</f>
        <v/>
      </c>
      <c r="U496" s="24">
        <f>i_W_rate*U490*(U494+(1-U494)*(1+U495))</f>
        <v/>
      </c>
      <c r="V496" s="24">
        <f>i_W_rate*V490*(V494+(1-V494)*(1+V495))</f>
        <v/>
      </c>
      <c r="W496" s="24">
        <f>i_W_rate*W490*(W494+(1-W494)*(1+W495))</f>
        <v/>
      </c>
      <c r="X496" s="24">
        <f>i_W_rate*X490*(X494+(1-X494)*(1+X495))</f>
        <v/>
      </c>
      <c r="Y496" s="24">
        <f>i_W_rate*Y490*(Y494+(1-Y494)*(1+Y495))</f>
        <v/>
      </c>
      <c r="Z496" s="24">
        <f>i_W_rate*Z490*(Z494+(1-Z494)*(1+Z495))</f>
        <v/>
      </c>
      <c r="AA496" s="24">
        <f>i_W_rate*AA490*(AA494+(1-AA494)*(1+AA495))</f>
        <v/>
      </c>
      <c r="AB496" s="24">
        <f>i_W_rate*AB490*(AB494+(1-AB494)*(1+AB495))</f>
        <v/>
      </c>
      <c r="AC496" s="24">
        <f>i_W_rate*AC490*(AC494+(1-AC494)*(1+AC495))</f>
        <v/>
      </c>
      <c r="AD496" s="24">
        <f>i_W_rate*AD490*(AD494+(1-AD494)*(1+AD495))</f>
        <v/>
      </c>
      <c r="AE496" s="24">
        <f>i_W_rate*AE490*(AE494+(1-AE494)*(1+AE495))</f>
        <v/>
      </c>
      <c r="AF496" s="24">
        <f>i_W_rate*AF490*(AF494+(1-AF494)*(1+AF495))</f>
        <v/>
      </c>
      <c r="AG496" s="24">
        <f>i_W_rate*AG490*(AG494+(1-AG494)*(1+AG495))</f>
        <v/>
      </c>
      <c r="AH496" s="24">
        <f>i_W_rate*AH490*(AH494+(1-AH494)*(1+AH495))</f>
        <v/>
      </c>
      <c r="AI496" s="24">
        <f>i_W_rate*AI490*(AI494+(1-AI494)*(1+AI495))</f>
        <v/>
      </c>
    </row>
    <row r="497">
      <c r="B497" s="2" t="inlineStr">
        <is>
          <t xml:space="preserve">  Occupancy after the transition decline and floor</t>
        </is>
      </c>
      <c r="D497" s="21">
        <f>IF(D$3&gt;i_trans_start,MAX(i_W_floor,i_W_occ-i_W_dec*(D$3-i_trans_start)),i_W_occ)</f>
        <v/>
      </c>
      <c r="E497" s="21">
        <f>IF(E$3&gt;i_trans_start,MAX(i_W_floor,i_W_occ-i_W_dec*(E$3-i_trans_start)),i_W_occ)</f>
        <v/>
      </c>
      <c r="F497" s="21">
        <f>IF(F$3&gt;i_trans_start,MAX(i_W_floor,i_W_occ-i_W_dec*(F$3-i_trans_start)),i_W_occ)</f>
        <v/>
      </c>
      <c r="G497" s="21">
        <f>IF(G$3&gt;i_trans_start,MAX(i_W_floor,i_W_occ-i_W_dec*(G$3-i_trans_start)),i_W_occ)</f>
        <v/>
      </c>
      <c r="H497" s="21">
        <f>IF(H$3&gt;i_trans_start,MAX(i_W_floor,i_W_occ-i_W_dec*(H$3-i_trans_start)),i_W_occ)</f>
        <v/>
      </c>
      <c r="I497" s="21">
        <f>IF(I$3&gt;i_trans_start,MAX(i_W_floor,i_W_occ-i_W_dec*(I$3-i_trans_start)),i_W_occ)</f>
        <v/>
      </c>
      <c r="J497" s="21">
        <f>IF(J$3&gt;i_trans_start,MAX(i_W_floor,i_W_occ-i_W_dec*(J$3-i_trans_start)),i_W_occ)</f>
        <v/>
      </c>
      <c r="K497" s="21">
        <f>IF(K$3&gt;i_trans_start,MAX(i_W_floor,i_W_occ-i_W_dec*(K$3-i_trans_start)),i_W_occ)</f>
        <v/>
      </c>
      <c r="L497" s="21">
        <f>IF(L$3&gt;i_trans_start,MAX(i_W_floor,i_W_occ-i_W_dec*(L$3-i_trans_start)),i_W_occ)</f>
        <v/>
      </c>
      <c r="M497" s="21">
        <f>IF(M$3&gt;i_trans_start,MAX(i_W_floor,i_W_occ-i_W_dec*(M$3-i_trans_start)),i_W_occ)</f>
        <v/>
      </c>
      <c r="N497" s="21">
        <f>IF(N$3&gt;i_trans_start,MAX(i_W_floor,i_W_occ-i_W_dec*(N$3-i_trans_start)),i_W_occ)</f>
        <v/>
      </c>
      <c r="O497" s="21">
        <f>IF(O$3&gt;i_trans_start,MAX(i_W_floor,i_W_occ-i_W_dec*(O$3-i_trans_start)),i_W_occ)</f>
        <v/>
      </c>
      <c r="P497" s="21">
        <f>IF(P$3&gt;i_trans_start,MAX(i_W_floor,i_W_occ-i_W_dec*(P$3-i_trans_start)),i_W_occ)</f>
        <v/>
      </c>
      <c r="Q497" s="21">
        <f>IF(Q$3&gt;i_trans_start,MAX(i_W_floor,i_W_occ-i_W_dec*(Q$3-i_trans_start)),i_W_occ)</f>
        <v/>
      </c>
      <c r="R497" s="21">
        <f>IF(R$3&gt;i_trans_start,MAX(i_W_floor,i_W_occ-i_W_dec*(R$3-i_trans_start)),i_W_occ)</f>
        <v/>
      </c>
      <c r="S497" s="21">
        <f>IF(S$3&gt;i_trans_start,MAX(i_W_floor,i_W_occ-i_W_dec*(S$3-i_trans_start)),i_W_occ)</f>
        <v/>
      </c>
      <c r="T497" s="21">
        <f>IF(T$3&gt;i_trans_start,MAX(i_W_floor,i_W_occ-i_W_dec*(T$3-i_trans_start)),i_W_occ)</f>
        <v/>
      </c>
      <c r="U497" s="21">
        <f>IF(U$3&gt;i_trans_start,MAX(i_W_floor,i_W_occ-i_W_dec*(U$3-i_trans_start)),i_W_occ)</f>
        <v/>
      </c>
      <c r="V497" s="21">
        <f>IF(V$3&gt;i_trans_start,MAX(i_W_floor,i_W_occ-i_W_dec*(V$3-i_trans_start)),i_W_occ)</f>
        <v/>
      </c>
      <c r="W497" s="21">
        <f>IF(W$3&gt;i_trans_start,MAX(i_W_floor,i_W_occ-i_W_dec*(W$3-i_trans_start)),i_W_occ)</f>
        <v/>
      </c>
      <c r="X497" s="21">
        <f>IF(X$3&gt;i_trans_start,MAX(i_W_floor,i_W_occ-i_W_dec*(X$3-i_trans_start)),i_W_occ)</f>
        <v/>
      </c>
      <c r="Y497" s="21">
        <f>IF(Y$3&gt;i_trans_start,MAX(i_W_floor,i_W_occ-i_W_dec*(Y$3-i_trans_start)),i_W_occ)</f>
        <v/>
      </c>
      <c r="Z497" s="21">
        <f>IF(Z$3&gt;i_trans_start,MAX(i_W_floor,i_W_occ-i_W_dec*(Z$3-i_trans_start)),i_W_occ)</f>
        <v/>
      </c>
      <c r="AA497" s="21">
        <f>IF(AA$3&gt;i_trans_start,MAX(i_W_floor,i_W_occ-i_W_dec*(AA$3-i_trans_start)),i_W_occ)</f>
        <v/>
      </c>
      <c r="AB497" s="21">
        <f>IF(AB$3&gt;i_trans_start,MAX(i_W_floor,i_W_occ-i_W_dec*(AB$3-i_trans_start)),i_W_occ)</f>
        <v/>
      </c>
      <c r="AC497" s="21">
        <f>IF(AC$3&gt;i_trans_start,MAX(i_W_floor,i_W_occ-i_W_dec*(AC$3-i_trans_start)),i_W_occ)</f>
        <v/>
      </c>
      <c r="AD497" s="21">
        <f>IF(AD$3&gt;i_trans_start,MAX(i_W_floor,i_W_occ-i_W_dec*(AD$3-i_trans_start)),i_W_occ)</f>
        <v/>
      </c>
      <c r="AE497" s="21">
        <f>IF(AE$3&gt;i_trans_start,MAX(i_W_floor,i_W_occ-i_W_dec*(AE$3-i_trans_start)),i_W_occ)</f>
        <v/>
      </c>
      <c r="AF497" s="21">
        <f>IF(AF$3&gt;i_trans_start,MAX(i_W_floor,i_W_occ-i_W_dec*(AF$3-i_trans_start)),i_W_occ)</f>
        <v/>
      </c>
      <c r="AG497" s="21">
        <f>IF(AG$3&gt;i_trans_start,MAX(i_W_floor,i_W_occ-i_W_dec*(AG$3-i_trans_start)),i_W_occ)</f>
        <v/>
      </c>
      <c r="AH497" s="21">
        <f>IF(AH$3&gt;i_trans_start,MAX(i_W_floor,i_W_occ-i_W_dec*(AH$3-i_trans_start)),i_W_occ)</f>
        <v/>
      </c>
      <c r="AI497" s="21">
        <f>IF(AI$3&gt;i_trans_start,MAX(i_W_floor,i_W_occ-i_W_dec*(AI$3-i_trans_start)),i_W_occ)</f>
        <v/>
      </c>
    </row>
    <row r="498">
      <c r="B498" s="2" t="inlineStr">
        <is>
          <t xml:space="preserve">  Customer loss (points)</t>
        </is>
      </c>
      <c r="D498" s="21">
        <f>Diligence!$C$480*SUMIF(i_dip_years,D$3,i_dip_vals)</f>
        <v/>
      </c>
      <c r="E498" s="21">
        <f>Diligence!$C$480*SUMIF(i_dip_years,E$3,i_dip_vals)</f>
        <v/>
      </c>
      <c r="F498" s="21">
        <f>Diligence!$C$480*SUMIF(i_dip_years,F$3,i_dip_vals)</f>
        <v/>
      </c>
      <c r="G498" s="21">
        <f>Diligence!$C$480*SUMIF(i_dip_years,G$3,i_dip_vals)</f>
        <v/>
      </c>
      <c r="H498" s="21">
        <f>Diligence!$C$480*SUMIF(i_dip_years,H$3,i_dip_vals)</f>
        <v/>
      </c>
      <c r="I498" s="21">
        <f>Diligence!$C$480*SUMIF(i_dip_years,I$3,i_dip_vals)</f>
        <v/>
      </c>
      <c r="J498" s="21">
        <f>Diligence!$C$480*SUMIF(i_dip_years,J$3,i_dip_vals)</f>
        <v/>
      </c>
      <c r="K498" s="21">
        <f>Diligence!$C$480*SUMIF(i_dip_years,K$3,i_dip_vals)</f>
        <v/>
      </c>
      <c r="L498" s="21">
        <f>Diligence!$C$480*SUMIF(i_dip_years,L$3,i_dip_vals)</f>
        <v/>
      </c>
      <c r="M498" s="21">
        <f>Diligence!$C$480*SUMIF(i_dip_years,M$3,i_dip_vals)</f>
        <v/>
      </c>
      <c r="N498" s="21">
        <f>Diligence!$C$480*SUMIF(i_dip_years,N$3,i_dip_vals)</f>
        <v/>
      </c>
      <c r="O498" s="21">
        <f>Diligence!$C$480*SUMIF(i_dip_years,O$3,i_dip_vals)</f>
        <v/>
      </c>
      <c r="P498" s="21">
        <f>Diligence!$C$480*SUMIF(i_dip_years,P$3,i_dip_vals)</f>
        <v/>
      </c>
      <c r="Q498" s="21">
        <f>Diligence!$C$480*SUMIF(i_dip_years,Q$3,i_dip_vals)</f>
        <v/>
      </c>
      <c r="R498" s="21">
        <f>Diligence!$C$480*SUMIF(i_dip_years,R$3,i_dip_vals)</f>
        <v/>
      </c>
      <c r="S498" s="21">
        <f>Diligence!$C$480*SUMIF(i_dip_years,S$3,i_dip_vals)</f>
        <v/>
      </c>
      <c r="T498" s="21">
        <f>Diligence!$C$480*SUMIF(i_dip_years,T$3,i_dip_vals)</f>
        <v/>
      </c>
      <c r="U498" s="21">
        <f>Diligence!$C$480*SUMIF(i_dip_years,U$3,i_dip_vals)</f>
        <v/>
      </c>
      <c r="V498" s="21">
        <f>Diligence!$C$480*SUMIF(i_dip_years,V$3,i_dip_vals)</f>
        <v/>
      </c>
      <c r="W498" s="21">
        <f>Diligence!$C$480*SUMIF(i_dip_years,W$3,i_dip_vals)</f>
        <v/>
      </c>
      <c r="X498" s="21">
        <f>Diligence!$C$480*SUMIF(i_dip_years,X$3,i_dip_vals)</f>
        <v/>
      </c>
      <c r="Y498" s="21">
        <f>Diligence!$C$480*SUMIF(i_dip_years,Y$3,i_dip_vals)</f>
        <v/>
      </c>
      <c r="Z498" s="21">
        <f>Diligence!$C$480*SUMIF(i_dip_years,Z$3,i_dip_vals)</f>
        <v/>
      </c>
      <c r="AA498" s="21">
        <f>Diligence!$C$480*SUMIF(i_dip_years,AA$3,i_dip_vals)</f>
        <v/>
      </c>
      <c r="AB498" s="21">
        <f>Diligence!$C$480*SUMIF(i_dip_years,AB$3,i_dip_vals)</f>
        <v/>
      </c>
      <c r="AC498" s="21">
        <f>Diligence!$C$480*SUMIF(i_dip_years,AC$3,i_dip_vals)</f>
        <v/>
      </c>
      <c r="AD498" s="21">
        <f>Diligence!$C$480*SUMIF(i_dip_years,AD$3,i_dip_vals)</f>
        <v/>
      </c>
      <c r="AE498" s="21">
        <f>Diligence!$C$480*SUMIF(i_dip_years,AE$3,i_dip_vals)</f>
        <v/>
      </c>
      <c r="AF498" s="21">
        <f>Diligence!$C$480*SUMIF(i_dip_years,AF$3,i_dip_vals)</f>
        <v/>
      </c>
      <c r="AG498" s="21">
        <f>Diligence!$C$480*SUMIF(i_dip_years,AG$3,i_dip_vals)</f>
        <v/>
      </c>
      <c r="AH498" s="21">
        <f>Diligence!$C$480*SUMIF(i_dip_years,AH$3,i_dip_vals)</f>
        <v/>
      </c>
      <c r="AI498" s="21">
        <f>Diligence!$C$480*SUMIF(i_dip_years,AI$3,i_dip_vals)</f>
        <v/>
      </c>
    </row>
    <row r="499">
      <c r="B499" s="2" t="inlineStr">
        <is>
          <t xml:space="preserve">  Occupancy (with the shift switch from 2027)</t>
        </is>
      </c>
      <c r="D499" s="21">
        <f>IF(D$4&gt;0,MIN(1,D497-D498+Diligence!$C$484),D497-D498)</f>
        <v/>
      </c>
      <c r="E499" s="21">
        <f>IF(E$4&gt;0,MIN(1,E497-E498+Diligence!$C$484),E497-E498)</f>
        <v/>
      </c>
      <c r="F499" s="21">
        <f>IF(F$4&gt;0,MIN(1,F497-F498+Diligence!$C$484),F497-F498)</f>
        <v/>
      </c>
      <c r="G499" s="21">
        <f>IF(G$4&gt;0,MIN(1,G497-G498+Diligence!$C$484),G497-G498)</f>
        <v/>
      </c>
      <c r="H499" s="21">
        <f>IF(H$4&gt;0,MIN(1,H497-H498+Diligence!$C$484),H497-H498)</f>
        <v/>
      </c>
      <c r="I499" s="21">
        <f>IF(I$4&gt;0,MIN(1,I497-I498+Diligence!$C$484),I497-I498)</f>
        <v/>
      </c>
      <c r="J499" s="21">
        <f>IF(J$4&gt;0,MIN(1,J497-J498+Diligence!$C$484),J497-J498)</f>
        <v/>
      </c>
      <c r="K499" s="21">
        <f>IF(K$4&gt;0,MIN(1,K497-K498+Diligence!$C$484),K497-K498)</f>
        <v/>
      </c>
      <c r="L499" s="21">
        <f>IF(L$4&gt;0,MIN(1,L497-L498+Diligence!$C$484),L497-L498)</f>
        <v/>
      </c>
      <c r="M499" s="21">
        <f>IF(M$4&gt;0,MIN(1,M497-M498+Diligence!$C$484),M497-M498)</f>
        <v/>
      </c>
      <c r="N499" s="21">
        <f>IF(N$4&gt;0,MIN(1,N497-N498+Diligence!$C$484),N497-N498)</f>
        <v/>
      </c>
      <c r="O499" s="21">
        <f>IF(O$4&gt;0,MIN(1,O497-O498+Diligence!$C$484),O497-O498)</f>
        <v/>
      </c>
      <c r="P499" s="21">
        <f>IF(P$4&gt;0,MIN(1,P497-P498+Diligence!$C$484),P497-P498)</f>
        <v/>
      </c>
      <c r="Q499" s="21">
        <f>IF(Q$4&gt;0,MIN(1,Q497-Q498+Diligence!$C$484),Q497-Q498)</f>
        <v/>
      </c>
      <c r="R499" s="21">
        <f>IF(R$4&gt;0,MIN(1,R497-R498+Diligence!$C$484),R497-R498)</f>
        <v/>
      </c>
      <c r="S499" s="21">
        <f>IF(S$4&gt;0,MIN(1,S497-S498+Diligence!$C$484),S497-S498)</f>
        <v/>
      </c>
      <c r="T499" s="21">
        <f>IF(T$4&gt;0,MIN(1,T497-T498+Diligence!$C$484),T497-T498)</f>
        <v/>
      </c>
      <c r="U499" s="21">
        <f>IF(U$4&gt;0,MIN(1,U497-U498+Diligence!$C$484),U497-U498)</f>
        <v/>
      </c>
      <c r="V499" s="21">
        <f>IF(V$4&gt;0,MIN(1,V497-V498+Diligence!$C$484),V497-V498)</f>
        <v/>
      </c>
      <c r="W499" s="21">
        <f>IF(W$4&gt;0,MIN(1,W497-W498+Diligence!$C$484),W497-W498)</f>
        <v/>
      </c>
      <c r="X499" s="21">
        <f>IF(X$4&gt;0,MIN(1,X497-X498+Diligence!$C$484),X497-X498)</f>
        <v/>
      </c>
      <c r="Y499" s="21">
        <f>IF(Y$4&gt;0,MIN(1,Y497-Y498+Diligence!$C$484),Y497-Y498)</f>
        <v/>
      </c>
      <c r="Z499" s="21">
        <f>IF(Z$4&gt;0,MIN(1,Z497-Z498+Diligence!$C$484),Z497-Z498)</f>
        <v/>
      </c>
      <c r="AA499" s="21">
        <f>IF(AA$4&gt;0,MIN(1,AA497-AA498+Diligence!$C$484),AA497-AA498)</f>
        <v/>
      </c>
      <c r="AB499" s="21">
        <f>IF(AB$4&gt;0,MIN(1,AB497-AB498+Diligence!$C$484),AB497-AB498)</f>
        <v/>
      </c>
      <c r="AC499" s="21">
        <f>IF(AC$4&gt;0,MIN(1,AC497-AC498+Diligence!$C$484),AC497-AC498)</f>
        <v/>
      </c>
      <c r="AD499" s="21">
        <f>IF(AD$4&gt;0,MIN(1,AD497-AD498+Diligence!$C$484),AD497-AD498)</f>
        <v/>
      </c>
      <c r="AE499" s="21">
        <f>IF(AE$4&gt;0,MIN(1,AE497-AE498+Diligence!$C$484),AE497-AE498)</f>
        <v/>
      </c>
      <c r="AF499" s="21">
        <f>IF(AF$4&gt;0,MIN(1,AF497-AF498+Diligence!$C$484),AF497-AF498)</f>
        <v/>
      </c>
      <c r="AG499" s="21">
        <f>IF(AG$4&gt;0,MIN(1,AG497-AG498+Diligence!$C$484),AG497-AG498)</f>
        <v/>
      </c>
      <c r="AH499" s="21">
        <f>IF(AH$4&gt;0,MIN(1,AH497-AH498+Diligence!$C$484),AH497-AH498)</f>
        <v/>
      </c>
      <c r="AI499" s="21">
        <f>IF(AI$4&gt;0,MIN(1,AI497-AI498+Diligence!$C$484),AI497-AI498)</f>
        <v/>
      </c>
    </row>
    <row r="500">
      <c r="B500" s="2" t="inlineStr">
        <is>
          <t xml:space="preserve">  Storage revenue</t>
        </is>
      </c>
      <c r="D500" s="19">
        <f>D493*D496*12*D499</f>
        <v/>
      </c>
      <c r="E500" s="19">
        <f>E493*E496*12*E499</f>
        <v/>
      </c>
      <c r="F500" s="19">
        <f>F493*F496*12*F499</f>
        <v/>
      </c>
      <c r="G500" s="19">
        <f>G493*G496*12*G499</f>
        <v/>
      </c>
      <c r="H500" s="19">
        <f>H493*H496*12*H499</f>
        <v/>
      </c>
      <c r="I500" s="19">
        <f>I493*I496*12*I499</f>
        <v/>
      </c>
      <c r="J500" s="19">
        <f>J493*J496*12*J499</f>
        <v/>
      </c>
      <c r="K500" s="19">
        <f>K493*K496*12*K499</f>
        <v/>
      </c>
      <c r="L500" s="19">
        <f>L493*L496*12*L499</f>
        <v/>
      </c>
      <c r="M500" s="19">
        <f>M493*M496*12*M499</f>
        <v/>
      </c>
      <c r="N500" s="19">
        <f>N493*N496*12*N499</f>
        <v/>
      </c>
      <c r="O500" s="19">
        <f>O493*O496*12*O499</f>
        <v/>
      </c>
      <c r="P500" s="19">
        <f>P493*P496*12*P499</f>
        <v/>
      </c>
      <c r="Q500" s="19">
        <f>Q493*Q496*12*Q499</f>
        <v/>
      </c>
      <c r="R500" s="19">
        <f>R493*R496*12*R499</f>
        <v/>
      </c>
      <c r="S500" s="19">
        <f>S493*S496*12*S499</f>
        <v/>
      </c>
      <c r="T500" s="19">
        <f>T493*T496*12*T499</f>
        <v/>
      </c>
      <c r="U500" s="19">
        <f>U493*U496*12*U499</f>
        <v/>
      </c>
      <c r="V500" s="19">
        <f>V493*V496*12*V499</f>
        <v/>
      </c>
      <c r="W500" s="19">
        <f>W493*W496*12*W499</f>
        <v/>
      </c>
      <c r="X500" s="19">
        <f>X493*X496*12*X499</f>
        <v/>
      </c>
      <c r="Y500" s="19">
        <f>Y493*Y496*12*Y499</f>
        <v/>
      </c>
      <c r="Z500" s="19">
        <f>Z493*Z496*12*Z499</f>
        <v/>
      </c>
      <c r="AA500" s="19">
        <f>AA493*AA496*12*AA499</f>
        <v/>
      </c>
      <c r="AB500" s="19">
        <f>AB493*AB496*12*AB499</f>
        <v/>
      </c>
      <c r="AC500" s="19">
        <f>AC493*AC496*12*AC499</f>
        <v/>
      </c>
      <c r="AD500" s="19">
        <f>AD493*AD496*12*AD499</f>
        <v/>
      </c>
      <c r="AE500" s="19">
        <f>AE493*AE496*12*AE499</f>
        <v/>
      </c>
      <c r="AF500" s="19">
        <f>AF493*AF496*12*AF499</f>
        <v/>
      </c>
      <c r="AG500" s="19">
        <f>AG493*AG496*12*AG499</f>
        <v/>
      </c>
      <c r="AH500" s="19">
        <f>AH493*AH496*12*AH499</f>
        <v/>
      </c>
      <c r="AI500" s="19">
        <f>AI493*AI496*12*AI499</f>
        <v/>
      </c>
    </row>
    <row r="501">
      <c r="B501" s="2" t="inlineStr">
        <is>
          <t xml:space="preserve">  Ancillary and throughput revenue</t>
        </is>
      </c>
      <c r="D501" s="19">
        <f>D500*i_W_anc</f>
        <v/>
      </c>
      <c r="E501" s="19">
        <f>E500*i_W_anc</f>
        <v/>
      </c>
      <c r="F501" s="19">
        <f>F500*i_W_anc</f>
        <v/>
      </c>
      <c r="G501" s="19">
        <f>G500*i_W_anc</f>
        <v/>
      </c>
      <c r="H501" s="19">
        <f>H500*i_W_anc</f>
        <v/>
      </c>
      <c r="I501" s="19">
        <f>I500*i_W_anc</f>
        <v/>
      </c>
      <c r="J501" s="19">
        <f>J500*i_W_anc</f>
        <v/>
      </c>
      <c r="K501" s="19">
        <f>K500*i_W_anc</f>
        <v/>
      </c>
      <c r="L501" s="19">
        <f>L500*i_W_anc</f>
        <v/>
      </c>
      <c r="M501" s="19">
        <f>M500*i_W_anc</f>
        <v/>
      </c>
      <c r="N501" s="19">
        <f>N500*i_W_anc</f>
        <v/>
      </c>
      <c r="O501" s="19">
        <f>O500*i_W_anc</f>
        <v/>
      </c>
      <c r="P501" s="19">
        <f>P500*i_W_anc</f>
        <v/>
      </c>
      <c r="Q501" s="19">
        <f>Q500*i_W_anc</f>
        <v/>
      </c>
      <c r="R501" s="19">
        <f>R500*i_W_anc</f>
        <v/>
      </c>
      <c r="S501" s="19">
        <f>S500*i_W_anc</f>
        <v/>
      </c>
      <c r="T501" s="19">
        <f>T500*i_W_anc</f>
        <v/>
      </c>
      <c r="U501" s="19">
        <f>U500*i_W_anc</f>
        <v/>
      </c>
      <c r="V501" s="19">
        <f>V500*i_W_anc</f>
        <v/>
      </c>
      <c r="W501" s="19">
        <f>W500*i_W_anc</f>
        <v/>
      </c>
      <c r="X501" s="19">
        <f>X500*i_W_anc</f>
        <v/>
      </c>
      <c r="Y501" s="19">
        <f>Y500*i_W_anc</f>
        <v/>
      </c>
      <c r="Z501" s="19">
        <f>Z500*i_W_anc</f>
        <v/>
      </c>
      <c r="AA501" s="19">
        <f>AA500*i_W_anc</f>
        <v/>
      </c>
      <c r="AB501" s="19">
        <f>AB500*i_W_anc</f>
        <v/>
      </c>
      <c r="AC501" s="19">
        <f>AC500*i_W_anc</f>
        <v/>
      </c>
      <c r="AD501" s="19">
        <f>AD500*i_W_anc</f>
        <v/>
      </c>
      <c r="AE501" s="19">
        <f>AE500*i_W_anc</f>
        <v/>
      </c>
      <c r="AF501" s="19">
        <f>AF500*i_W_anc</f>
        <v/>
      </c>
      <c r="AG501" s="19">
        <f>AG500*i_W_anc</f>
        <v/>
      </c>
      <c r="AH501" s="19">
        <f>AH500*i_W_anc</f>
        <v/>
      </c>
      <c r="AI501" s="19">
        <f>AI500*i_W_anc</f>
        <v/>
      </c>
    </row>
    <row r="502">
      <c r="B502" s="3" t="inlineStr">
        <is>
          <t xml:space="preserve">  Revenue</t>
        </is>
      </c>
      <c r="D502" s="31">
        <f>D500+D501</f>
        <v/>
      </c>
      <c r="E502" s="31">
        <f>E500+E501</f>
        <v/>
      </c>
      <c r="F502" s="31">
        <f>F500+F501</f>
        <v/>
      </c>
      <c r="G502" s="31">
        <f>G500+G501</f>
        <v/>
      </c>
      <c r="H502" s="31">
        <f>H500+H501</f>
        <v/>
      </c>
      <c r="I502" s="31">
        <f>I500+I501</f>
        <v/>
      </c>
      <c r="J502" s="31">
        <f>J500+J501</f>
        <v/>
      </c>
      <c r="K502" s="31">
        <f>K500+K501</f>
        <v/>
      </c>
      <c r="L502" s="31">
        <f>L500+L501</f>
        <v/>
      </c>
      <c r="M502" s="31">
        <f>M500+M501</f>
        <v/>
      </c>
      <c r="N502" s="31">
        <f>N500+N501</f>
        <v/>
      </c>
      <c r="O502" s="31">
        <f>O500+O501</f>
        <v/>
      </c>
      <c r="P502" s="31">
        <f>P500+P501</f>
        <v/>
      </c>
      <c r="Q502" s="31">
        <f>Q500+Q501</f>
        <v/>
      </c>
      <c r="R502" s="31">
        <f>R500+R501</f>
        <v/>
      </c>
      <c r="S502" s="31">
        <f>S500+S501</f>
        <v/>
      </c>
      <c r="T502" s="31">
        <f>T500+T501</f>
        <v/>
      </c>
      <c r="U502" s="31">
        <f>U500+U501</f>
        <v/>
      </c>
      <c r="V502" s="31">
        <f>V500+V501</f>
        <v/>
      </c>
      <c r="W502" s="31">
        <f>W500+W501</f>
        <v/>
      </c>
      <c r="X502" s="31">
        <f>X500+X501</f>
        <v/>
      </c>
      <c r="Y502" s="31">
        <f>Y500+Y501</f>
        <v/>
      </c>
      <c r="Z502" s="31">
        <f>Z500+Z501</f>
        <v/>
      </c>
      <c r="AA502" s="31">
        <f>AA500+AA501</f>
        <v/>
      </c>
      <c r="AB502" s="31">
        <f>AB500+AB501</f>
        <v/>
      </c>
      <c r="AC502" s="31">
        <f>AC500+AC501</f>
        <v/>
      </c>
      <c r="AD502" s="31">
        <f>AD500+AD501</f>
        <v/>
      </c>
      <c r="AE502" s="31">
        <f>AE500+AE501</f>
        <v/>
      </c>
      <c r="AF502" s="31">
        <f>AF500+AF501</f>
        <v/>
      </c>
      <c r="AG502" s="31">
        <f>AG500+AG501</f>
        <v/>
      </c>
      <c r="AH502" s="31">
        <f>AH500+AH501</f>
        <v/>
      </c>
      <c r="AI502" s="31">
        <f>AI500+AI501</f>
        <v/>
      </c>
    </row>
    <row r="503">
      <c r="B503" s="2" t="inlineStr">
        <is>
          <t xml:space="preserve">  Fixed cost</t>
        </is>
      </c>
      <c r="D503" s="19">
        <f>D493*i_W_fix*D489</f>
        <v/>
      </c>
      <c r="E503" s="19">
        <f>E493*i_W_fix*E489</f>
        <v/>
      </c>
      <c r="F503" s="19">
        <f>F493*i_W_fix*F489</f>
        <v/>
      </c>
      <c r="G503" s="19">
        <f>G493*i_W_fix*G489</f>
        <v/>
      </c>
      <c r="H503" s="19">
        <f>H493*i_W_fix*H489</f>
        <v/>
      </c>
      <c r="I503" s="19">
        <f>I493*i_W_fix*I489</f>
        <v/>
      </c>
      <c r="J503" s="19">
        <f>J493*i_W_fix*J489</f>
        <v/>
      </c>
      <c r="K503" s="19">
        <f>K493*i_W_fix*K489</f>
        <v/>
      </c>
      <c r="L503" s="19">
        <f>L493*i_W_fix*L489</f>
        <v/>
      </c>
      <c r="M503" s="19">
        <f>M493*i_W_fix*M489</f>
        <v/>
      </c>
      <c r="N503" s="19">
        <f>N493*i_W_fix*N489</f>
        <v/>
      </c>
      <c r="O503" s="19">
        <f>O493*i_W_fix*O489</f>
        <v/>
      </c>
      <c r="P503" s="19">
        <f>P493*i_W_fix*P489</f>
        <v/>
      </c>
      <c r="Q503" s="19">
        <f>Q493*i_W_fix*Q489</f>
        <v/>
      </c>
      <c r="R503" s="19">
        <f>R493*i_W_fix*R489</f>
        <v/>
      </c>
      <c r="S503" s="19">
        <f>S493*i_W_fix*S489</f>
        <v/>
      </c>
      <c r="T503" s="19">
        <f>T493*i_W_fix*T489</f>
        <v/>
      </c>
      <c r="U503" s="19">
        <f>U493*i_W_fix*U489</f>
        <v/>
      </c>
      <c r="V503" s="19">
        <f>V493*i_W_fix*V489</f>
        <v/>
      </c>
      <c r="W503" s="19">
        <f>W493*i_W_fix*W489</f>
        <v/>
      </c>
      <c r="X503" s="19">
        <f>X493*i_W_fix*X489</f>
        <v/>
      </c>
      <c r="Y503" s="19">
        <f>Y493*i_W_fix*Y489</f>
        <v/>
      </c>
      <c r="Z503" s="19">
        <f>Z493*i_W_fix*Z489</f>
        <v/>
      </c>
      <c r="AA503" s="19">
        <f>AA493*i_W_fix*AA489</f>
        <v/>
      </c>
      <c r="AB503" s="19">
        <f>AB493*i_W_fix*AB489</f>
        <v/>
      </c>
      <c r="AC503" s="19">
        <f>AC493*i_W_fix*AC489</f>
        <v/>
      </c>
      <c r="AD503" s="19">
        <f>AD493*i_W_fix*AD489</f>
        <v/>
      </c>
      <c r="AE503" s="19">
        <f>AE493*i_W_fix*AE489</f>
        <v/>
      </c>
      <c r="AF503" s="19">
        <f>AF493*i_W_fix*AF489</f>
        <v/>
      </c>
      <c r="AG503" s="19">
        <f>AG493*i_W_fix*AG489</f>
        <v/>
      </c>
      <c r="AH503" s="19">
        <f>AH493*i_W_fix*AH489</f>
        <v/>
      </c>
      <c r="AI503" s="19">
        <f>AI493*i_W_fix*AI489</f>
        <v/>
      </c>
    </row>
    <row r="504">
      <c r="B504" s="2" t="inlineStr">
        <is>
          <t xml:space="preserve">  Variable cost</t>
        </is>
      </c>
      <c r="D504" s="19">
        <f>i_W_var*D502</f>
        <v/>
      </c>
      <c r="E504" s="19">
        <f>i_W_var*E502</f>
        <v/>
      </c>
      <c r="F504" s="19">
        <f>i_W_var*F502</f>
        <v/>
      </c>
      <c r="G504" s="19">
        <f>i_W_var*G502</f>
        <v/>
      </c>
      <c r="H504" s="19">
        <f>i_W_var*H502</f>
        <v/>
      </c>
      <c r="I504" s="19">
        <f>i_W_var*I502</f>
        <v/>
      </c>
      <c r="J504" s="19">
        <f>i_W_var*J502</f>
        <v/>
      </c>
      <c r="K504" s="19">
        <f>i_W_var*K502</f>
        <v/>
      </c>
      <c r="L504" s="19">
        <f>i_W_var*L502</f>
        <v/>
      </c>
      <c r="M504" s="19">
        <f>i_W_var*M502</f>
        <v/>
      </c>
      <c r="N504" s="19">
        <f>i_W_var*N502</f>
        <v/>
      </c>
      <c r="O504" s="19">
        <f>i_W_var*O502</f>
        <v/>
      </c>
      <c r="P504" s="19">
        <f>i_W_var*P502</f>
        <v/>
      </c>
      <c r="Q504" s="19">
        <f>i_W_var*Q502</f>
        <v/>
      </c>
      <c r="R504" s="19">
        <f>i_W_var*R502</f>
        <v/>
      </c>
      <c r="S504" s="19">
        <f>i_W_var*S502</f>
        <v/>
      </c>
      <c r="T504" s="19">
        <f>i_W_var*T502</f>
        <v/>
      </c>
      <c r="U504" s="19">
        <f>i_W_var*U502</f>
        <v/>
      </c>
      <c r="V504" s="19">
        <f>i_W_var*V502</f>
        <v/>
      </c>
      <c r="W504" s="19">
        <f>i_W_var*W502</f>
        <v/>
      </c>
      <c r="X504" s="19">
        <f>i_W_var*X502</f>
        <v/>
      </c>
      <c r="Y504" s="19">
        <f>i_W_var*Y502</f>
        <v/>
      </c>
      <c r="Z504" s="19">
        <f>i_W_var*Z502</f>
        <v/>
      </c>
      <c r="AA504" s="19">
        <f>i_W_var*AA502</f>
        <v/>
      </c>
      <c r="AB504" s="19">
        <f>i_W_var*AB502</f>
        <v/>
      </c>
      <c r="AC504" s="19">
        <f>i_W_var*AC502</f>
        <v/>
      </c>
      <c r="AD504" s="19">
        <f>i_W_var*AD502</f>
        <v/>
      </c>
      <c r="AE504" s="19">
        <f>i_W_var*AE502</f>
        <v/>
      </c>
      <c r="AF504" s="19">
        <f>i_W_var*AF502</f>
        <v/>
      </c>
      <c r="AG504" s="19">
        <f>i_W_var*AG502</f>
        <v/>
      </c>
      <c r="AH504" s="19">
        <f>i_W_var*AH502</f>
        <v/>
      </c>
      <c r="AI504" s="19">
        <f>i_W_var*AI502</f>
        <v/>
      </c>
    </row>
    <row r="505">
      <c r="B505" s="2" t="inlineStr">
        <is>
          <t xml:space="preserve">  Concession fee</t>
        </is>
      </c>
      <c r="D505" s="19">
        <f>IF(AND(Diligence!$C$486=1,D$3&gt;i_conc_end),i_renew_fee,i_W_fee)*D502</f>
        <v/>
      </c>
      <c r="E505" s="19">
        <f>IF(AND(Diligence!$C$486=1,E$3&gt;i_conc_end),i_renew_fee,i_W_fee)*E502</f>
        <v/>
      </c>
      <c r="F505" s="19">
        <f>IF(AND(Diligence!$C$486=1,F$3&gt;i_conc_end),i_renew_fee,i_W_fee)*F502</f>
        <v/>
      </c>
      <c r="G505" s="19">
        <f>IF(AND(Diligence!$C$486=1,G$3&gt;i_conc_end),i_renew_fee,i_W_fee)*G502</f>
        <v/>
      </c>
      <c r="H505" s="19">
        <f>IF(AND(Diligence!$C$486=1,H$3&gt;i_conc_end),i_renew_fee,i_W_fee)*H502</f>
        <v/>
      </c>
      <c r="I505" s="19">
        <f>IF(AND(Diligence!$C$486=1,I$3&gt;i_conc_end),i_renew_fee,i_W_fee)*I502</f>
        <v/>
      </c>
      <c r="J505" s="19">
        <f>IF(AND(Diligence!$C$486=1,J$3&gt;i_conc_end),i_renew_fee,i_W_fee)*J502</f>
        <v/>
      </c>
      <c r="K505" s="19">
        <f>IF(AND(Diligence!$C$486=1,K$3&gt;i_conc_end),i_renew_fee,i_W_fee)*K502</f>
        <v/>
      </c>
      <c r="L505" s="19">
        <f>IF(AND(Diligence!$C$486=1,L$3&gt;i_conc_end),i_renew_fee,i_W_fee)*L502</f>
        <v/>
      </c>
      <c r="M505" s="19">
        <f>IF(AND(Diligence!$C$486=1,M$3&gt;i_conc_end),i_renew_fee,i_W_fee)*M502</f>
        <v/>
      </c>
      <c r="N505" s="19">
        <f>IF(AND(Diligence!$C$486=1,N$3&gt;i_conc_end),i_renew_fee,i_W_fee)*N502</f>
        <v/>
      </c>
      <c r="O505" s="19">
        <f>IF(AND(Diligence!$C$486=1,O$3&gt;i_conc_end),i_renew_fee,i_W_fee)*O502</f>
        <v/>
      </c>
      <c r="P505" s="19">
        <f>IF(AND(Diligence!$C$486=1,P$3&gt;i_conc_end),i_renew_fee,i_W_fee)*P502</f>
        <v/>
      </c>
      <c r="Q505" s="19">
        <f>IF(AND(Diligence!$C$486=1,Q$3&gt;i_conc_end),i_renew_fee,i_W_fee)*Q502</f>
        <v/>
      </c>
      <c r="R505" s="19">
        <f>IF(AND(Diligence!$C$486=1,R$3&gt;i_conc_end),i_renew_fee,i_W_fee)*R502</f>
        <v/>
      </c>
      <c r="S505" s="19">
        <f>IF(AND(Diligence!$C$486=1,S$3&gt;i_conc_end),i_renew_fee,i_W_fee)*S502</f>
        <v/>
      </c>
      <c r="T505" s="19">
        <f>IF(AND(Diligence!$C$486=1,T$3&gt;i_conc_end),i_renew_fee,i_W_fee)*T502</f>
        <v/>
      </c>
      <c r="U505" s="19">
        <f>IF(AND(Diligence!$C$486=1,U$3&gt;i_conc_end),i_renew_fee,i_W_fee)*U502</f>
        <v/>
      </c>
      <c r="V505" s="19">
        <f>IF(AND(Diligence!$C$486=1,V$3&gt;i_conc_end),i_renew_fee,i_W_fee)*V502</f>
        <v/>
      </c>
      <c r="W505" s="19">
        <f>IF(AND(Diligence!$C$486=1,W$3&gt;i_conc_end),i_renew_fee,i_W_fee)*W502</f>
        <v/>
      </c>
      <c r="X505" s="19">
        <f>IF(AND(Diligence!$C$486=1,X$3&gt;i_conc_end),i_renew_fee,i_W_fee)*X502</f>
        <v/>
      </c>
      <c r="Y505" s="19">
        <f>IF(AND(Diligence!$C$486=1,Y$3&gt;i_conc_end),i_renew_fee,i_W_fee)*Y502</f>
        <v/>
      </c>
      <c r="Z505" s="19">
        <f>IF(AND(Diligence!$C$486=1,Z$3&gt;i_conc_end),i_renew_fee,i_W_fee)*Z502</f>
        <v/>
      </c>
      <c r="AA505" s="19">
        <f>IF(AND(Diligence!$C$486=1,AA$3&gt;i_conc_end),i_renew_fee,i_W_fee)*AA502</f>
        <v/>
      </c>
      <c r="AB505" s="19">
        <f>IF(AND(Diligence!$C$486=1,AB$3&gt;i_conc_end),i_renew_fee,i_W_fee)*AB502</f>
        <v/>
      </c>
      <c r="AC505" s="19">
        <f>IF(AND(Diligence!$C$486=1,AC$3&gt;i_conc_end),i_renew_fee,i_W_fee)*AC502</f>
        <v/>
      </c>
      <c r="AD505" s="19">
        <f>IF(AND(Diligence!$C$486=1,AD$3&gt;i_conc_end),i_renew_fee,i_W_fee)*AD502</f>
        <v/>
      </c>
      <c r="AE505" s="19">
        <f>IF(AND(Diligence!$C$486=1,AE$3&gt;i_conc_end),i_renew_fee,i_W_fee)*AE502</f>
        <v/>
      </c>
      <c r="AF505" s="19">
        <f>IF(AND(Diligence!$C$486=1,AF$3&gt;i_conc_end),i_renew_fee,i_W_fee)*AF502</f>
        <v/>
      </c>
      <c r="AG505" s="19">
        <f>IF(AND(Diligence!$C$486=1,AG$3&gt;i_conc_end),i_renew_fee,i_W_fee)*AG502</f>
        <v/>
      </c>
      <c r="AH505" s="19">
        <f>IF(AND(Diligence!$C$486=1,AH$3&gt;i_conc_end),i_renew_fee,i_W_fee)*AH502</f>
        <v/>
      </c>
      <c r="AI505" s="19">
        <f>IF(AND(Diligence!$C$486=1,AI$3&gt;i_conc_end),i_renew_fee,i_W_fee)*AI502</f>
        <v/>
      </c>
    </row>
    <row r="506">
      <c r="B506" s="2" t="inlineStr">
        <is>
          <t xml:space="preserve">  Operating cost</t>
        </is>
      </c>
      <c r="D506" s="19">
        <f>D503+D504+D505</f>
        <v/>
      </c>
      <c r="E506" s="19">
        <f>E503+E504+E505</f>
        <v/>
      </c>
      <c r="F506" s="19">
        <f>F503+F504+F505</f>
        <v/>
      </c>
      <c r="G506" s="19">
        <f>G503+G504+G505</f>
        <v/>
      </c>
      <c r="H506" s="19">
        <f>H503+H504+H505</f>
        <v/>
      </c>
      <c r="I506" s="19">
        <f>I503+I504+I505</f>
        <v/>
      </c>
      <c r="J506" s="19">
        <f>J503+J504+J505</f>
        <v/>
      </c>
      <c r="K506" s="19">
        <f>K503+K504+K505</f>
        <v/>
      </c>
      <c r="L506" s="19">
        <f>L503+L504+L505</f>
        <v/>
      </c>
      <c r="M506" s="19">
        <f>M503+M504+M505</f>
        <v/>
      </c>
      <c r="N506" s="19">
        <f>N503+N504+N505</f>
        <v/>
      </c>
      <c r="O506" s="19">
        <f>O503+O504+O505</f>
        <v/>
      </c>
      <c r="P506" s="19">
        <f>P503+P504+P505</f>
        <v/>
      </c>
      <c r="Q506" s="19">
        <f>Q503+Q504+Q505</f>
        <v/>
      </c>
      <c r="R506" s="19">
        <f>R503+R504+R505</f>
        <v/>
      </c>
      <c r="S506" s="19">
        <f>S503+S504+S505</f>
        <v/>
      </c>
      <c r="T506" s="19">
        <f>T503+T504+T505</f>
        <v/>
      </c>
      <c r="U506" s="19">
        <f>U503+U504+U505</f>
        <v/>
      </c>
      <c r="V506" s="19">
        <f>V503+V504+V505</f>
        <v/>
      </c>
      <c r="W506" s="19">
        <f>W503+W504+W505</f>
        <v/>
      </c>
      <c r="X506" s="19">
        <f>X503+X504+X505</f>
        <v/>
      </c>
      <c r="Y506" s="19">
        <f>Y503+Y504+Y505</f>
        <v/>
      </c>
      <c r="Z506" s="19">
        <f>Z503+Z504+Z505</f>
        <v/>
      </c>
      <c r="AA506" s="19">
        <f>AA503+AA504+AA505</f>
        <v/>
      </c>
      <c r="AB506" s="19">
        <f>AB503+AB504+AB505</f>
        <v/>
      </c>
      <c r="AC506" s="19">
        <f>AC503+AC504+AC505</f>
        <v/>
      </c>
      <c r="AD506" s="19">
        <f>AD503+AD504+AD505</f>
        <v/>
      </c>
      <c r="AE506" s="19">
        <f>AE503+AE504+AE505</f>
        <v/>
      </c>
      <c r="AF506" s="19">
        <f>AF503+AF504+AF505</f>
        <v/>
      </c>
      <c r="AG506" s="19">
        <f>AG503+AG504+AG505</f>
        <v/>
      </c>
      <c r="AH506" s="19">
        <f>AH503+AH504+AH505</f>
        <v/>
      </c>
      <c r="AI506" s="19">
        <f>AI503+AI504+AI505</f>
        <v/>
      </c>
    </row>
    <row r="507">
      <c r="B507" s="3" t="inlineStr">
        <is>
          <t xml:space="preserve">  EBITDA</t>
        </is>
      </c>
      <c r="D507" s="31">
        <f>D502-D506</f>
        <v/>
      </c>
      <c r="E507" s="31">
        <f>E502-E506</f>
        <v/>
      </c>
      <c r="F507" s="31">
        <f>F502-F506</f>
        <v/>
      </c>
      <c r="G507" s="31">
        <f>G502-G506</f>
        <v/>
      </c>
      <c r="H507" s="31">
        <f>H502-H506</f>
        <v/>
      </c>
      <c r="I507" s="31">
        <f>I502-I506</f>
        <v/>
      </c>
      <c r="J507" s="31">
        <f>J502-J506</f>
        <v/>
      </c>
      <c r="K507" s="31">
        <f>K502-K506</f>
        <v/>
      </c>
      <c r="L507" s="31">
        <f>L502-L506</f>
        <v/>
      </c>
      <c r="M507" s="31">
        <f>M502-M506</f>
        <v/>
      </c>
      <c r="N507" s="31">
        <f>N502-N506</f>
        <v/>
      </c>
      <c r="O507" s="31">
        <f>O502-O506</f>
        <v/>
      </c>
      <c r="P507" s="31">
        <f>P502-P506</f>
        <v/>
      </c>
      <c r="Q507" s="31">
        <f>Q502-Q506</f>
        <v/>
      </c>
      <c r="R507" s="31">
        <f>R502-R506</f>
        <v/>
      </c>
      <c r="S507" s="31">
        <f>S502-S506</f>
        <v/>
      </c>
      <c r="T507" s="31">
        <f>T502-T506</f>
        <v/>
      </c>
      <c r="U507" s="31">
        <f>U502-U506</f>
        <v/>
      </c>
      <c r="V507" s="31">
        <f>V502-V506</f>
        <v/>
      </c>
      <c r="W507" s="31">
        <f>W502-W506</f>
        <v/>
      </c>
      <c r="X507" s="31">
        <f>X502-X506</f>
        <v/>
      </c>
      <c r="Y507" s="31">
        <f>Y502-Y506</f>
        <v/>
      </c>
      <c r="Z507" s="31">
        <f>Z502-Z506</f>
        <v/>
      </c>
      <c r="AA507" s="31">
        <f>AA502-AA506</f>
        <v/>
      </c>
      <c r="AB507" s="31">
        <f>AB502-AB506</f>
        <v/>
      </c>
      <c r="AC507" s="31">
        <f>AC502-AC506</f>
        <v/>
      </c>
      <c r="AD507" s="31">
        <f>AD502-AD506</f>
        <v/>
      </c>
      <c r="AE507" s="31">
        <f>AE502-AE506</f>
        <v/>
      </c>
      <c r="AF507" s="31">
        <f>AF502-AF506</f>
        <v/>
      </c>
      <c r="AG507" s="31">
        <f>AG502-AG506</f>
        <v/>
      </c>
      <c r="AH507" s="31">
        <f>AH502-AH506</f>
        <v/>
      </c>
      <c r="AI507" s="31">
        <f>AI502-AI506</f>
        <v/>
      </c>
    </row>
    <row r="508">
      <c r="B508" s="2" t="inlineStr">
        <is>
          <t xml:space="preserve">  Maintenance capex (with jetty 3)</t>
        </is>
      </c>
      <c r="D508" s="19">
        <f>D493*i_W_mc*D489+D492*Diligence!$C$481*SUMIF(i_jetty_years,D$3,i_jetty_vals)*D489</f>
        <v/>
      </c>
      <c r="E508" s="19">
        <f>E493*i_W_mc*E489+E492*Diligence!$C$481*SUMIF(i_jetty_years,E$3,i_jetty_vals)*E489</f>
        <v/>
      </c>
      <c r="F508" s="19">
        <f>F493*i_W_mc*F489+F492*Diligence!$C$481*SUMIF(i_jetty_years,F$3,i_jetty_vals)*F489</f>
        <v/>
      </c>
      <c r="G508" s="19">
        <f>G493*i_W_mc*G489+G492*Diligence!$C$481*SUMIF(i_jetty_years,G$3,i_jetty_vals)*G489</f>
        <v/>
      </c>
      <c r="H508" s="19">
        <f>H493*i_W_mc*H489+H492*Diligence!$C$481*SUMIF(i_jetty_years,H$3,i_jetty_vals)*H489</f>
        <v/>
      </c>
      <c r="I508" s="19">
        <f>I493*i_W_mc*I489+I492*Diligence!$C$481*SUMIF(i_jetty_years,I$3,i_jetty_vals)*I489</f>
        <v/>
      </c>
      <c r="J508" s="19">
        <f>J493*i_W_mc*J489+J492*Diligence!$C$481*SUMIF(i_jetty_years,J$3,i_jetty_vals)*J489</f>
        <v/>
      </c>
      <c r="K508" s="19">
        <f>K493*i_W_mc*K489+K492*Diligence!$C$481*SUMIF(i_jetty_years,K$3,i_jetty_vals)*K489</f>
        <v/>
      </c>
      <c r="L508" s="19">
        <f>L493*i_W_mc*L489+L492*Diligence!$C$481*SUMIF(i_jetty_years,L$3,i_jetty_vals)*L489</f>
        <v/>
      </c>
      <c r="M508" s="19">
        <f>M493*i_W_mc*M489+M492*Diligence!$C$481*SUMIF(i_jetty_years,M$3,i_jetty_vals)*M489</f>
        <v/>
      </c>
      <c r="N508" s="19">
        <f>N493*i_W_mc*N489+N492*Diligence!$C$481*SUMIF(i_jetty_years,N$3,i_jetty_vals)*N489</f>
        <v/>
      </c>
      <c r="O508" s="19">
        <f>O493*i_W_mc*O489+O492*Diligence!$C$481*SUMIF(i_jetty_years,O$3,i_jetty_vals)*O489</f>
        <v/>
      </c>
      <c r="P508" s="19">
        <f>P493*i_W_mc*P489+P492*Diligence!$C$481*SUMIF(i_jetty_years,P$3,i_jetty_vals)*P489</f>
        <v/>
      </c>
      <c r="Q508" s="19">
        <f>Q493*i_W_mc*Q489+Q492*Diligence!$C$481*SUMIF(i_jetty_years,Q$3,i_jetty_vals)*Q489</f>
        <v/>
      </c>
      <c r="R508" s="19">
        <f>R493*i_W_mc*R489+R492*Diligence!$C$481*SUMIF(i_jetty_years,R$3,i_jetty_vals)*R489</f>
        <v/>
      </c>
      <c r="S508" s="19">
        <f>S493*i_W_mc*S489+S492*Diligence!$C$481*SUMIF(i_jetty_years,S$3,i_jetty_vals)*S489</f>
        <v/>
      </c>
      <c r="T508" s="19">
        <f>T493*i_W_mc*T489+T492*Diligence!$C$481*SUMIF(i_jetty_years,T$3,i_jetty_vals)*T489</f>
        <v/>
      </c>
      <c r="U508" s="19">
        <f>U493*i_W_mc*U489+U492*Diligence!$C$481*SUMIF(i_jetty_years,U$3,i_jetty_vals)*U489</f>
        <v/>
      </c>
      <c r="V508" s="19">
        <f>V493*i_W_mc*V489+V492*Diligence!$C$481*SUMIF(i_jetty_years,V$3,i_jetty_vals)*V489</f>
        <v/>
      </c>
      <c r="W508" s="19">
        <f>W493*i_W_mc*W489+W492*Diligence!$C$481*SUMIF(i_jetty_years,W$3,i_jetty_vals)*W489</f>
        <v/>
      </c>
      <c r="X508" s="19">
        <f>X493*i_W_mc*X489+X492*Diligence!$C$481*SUMIF(i_jetty_years,X$3,i_jetty_vals)*X489</f>
        <v/>
      </c>
      <c r="Y508" s="19">
        <f>Y493*i_W_mc*Y489+Y492*Diligence!$C$481*SUMIF(i_jetty_years,Y$3,i_jetty_vals)*Y489</f>
        <v/>
      </c>
      <c r="Z508" s="19">
        <f>Z493*i_W_mc*Z489+Z492*Diligence!$C$481*SUMIF(i_jetty_years,Z$3,i_jetty_vals)*Z489</f>
        <v/>
      </c>
      <c r="AA508" s="19">
        <f>AA493*i_W_mc*AA489+AA492*Diligence!$C$481*SUMIF(i_jetty_years,AA$3,i_jetty_vals)*AA489</f>
        <v/>
      </c>
      <c r="AB508" s="19">
        <f>AB493*i_W_mc*AB489+AB492*Diligence!$C$481*SUMIF(i_jetty_years,AB$3,i_jetty_vals)*AB489</f>
        <v/>
      </c>
      <c r="AC508" s="19">
        <f>AC493*i_W_mc*AC489+AC492*Diligence!$C$481*SUMIF(i_jetty_years,AC$3,i_jetty_vals)*AC489</f>
        <v/>
      </c>
      <c r="AD508" s="19">
        <f>AD493*i_W_mc*AD489+AD492*Diligence!$C$481*SUMIF(i_jetty_years,AD$3,i_jetty_vals)*AD489</f>
        <v/>
      </c>
      <c r="AE508" s="19">
        <f>AE493*i_W_mc*AE489+AE492*Diligence!$C$481*SUMIF(i_jetty_years,AE$3,i_jetty_vals)*AE489</f>
        <v/>
      </c>
      <c r="AF508" s="19">
        <f>AF493*i_W_mc*AF489+AF492*Diligence!$C$481*SUMIF(i_jetty_years,AF$3,i_jetty_vals)*AF489</f>
        <v/>
      </c>
      <c r="AG508" s="19">
        <f>AG493*i_W_mc*AG489+AG492*Diligence!$C$481*SUMIF(i_jetty_years,AG$3,i_jetty_vals)*AG489</f>
        <v/>
      </c>
      <c r="AH508" s="19">
        <f>AH493*i_W_mc*AH489+AH492*Diligence!$C$481*SUMIF(i_jetty_years,AH$3,i_jetty_vals)*AH489</f>
        <v/>
      </c>
      <c r="AI508" s="19">
        <f>AI493*i_W_mc*AI489+AI492*Diligence!$C$481*SUMIF(i_jetty_years,AI$3,i_jetty_vals)*AI489</f>
        <v/>
      </c>
    </row>
    <row r="509">
      <c r="B509" s="3" t="inlineStr">
        <is>
          <t>Rhine Inland</t>
        </is>
      </c>
    </row>
    <row r="510">
      <c r="B510" s="2" t="inlineStr">
        <is>
          <t xml:space="preserve">  Capacity in service (million m3)</t>
        </is>
      </c>
      <c r="D510" s="24">
        <f>i_R_cap</f>
        <v/>
      </c>
      <c r="E510" s="24">
        <f>i_R_cap</f>
        <v/>
      </c>
      <c r="F510" s="24">
        <f>i_R_cap</f>
        <v/>
      </c>
      <c r="G510" s="24">
        <f>i_R_cap</f>
        <v/>
      </c>
      <c r="H510" s="24">
        <f>i_R_cap</f>
        <v/>
      </c>
      <c r="I510" s="24">
        <f>i_R_cap</f>
        <v/>
      </c>
      <c r="J510" s="24">
        <f>i_R_cap</f>
        <v/>
      </c>
      <c r="K510" s="24">
        <f>i_R_cap</f>
        <v/>
      </c>
      <c r="L510" s="24">
        <f>i_R_cap</f>
        <v/>
      </c>
      <c r="M510" s="24">
        <f>i_R_cap</f>
        <v/>
      </c>
      <c r="N510" s="24">
        <f>i_R_cap</f>
        <v/>
      </c>
      <c r="O510" s="24">
        <f>i_R_cap</f>
        <v/>
      </c>
      <c r="P510" s="24">
        <f>i_R_cap</f>
        <v/>
      </c>
      <c r="Q510" s="24">
        <f>i_R_cap</f>
        <v/>
      </c>
      <c r="R510" s="24">
        <f>i_R_cap</f>
        <v/>
      </c>
      <c r="S510" s="24">
        <f>i_R_cap</f>
        <v/>
      </c>
      <c r="T510" s="24">
        <f>i_R_cap</f>
        <v/>
      </c>
      <c r="U510" s="24">
        <f>i_R_cap</f>
        <v/>
      </c>
      <c r="V510" s="24">
        <f>i_R_cap</f>
        <v/>
      </c>
      <c r="W510" s="24">
        <f>i_R_cap</f>
        <v/>
      </c>
      <c r="X510" s="24">
        <f>i_R_cap</f>
        <v/>
      </c>
      <c r="Y510" s="24">
        <f>i_R_cap</f>
        <v/>
      </c>
      <c r="Z510" s="24">
        <f>i_R_cap</f>
        <v/>
      </c>
      <c r="AA510" s="24">
        <f>i_R_cap</f>
        <v/>
      </c>
      <c r="AB510" s="24">
        <f>i_R_cap</f>
        <v/>
      </c>
      <c r="AC510" s="24">
        <f>i_R_cap</f>
        <v/>
      </c>
      <c r="AD510" s="24">
        <f>i_R_cap</f>
        <v/>
      </c>
      <c r="AE510" s="24">
        <f>i_R_cap</f>
        <v/>
      </c>
      <c r="AF510" s="24">
        <f>i_R_cap</f>
        <v/>
      </c>
      <c r="AG510" s="24">
        <f>i_R_cap</f>
        <v/>
      </c>
      <c r="AH510" s="24">
        <f>i_R_cap</f>
        <v/>
      </c>
      <c r="AI510" s="24">
        <f>i_R_cap</f>
        <v/>
      </c>
    </row>
    <row r="511">
      <c r="B511" s="2" t="inlineStr">
        <is>
          <t xml:space="preserve">  Share on contracts signed before 2027</t>
        </is>
      </c>
      <c r="D511" s="21">
        <f>SUMIF(i_book_years,D$3,i_R_book)</f>
        <v/>
      </c>
      <c r="E511" s="21">
        <f>SUMIF(i_book_years,E$3,i_R_book)</f>
        <v/>
      </c>
      <c r="F511" s="21">
        <f>SUMIF(i_book_years,F$3,i_R_book)</f>
        <v/>
      </c>
      <c r="G511" s="21">
        <f>SUMIF(i_book_years,G$3,i_R_book)</f>
        <v/>
      </c>
      <c r="H511" s="21">
        <f>SUMIF(i_book_years,H$3,i_R_book)</f>
        <v/>
      </c>
      <c r="I511" s="21">
        <f>SUMIF(i_book_years,I$3,i_R_book)</f>
        <v/>
      </c>
      <c r="J511" s="21">
        <f>SUMIF(i_book_years,J$3,i_R_book)</f>
        <v/>
      </c>
      <c r="K511" s="21">
        <f>SUMIF(i_book_years,K$3,i_R_book)</f>
        <v/>
      </c>
      <c r="L511" s="21">
        <f>SUMIF(i_book_years,L$3,i_R_book)</f>
        <v/>
      </c>
      <c r="M511" s="21">
        <f>SUMIF(i_book_years,M$3,i_R_book)</f>
        <v/>
      </c>
      <c r="N511" s="21">
        <f>SUMIF(i_book_years,N$3,i_R_book)</f>
        <v/>
      </c>
      <c r="O511" s="21">
        <f>SUMIF(i_book_years,O$3,i_R_book)</f>
        <v/>
      </c>
      <c r="P511" s="21">
        <f>SUMIF(i_book_years,P$3,i_R_book)</f>
        <v/>
      </c>
      <c r="Q511" s="21">
        <f>SUMIF(i_book_years,Q$3,i_R_book)</f>
        <v/>
      </c>
      <c r="R511" s="21">
        <f>SUMIF(i_book_years,R$3,i_R_book)</f>
        <v/>
      </c>
      <c r="S511" s="21">
        <f>SUMIF(i_book_years,S$3,i_R_book)</f>
        <v/>
      </c>
      <c r="T511" s="21">
        <f>SUMIF(i_book_years,T$3,i_R_book)</f>
        <v/>
      </c>
      <c r="U511" s="21">
        <f>SUMIF(i_book_years,U$3,i_R_book)</f>
        <v/>
      </c>
      <c r="V511" s="21">
        <f>SUMIF(i_book_years,V$3,i_R_book)</f>
        <v/>
      </c>
      <c r="W511" s="21">
        <f>SUMIF(i_book_years,W$3,i_R_book)</f>
        <v/>
      </c>
      <c r="X511" s="21">
        <f>SUMIF(i_book_years,X$3,i_R_book)</f>
        <v/>
      </c>
      <c r="Y511" s="21">
        <f>SUMIF(i_book_years,Y$3,i_R_book)</f>
        <v/>
      </c>
      <c r="Z511" s="21">
        <f>SUMIF(i_book_years,Z$3,i_R_book)</f>
        <v/>
      </c>
      <c r="AA511" s="21">
        <f>SUMIF(i_book_years,AA$3,i_R_book)</f>
        <v/>
      </c>
      <c r="AB511" s="21">
        <f>SUMIF(i_book_years,AB$3,i_R_book)</f>
        <v/>
      </c>
      <c r="AC511" s="21">
        <f>SUMIF(i_book_years,AC$3,i_R_book)</f>
        <v/>
      </c>
      <c r="AD511" s="21">
        <f>SUMIF(i_book_years,AD$3,i_R_book)</f>
        <v/>
      </c>
      <c r="AE511" s="21">
        <f>SUMIF(i_book_years,AE$3,i_R_book)</f>
        <v/>
      </c>
      <c r="AF511" s="21">
        <f>SUMIF(i_book_years,AF$3,i_R_book)</f>
        <v/>
      </c>
      <c r="AG511" s="21">
        <f>SUMIF(i_book_years,AG$3,i_R_book)</f>
        <v/>
      </c>
      <c r="AH511" s="21">
        <f>SUMIF(i_book_years,AH$3,i_R_book)</f>
        <v/>
      </c>
      <c r="AI511" s="21">
        <f>SUMIF(i_book_years,AI$3,i_R_book)</f>
        <v/>
      </c>
    </row>
    <row r="512">
      <c r="B512" s="2" t="inlineStr">
        <is>
          <t xml:space="preserve">  Recontracting factor against current rates</t>
        </is>
      </c>
      <c r="D512" s="21">
        <f>IF(D$4=0,0,IF(Diligence!$C$479=1,i_R_mtm,i_R_mtm_plan)+Diligence!$C$485)</f>
        <v/>
      </c>
      <c r="E512" s="21">
        <f>IF(E$4=0,0,IF(Diligence!$C$479=1,i_R_mtm,i_R_mtm_plan)+Diligence!$C$485)</f>
        <v/>
      </c>
      <c r="F512" s="21">
        <f>IF(F$4=0,0,IF(Diligence!$C$479=1,i_R_mtm,i_R_mtm_plan)+Diligence!$C$485)</f>
        <v/>
      </c>
      <c r="G512" s="21">
        <f>IF(G$4=0,0,IF(Diligence!$C$479=1,i_R_mtm,i_R_mtm_plan)+Diligence!$C$485)</f>
        <v/>
      </c>
      <c r="H512" s="21">
        <f>IF(H$4=0,0,IF(Diligence!$C$479=1,i_R_mtm,i_R_mtm_plan)+Diligence!$C$485)</f>
        <v/>
      </c>
      <c r="I512" s="21">
        <f>IF(I$4=0,0,IF(Diligence!$C$479=1,i_R_mtm,i_R_mtm_plan)+Diligence!$C$485)</f>
        <v/>
      </c>
      <c r="J512" s="21">
        <f>IF(J$4=0,0,IF(Diligence!$C$479=1,i_R_mtm,i_R_mtm_plan)+Diligence!$C$485)</f>
        <v/>
      </c>
      <c r="K512" s="21">
        <f>IF(K$4=0,0,IF(Diligence!$C$479=1,i_R_mtm,i_R_mtm_plan)+Diligence!$C$485)</f>
        <v/>
      </c>
      <c r="L512" s="21">
        <f>IF(L$4=0,0,IF(Diligence!$C$479=1,i_R_mtm,i_R_mtm_plan)+Diligence!$C$485)</f>
        <v/>
      </c>
      <c r="M512" s="21">
        <f>IF(M$4=0,0,IF(Diligence!$C$479=1,i_R_mtm,i_R_mtm_plan)+Diligence!$C$485)</f>
        <v/>
      </c>
      <c r="N512" s="21">
        <f>IF(N$4=0,0,IF(Diligence!$C$479=1,i_R_mtm,i_R_mtm_plan)+Diligence!$C$485)</f>
        <v/>
      </c>
      <c r="O512" s="21">
        <f>IF(O$4=0,0,IF(Diligence!$C$479=1,i_R_mtm,i_R_mtm_plan)+Diligence!$C$485)</f>
        <v/>
      </c>
      <c r="P512" s="21">
        <f>IF(P$4=0,0,IF(Diligence!$C$479=1,i_R_mtm,i_R_mtm_plan)+Diligence!$C$485)</f>
        <v/>
      </c>
      <c r="Q512" s="21">
        <f>IF(Q$4=0,0,IF(Diligence!$C$479=1,i_R_mtm,i_R_mtm_plan)+Diligence!$C$485)</f>
        <v/>
      </c>
      <c r="R512" s="21">
        <f>IF(R$4=0,0,IF(Diligence!$C$479=1,i_R_mtm,i_R_mtm_plan)+Diligence!$C$485)</f>
        <v/>
      </c>
      <c r="S512" s="21">
        <f>IF(S$4=0,0,IF(Diligence!$C$479=1,i_R_mtm,i_R_mtm_plan)+Diligence!$C$485)</f>
        <v/>
      </c>
      <c r="T512" s="21">
        <f>IF(T$4=0,0,IF(Diligence!$C$479=1,i_R_mtm,i_R_mtm_plan)+Diligence!$C$485)</f>
        <v/>
      </c>
      <c r="U512" s="21">
        <f>IF(U$4=0,0,IF(Diligence!$C$479=1,i_R_mtm,i_R_mtm_plan)+Diligence!$C$485)</f>
        <v/>
      </c>
      <c r="V512" s="21">
        <f>IF(V$4=0,0,IF(Diligence!$C$479=1,i_R_mtm,i_R_mtm_plan)+Diligence!$C$485)</f>
        <v/>
      </c>
      <c r="W512" s="21">
        <f>IF(W$4=0,0,IF(Diligence!$C$479=1,i_R_mtm,i_R_mtm_plan)+Diligence!$C$485)</f>
        <v/>
      </c>
      <c r="X512" s="21">
        <f>IF(X$4=0,0,IF(Diligence!$C$479=1,i_R_mtm,i_R_mtm_plan)+Diligence!$C$485)</f>
        <v/>
      </c>
      <c r="Y512" s="21">
        <f>IF(Y$4=0,0,IF(Diligence!$C$479=1,i_R_mtm,i_R_mtm_plan)+Diligence!$C$485)</f>
        <v/>
      </c>
      <c r="Z512" s="21">
        <f>IF(Z$4=0,0,IF(Diligence!$C$479=1,i_R_mtm,i_R_mtm_plan)+Diligence!$C$485)</f>
        <v/>
      </c>
      <c r="AA512" s="21">
        <f>IF(AA$4=0,0,IF(Diligence!$C$479=1,i_R_mtm,i_R_mtm_plan)+Diligence!$C$485)</f>
        <v/>
      </c>
      <c r="AB512" s="21">
        <f>IF(AB$4=0,0,IF(Diligence!$C$479=1,i_R_mtm,i_R_mtm_plan)+Diligence!$C$485)</f>
        <v/>
      </c>
      <c r="AC512" s="21">
        <f>IF(AC$4=0,0,IF(Diligence!$C$479=1,i_R_mtm,i_R_mtm_plan)+Diligence!$C$485)</f>
        <v/>
      </c>
      <c r="AD512" s="21">
        <f>IF(AD$4=0,0,IF(Diligence!$C$479=1,i_R_mtm,i_R_mtm_plan)+Diligence!$C$485)</f>
        <v/>
      </c>
      <c r="AE512" s="21">
        <f>IF(AE$4=0,0,IF(Diligence!$C$479=1,i_R_mtm,i_R_mtm_plan)+Diligence!$C$485)</f>
        <v/>
      </c>
      <c r="AF512" s="21">
        <f>IF(AF$4=0,0,IF(Diligence!$C$479=1,i_R_mtm,i_R_mtm_plan)+Diligence!$C$485)</f>
        <v/>
      </c>
      <c r="AG512" s="21">
        <f>IF(AG$4=0,0,IF(Diligence!$C$479=1,i_R_mtm,i_R_mtm_plan)+Diligence!$C$485)</f>
        <v/>
      </c>
      <c r="AH512" s="21">
        <f>IF(AH$4=0,0,IF(Diligence!$C$479=1,i_R_mtm,i_R_mtm_plan)+Diligence!$C$485)</f>
        <v/>
      </c>
      <c r="AI512" s="21">
        <f>IF(AI$4=0,0,IF(Diligence!$C$479=1,i_R_mtm,i_R_mtm_plan)+Diligence!$C$485)</f>
        <v/>
      </c>
    </row>
    <row r="513">
      <c r="B513" s="2" t="inlineStr">
        <is>
          <t xml:space="preserve">  Average rate ($ per m3 per month)</t>
        </is>
      </c>
      <c r="D513" s="24">
        <f>i_R_rate*D490*(D511+(1-D511)*(1+D512))</f>
        <v/>
      </c>
      <c r="E513" s="24">
        <f>i_R_rate*E490*(E511+(1-E511)*(1+E512))</f>
        <v/>
      </c>
      <c r="F513" s="24">
        <f>i_R_rate*F490*(F511+(1-F511)*(1+F512))</f>
        <v/>
      </c>
      <c r="G513" s="24">
        <f>i_R_rate*G490*(G511+(1-G511)*(1+G512))</f>
        <v/>
      </c>
      <c r="H513" s="24">
        <f>i_R_rate*H490*(H511+(1-H511)*(1+H512))</f>
        <v/>
      </c>
      <c r="I513" s="24">
        <f>i_R_rate*I490*(I511+(1-I511)*(1+I512))</f>
        <v/>
      </c>
      <c r="J513" s="24">
        <f>i_R_rate*J490*(J511+(1-J511)*(1+J512))</f>
        <v/>
      </c>
      <c r="K513" s="24">
        <f>i_R_rate*K490*(K511+(1-K511)*(1+K512))</f>
        <v/>
      </c>
      <c r="L513" s="24">
        <f>i_R_rate*L490*(L511+(1-L511)*(1+L512))</f>
        <v/>
      </c>
      <c r="M513" s="24">
        <f>i_R_rate*M490*(M511+(1-M511)*(1+M512))</f>
        <v/>
      </c>
      <c r="N513" s="24">
        <f>i_R_rate*N490*(N511+(1-N511)*(1+N512))</f>
        <v/>
      </c>
      <c r="O513" s="24">
        <f>i_R_rate*O490*(O511+(1-O511)*(1+O512))</f>
        <v/>
      </c>
      <c r="P513" s="24">
        <f>i_R_rate*P490*(P511+(1-P511)*(1+P512))</f>
        <v/>
      </c>
      <c r="Q513" s="24">
        <f>i_R_rate*Q490*(Q511+(1-Q511)*(1+Q512))</f>
        <v/>
      </c>
      <c r="R513" s="24">
        <f>i_R_rate*R490*(R511+(1-R511)*(1+R512))</f>
        <v/>
      </c>
      <c r="S513" s="24">
        <f>i_R_rate*S490*(S511+(1-S511)*(1+S512))</f>
        <v/>
      </c>
      <c r="T513" s="24">
        <f>i_R_rate*T490*(T511+(1-T511)*(1+T512))</f>
        <v/>
      </c>
      <c r="U513" s="24">
        <f>i_R_rate*U490*(U511+(1-U511)*(1+U512))</f>
        <v/>
      </c>
      <c r="V513" s="24">
        <f>i_R_rate*V490*(V511+(1-V511)*(1+V512))</f>
        <v/>
      </c>
      <c r="W513" s="24">
        <f>i_R_rate*W490*(W511+(1-W511)*(1+W512))</f>
        <v/>
      </c>
      <c r="X513" s="24">
        <f>i_R_rate*X490*(X511+(1-X511)*(1+X512))</f>
        <v/>
      </c>
      <c r="Y513" s="24">
        <f>i_R_rate*Y490*(Y511+(1-Y511)*(1+Y512))</f>
        <v/>
      </c>
      <c r="Z513" s="24">
        <f>i_R_rate*Z490*(Z511+(1-Z511)*(1+Z512))</f>
        <v/>
      </c>
      <c r="AA513" s="24">
        <f>i_R_rate*AA490*(AA511+(1-AA511)*(1+AA512))</f>
        <v/>
      </c>
      <c r="AB513" s="24">
        <f>i_R_rate*AB490*(AB511+(1-AB511)*(1+AB512))</f>
        <v/>
      </c>
      <c r="AC513" s="24">
        <f>i_R_rate*AC490*(AC511+(1-AC511)*(1+AC512))</f>
        <v/>
      </c>
      <c r="AD513" s="24">
        <f>i_R_rate*AD490*(AD511+(1-AD511)*(1+AD512))</f>
        <v/>
      </c>
      <c r="AE513" s="24">
        <f>i_R_rate*AE490*(AE511+(1-AE511)*(1+AE512))</f>
        <v/>
      </c>
      <c r="AF513" s="24">
        <f>i_R_rate*AF490*(AF511+(1-AF511)*(1+AF512))</f>
        <v/>
      </c>
      <c r="AG513" s="24">
        <f>i_R_rate*AG490*(AG511+(1-AG511)*(1+AG512))</f>
        <v/>
      </c>
      <c r="AH513" s="24">
        <f>i_R_rate*AH490*(AH511+(1-AH511)*(1+AH512))</f>
        <v/>
      </c>
      <c r="AI513" s="24">
        <f>i_R_rate*AI490*(AI511+(1-AI511)*(1+AI512))</f>
        <v/>
      </c>
    </row>
    <row r="514">
      <c r="B514" s="2" t="inlineStr">
        <is>
          <t xml:space="preserve">  Occupancy after the transition decline and floor</t>
        </is>
      </c>
      <c r="D514" s="21">
        <f>IF(D$3&gt;i_trans_start,MAX(i_R_floor,i_R_occ-i_R_dec*(D$3-i_trans_start)),i_R_occ)</f>
        <v/>
      </c>
      <c r="E514" s="21">
        <f>IF(E$3&gt;i_trans_start,MAX(i_R_floor,i_R_occ-i_R_dec*(E$3-i_trans_start)),i_R_occ)</f>
        <v/>
      </c>
      <c r="F514" s="21">
        <f>IF(F$3&gt;i_trans_start,MAX(i_R_floor,i_R_occ-i_R_dec*(F$3-i_trans_start)),i_R_occ)</f>
        <v/>
      </c>
      <c r="G514" s="21">
        <f>IF(G$3&gt;i_trans_start,MAX(i_R_floor,i_R_occ-i_R_dec*(G$3-i_trans_start)),i_R_occ)</f>
        <v/>
      </c>
      <c r="H514" s="21">
        <f>IF(H$3&gt;i_trans_start,MAX(i_R_floor,i_R_occ-i_R_dec*(H$3-i_trans_start)),i_R_occ)</f>
        <v/>
      </c>
      <c r="I514" s="21">
        <f>IF(I$3&gt;i_trans_start,MAX(i_R_floor,i_R_occ-i_R_dec*(I$3-i_trans_start)),i_R_occ)</f>
        <v/>
      </c>
      <c r="J514" s="21">
        <f>IF(J$3&gt;i_trans_start,MAX(i_R_floor,i_R_occ-i_R_dec*(J$3-i_trans_start)),i_R_occ)</f>
        <v/>
      </c>
      <c r="K514" s="21">
        <f>IF(K$3&gt;i_trans_start,MAX(i_R_floor,i_R_occ-i_R_dec*(K$3-i_trans_start)),i_R_occ)</f>
        <v/>
      </c>
      <c r="L514" s="21">
        <f>IF(L$3&gt;i_trans_start,MAX(i_R_floor,i_R_occ-i_R_dec*(L$3-i_trans_start)),i_R_occ)</f>
        <v/>
      </c>
      <c r="M514" s="21">
        <f>IF(M$3&gt;i_trans_start,MAX(i_R_floor,i_R_occ-i_R_dec*(M$3-i_trans_start)),i_R_occ)</f>
        <v/>
      </c>
      <c r="N514" s="21">
        <f>IF(N$3&gt;i_trans_start,MAX(i_R_floor,i_R_occ-i_R_dec*(N$3-i_trans_start)),i_R_occ)</f>
        <v/>
      </c>
      <c r="O514" s="21">
        <f>IF(O$3&gt;i_trans_start,MAX(i_R_floor,i_R_occ-i_R_dec*(O$3-i_trans_start)),i_R_occ)</f>
        <v/>
      </c>
      <c r="P514" s="21">
        <f>IF(P$3&gt;i_trans_start,MAX(i_R_floor,i_R_occ-i_R_dec*(P$3-i_trans_start)),i_R_occ)</f>
        <v/>
      </c>
      <c r="Q514" s="21">
        <f>IF(Q$3&gt;i_trans_start,MAX(i_R_floor,i_R_occ-i_R_dec*(Q$3-i_trans_start)),i_R_occ)</f>
        <v/>
      </c>
      <c r="R514" s="21">
        <f>IF(R$3&gt;i_trans_start,MAX(i_R_floor,i_R_occ-i_R_dec*(R$3-i_trans_start)),i_R_occ)</f>
        <v/>
      </c>
      <c r="S514" s="21">
        <f>IF(S$3&gt;i_trans_start,MAX(i_R_floor,i_R_occ-i_R_dec*(S$3-i_trans_start)),i_R_occ)</f>
        <v/>
      </c>
      <c r="T514" s="21">
        <f>IF(T$3&gt;i_trans_start,MAX(i_R_floor,i_R_occ-i_R_dec*(T$3-i_trans_start)),i_R_occ)</f>
        <v/>
      </c>
      <c r="U514" s="21">
        <f>IF(U$3&gt;i_trans_start,MAX(i_R_floor,i_R_occ-i_R_dec*(U$3-i_trans_start)),i_R_occ)</f>
        <v/>
      </c>
      <c r="V514" s="21">
        <f>IF(V$3&gt;i_trans_start,MAX(i_R_floor,i_R_occ-i_R_dec*(V$3-i_trans_start)),i_R_occ)</f>
        <v/>
      </c>
      <c r="W514" s="21">
        <f>IF(W$3&gt;i_trans_start,MAX(i_R_floor,i_R_occ-i_R_dec*(W$3-i_trans_start)),i_R_occ)</f>
        <v/>
      </c>
      <c r="X514" s="21">
        <f>IF(X$3&gt;i_trans_start,MAX(i_R_floor,i_R_occ-i_R_dec*(X$3-i_trans_start)),i_R_occ)</f>
        <v/>
      </c>
      <c r="Y514" s="21">
        <f>IF(Y$3&gt;i_trans_start,MAX(i_R_floor,i_R_occ-i_R_dec*(Y$3-i_trans_start)),i_R_occ)</f>
        <v/>
      </c>
      <c r="Z514" s="21">
        <f>IF(Z$3&gt;i_trans_start,MAX(i_R_floor,i_R_occ-i_R_dec*(Z$3-i_trans_start)),i_R_occ)</f>
        <v/>
      </c>
      <c r="AA514" s="21">
        <f>IF(AA$3&gt;i_trans_start,MAX(i_R_floor,i_R_occ-i_R_dec*(AA$3-i_trans_start)),i_R_occ)</f>
        <v/>
      </c>
      <c r="AB514" s="21">
        <f>IF(AB$3&gt;i_trans_start,MAX(i_R_floor,i_R_occ-i_R_dec*(AB$3-i_trans_start)),i_R_occ)</f>
        <v/>
      </c>
      <c r="AC514" s="21">
        <f>IF(AC$3&gt;i_trans_start,MAX(i_R_floor,i_R_occ-i_R_dec*(AC$3-i_trans_start)),i_R_occ)</f>
        <v/>
      </c>
      <c r="AD514" s="21">
        <f>IF(AD$3&gt;i_trans_start,MAX(i_R_floor,i_R_occ-i_R_dec*(AD$3-i_trans_start)),i_R_occ)</f>
        <v/>
      </c>
      <c r="AE514" s="21">
        <f>IF(AE$3&gt;i_trans_start,MAX(i_R_floor,i_R_occ-i_R_dec*(AE$3-i_trans_start)),i_R_occ)</f>
        <v/>
      </c>
      <c r="AF514" s="21">
        <f>IF(AF$3&gt;i_trans_start,MAX(i_R_floor,i_R_occ-i_R_dec*(AF$3-i_trans_start)),i_R_occ)</f>
        <v/>
      </c>
      <c r="AG514" s="21">
        <f>IF(AG$3&gt;i_trans_start,MAX(i_R_floor,i_R_occ-i_R_dec*(AG$3-i_trans_start)),i_R_occ)</f>
        <v/>
      </c>
      <c r="AH514" s="21">
        <f>IF(AH$3&gt;i_trans_start,MAX(i_R_floor,i_R_occ-i_R_dec*(AH$3-i_trans_start)),i_R_occ)</f>
        <v/>
      </c>
      <c r="AI514" s="21">
        <f>IF(AI$3&gt;i_trans_start,MAX(i_R_floor,i_R_occ-i_R_dec*(AI$3-i_trans_start)),i_R_occ)</f>
        <v/>
      </c>
    </row>
    <row r="515">
      <c r="B515" s="2" t="inlineStr">
        <is>
          <t xml:space="preserve">  Occupancy (with the shift switch from 2027)</t>
        </is>
      </c>
      <c r="D515" s="21">
        <f>IF(D$4&gt;0,MIN(1,D514+Diligence!$C$484),D514)</f>
        <v/>
      </c>
      <c r="E515" s="21">
        <f>IF(E$4&gt;0,MIN(1,E514+Diligence!$C$484),E514)</f>
        <v/>
      </c>
      <c r="F515" s="21">
        <f>IF(F$4&gt;0,MIN(1,F514+Diligence!$C$484),F514)</f>
        <v/>
      </c>
      <c r="G515" s="21">
        <f>IF(G$4&gt;0,MIN(1,G514+Diligence!$C$484),G514)</f>
        <v/>
      </c>
      <c r="H515" s="21">
        <f>IF(H$4&gt;0,MIN(1,H514+Diligence!$C$484),H514)</f>
        <v/>
      </c>
      <c r="I515" s="21">
        <f>IF(I$4&gt;0,MIN(1,I514+Diligence!$C$484),I514)</f>
        <v/>
      </c>
      <c r="J515" s="21">
        <f>IF(J$4&gt;0,MIN(1,J514+Diligence!$C$484),J514)</f>
        <v/>
      </c>
      <c r="K515" s="21">
        <f>IF(K$4&gt;0,MIN(1,K514+Diligence!$C$484),K514)</f>
        <v/>
      </c>
      <c r="L515" s="21">
        <f>IF(L$4&gt;0,MIN(1,L514+Diligence!$C$484),L514)</f>
        <v/>
      </c>
      <c r="M515" s="21">
        <f>IF(M$4&gt;0,MIN(1,M514+Diligence!$C$484),M514)</f>
        <v/>
      </c>
      <c r="N515" s="21">
        <f>IF(N$4&gt;0,MIN(1,N514+Diligence!$C$484),N514)</f>
        <v/>
      </c>
      <c r="O515" s="21">
        <f>IF(O$4&gt;0,MIN(1,O514+Diligence!$C$484),O514)</f>
        <v/>
      </c>
      <c r="P515" s="21">
        <f>IF(P$4&gt;0,MIN(1,P514+Diligence!$C$484),P514)</f>
        <v/>
      </c>
      <c r="Q515" s="21">
        <f>IF(Q$4&gt;0,MIN(1,Q514+Diligence!$C$484),Q514)</f>
        <v/>
      </c>
      <c r="R515" s="21">
        <f>IF(R$4&gt;0,MIN(1,R514+Diligence!$C$484),R514)</f>
        <v/>
      </c>
      <c r="S515" s="21">
        <f>IF(S$4&gt;0,MIN(1,S514+Diligence!$C$484),S514)</f>
        <v/>
      </c>
      <c r="T515" s="21">
        <f>IF(T$4&gt;0,MIN(1,T514+Diligence!$C$484),T514)</f>
        <v/>
      </c>
      <c r="U515" s="21">
        <f>IF(U$4&gt;0,MIN(1,U514+Diligence!$C$484),U514)</f>
        <v/>
      </c>
      <c r="V515" s="21">
        <f>IF(V$4&gt;0,MIN(1,V514+Diligence!$C$484),V514)</f>
        <v/>
      </c>
      <c r="W515" s="21">
        <f>IF(W$4&gt;0,MIN(1,W514+Diligence!$C$484),W514)</f>
        <v/>
      </c>
      <c r="X515" s="21">
        <f>IF(X$4&gt;0,MIN(1,X514+Diligence!$C$484),X514)</f>
        <v/>
      </c>
      <c r="Y515" s="21">
        <f>IF(Y$4&gt;0,MIN(1,Y514+Diligence!$C$484),Y514)</f>
        <v/>
      </c>
      <c r="Z515" s="21">
        <f>IF(Z$4&gt;0,MIN(1,Z514+Diligence!$C$484),Z514)</f>
        <v/>
      </c>
      <c r="AA515" s="21">
        <f>IF(AA$4&gt;0,MIN(1,AA514+Diligence!$C$484),AA514)</f>
        <v/>
      </c>
      <c r="AB515" s="21">
        <f>IF(AB$4&gt;0,MIN(1,AB514+Diligence!$C$484),AB514)</f>
        <v/>
      </c>
      <c r="AC515" s="21">
        <f>IF(AC$4&gt;0,MIN(1,AC514+Diligence!$C$484),AC514)</f>
        <v/>
      </c>
      <c r="AD515" s="21">
        <f>IF(AD$4&gt;0,MIN(1,AD514+Diligence!$C$484),AD514)</f>
        <v/>
      </c>
      <c r="AE515" s="21">
        <f>IF(AE$4&gt;0,MIN(1,AE514+Diligence!$C$484),AE514)</f>
        <v/>
      </c>
      <c r="AF515" s="21">
        <f>IF(AF$4&gt;0,MIN(1,AF514+Diligence!$C$484),AF514)</f>
        <v/>
      </c>
      <c r="AG515" s="21">
        <f>IF(AG$4&gt;0,MIN(1,AG514+Diligence!$C$484),AG514)</f>
        <v/>
      </c>
      <c r="AH515" s="21">
        <f>IF(AH$4&gt;0,MIN(1,AH514+Diligence!$C$484),AH514)</f>
        <v/>
      </c>
      <c r="AI515" s="21">
        <f>IF(AI$4&gt;0,MIN(1,AI514+Diligence!$C$484),AI514)</f>
        <v/>
      </c>
    </row>
    <row r="516">
      <c r="B516" s="2" t="inlineStr">
        <is>
          <t xml:space="preserve">  Storage revenue</t>
        </is>
      </c>
      <c r="D516" s="19">
        <f>D510*D513*12*D515</f>
        <v/>
      </c>
      <c r="E516" s="19">
        <f>E510*E513*12*E515</f>
        <v/>
      </c>
      <c r="F516" s="19">
        <f>F510*F513*12*F515</f>
        <v/>
      </c>
      <c r="G516" s="19">
        <f>G510*G513*12*G515</f>
        <v/>
      </c>
      <c r="H516" s="19">
        <f>H510*H513*12*H515</f>
        <v/>
      </c>
      <c r="I516" s="19">
        <f>I510*I513*12*I515</f>
        <v/>
      </c>
      <c r="J516" s="19">
        <f>J510*J513*12*J515</f>
        <v/>
      </c>
      <c r="K516" s="19">
        <f>K510*K513*12*K515</f>
        <v/>
      </c>
      <c r="L516" s="19">
        <f>L510*L513*12*L515</f>
        <v/>
      </c>
      <c r="M516" s="19">
        <f>M510*M513*12*M515</f>
        <v/>
      </c>
      <c r="N516" s="19">
        <f>N510*N513*12*N515</f>
        <v/>
      </c>
      <c r="O516" s="19">
        <f>O510*O513*12*O515</f>
        <v/>
      </c>
      <c r="P516" s="19">
        <f>P510*P513*12*P515</f>
        <v/>
      </c>
      <c r="Q516" s="19">
        <f>Q510*Q513*12*Q515</f>
        <v/>
      </c>
      <c r="R516" s="19">
        <f>R510*R513*12*R515</f>
        <v/>
      </c>
      <c r="S516" s="19">
        <f>S510*S513*12*S515</f>
        <v/>
      </c>
      <c r="T516" s="19">
        <f>T510*T513*12*T515</f>
        <v/>
      </c>
      <c r="U516" s="19">
        <f>U510*U513*12*U515</f>
        <v/>
      </c>
      <c r="V516" s="19">
        <f>V510*V513*12*V515</f>
        <v/>
      </c>
      <c r="W516" s="19">
        <f>W510*W513*12*W515</f>
        <v/>
      </c>
      <c r="X516" s="19">
        <f>X510*X513*12*X515</f>
        <v/>
      </c>
      <c r="Y516" s="19">
        <f>Y510*Y513*12*Y515</f>
        <v/>
      </c>
      <c r="Z516" s="19">
        <f>Z510*Z513*12*Z515</f>
        <v/>
      </c>
      <c r="AA516" s="19">
        <f>AA510*AA513*12*AA515</f>
        <v/>
      </c>
      <c r="AB516" s="19">
        <f>AB510*AB513*12*AB515</f>
        <v/>
      </c>
      <c r="AC516" s="19">
        <f>AC510*AC513*12*AC515</f>
        <v/>
      </c>
      <c r="AD516" s="19">
        <f>AD510*AD513*12*AD515</f>
        <v/>
      </c>
      <c r="AE516" s="19">
        <f>AE510*AE513*12*AE515</f>
        <v/>
      </c>
      <c r="AF516" s="19">
        <f>AF510*AF513*12*AF515</f>
        <v/>
      </c>
      <c r="AG516" s="19">
        <f>AG510*AG513*12*AG515</f>
        <v/>
      </c>
      <c r="AH516" s="19">
        <f>AH510*AH513*12*AH515</f>
        <v/>
      </c>
      <c r="AI516" s="19">
        <f>AI510*AI513*12*AI515</f>
        <v/>
      </c>
    </row>
    <row r="517">
      <c r="B517" s="2" t="inlineStr">
        <is>
          <t xml:space="preserve">  Ancillary and throughput revenue</t>
        </is>
      </c>
      <c r="D517" s="19">
        <f>D516*i_R_anc</f>
        <v/>
      </c>
      <c r="E517" s="19">
        <f>E516*i_R_anc</f>
        <v/>
      </c>
      <c r="F517" s="19">
        <f>F516*i_R_anc</f>
        <v/>
      </c>
      <c r="G517" s="19">
        <f>G516*i_R_anc</f>
        <v/>
      </c>
      <c r="H517" s="19">
        <f>H516*i_R_anc</f>
        <v/>
      </c>
      <c r="I517" s="19">
        <f>I516*i_R_anc</f>
        <v/>
      </c>
      <c r="J517" s="19">
        <f>J516*i_R_anc</f>
        <v/>
      </c>
      <c r="K517" s="19">
        <f>K516*i_R_anc</f>
        <v/>
      </c>
      <c r="L517" s="19">
        <f>L516*i_R_anc</f>
        <v/>
      </c>
      <c r="M517" s="19">
        <f>M516*i_R_anc</f>
        <v/>
      </c>
      <c r="N517" s="19">
        <f>N516*i_R_anc</f>
        <v/>
      </c>
      <c r="O517" s="19">
        <f>O516*i_R_anc</f>
        <v/>
      </c>
      <c r="P517" s="19">
        <f>P516*i_R_anc</f>
        <v/>
      </c>
      <c r="Q517" s="19">
        <f>Q516*i_R_anc</f>
        <v/>
      </c>
      <c r="R517" s="19">
        <f>R516*i_R_anc</f>
        <v/>
      </c>
      <c r="S517" s="19">
        <f>S516*i_R_anc</f>
        <v/>
      </c>
      <c r="T517" s="19">
        <f>T516*i_R_anc</f>
        <v/>
      </c>
      <c r="U517" s="19">
        <f>U516*i_R_anc</f>
        <v/>
      </c>
      <c r="V517" s="19">
        <f>V516*i_R_anc</f>
        <v/>
      </c>
      <c r="W517" s="19">
        <f>W516*i_R_anc</f>
        <v/>
      </c>
      <c r="X517" s="19">
        <f>X516*i_R_anc</f>
        <v/>
      </c>
      <c r="Y517" s="19">
        <f>Y516*i_R_anc</f>
        <v/>
      </c>
      <c r="Z517" s="19">
        <f>Z516*i_R_anc</f>
        <v/>
      </c>
      <c r="AA517" s="19">
        <f>AA516*i_R_anc</f>
        <v/>
      </c>
      <c r="AB517" s="19">
        <f>AB516*i_R_anc</f>
        <v/>
      </c>
      <c r="AC517" s="19">
        <f>AC516*i_R_anc</f>
        <v/>
      </c>
      <c r="AD517" s="19">
        <f>AD516*i_R_anc</f>
        <v/>
      </c>
      <c r="AE517" s="19">
        <f>AE516*i_R_anc</f>
        <v/>
      </c>
      <c r="AF517" s="19">
        <f>AF516*i_R_anc</f>
        <v/>
      </c>
      <c r="AG517" s="19">
        <f>AG516*i_R_anc</f>
        <v/>
      </c>
      <c r="AH517" s="19">
        <f>AH516*i_R_anc</f>
        <v/>
      </c>
      <c r="AI517" s="19">
        <f>AI516*i_R_anc</f>
        <v/>
      </c>
    </row>
    <row r="518">
      <c r="B518" s="3" t="inlineStr">
        <is>
          <t xml:space="preserve">  Revenue</t>
        </is>
      </c>
      <c r="D518" s="31">
        <f>D516+D517</f>
        <v/>
      </c>
      <c r="E518" s="31">
        <f>E516+E517</f>
        <v/>
      </c>
      <c r="F518" s="31">
        <f>F516+F517</f>
        <v/>
      </c>
      <c r="G518" s="31">
        <f>G516+G517</f>
        <v/>
      </c>
      <c r="H518" s="31">
        <f>H516+H517</f>
        <v/>
      </c>
      <c r="I518" s="31">
        <f>I516+I517</f>
        <v/>
      </c>
      <c r="J518" s="31">
        <f>J516+J517</f>
        <v/>
      </c>
      <c r="K518" s="31">
        <f>K516+K517</f>
        <v/>
      </c>
      <c r="L518" s="31">
        <f>L516+L517</f>
        <v/>
      </c>
      <c r="M518" s="31">
        <f>M516+M517</f>
        <v/>
      </c>
      <c r="N518" s="31">
        <f>N516+N517</f>
        <v/>
      </c>
      <c r="O518" s="31">
        <f>O516+O517</f>
        <v/>
      </c>
      <c r="P518" s="31">
        <f>P516+P517</f>
        <v/>
      </c>
      <c r="Q518" s="31">
        <f>Q516+Q517</f>
        <v/>
      </c>
      <c r="R518" s="31">
        <f>R516+R517</f>
        <v/>
      </c>
      <c r="S518" s="31">
        <f>S516+S517</f>
        <v/>
      </c>
      <c r="T518" s="31">
        <f>T516+T517</f>
        <v/>
      </c>
      <c r="U518" s="31">
        <f>U516+U517</f>
        <v/>
      </c>
      <c r="V518" s="31">
        <f>V516+V517</f>
        <v/>
      </c>
      <c r="W518" s="31">
        <f>W516+W517</f>
        <v/>
      </c>
      <c r="X518" s="31">
        <f>X516+X517</f>
        <v/>
      </c>
      <c r="Y518" s="31">
        <f>Y516+Y517</f>
        <v/>
      </c>
      <c r="Z518" s="31">
        <f>Z516+Z517</f>
        <v/>
      </c>
      <c r="AA518" s="31">
        <f>AA516+AA517</f>
        <v/>
      </c>
      <c r="AB518" s="31">
        <f>AB516+AB517</f>
        <v/>
      </c>
      <c r="AC518" s="31">
        <f>AC516+AC517</f>
        <v/>
      </c>
      <c r="AD518" s="31">
        <f>AD516+AD517</f>
        <v/>
      </c>
      <c r="AE518" s="31">
        <f>AE516+AE517</f>
        <v/>
      </c>
      <c r="AF518" s="31">
        <f>AF516+AF517</f>
        <v/>
      </c>
      <c r="AG518" s="31">
        <f>AG516+AG517</f>
        <v/>
      </c>
      <c r="AH518" s="31">
        <f>AH516+AH517</f>
        <v/>
      </c>
      <c r="AI518" s="31">
        <f>AI516+AI517</f>
        <v/>
      </c>
    </row>
    <row r="519">
      <c r="B519" s="2" t="inlineStr">
        <is>
          <t xml:space="preserve">  Fixed cost</t>
        </is>
      </c>
      <c r="D519" s="19">
        <f>D510*i_R_fix*D489</f>
        <v/>
      </c>
      <c r="E519" s="19">
        <f>E510*i_R_fix*E489</f>
        <v/>
      </c>
      <c r="F519" s="19">
        <f>F510*i_R_fix*F489</f>
        <v/>
      </c>
      <c r="G519" s="19">
        <f>G510*i_R_fix*G489</f>
        <v/>
      </c>
      <c r="H519" s="19">
        <f>H510*i_R_fix*H489</f>
        <v/>
      </c>
      <c r="I519" s="19">
        <f>I510*i_R_fix*I489</f>
        <v/>
      </c>
      <c r="J519" s="19">
        <f>J510*i_R_fix*J489</f>
        <v/>
      </c>
      <c r="K519" s="19">
        <f>K510*i_R_fix*K489</f>
        <v/>
      </c>
      <c r="L519" s="19">
        <f>L510*i_R_fix*L489</f>
        <v/>
      </c>
      <c r="M519" s="19">
        <f>M510*i_R_fix*M489</f>
        <v/>
      </c>
      <c r="N519" s="19">
        <f>N510*i_R_fix*N489</f>
        <v/>
      </c>
      <c r="O519" s="19">
        <f>O510*i_R_fix*O489</f>
        <v/>
      </c>
      <c r="P519" s="19">
        <f>P510*i_R_fix*P489</f>
        <v/>
      </c>
      <c r="Q519" s="19">
        <f>Q510*i_R_fix*Q489</f>
        <v/>
      </c>
      <c r="R519" s="19">
        <f>R510*i_R_fix*R489</f>
        <v/>
      </c>
      <c r="S519" s="19">
        <f>S510*i_R_fix*S489</f>
        <v/>
      </c>
      <c r="T519" s="19">
        <f>T510*i_R_fix*T489</f>
        <v/>
      </c>
      <c r="U519" s="19">
        <f>U510*i_R_fix*U489</f>
        <v/>
      </c>
      <c r="V519" s="19">
        <f>V510*i_R_fix*V489</f>
        <v/>
      </c>
      <c r="W519" s="19">
        <f>W510*i_R_fix*W489</f>
        <v/>
      </c>
      <c r="X519" s="19">
        <f>X510*i_R_fix*X489</f>
        <v/>
      </c>
      <c r="Y519" s="19">
        <f>Y510*i_R_fix*Y489</f>
        <v/>
      </c>
      <c r="Z519" s="19">
        <f>Z510*i_R_fix*Z489</f>
        <v/>
      </c>
      <c r="AA519" s="19">
        <f>AA510*i_R_fix*AA489</f>
        <v/>
      </c>
      <c r="AB519" s="19">
        <f>AB510*i_R_fix*AB489</f>
        <v/>
      </c>
      <c r="AC519" s="19">
        <f>AC510*i_R_fix*AC489</f>
        <v/>
      </c>
      <c r="AD519" s="19">
        <f>AD510*i_R_fix*AD489</f>
        <v/>
      </c>
      <c r="AE519" s="19">
        <f>AE510*i_R_fix*AE489</f>
        <v/>
      </c>
      <c r="AF519" s="19">
        <f>AF510*i_R_fix*AF489</f>
        <v/>
      </c>
      <c r="AG519" s="19">
        <f>AG510*i_R_fix*AG489</f>
        <v/>
      </c>
      <c r="AH519" s="19">
        <f>AH510*i_R_fix*AH489</f>
        <v/>
      </c>
      <c r="AI519" s="19">
        <f>AI510*i_R_fix*AI489</f>
        <v/>
      </c>
    </row>
    <row r="520">
      <c r="B520" s="2" t="inlineStr">
        <is>
          <t xml:space="preserve">  Variable cost</t>
        </is>
      </c>
      <c r="D520" s="19">
        <f>i_R_var*D518</f>
        <v/>
      </c>
      <c r="E520" s="19">
        <f>i_R_var*E518</f>
        <v/>
      </c>
      <c r="F520" s="19">
        <f>i_R_var*F518</f>
        <v/>
      </c>
      <c r="G520" s="19">
        <f>i_R_var*G518</f>
        <v/>
      </c>
      <c r="H520" s="19">
        <f>i_R_var*H518</f>
        <v/>
      </c>
      <c r="I520" s="19">
        <f>i_R_var*I518</f>
        <v/>
      </c>
      <c r="J520" s="19">
        <f>i_R_var*J518</f>
        <v/>
      </c>
      <c r="K520" s="19">
        <f>i_R_var*K518</f>
        <v/>
      </c>
      <c r="L520" s="19">
        <f>i_R_var*L518</f>
        <v/>
      </c>
      <c r="M520" s="19">
        <f>i_R_var*M518</f>
        <v/>
      </c>
      <c r="N520" s="19">
        <f>i_R_var*N518</f>
        <v/>
      </c>
      <c r="O520" s="19">
        <f>i_R_var*O518</f>
        <v/>
      </c>
      <c r="P520" s="19">
        <f>i_R_var*P518</f>
        <v/>
      </c>
      <c r="Q520" s="19">
        <f>i_R_var*Q518</f>
        <v/>
      </c>
      <c r="R520" s="19">
        <f>i_R_var*R518</f>
        <v/>
      </c>
      <c r="S520" s="19">
        <f>i_R_var*S518</f>
        <v/>
      </c>
      <c r="T520" s="19">
        <f>i_R_var*T518</f>
        <v/>
      </c>
      <c r="U520" s="19">
        <f>i_R_var*U518</f>
        <v/>
      </c>
      <c r="V520" s="19">
        <f>i_R_var*V518</f>
        <v/>
      </c>
      <c r="W520" s="19">
        <f>i_R_var*W518</f>
        <v/>
      </c>
      <c r="X520" s="19">
        <f>i_R_var*X518</f>
        <v/>
      </c>
      <c r="Y520" s="19">
        <f>i_R_var*Y518</f>
        <v/>
      </c>
      <c r="Z520" s="19">
        <f>i_R_var*Z518</f>
        <v/>
      </c>
      <c r="AA520" s="19">
        <f>i_R_var*AA518</f>
        <v/>
      </c>
      <c r="AB520" s="19">
        <f>i_R_var*AB518</f>
        <v/>
      </c>
      <c r="AC520" s="19">
        <f>i_R_var*AC518</f>
        <v/>
      </c>
      <c r="AD520" s="19">
        <f>i_R_var*AD518</f>
        <v/>
      </c>
      <c r="AE520" s="19">
        <f>i_R_var*AE518</f>
        <v/>
      </c>
      <c r="AF520" s="19">
        <f>i_R_var*AF518</f>
        <v/>
      </c>
      <c r="AG520" s="19">
        <f>i_R_var*AG518</f>
        <v/>
      </c>
      <c r="AH520" s="19">
        <f>i_R_var*AH518</f>
        <v/>
      </c>
      <c r="AI520" s="19">
        <f>i_R_var*AI518</f>
        <v/>
      </c>
    </row>
    <row r="521">
      <c r="B521" s="2" t="inlineStr">
        <is>
          <t xml:space="preserve">  Operating cost</t>
        </is>
      </c>
      <c r="D521" s="19">
        <f>D519+D520</f>
        <v/>
      </c>
      <c r="E521" s="19">
        <f>E519+E520</f>
        <v/>
      </c>
      <c r="F521" s="19">
        <f>F519+F520</f>
        <v/>
      </c>
      <c r="G521" s="19">
        <f>G519+G520</f>
        <v/>
      </c>
      <c r="H521" s="19">
        <f>H519+H520</f>
        <v/>
      </c>
      <c r="I521" s="19">
        <f>I519+I520</f>
        <v/>
      </c>
      <c r="J521" s="19">
        <f>J519+J520</f>
        <v/>
      </c>
      <c r="K521" s="19">
        <f>K519+K520</f>
        <v/>
      </c>
      <c r="L521" s="19">
        <f>L519+L520</f>
        <v/>
      </c>
      <c r="M521" s="19">
        <f>M519+M520</f>
        <v/>
      </c>
      <c r="N521" s="19">
        <f>N519+N520</f>
        <v/>
      </c>
      <c r="O521" s="19">
        <f>O519+O520</f>
        <v/>
      </c>
      <c r="P521" s="19">
        <f>P519+P520</f>
        <v/>
      </c>
      <c r="Q521" s="19">
        <f>Q519+Q520</f>
        <v/>
      </c>
      <c r="R521" s="19">
        <f>R519+R520</f>
        <v/>
      </c>
      <c r="S521" s="19">
        <f>S519+S520</f>
        <v/>
      </c>
      <c r="T521" s="19">
        <f>T519+T520</f>
        <v/>
      </c>
      <c r="U521" s="19">
        <f>U519+U520</f>
        <v/>
      </c>
      <c r="V521" s="19">
        <f>V519+V520</f>
        <v/>
      </c>
      <c r="W521" s="19">
        <f>W519+W520</f>
        <v/>
      </c>
      <c r="X521" s="19">
        <f>X519+X520</f>
        <v/>
      </c>
      <c r="Y521" s="19">
        <f>Y519+Y520</f>
        <v/>
      </c>
      <c r="Z521" s="19">
        <f>Z519+Z520</f>
        <v/>
      </c>
      <c r="AA521" s="19">
        <f>AA519+AA520</f>
        <v/>
      </c>
      <c r="AB521" s="19">
        <f>AB519+AB520</f>
        <v/>
      </c>
      <c r="AC521" s="19">
        <f>AC519+AC520</f>
        <v/>
      </c>
      <c r="AD521" s="19">
        <f>AD519+AD520</f>
        <v/>
      </c>
      <c r="AE521" s="19">
        <f>AE519+AE520</f>
        <v/>
      </c>
      <c r="AF521" s="19">
        <f>AF519+AF520</f>
        <v/>
      </c>
      <c r="AG521" s="19">
        <f>AG519+AG520</f>
        <v/>
      </c>
      <c r="AH521" s="19">
        <f>AH519+AH520</f>
        <v/>
      </c>
      <c r="AI521" s="19">
        <f>AI519+AI520</f>
        <v/>
      </c>
    </row>
    <row r="522">
      <c r="B522" s="3" t="inlineStr">
        <is>
          <t xml:space="preserve">  EBITDA</t>
        </is>
      </c>
      <c r="D522" s="31">
        <f>D518-D521</f>
        <v/>
      </c>
      <c r="E522" s="31">
        <f>E518-E521</f>
        <v/>
      </c>
      <c r="F522" s="31">
        <f>F518-F521</f>
        <v/>
      </c>
      <c r="G522" s="31">
        <f>G518-G521</f>
        <v/>
      </c>
      <c r="H522" s="31">
        <f>H518-H521</f>
        <v/>
      </c>
      <c r="I522" s="31">
        <f>I518-I521</f>
        <v/>
      </c>
      <c r="J522" s="31">
        <f>J518-J521</f>
        <v/>
      </c>
      <c r="K522" s="31">
        <f>K518-K521</f>
        <v/>
      </c>
      <c r="L522" s="31">
        <f>L518-L521</f>
        <v/>
      </c>
      <c r="M522" s="31">
        <f>M518-M521</f>
        <v/>
      </c>
      <c r="N522" s="31">
        <f>N518-N521</f>
        <v/>
      </c>
      <c r="O522" s="31">
        <f>O518-O521</f>
        <v/>
      </c>
      <c r="P522" s="31">
        <f>P518-P521</f>
        <v/>
      </c>
      <c r="Q522" s="31">
        <f>Q518-Q521</f>
        <v/>
      </c>
      <c r="R522" s="31">
        <f>R518-R521</f>
        <v/>
      </c>
      <c r="S522" s="31">
        <f>S518-S521</f>
        <v/>
      </c>
      <c r="T522" s="31">
        <f>T518-T521</f>
        <v/>
      </c>
      <c r="U522" s="31">
        <f>U518-U521</f>
        <v/>
      </c>
      <c r="V522" s="31">
        <f>V518-V521</f>
        <v/>
      </c>
      <c r="W522" s="31">
        <f>W518-W521</f>
        <v/>
      </c>
      <c r="X522" s="31">
        <f>X518-X521</f>
        <v/>
      </c>
      <c r="Y522" s="31">
        <f>Y518-Y521</f>
        <v/>
      </c>
      <c r="Z522" s="31">
        <f>Z518-Z521</f>
        <v/>
      </c>
      <c r="AA522" s="31">
        <f>AA518-AA521</f>
        <v/>
      </c>
      <c r="AB522" s="31">
        <f>AB518-AB521</f>
        <v/>
      </c>
      <c r="AC522" s="31">
        <f>AC518-AC521</f>
        <v/>
      </c>
      <c r="AD522" s="31">
        <f>AD518-AD521</f>
        <v/>
      </c>
      <c r="AE522" s="31">
        <f>AE518-AE521</f>
        <v/>
      </c>
      <c r="AF522" s="31">
        <f>AF518-AF521</f>
        <v/>
      </c>
      <c r="AG522" s="31">
        <f>AG518-AG521</f>
        <v/>
      </c>
      <c r="AH522" s="31">
        <f>AH518-AH521</f>
        <v/>
      </c>
      <c r="AI522" s="31">
        <f>AI518-AI521</f>
        <v/>
      </c>
    </row>
    <row r="523">
      <c r="B523" s="2" t="inlineStr">
        <is>
          <t xml:space="preserve">  Maintenance capex</t>
        </is>
      </c>
      <c r="D523" s="19">
        <f>D510*i_R_mc*D489</f>
        <v/>
      </c>
      <c r="E523" s="19">
        <f>E510*i_R_mc*E489</f>
        <v/>
      </c>
      <c r="F523" s="19">
        <f>F510*i_R_mc*F489</f>
        <v/>
      </c>
      <c r="G523" s="19">
        <f>G510*i_R_mc*G489</f>
        <v/>
      </c>
      <c r="H523" s="19">
        <f>H510*i_R_mc*H489</f>
        <v/>
      </c>
      <c r="I523" s="19">
        <f>I510*i_R_mc*I489</f>
        <v/>
      </c>
      <c r="J523" s="19">
        <f>J510*i_R_mc*J489</f>
        <v/>
      </c>
      <c r="K523" s="19">
        <f>K510*i_R_mc*K489</f>
        <v/>
      </c>
      <c r="L523" s="19">
        <f>L510*i_R_mc*L489</f>
        <v/>
      </c>
      <c r="M523" s="19">
        <f>M510*i_R_mc*M489</f>
        <v/>
      </c>
      <c r="N523" s="19">
        <f>N510*i_R_mc*N489</f>
        <v/>
      </c>
      <c r="O523" s="19">
        <f>O510*i_R_mc*O489</f>
        <v/>
      </c>
      <c r="P523" s="19">
        <f>P510*i_R_mc*P489</f>
        <v/>
      </c>
      <c r="Q523" s="19">
        <f>Q510*i_R_mc*Q489</f>
        <v/>
      </c>
      <c r="R523" s="19">
        <f>R510*i_R_mc*R489</f>
        <v/>
      </c>
      <c r="S523" s="19">
        <f>S510*i_R_mc*S489</f>
        <v/>
      </c>
      <c r="T523" s="19">
        <f>T510*i_R_mc*T489</f>
        <v/>
      </c>
      <c r="U523" s="19">
        <f>U510*i_R_mc*U489</f>
        <v/>
      </c>
      <c r="V523" s="19">
        <f>V510*i_R_mc*V489</f>
        <v/>
      </c>
      <c r="W523" s="19">
        <f>W510*i_R_mc*W489</f>
        <v/>
      </c>
      <c r="X523" s="19">
        <f>X510*i_R_mc*X489</f>
        <v/>
      </c>
      <c r="Y523" s="19">
        <f>Y510*i_R_mc*Y489</f>
        <v/>
      </c>
      <c r="Z523" s="19">
        <f>Z510*i_R_mc*Z489</f>
        <v/>
      </c>
      <c r="AA523" s="19">
        <f>AA510*i_R_mc*AA489</f>
        <v/>
      </c>
      <c r="AB523" s="19">
        <f>AB510*i_R_mc*AB489</f>
        <v/>
      </c>
      <c r="AC523" s="19">
        <f>AC510*i_R_mc*AC489</f>
        <v/>
      </c>
      <c r="AD523" s="19">
        <f>AD510*i_R_mc*AD489</f>
        <v/>
      </c>
      <c r="AE523" s="19">
        <f>AE510*i_R_mc*AE489</f>
        <v/>
      </c>
      <c r="AF523" s="19">
        <f>AF510*i_R_mc*AF489</f>
        <v/>
      </c>
      <c r="AG523" s="19">
        <f>AG510*i_R_mc*AG489</f>
        <v/>
      </c>
      <c r="AH523" s="19">
        <f>AH510*i_R_mc*AH489</f>
        <v/>
      </c>
      <c r="AI523" s="19">
        <f>AI510*i_R_mc*AI489</f>
        <v/>
      </c>
    </row>
    <row r="524">
      <c r="B524" s="3" t="inlineStr">
        <is>
          <t>Thamesbridge</t>
        </is>
      </c>
    </row>
    <row r="525">
      <c r="B525" s="2" t="inlineStr">
        <is>
          <t xml:space="preserve">  Capacity in service (million m3)</t>
        </is>
      </c>
      <c r="D525" s="24">
        <f>i_T_cap</f>
        <v/>
      </c>
      <c r="E525" s="24">
        <f>i_T_cap</f>
        <v/>
      </c>
      <c r="F525" s="24">
        <f>i_T_cap</f>
        <v/>
      </c>
      <c r="G525" s="24">
        <f>i_T_cap</f>
        <v/>
      </c>
      <c r="H525" s="24">
        <f>i_T_cap</f>
        <v/>
      </c>
      <c r="I525" s="24">
        <f>i_T_cap</f>
        <v/>
      </c>
      <c r="J525" s="24">
        <f>i_T_cap</f>
        <v/>
      </c>
      <c r="K525" s="24">
        <f>i_T_cap</f>
        <v/>
      </c>
      <c r="L525" s="24">
        <f>i_T_cap</f>
        <v/>
      </c>
      <c r="M525" s="24">
        <f>i_T_cap</f>
        <v/>
      </c>
      <c r="N525" s="24">
        <f>i_T_cap</f>
        <v/>
      </c>
      <c r="O525" s="24">
        <f>i_T_cap</f>
        <v/>
      </c>
      <c r="P525" s="24">
        <f>i_T_cap</f>
        <v/>
      </c>
      <c r="Q525" s="24">
        <f>i_T_cap</f>
        <v/>
      </c>
      <c r="R525" s="24">
        <f>i_T_cap</f>
        <v/>
      </c>
      <c r="S525" s="24">
        <f>i_T_cap</f>
        <v/>
      </c>
      <c r="T525" s="24">
        <f>i_T_cap</f>
        <v/>
      </c>
      <c r="U525" s="24">
        <f>i_T_cap</f>
        <v/>
      </c>
      <c r="V525" s="24">
        <f>i_T_cap</f>
        <v/>
      </c>
      <c r="W525" s="24">
        <f>i_T_cap</f>
        <v/>
      </c>
      <c r="X525" s="24">
        <f>i_T_cap</f>
        <v/>
      </c>
      <c r="Y525" s="24">
        <f>i_T_cap</f>
        <v/>
      </c>
      <c r="Z525" s="24">
        <f>i_T_cap</f>
        <v/>
      </c>
      <c r="AA525" s="24">
        <f>i_T_cap</f>
        <v/>
      </c>
      <c r="AB525" s="24">
        <f>i_T_cap</f>
        <v/>
      </c>
      <c r="AC525" s="24">
        <f>i_T_cap</f>
        <v/>
      </c>
      <c r="AD525" s="24">
        <f>i_T_cap</f>
        <v/>
      </c>
      <c r="AE525" s="24">
        <f>i_T_cap</f>
        <v/>
      </c>
      <c r="AF525" s="24">
        <f>i_T_cap</f>
        <v/>
      </c>
      <c r="AG525" s="24">
        <f>i_T_cap</f>
        <v/>
      </c>
      <c r="AH525" s="24">
        <f>i_T_cap</f>
        <v/>
      </c>
      <c r="AI525" s="24">
        <f>i_T_cap</f>
        <v/>
      </c>
    </row>
    <row r="526">
      <c r="B526" s="2" t="inlineStr">
        <is>
          <t xml:space="preserve">  Share on contracts signed before 2027</t>
        </is>
      </c>
      <c r="D526" s="21">
        <f>SUMIF(i_book_years,D$3,i_T_book)</f>
        <v/>
      </c>
      <c r="E526" s="21">
        <f>SUMIF(i_book_years,E$3,i_T_book)</f>
        <v/>
      </c>
      <c r="F526" s="21">
        <f>SUMIF(i_book_years,F$3,i_T_book)</f>
        <v/>
      </c>
      <c r="G526" s="21">
        <f>SUMIF(i_book_years,G$3,i_T_book)</f>
        <v/>
      </c>
      <c r="H526" s="21">
        <f>SUMIF(i_book_years,H$3,i_T_book)</f>
        <v/>
      </c>
      <c r="I526" s="21">
        <f>SUMIF(i_book_years,I$3,i_T_book)</f>
        <v/>
      </c>
      <c r="J526" s="21">
        <f>SUMIF(i_book_years,J$3,i_T_book)</f>
        <v/>
      </c>
      <c r="K526" s="21">
        <f>SUMIF(i_book_years,K$3,i_T_book)</f>
        <v/>
      </c>
      <c r="L526" s="21">
        <f>SUMIF(i_book_years,L$3,i_T_book)</f>
        <v/>
      </c>
      <c r="M526" s="21">
        <f>SUMIF(i_book_years,M$3,i_T_book)</f>
        <v/>
      </c>
      <c r="N526" s="21">
        <f>SUMIF(i_book_years,N$3,i_T_book)</f>
        <v/>
      </c>
      <c r="O526" s="21">
        <f>SUMIF(i_book_years,O$3,i_T_book)</f>
        <v/>
      </c>
      <c r="P526" s="21">
        <f>SUMIF(i_book_years,P$3,i_T_book)</f>
        <v/>
      </c>
      <c r="Q526" s="21">
        <f>SUMIF(i_book_years,Q$3,i_T_book)</f>
        <v/>
      </c>
      <c r="R526" s="21">
        <f>SUMIF(i_book_years,R$3,i_T_book)</f>
        <v/>
      </c>
      <c r="S526" s="21">
        <f>SUMIF(i_book_years,S$3,i_T_book)</f>
        <v/>
      </c>
      <c r="T526" s="21">
        <f>SUMIF(i_book_years,T$3,i_T_book)</f>
        <v/>
      </c>
      <c r="U526" s="21">
        <f>SUMIF(i_book_years,U$3,i_T_book)</f>
        <v/>
      </c>
      <c r="V526" s="21">
        <f>SUMIF(i_book_years,V$3,i_T_book)</f>
        <v/>
      </c>
      <c r="W526" s="21">
        <f>SUMIF(i_book_years,W$3,i_T_book)</f>
        <v/>
      </c>
      <c r="X526" s="21">
        <f>SUMIF(i_book_years,X$3,i_T_book)</f>
        <v/>
      </c>
      <c r="Y526" s="21">
        <f>SUMIF(i_book_years,Y$3,i_T_book)</f>
        <v/>
      </c>
      <c r="Z526" s="21">
        <f>SUMIF(i_book_years,Z$3,i_T_book)</f>
        <v/>
      </c>
      <c r="AA526" s="21">
        <f>SUMIF(i_book_years,AA$3,i_T_book)</f>
        <v/>
      </c>
      <c r="AB526" s="21">
        <f>SUMIF(i_book_years,AB$3,i_T_book)</f>
        <v/>
      </c>
      <c r="AC526" s="21">
        <f>SUMIF(i_book_years,AC$3,i_T_book)</f>
        <v/>
      </c>
      <c r="AD526" s="21">
        <f>SUMIF(i_book_years,AD$3,i_T_book)</f>
        <v/>
      </c>
      <c r="AE526" s="21">
        <f>SUMIF(i_book_years,AE$3,i_T_book)</f>
        <v/>
      </c>
      <c r="AF526" s="21">
        <f>SUMIF(i_book_years,AF$3,i_T_book)</f>
        <v/>
      </c>
      <c r="AG526" s="21">
        <f>SUMIF(i_book_years,AG$3,i_T_book)</f>
        <v/>
      </c>
      <c r="AH526" s="21">
        <f>SUMIF(i_book_years,AH$3,i_T_book)</f>
        <v/>
      </c>
      <c r="AI526" s="21">
        <f>SUMIF(i_book_years,AI$3,i_T_book)</f>
        <v/>
      </c>
    </row>
    <row r="527">
      <c r="B527" s="2" t="inlineStr">
        <is>
          <t xml:space="preserve">  Recontracting factor against current rates</t>
        </is>
      </c>
      <c r="D527" s="21">
        <f>IF(D$4=0,0,IF(Diligence!$C$479=1,i_T_mtm,i_T_mtm_plan)+Diligence!$C$485)</f>
        <v/>
      </c>
      <c r="E527" s="21">
        <f>IF(E$4=0,0,IF(Diligence!$C$479=1,i_T_mtm,i_T_mtm_plan)+Diligence!$C$485)</f>
        <v/>
      </c>
      <c r="F527" s="21">
        <f>IF(F$4=0,0,IF(Diligence!$C$479=1,i_T_mtm,i_T_mtm_plan)+Diligence!$C$485)</f>
        <v/>
      </c>
      <c r="G527" s="21">
        <f>IF(G$4=0,0,IF(Diligence!$C$479=1,i_T_mtm,i_T_mtm_plan)+Diligence!$C$485)</f>
        <v/>
      </c>
      <c r="H527" s="21">
        <f>IF(H$4=0,0,IF(Diligence!$C$479=1,i_T_mtm,i_T_mtm_plan)+Diligence!$C$485)</f>
        <v/>
      </c>
      <c r="I527" s="21">
        <f>IF(I$4=0,0,IF(Diligence!$C$479=1,i_T_mtm,i_T_mtm_plan)+Diligence!$C$485)</f>
        <v/>
      </c>
      <c r="J527" s="21">
        <f>IF(J$4=0,0,IF(Diligence!$C$479=1,i_T_mtm,i_T_mtm_plan)+Diligence!$C$485)</f>
        <v/>
      </c>
      <c r="K527" s="21">
        <f>IF(K$4=0,0,IF(Diligence!$C$479=1,i_T_mtm,i_T_mtm_plan)+Diligence!$C$485)</f>
        <v/>
      </c>
      <c r="L527" s="21">
        <f>IF(L$4=0,0,IF(Diligence!$C$479=1,i_T_mtm,i_T_mtm_plan)+Diligence!$C$485)</f>
        <v/>
      </c>
      <c r="M527" s="21">
        <f>IF(M$4=0,0,IF(Diligence!$C$479=1,i_T_mtm,i_T_mtm_plan)+Diligence!$C$485)</f>
        <v/>
      </c>
      <c r="N527" s="21">
        <f>IF(N$4=0,0,IF(Diligence!$C$479=1,i_T_mtm,i_T_mtm_plan)+Diligence!$C$485)</f>
        <v/>
      </c>
      <c r="O527" s="21">
        <f>IF(O$4=0,0,IF(Diligence!$C$479=1,i_T_mtm,i_T_mtm_plan)+Diligence!$C$485)</f>
        <v/>
      </c>
      <c r="P527" s="21">
        <f>IF(P$4=0,0,IF(Diligence!$C$479=1,i_T_mtm,i_T_mtm_plan)+Diligence!$C$485)</f>
        <v/>
      </c>
      <c r="Q527" s="21">
        <f>IF(Q$4=0,0,IF(Diligence!$C$479=1,i_T_mtm,i_T_mtm_plan)+Diligence!$C$485)</f>
        <v/>
      </c>
      <c r="R527" s="21">
        <f>IF(R$4=0,0,IF(Diligence!$C$479=1,i_T_mtm,i_T_mtm_plan)+Diligence!$C$485)</f>
        <v/>
      </c>
      <c r="S527" s="21">
        <f>IF(S$4=0,0,IF(Diligence!$C$479=1,i_T_mtm,i_T_mtm_plan)+Diligence!$C$485)</f>
        <v/>
      </c>
      <c r="T527" s="21">
        <f>IF(T$4=0,0,IF(Diligence!$C$479=1,i_T_mtm,i_T_mtm_plan)+Diligence!$C$485)</f>
        <v/>
      </c>
      <c r="U527" s="21">
        <f>IF(U$4=0,0,IF(Diligence!$C$479=1,i_T_mtm,i_T_mtm_plan)+Diligence!$C$485)</f>
        <v/>
      </c>
      <c r="V527" s="21">
        <f>IF(V$4=0,0,IF(Diligence!$C$479=1,i_T_mtm,i_T_mtm_plan)+Diligence!$C$485)</f>
        <v/>
      </c>
      <c r="W527" s="21">
        <f>IF(W$4=0,0,IF(Diligence!$C$479=1,i_T_mtm,i_T_mtm_plan)+Diligence!$C$485)</f>
        <v/>
      </c>
      <c r="X527" s="21">
        <f>IF(X$4=0,0,IF(Diligence!$C$479=1,i_T_mtm,i_T_mtm_plan)+Diligence!$C$485)</f>
        <v/>
      </c>
      <c r="Y527" s="21">
        <f>IF(Y$4=0,0,IF(Diligence!$C$479=1,i_T_mtm,i_T_mtm_plan)+Diligence!$C$485)</f>
        <v/>
      </c>
      <c r="Z527" s="21">
        <f>IF(Z$4=0,0,IF(Diligence!$C$479=1,i_T_mtm,i_T_mtm_plan)+Diligence!$C$485)</f>
        <v/>
      </c>
      <c r="AA527" s="21">
        <f>IF(AA$4=0,0,IF(Diligence!$C$479=1,i_T_mtm,i_T_mtm_plan)+Diligence!$C$485)</f>
        <v/>
      </c>
      <c r="AB527" s="21">
        <f>IF(AB$4=0,0,IF(Diligence!$C$479=1,i_T_mtm,i_T_mtm_plan)+Diligence!$C$485)</f>
        <v/>
      </c>
      <c r="AC527" s="21">
        <f>IF(AC$4=0,0,IF(Diligence!$C$479=1,i_T_mtm,i_T_mtm_plan)+Diligence!$C$485)</f>
        <v/>
      </c>
      <c r="AD527" s="21">
        <f>IF(AD$4=0,0,IF(Diligence!$C$479=1,i_T_mtm,i_T_mtm_plan)+Diligence!$C$485)</f>
        <v/>
      </c>
      <c r="AE527" s="21">
        <f>IF(AE$4=0,0,IF(Diligence!$C$479=1,i_T_mtm,i_T_mtm_plan)+Diligence!$C$485)</f>
        <v/>
      </c>
      <c r="AF527" s="21">
        <f>IF(AF$4=0,0,IF(Diligence!$C$479=1,i_T_mtm,i_T_mtm_plan)+Diligence!$C$485)</f>
        <v/>
      </c>
      <c r="AG527" s="21">
        <f>IF(AG$4=0,0,IF(Diligence!$C$479=1,i_T_mtm,i_T_mtm_plan)+Diligence!$C$485)</f>
        <v/>
      </c>
      <c r="AH527" s="21">
        <f>IF(AH$4=0,0,IF(Diligence!$C$479=1,i_T_mtm,i_T_mtm_plan)+Diligence!$C$485)</f>
        <v/>
      </c>
      <c r="AI527" s="21">
        <f>IF(AI$4=0,0,IF(Diligence!$C$479=1,i_T_mtm,i_T_mtm_plan)+Diligence!$C$485)</f>
        <v/>
      </c>
    </row>
    <row r="528">
      <c r="B528" s="2" t="inlineStr">
        <is>
          <t xml:space="preserve">  Average rate ($ per m3 per month)</t>
        </is>
      </c>
      <c r="D528" s="24">
        <f>i_T_rate*D490*(D526+(1-D526)*(1+D527))</f>
        <v/>
      </c>
      <c r="E528" s="24">
        <f>i_T_rate*E490*(E526+(1-E526)*(1+E527))</f>
        <v/>
      </c>
      <c r="F528" s="24">
        <f>i_T_rate*F490*(F526+(1-F526)*(1+F527))</f>
        <v/>
      </c>
      <c r="G528" s="24">
        <f>i_T_rate*G490*(G526+(1-G526)*(1+G527))</f>
        <v/>
      </c>
      <c r="H528" s="24">
        <f>i_T_rate*H490*(H526+(1-H526)*(1+H527))</f>
        <v/>
      </c>
      <c r="I528" s="24">
        <f>i_T_rate*I490*(I526+(1-I526)*(1+I527))</f>
        <v/>
      </c>
      <c r="J528" s="24">
        <f>i_T_rate*J490*(J526+(1-J526)*(1+J527))</f>
        <v/>
      </c>
      <c r="K528" s="24">
        <f>i_T_rate*K490*(K526+(1-K526)*(1+K527))</f>
        <v/>
      </c>
      <c r="L528" s="24">
        <f>i_T_rate*L490*(L526+(1-L526)*(1+L527))</f>
        <v/>
      </c>
      <c r="M528" s="24">
        <f>i_T_rate*M490*(M526+(1-M526)*(1+M527))</f>
        <v/>
      </c>
      <c r="N528" s="24">
        <f>i_T_rate*N490*(N526+(1-N526)*(1+N527))</f>
        <v/>
      </c>
      <c r="O528" s="24">
        <f>i_T_rate*O490*(O526+(1-O526)*(1+O527))</f>
        <v/>
      </c>
      <c r="P528" s="24">
        <f>i_T_rate*P490*(P526+(1-P526)*(1+P527))</f>
        <v/>
      </c>
      <c r="Q528" s="24">
        <f>i_T_rate*Q490*(Q526+(1-Q526)*(1+Q527))</f>
        <v/>
      </c>
      <c r="R528" s="24">
        <f>i_T_rate*R490*(R526+(1-R526)*(1+R527))</f>
        <v/>
      </c>
      <c r="S528" s="24">
        <f>i_T_rate*S490*(S526+(1-S526)*(1+S527))</f>
        <v/>
      </c>
      <c r="T528" s="24">
        <f>i_T_rate*T490*(T526+(1-T526)*(1+T527))</f>
        <v/>
      </c>
      <c r="U528" s="24">
        <f>i_T_rate*U490*(U526+(1-U526)*(1+U527))</f>
        <v/>
      </c>
      <c r="V528" s="24">
        <f>i_T_rate*V490*(V526+(1-V526)*(1+V527))</f>
        <v/>
      </c>
      <c r="W528" s="24">
        <f>i_T_rate*W490*(W526+(1-W526)*(1+W527))</f>
        <v/>
      </c>
      <c r="X528" s="24">
        <f>i_T_rate*X490*(X526+(1-X526)*(1+X527))</f>
        <v/>
      </c>
      <c r="Y528" s="24">
        <f>i_T_rate*Y490*(Y526+(1-Y526)*(1+Y527))</f>
        <v/>
      </c>
      <c r="Z528" s="24">
        <f>i_T_rate*Z490*(Z526+(1-Z526)*(1+Z527))</f>
        <v/>
      </c>
      <c r="AA528" s="24">
        <f>i_T_rate*AA490*(AA526+(1-AA526)*(1+AA527))</f>
        <v/>
      </c>
      <c r="AB528" s="24">
        <f>i_T_rate*AB490*(AB526+(1-AB526)*(1+AB527))</f>
        <v/>
      </c>
      <c r="AC528" s="24">
        <f>i_T_rate*AC490*(AC526+(1-AC526)*(1+AC527))</f>
        <v/>
      </c>
      <c r="AD528" s="24">
        <f>i_T_rate*AD490*(AD526+(1-AD526)*(1+AD527))</f>
        <v/>
      </c>
      <c r="AE528" s="24">
        <f>i_T_rate*AE490*(AE526+(1-AE526)*(1+AE527))</f>
        <v/>
      </c>
      <c r="AF528" s="24">
        <f>i_T_rate*AF490*(AF526+(1-AF526)*(1+AF527))</f>
        <v/>
      </c>
      <c r="AG528" s="24">
        <f>i_T_rate*AG490*(AG526+(1-AG526)*(1+AG527))</f>
        <v/>
      </c>
      <c r="AH528" s="24">
        <f>i_T_rate*AH490*(AH526+(1-AH526)*(1+AH527))</f>
        <v/>
      </c>
      <c r="AI528" s="24">
        <f>i_T_rate*AI490*(AI526+(1-AI526)*(1+AI527))</f>
        <v/>
      </c>
    </row>
    <row r="529">
      <c r="B529" s="2" t="inlineStr">
        <is>
          <t xml:space="preserve">  Occupancy after the transition decline and floor</t>
        </is>
      </c>
      <c r="D529" s="21">
        <f>IF(D$3&gt;i_trans_start,MAX(i_T_floor,i_T_occ-i_T_dec*(D$3-i_trans_start)),i_T_occ)</f>
        <v/>
      </c>
      <c r="E529" s="21">
        <f>IF(E$3&gt;i_trans_start,MAX(i_T_floor,i_T_occ-i_T_dec*(E$3-i_trans_start)),i_T_occ)</f>
        <v/>
      </c>
      <c r="F529" s="21">
        <f>IF(F$3&gt;i_trans_start,MAX(i_T_floor,i_T_occ-i_T_dec*(F$3-i_trans_start)),i_T_occ)</f>
        <v/>
      </c>
      <c r="G529" s="21">
        <f>IF(G$3&gt;i_trans_start,MAX(i_T_floor,i_T_occ-i_T_dec*(G$3-i_trans_start)),i_T_occ)</f>
        <v/>
      </c>
      <c r="H529" s="21">
        <f>IF(H$3&gt;i_trans_start,MAX(i_T_floor,i_T_occ-i_T_dec*(H$3-i_trans_start)),i_T_occ)</f>
        <v/>
      </c>
      <c r="I529" s="21">
        <f>IF(I$3&gt;i_trans_start,MAX(i_T_floor,i_T_occ-i_T_dec*(I$3-i_trans_start)),i_T_occ)</f>
        <v/>
      </c>
      <c r="J529" s="21">
        <f>IF(J$3&gt;i_trans_start,MAX(i_T_floor,i_T_occ-i_T_dec*(J$3-i_trans_start)),i_T_occ)</f>
        <v/>
      </c>
      <c r="K529" s="21">
        <f>IF(K$3&gt;i_trans_start,MAX(i_T_floor,i_T_occ-i_T_dec*(K$3-i_trans_start)),i_T_occ)</f>
        <v/>
      </c>
      <c r="L529" s="21">
        <f>IF(L$3&gt;i_trans_start,MAX(i_T_floor,i_T_occ-i_T_dec*(L$3-i_trans_start)),i_T_occ)</f>
        <v/>
      </c>
      <c r="M529" s="21">
        <f>IF(M$3&gt;i_trans_start,MAX(i_T_floor,i_T_occ-i_T_dec*(M$3-i_trans_start)),i_T_occ)</f>
        <v/>
      </c>
      <c r="N529" s="21">
        <f>IF(N$3&gt;i_trans_start,MAX(i_T_floor,i_T_occ-i_T_dec*(N$3-i_trans_start)),i_T_occ)</f>
        <v/>
      </c>
      <c r="O529" s="21">
        <f>IF(O$3&gt;i_trans_start,MAX(i_T_floor,i_T_occ-i_T_dec*(O$3-i_trans_start)),i_T_occ)</f>
        <v/>
      </c>
      <c r="P529" s="21">
        <f>IF(P$3&gt;i_trans_start,MAX(i_T_floor,i_T_occ-i_T_dec*(P$3-i_trans_start)),i_T_occ)</f>
        <v/>
      </c>
      <c r="Q529" s="21">
        <f>IF(Q$3&gt;i_trans_start,MAX(i_T_floor,i_T_occ-i_T_dec*(Q$3-i_trans_start)),i_T_occ)</f>
        <v/>
      </c>
      <c r="R529" s="21">
        <f>IF(R$3&gt;i_trans_start,MAX(i_T_floor,i_T_occ-i_T_dec*(R$3-i_trans_start)),i_T_occ)</f>
        <v/>
      </c>
      <c r="S529" s="21">
        <f>IF(S$3&gt;i_trans_start,MAX(i_T_floor,i_T_occ-i_T_dec*(S$3-i_trans_start)),i_T_occ)</f>
        <v/>
      </c>
      <c r="T529" s="21">
        <f>IF(T$3&gt;i_trans_start,MAX(i_T_floor,i_T_occ-i_T_dec*(T$3-i_trans_start)),i_T_occ)</f>
        <v/>
      </c>
      <c r="U529" s="21">
        <f>IF(U$3&gt;i_trans_start,MAX(i_T_floor,i_T_occ-i_T_dec*(U$3-i_trans_start)),i_T_occ)</f>
        <v/>
      </c>
      <c r="V529" s="21">
        <f>IF(V$3&gt;i_trans_start,MAX(i_T_floor,i_T_occ-i_T_dec*(V$3-i_trans_start)),i_T_occ)</f>
        <v/>
      </c>
      <c r="W529" s="21">
        <f>IF(W$3&gt;i_trans_start,MAX(i_T_floor,i_T_occ-i_T_dec*(W$3-i_trans_start)),i_T_occ)</f>
        <v/>
      </c>
      <c r="X529" s="21">
        <f>IF(X$3&gt;i_trans_start,MAX(i_T_floor,i_T_occ-i_T_dec*(X$3-i_trans_start)),i_T_occ)</f>
        <v/>
      </c>
      <c r="Y529" s="21">
        <f>IF(Y$3&gt;i_trans_start,MAX(i_T_floor,i_T_occ-i_T_dec*(Y$3-i_trans_start)),i_T_occ)</f>
        <v/>
      </c>
      <c r="Z529" s="21">
        <f>IF(Z$3&gt;i_trans_start,MAX(i_T_floor,i_T_occ-i_T_dec*(Z$3-i_trans_start)),i_T_occ)</f>
        <v/>
      </c>
      <c r="AA529" s="21">
        <f>IF(AA$3&gt;i_trans_start,MAX(i_T_floor,i_T_occ-i_T_dec*(AA$3-i_trans_start)),i_T_occ)</f>
        <v/>
      </c>
      <c r="AB529" s="21">
        <f>IF(AB$3&gt;i_trans_start,MAX(i_T_floor,i_T_occ-i_T_dec*(AB$3-i_trans_start)),i_T_occ)</f>
        <v/>
      </c>
      <c r="AC529" s="21">
        <f>IF(AC$3&gt;i_trans_start,MAX(i_T_floor,i_T_occ-i_T_dec*(AC$3-i_trans_start)),i_T_occ)</f>
        <v/>
      </c>
      <c r="AD529" s="21">
        <f>IF(AD$3&gt;i_trans_start,MAX(i_T_floor,i_T_occ-i_T_dec*(AD$3-i_trans_start)),i_T_occ)</f>
        <v/>
      </c>
      <c r="AE529" s="21">
        <f>IF(AE$3&gt;i_trans_start,MAX(i_T_floor,i_T_occ-i_T_dec*(AE$3-i_trans_start)),i_T_occ)</f>
        <v/>
      </c>
      <c r="AF529" s="21">
        <f>IF(AF$3&gt;i_trans_start,MAX(i_T_floor,i_T_occ-i_T_dec*(AF$3-i_trans_start)),i_T_occ)</f>
        <v/>
      </c>
      <c r="AG529" s="21">
        <f>IF(AG$3&gt;i_trans_start,MAX(i_T_floor,i_T_occ-i_T_dec*(AG$3-i_trans_start)),i_T_occ)</f>
        <v/>
      </c>
      <c r="AH529" s="21">
        <f>IF(AH$3&gt;i_trans_start,MAX(i_T_floor,i_T_occ-i_T_dec*(AH$3-i_trans_start)),i_T_occ)</f>
        <v/>
      </c>
      <c r="AI529" s="21">
        <f>IF(AI$3&gt;i_trans_start,MAX(i_T_floor,i_T_occ-i_T_dec*(AI$3-i_trans_start)),i_T_occ)</f>
        <v/>
      </c>
    </row>
    <row r="530">
      <c r="B530" s="2" t="inlineStr">
        <is>
          <t xml:space="preserve">  Occupancy (with the shift switch from 2027)</t>
        </is>
      </c>
      <c r="D530" s="21">
        <f>IF(D$4&gt;0,MIN(1,D529+Diligence!$C$484),D529)</f>
        <v/>
      </c>
      <c r="E530" s="21">
        <f>IF(E$4&gt;0,MIN(1,E529+Diligence!$C$484),E529)</f>
        <v/>
      </c>
      <c r="F530" s="21">
        <f>IF(F$4&gt;0,MIN(1,F529+Diligence!$C$484),F529)</f>
        <v/>
      </c>
      <c r="G530" s="21">
        <f>IF(G$4&gt;0,MIN(1,G529+Diligence!$C$484),G529)</f>
        <v/>
      </c>
      <c r="H530" s="21">
        <f>IF(H$4&gt;0,MIN(1,H529+Diligence!$C$484),H529)</f>
        <v/>
      </c>
      <c r="I530" s="21">
        <f>IF(I$4&gt;0,MIN(1,I529+Diligence!$C$484),I529)</f>
        <v/>
      </c>
      <c r="J530" s="21">
        <f>IF(J$4&gt;0,MIN(1,J529+Diligence!$C$484),J529)</f>
        <v/>
      </c>
      <c r="K530" s="21">
        <f>IF(K$4&gt;0,MIN(1,K529+Diligence!$C$484),K529)</f>
        <v/>
      </c>
      <c r="L530" s="21">
        <f>IF(L$4&gt;0,MIN(1,L529+Diligence!$C$484),L529)</f>
        <v/>
      </c>
      <c r="M530" s="21">
        <f>IF(M$4&gt;0,MIN(1,M529+Diligence!$C$484),M529)</f>
        <v/>
      </c>
      <c r="N530" s="21">
        <f>IF(N$4&gt;0,MIN(1,N529+Diligence!$C$484),N529)</f>
        <v/>
      </c>
      <c r="O530" s="21">
        <f>IF(O$4&gt;0,MIN(1,O529+Diligence!$C$484),O529)</f>
        <v/>
      </c>
      <c r="P530" s="21">
        <f>IF(P$4&gt;0,MIN(1,P529+Diligence!$C$484),P529)</f>
        <v/>
      </c>
      <c r="Q530" s="21">
        <f>IF(Q$4&gt;0,MIN(1,Q529+Diligence!$C$484),Q529)</f>
        <v/>
      </c>
      <c r="R530" s="21">
        <f>IF(R$4&gt;0,MIN(1,R529+Diligence!$C$484),R529)</f>
        <v/>
      </c>
      <c r="S530" s="21">
        <f>IF(S$4&gt;0,MIN(1,S529+Diligence!$C$484),S529)</f>
        <v/>
      </c>
      <c r="T530" s="21">
        <f>IF(T$4&gt;0,MIN(1,T529+Diligence!$C$484),T529)</f>
        <v/>
      </c>
      <c r="U530" s="21">
        <f>IF(U$4&gt;0,MIN(1,U529+Diligence!$C$484),U529)</f>
        <v/>
      </c>
      <c r="V530" s="21">
        <f>IF(V$4&gt;0,MIN(1,V529+Diligence!$C$484),V529)</f>
        <v/>
      </c>
      <c r="W530" s="21">
        <f>IF(W$4&gt;0,MIN(1,W529+Diligence!$C$484),W529)</f>
        <v/>
      </c>
      <c r="X530" s="21">
        <f>IF(X$4&gt;0,MIN(1,X529+Diligence!$C$484),X529)</f>
        <v/>
      </c>
      <c r="Y530" s="21">
        <f>IF(Y$4&gt;0,MIN(1,Y529+Diligence!$C$484),Y529)</f>
        <v/>
      </c>
      <c r="Z530" s="21">
        <f>IF(Z$4&gt;0,MIN(1,Z529+Diligence!$C$484),Z529)</f>
        <v/>
      </c>
      <c r="AA530" s="21">
        <f>IF(AA$4&gt;0,MIN(1,AA529+Diligence!$C$484),AA529)</f>
        <v/>
      </c>
      <c r="AB530" s="21">
        <f>IF(AB$4&gt;0,MIN(1,AB529+Diligence!$C$484),AB529)</f>
        <v/>
      </c>
      <c r="AC530" s="21">
        <f>IF(AC$4&gt;0,MIN(1,AC529+Diligence!$C$484),AC529)</f>
        <v/>
      </c>
      <c r="AD530" s="21">
        <f>IF(AD$4&gt;0,MIN(1,AD529+Diligence!$C$484),AD529)</f>
        <v/>
      </c>
      <c r="AE530" s="21">
        <f>IF(AE$4&gt;0,MIN(1,AE529+Diligence!$C$484),AE529)</f>
        <v/>
      </c>
      <c r="AF530" s="21">
        <f>IF(AF$4&gt;0,MIN(1,AF529+Diligence!$C$484),AF529)</f>
        <v/>
      </c>
      <c r="AG530" s="21">
        <f>IF(AG$4&gt;0,MIN(1,AG529+Diligence!$C$484),AG529)</f>
        <v/>
      </c>
      <c r="AH530" s="21">
        <f>IF(AH$4&gt;0,MIN(1,AH529+Diligence!$C$484),AH529)</f>
        <v/>
      </c>
      <c r="AI530" s="21">
        <f>IF(AI$4&gt;0,MIN(1,AI529+Diligence!$C$484),AI529)</f>
        <v/>
      </c>
    </row>
    <row r="531">
      <c r="B531" s="2" t="inlineStr">
        <is>
          <t xml:space="preserve">  Storage revenue</t>
        </is>
      </c>
      <c r="D531" s="19">
        <f>D525*D528*12*D530</f>
        <v/>
      </c>
      <c r="E531" s="19">
        <f>E525*E528*12*E530</f>
        <v/>
      </c>
      <c r="F531" s="19">
        <f>F525*F528*12*F530</f>
        <v/>
      </c>
      <c r="G531" s="19">
        <f>G525*G528*12*G530</f>
        <v/>
      </c>
      <c r="H531" s="19">
        <f>H525*H528*12*H530</f>
        <v/>
      </c>
      <c r="I531" s="19">
        <f>I525*I528*12*I530</f>
        <v/>
      </c>
      <c r="J531" s="19">
        <f>J525*J528*12*J530</f>
        <v/>
      </c>
      <c r="K531" s="19">
        <f>K525*K528*12*K530</f>
        <v/>
      </c>
      <c r="L531" s="19">
        <f>L525*L528*12*L530</f>
        <v/>
      </c>
      <c r="M531" s="19">
        <f>M525*M528*12*M530</f>
        <v/>
      </c>
      <c r="N531" s="19">
        <f>N525*N528*12*N530</f>
        <v/>
      </c>
      <c r="O531" s="19">
        <f>O525*O528*12*O530</f>
        <v/>
      </c>
      <c r="P531" s="19">
        <f>P525*P528*12*P530</f>
        <v/>
      </c>
      <c r="Q531" s="19">
        <f>Q525*Q528*12*Q530</f>
        <v/>
      </c>
      <c r="R531" s="19">
        <f>R525*R528*12*R530</f>
        <v/>
      </c>
      <c r="S531" s="19">
        <f>S525*S528*12*S530</f>
        <v/>
      </c>
      <c r="T531" s="19">
        <f>T525*T528*12*T530</f>
        <v/>
      </c>
      <c r="U531" s="19">
        <f>U525*U528*12*U530</f>
        <v/>
      </c>
      <c r="V531" s="19">
        <f>V525*V528*12*V530</f>
        <v/>
      </c>
      <c r="W531" s="19">
        <f>W525*W528*12*W530</f>
        <v/>
      </c>
      <c r="X531" s="19">
        <f>X525*X528*12*X530</f>
        <v/>
      </c>
      <c r="Y531" s="19">
        <f>Y525*Y528*12*Y530</f>
        <v/>
      </c>
      <c r="Z531" s="19">
        <f>Z525*Z528*12*Z530</f>
        <v/>
      </c>
      <c r="AA531" s="19">
        <f>AA525*AA528*12*AA530</f>
        <v/>
      </c>
      <c r="AB531" s="19">
        <f>AB525*AB528*12*AB530</f>
        <v/>
      </c>
      <c r="AC531" s="19">
        <f>AC525*AC528*12*AC530</f>
        <v/>
      </c>
      <c r="AD531" s="19">
        <f>AD525*AD528*12*AD530</f>
        <v/>
      </c>
      <c r="AE531" s="19">
        <f>AE525*AE528*12*AE530</f>
        <v/>
      </c>
      <c r="AF531" s="19">
        <f>AF525*AF528*12*AF530</f>
        <v/>
      </c>
      <c r="AG531" s="19">
        <f>AG525*AG528*12*AG530</f>
        <v/>
      </c>
      <c r="AH531" s="19">
        <f>AH525*AH528*12*AH530</f>
        <v/>
      </c>
      <c r="AI531" s="19">
        <f>AI525*AI528*12*AI530</f>
        <v/>
      </c>
    </row>
    <row r="532">
      <c r="B532" s="2" t="inlineStr">
        <is>
          <t xml:space="preserve">  Ancillary and throughput revenue</t>
        </is>
      </c>
      <c r="D532" s="19">
        <f>D531*i_T_anc</f>
        <v/>
      </c>
      <c r="E532" s="19">
        <f>E531*i_T_anc</f>
        <v/>
      </c>
      <c r="F532" s="19">
        <f>F531*i_T_anc</f>
        <v/>
      </c>
      <c r="G532" s="19">
        <f>G531*i_T_anc</f>
        <v/>
      </c>
      <c r="H532" s="19">
        <f>H531*i_T_anc</f>
        <v/>
      </c>
      <c r="I532" s="19">
        <f>I531*i_T_anc</f>
        <v/>
      </c>
      <c r="J532" s="19">
        <f>J531*i_T_anc</f>
        <v/>
      </c>
      <c r="K532" s="19">
        <f>K531*i_T_anc</f>
        <v/>
      </c>
      <c r="L532" s="19">
        <f>L531*i_T_anc</f>
        <v/>
      </c>
      <c r="M532" s="19">
        <f>M531*i_T_anc</f>
        <v/>
      </c>
      <c r="N532" s="19">
        <f>N531*i_T_anc</f>
        <v/>
      </c>
      <c r="O532" s="19">
        <f>O531*i_T_anc</f>
        <v/>
      </c>
      <c r="P532" s="19">
        <f>P531*i_T_anc</f>
        <v/>
      </c>
      <c r="Q532" s="19">
        <f>Q531*i_T_anc</f>
        <v/>
      </c>
      <c r="R532" s="19">
        <f>R531*i_T_anc</f>
        <v/>
      </c>
      <c r="S532" s="19">
        <f>S531*i_T_anc</f>
        <v/>
      </c>
      <c r="T532" s="19">
        <f>T531*i_T_anc</f>
        <v/>
      </c>
      <c r="U532" s="19">
        <f>U531*i_T_anc</f>
        <v/>
      </c>
      <c r="V532" s="19">
        <f>V531*i_T_anc</f>
        <v/>
      </c>
      <c r="W532" s="19">
        <f>W531*i_T_anc</f>
        <v/>
      </c>
      <c r="X532" s="19">
        <f>X531*i_T_anc</f>
        <v/>
      </c>
      <c r="Y532" s="19">
        <f>Y531*i_T_anc</f>
        <v/>
      </c>
      <c r="Z532" s="19">
        <f>Z531*i_T_anc</f>
        <v/>
      </c>
      <c r="AA532" s="19">
        <f>AA531*i_T_anc</f>
        <v/>
      </c>
      <c r="AB532" s="19">
        <f>AB531*i_T_anc</f>
        <v/>
      </c>
      <c r="AC532" s="19">
        <f>AC531*i_T_anc</f>
        <v/>
      </c>
      <c r="AD532" s="19">
        <f>AD531*i_T_anc</f>
        <v/>
      </c>
      <c r="AE532" s="19">
        <f>AE531*i_T_anc</f>
        <v/>
      </c>
      <c r="AF532" s="19">
        <f>AF531*i_T_anc</f>
        <v/>
      </c>
      <c r="AG532" s="19">
        <f>AG531*i_T_anc</f>
        <v/>
      </c>
      <c r="AH532" s="19">
        <f>AH531*i_T_anc</f>
        <v/>
      </c>
      <c r="AI532" s="19">
        <f>AI531*i_T_anc</f>
        <v/>
      </c>
    </row>
    <row r="533">
      <c r="B533" s="3" t="inlineStr">
        <is>
          <t xml:space="preserve">  Revenue</t>
        </is>
      </c>
      <c r="D533" s="31">
        <f>D531+D532</f>
        <v/>
      </c>
      <c r="E533" s="31">
        <f>E531+E532</f>
        <v/>
      </c>
      <c r="F533" s="31">
        <f>F531+F532</f>
        <v/>
      </c>
      <c r="G533" s="31">
        <f>G531+G532</f>
        <v/>
      </c>
      <c r="H533" s="31">
        <f>H531+H532</f>
        <v/>
      </c>
      <c r="I533" s="31">
        <f>I531+I532</f>
        <v/>
      </c>
      <c r="J533" s="31">
        <f>J531+J532</f>
        <v/>
      </c>
      <c r="K533" s="31">
        <f>K531+K532</f>
        <v/>
      </c>
      <c r="L533" s="31">
        <f>L531+L532</f>
        <v/>
      </c>
      <c r="M533" s="31">
        <f>M531+M532</f>
        <v/>
      </c>
      <c r="N533" s="31">
        <f>N531+N532</f>
        <v/>
      </c>
      <c r="O533" s="31">
        <f>O531+O532</f>
        <v/>
      </c>
      <c r="P533" s="31">
        <f>P531+P532</f>
        <v/>
      </c>
      <c r="Q533" s="31">
        <f>Q531+Q532</f>
        <v/>
      </c>
      <c r="R533" s="31">
        <f>R531+R532</f>
        <v/>
      </c>
      <c r="S533" s="31">
        <f>S531+S532</f>
        <v/>
      </c>
      <c r="T533" s="31">
        <f>T531+T532</f>
        <v/>
      </c>
      <c r="U533" s="31">
        <f>U531+U532</f>
        <v/>
      </c>
      <c r="V533" s="31">
        <f>V531+V532</f>
        <v/>
      </c>
      <c r="W533" s="31">
        <f>W531+W532</f>
        <v/>
      </c>
      <c r="X533" s="31">
        <f>X531+X532</f>
        <v/>
      </c>
      <c r="Y533" s="31">
        <f>Y531+Y532</f>
        <v/>
      </c>
      <c r="Z533" s="31">
        <f>Z531+Z532</f>
        <v/>
      </c>
      <c r="AA533" s="31">
        <f>AA531+AA532</f>
        <v/>
      </c>
      <c r="AB533" s="31">
        <f>AB531+AB532</f>
        <v/>
      </c>
      <c r="AC533" s="31">
        <f>AC531+AC532</f>
        <v/>
      </c>
      <c r="AD533" s="31">
        <f>AD531+AD532</f>
        <v/>
      </c>
      <c r="AE533" s="31">
        <f>AE531+AE532</f>
        <v/>
      </c>
      <c r="AF533" s="31">
        <f>AF531+AF532</f>
        <v/>
      </c>
      <c r="AG533" s="31">
        <f>AG531+AG532</f>
        <v/>
      </c>
      <c r="AH533" s="31">
        <f>AH531+AH532</f>
        <v/>
      </c>
      <c r="AI533" s="31">
        <f>AI531+AI532</f>
        <v/>
      </c>
    </row>
    <row r="534">
      <c r="B534" s="2" t="inlineStr">
        <is>
          <t xml:space="preserve">  Fixed cost</t>
        </is>
      </c>
      <c r="D534" s="19">
        <f>D525*i_T_fix*D489</f>
        <v/>
      </c>
      <c r="E534" s="19">
        <f>E525*i_T_fix*E489</f>
        <v/>
      </c>
      <c r="F534" s="19">
        <f>F525*i_T_fix*F489</f>
        <v/>
      </c>
      <c r="G534" s="19">
        <f>G525*i_T_fix*G489</f>
        <v/>
      </c>
      <c r="H534" s="19">
        <f>H525*i_T_fix*H489</f>
        <v/>
      </c>
      <c r="I534" s="19">
        <f>I525*i_T_fix*I489</f>
        <v/>
      </c>
      <c r="J534" s="19">
        <f>J525*i_T_fix*J489</f>
        <v/>
      </c>
      <c r="K534" s="19">
        <f>K525*i_T_fix*K489</f>
        <v/>
      </c>
      <c r="L534" s="19">
        <f>L525*i_T_fix*L489</f>
        <v/>
      </c>
      <c r="M534" s="19">
        <f>M525*i_T_fix*M489</f>
        <v/>
      </c>
      <c r="N534" s="19">
        <f>N525*i_T_fix*N489</f>
        <v/>
      </c>
      <c r="O534" s="19">
        <f>O525*i_T_fix*O489</f>
        <v/>
      </c>
      <c r="P534" s="19">
        <f>P525*i_T_fix*P489</f>
        <v/>
      </c>
      <c r="Q534" s="19">
        <f>Q525*i_T_fix*Q489</f>
        <v/>
      </c>
      <c r="R534" s="19">
        <f>R525*i_T_fix*R489</f>
        <v/>
      </c>
      <c r="S534" s="19">
        <f>S525*i_T_fix*S489</f>
        <v/>
      </c>
      <c r="T534" s="19">
        <f>T525*i_T_fix*T489</f>
        <v/>
      </c>
      <c r="U534" s="19">
        <f>U525*i_T_fix*U489</f>
        <v/>
      </c>
      <c r="V534" s="19">
        <f>V525*i_T_fix*V489</f>
        <v/>
      </c>
      <c r="W534" s="19">
        <f>W525*i_T_fix*W489</f>
        <v/>
      </c>
      <c r="X534" s="19">
        <f>X525*i_T_fix*X489</f>
        <v/>
      </c>
      <c r="Y534" s="19">
        <f>Y525*i_T_fix*Y489</f>
        <v/>
      </c>
      <c r="Z534" s="19">
        <f>Z525*i_T_fix*Z489</f>
        <v/>
      </c>
      <c r="AA534" s="19">
        <f>AA525*i_T_fix*AA489</f>
        <v/>
      </c>
      <c r="AB534" s="19">
        <f>AB525*i_T_fix*AB489</f>
        <v/>
      </c>
      <c r="AC534" s="19">
        <f>AC525*i_T_fix*AC489</f>
        <v/>
      </c>
      <c r="AD534" s="19">
        <f>AD525*i_T_fix*AD489</f>
        <v/>
      </c>
      <c r="AE534" s="19">
        <f>AE525*i_T_fix*AE489</f>
        <v/>
      </c>
      <c r="AF534" s="19">
        <f>AF525*i_T_fix*AF489</f>
        <v/>
      </c>
      <c r="AG534" s="19">
        <f>AG525*i_T_fix*AG489</f>
        <v/>
      </c>
      <c r="AH534" s="19">
        <f>AH525*i_T_fix*AH489</f>
        <v/>
      </c>
      <c r="AI534" s="19">
        <f>AI525*i_T_fix*AI489</f>
        <v/>
      </c>
    </row>
    <row r="535">
      <c r="B535" s="2" t="inlineStr">
        <is>
          <t xml:space="preserve">  Variable cost</t>
        </is>
      </c>
      <c r="D535" s="19">
        <f>i_T_var*D533</f>
        <v/>
      </c>
      <c r="E535" s="19">
        <f>i_T_var*E533</f>
        <v/>
      </c>
      <c r="F535" s="19">
        <f>i_T_var*F533</f>
        <v/>
      </c>
      <c r="G535" s="19">
        <f>i_T_var*G533</f>
        <v/>
      </c>
      <c r="H535" s="19">
        <f>i_T_var*H533</f>
        <v/>
      </c>
      <c r="I535" s="19">
        <f>i_T_var*I533</f>
        <v/>
      </c>
      <c r="J535" s="19">
        <f>i_T_var*J533</f>
        <v/>
      </c>
      <c r="K535" s="19">
        <f>i_T_var*K533</f>
        <v/>
      </c>
      <c r="L535" s="19">
        <f>i_T_var*L533</f>
        <v/>
      </c>
      <c r="M535" s="19">
        <f>i_T_var*M533</f>
        <v/>
      </c>
      <c r="N535" s="19">
        <f>i_T_var*N533</f>
        <v/>
      </c>
      <c r="O535" s="19">
        <f>i_T_var*O533</f>
        <v/>
      </c>
      <c r="P535" s="19">
        <f>i_T_var*P533</f>
        <v/>
      </c>
      <c r="Q535" s="19">
        <f>i_T_var*Q533</f>
        <v/>
      </c>
      <c r="R535" s="19">
        <f>i_T_var*R533</f>
        <v/>
      </c>
      <c r="S535" s="19">
        <f>i_T_var*S533</f>
        <v/>
      </c>
      <c r="T535" s="19">
        <f>i_T_var*T533</f>
        <v/>
      </c>
      <c r="U535" s="19">
        <f>i_T_var*U533</f>
        <v/>
      </c>
      <c r="V535" s="19">
        <f>i_T_var*V533</f>
        <v/>
      </c>
      <c r="W535" s="19">
        <f>i_T_var*W533</f>
        <v/>
      </c>
      <c r="X535" s="19">
        <f>i_T_var*X533</f>
        <v/>
      </c>
      <c r="Y535" s="19">
        <f>i_T_var*Y533</f>
        <v/>
      </c>
      <c r="Z535" s="19">
        <f>i_T_var*Z533</f>
        <v/>
      </c>
      <c r="AA535" s="19">
        <f>i_T_var*AA533</f>
        <v/>
      </c>
      <c r="AB535" s="19">
        <f>i_T_var*AB533</f>
        <v/>
      </c>
      <c r="AC535" s="19">
        <f>i_T_var*AC533</f>
        <v/>
      </c>
      <c r="AD535" s="19">
        <f>i_T_var*AD533</f>
        <v/>
      </c>
      <c r="AE535" s="19">
        <f>i_T_var*AE533</f>
        <v/>
      </c>
      <c r="AF535" s="19">
        <f>i_T_var*AF533</f>
        <v/>
      </c>
      <c r="AG535" s="19">
        <f>i_T_var*AG533</f>
        <v/>
      </c>
      <c r="AH535" s="19">
        <f>i_T_var*AH533</f>
        <v/>
      </c>
      <c r="AI535" s="19">
        <f>i_T_var*AI533</f>
        <v/>
      </c>
    </row>
    <row r="536">
      <c r="B536" s="2" t="inlineStr">
        <is>
          <t xml:space="preserve">  Operating cost</t>
        </is>
      </c>
      <c r="D536" s="19">
        <f>D534+D535</f>
        <v/>
      </c>
      <c r="E536" s="19">
        <f>E534+E535</f>
        <v/>
      </c>
      <c r="F536" s="19">
        <f>F534+F535</f>
        <v/>
      </c>
      <c r="G536" s="19">
        <f>G534+G535</f>
        <v/>
      </c>
      <c r="H536" s="19">
        <f>H534+H535</f>
        <v/>
      </c>
      <c r="I536" s="19">
        <f>I534+I535</f>
        <v/>
      </c>
      <c r="J536" s="19">
        <f>J534+J535</f>
        <v/>
      </c>
      <c r="K536" s="19">
        <f>K534+K535</f>
        <v/>
      </c>
      <c r="L536" s="19">
        <f>L534+L535</f>
        <v/>
      </c>
      <c r="M536" s="19">
        <f>M534+M535</f>
        <v/>
      </c>
      <c r="N536" s="19">
        <f>N534+N535</f>
        <v/>
      </c>
      <c r="O536" s="19">
        <f>O534+O535</f>
        <v/>
      </c>
      <c r="P536" s="19">
        <f>P534+P535</f>
        <v/>
      </c>
      <c r="Q536" s="19">
        <f>Q534+Q535</f>
        <v/>
      </c>
      <c r="R536" s="19">
        <f>R534+R535</f>
        <v/>
      </c>
      <c r="S536" s="19">
        <f>S534+S535</f>
        <v/>
      </c>
      <c r="T536" s="19">
        <f>T534+T535</f>
        <v/>
      </c>
      <c r="U536" s="19">
        <f>U534+U535</f>
        <v/>
      </c>
      <c r="V536" s="19">
        <f>V534+V535</f>
        <v/>
      </c>
      <c r="W536" s="19">
        <f>W534+W535</f>
        <v/>
      </c>
      <c r="X536" s="19">
        <f>X534+X535</f>
        <v/>
      </c>
      <c r="Y536" s="19">
        <f>Y534+Y535</f>
        <v/>
      </c>
      <c r="Z536" s="19">
        <f>Z534+Z535</f>
        <v/>
      </c>
      <c r="AA536" s="19">
        <f>AA534+AA535</f>
        <v/>
      </c>
      <c r="AB536" s="19">
        <f>AB534+AB535</f>
        <v/>
      </c>
      <c r="AC536" s="19">
        <f>AC534+AC535</f>
        <v/>
      </c>
      <c r="AD536" s="19">
        <f>AD534+AD535</f>
        <v/>
      </c>
      <c r="AE536" s="19">
        <f>AE534+AE535</f>
        <v/>
      </c>
      <c r="AF536" s="19">
        <f>AF534+AF535</f>
        <v/>
      </c>
      <c r="AG536" s="19">
        <f>AG534+AG535</f>
        <v/>
      </c>
      <c r="AH536" s="19">
        <f>AH534+AH535</f>
        <v/>
      </c>
      <c r="AI536" s="19">
        <f>AI534+AI535</f>
        <v/>
      </c>
    </row>
    <row r="537">
      <c r="B537" s="3" t="inlineStr">
        <is>
          <t xml:space="preserve">  EBITDA</t>
        </is>
      </c>
      <c r="D537" s="31">
        <f>D533-D536</f>
        <v/>
      </c>
      <c r="E537" s="31">
        <f>E533-E536</f>
        <v/>
      </c>
      <c r="F537" s="31">
        <f>F533-F536</f>
        <v/>
      </c>
      <c r="G537" s="31">
        <f>G533-G536</f>
        <v/>
      </c>
      <c r="H537" s="31">
        <f>H533-H536</f>
        <v/>
      </c>
      <c r="I537" s="31">
        <f>I533-I536</f>
        <v/>
      </c>
      <c r="J537" s="31">
        <f>J533-J536</f>
        <v/>
      </c>
      <c r="K537" s="31">
        <f>K533-K536</f>
        <v/>
      </c>
      <c r="L537" s="31">
        <f>L533-L536</f>
        <v/>
      </c>
      <c r="M537" s="31">
        <f>M533-M536</f>
        <v/>
      </c>
      <c r="N537" s="31">
        <f>N533-N536</f>
        <v/>
      </c>
      <c r="O537" s="31">
        <f>O533-O536</f>
        <v/>
      </c>
      <c r="P537" s="31">
        <f>P533-P536</f>
        <v/>
      </c>
      <c r="Q537" s="31">
        <f>Q533-Q536</f>
        <v/>
      </c>
      <c r="R537" s="31">
        <f>R533-R536</f>
        <v/>
      </c>
      <c r="S537" s="31">
        <f>S533-S536</f>
        <v/>
      </c>
      <c r="T537" s="31">
        <f>T533-T536</f>
        <v/>
      </c>
      <c r="U537" s="31">
        <f>U533-U536</f>
        <v/>
      </c>
      <c r="V537" s="31">
        <f>V533-V536</f>
        <v/>
      </c>
      <c r="W537" s="31">
        <f>W533-W536</f>
        <v/>
      </c>
      <c r="X537" s="31">
        <f>X533-X536</f>
        <v/>
      </c>
      <c r="Y537" s="31">
        <f>Y533-Y536</f>
        <v/>
      </c>
      <c r="Z537" s="31">
        <f>Z533-Z536</f>
        <v/>
      </c>
      <c r="AA537" s="31">
        <f>AA533-AA536</f>
        <v/>
      </c>
      <c r="AB537" s="31">
        <f>AB533-AB536</f>
        <v/>
      </c>
      <c r="AC537" s="31">
        <f>AC533-AC536</f>
        <v/>
      </c>
      <c r="AD537" s="31">
        <f>AD533-AD536</f>
        <v/>
      </c>
      <c r="AE537" s="31">
        <f>AE533-AE536</f>
        <v/>
      </c>
      <c r="AF537" s="31">
        <f>AF533-AF536</f>
        <v/>
      </c>
      <c r="AG537" s="31">
        <f>AG533-AG536</f>
        <v/>
      </c>
      <c r="AH537" s="31">
        <f>AH533-AH536</f>
        <v/>
      </c>
      <c r="AI537" s="31">
        <f>AI533-AI536</f>
        <v/>
      </c>
    </row>
    <row r="538">
      <c r="B538" s="2" t="inlineStr">
        <is>
          <t xml:space="preserve">  Maintenance capex</t>
        </is>
      </c>
      <c r="D538" s="19">
        <f>D525*i_T_mc*D489</f>
        <v/>
      </c>
      <c r="E538" s="19">
        <f>E525*i_T_mc*E489</f>
        <v/>
      </c>
      <c r="F538" s="19">
        <f>F525*i_T_mc*F489</f>
        <v/>
      </c>
      <c r="G538" s="19">
        <f>G525*i_T_mc*G489</f>
        <v/>
      </c>
      <c r="H538" s="19">
        <f>H525*i_T_mc*H489</f>
        <v/>
      </c>
      <c r="I538" s="19">
        <f>I525*i_T_mc*I489</f>
        <v/>
      </c>
      <c r="J538" s="19">
        <f>J525*i_T_mc*J489</f>
        <v/>
      </c>
      <c r="K538" s="19">
        <f>K525*i_T_mc*K489</f>
        <v/>
      </c>
      <c r="L538" s="19">
        <f>L525*i_T_mc*L489</f>
        <v/>
      </c>
      <c r="M538" s="19">
        <f>M525*i_T_mc*M489</f>
        <v/>
      </c>
      <c r="N538" s="19">
        <f>N525*i_T_mc*N489</f>
        <v/>
      </c>
      <c r="O538" s="19">
        <f>O525*i_T_mc*O489</f>
        <v/>
      </c>
      <c r="P538" s="19">
        <f>P525*i_T_mc*P489</f>
        <v/>
      </c>
      <c r="Q538" s="19">
        <f>Q525*i_T_mc*Q489</f>
        <v/>
      </c>
      <c r="R538" s="19">
        <f>R525*i_T_mc*R489</f>
        <v/>
      </c>
      <c r="S538" s="19">
        <f>S525*i_T_mc*S489</f>
        <v/>
      </c>
      <c r="T538" s="19">
        <f>T525*i_T_mc*T489</f>
        <v/>
      </c>
      <c r="U538" s="19">
        <f>U525*i_T_mc*U489</f>
        <v/>
      </c>
      <c r="V538" s="19">
        <f>V525*i_T_mc*V489</f>
        <v/>
      </c>
      <c r="W538" s="19">
        <f>W525*i_T_mc*W489</f>
        <v/>
      </c>
      <c r="X538" s="19">
        <f>X525*i_T_mc*X489</f>
        <v/>
      </c>
      <c r="Y538" s="19">
        <f>Y525*i_T_mc*Y489</f>
        <v/>
      </c>
      <c r="Z538" s="19">
        <f>Z525*i_T_mc*Z489</f>
        <v/>
      </c>
      <c r="AA538" s="19">
        <f>AA525*i_T_mc*AA489</f>
        <v/>
      </c>
      <c r="AB538" s="19">
        <f>AB525*i_T_mc*AB489</f>
        <v/>
      </c>
      <c r="AC538" s="19">
        <f>AC525*i_T_mc*AC489</f>
        <v/>
      </c>
      <c r="AD538" s="19">
        <f>AD525*i_T_mc*AD489</f>
        <v/>
      </c>
      <c r="AE538" s="19">
        <f>AE525*i_T_mc*AE489</f>
        <v/>
      </c>
      <c r="AF538" s="19">
        <f>AF525*i_T_mc*AF489</f>
        <v/>
      </c>
      <c r="AG538" s="19">
        <f>AG525*i_T_mc*AG489</f>
        <v/>
      </c>
      <c r="AH538" s="19">
        <f>AH525*i_T_mc*AH489</f>
        <v/>
      </c>
      <c r="AI538" s="19">
        <f>AI525*i_T_mc*AI489</f>
        <v/>
      </c>
    </row>
    <row r="539">
      <c r="B539" s="3" t="inlineStr">
        <is>
          <t>Sabine Bend</t>
        </is>
      </c>
    </row>
    <row r="540">
      <c r="B540" s="2" t="inlineStr">
        <is>
          <t xml:space="preserve">  Capacity in service (million m3)</t>
        </is>
      </c>
      <c r="D540" s="24">
        <f>i_G_cap</f>
        <v/>
      </c>
      <c r="E540" s="24">
        <f>i_G_cap</f>
        <v/>
      </c>
      <c r="F540" s="24">
        <f>i_G_cap</f>
        <v/>
      </c>
      <c r="G540" s="24">
        <f>i_G_cap</f>
        <v/>
      </c>
      <c r="H540" s="24">
        <f>i_G_cap</f>
        <v/>
      </c>
      <c r="I540" s="24">
        <f>i_G_cap</f>
        <v/>
      </c>
      <c r="J540" s="24">
        <f>i_G_cap</f>
        <v/>
      </c>
      <c r="K540" s="24">
        <f>i_G_cap</f>
        <v/>
      </c>
      <c r="L540" s="24">
        <f>i_G_cap</f>
        <v/>
      </c>
      <c r="M540" s="24">
        <f>i_G_cap</f>
        <v/>
      </c>
      <c r="N540" s="24">
        <f>i_G_cap</f>
        <v/>
      </c>
      <c r="O540" s="24">
        <f>i_G_cap</f>
        <v/>
      </c>
      <c r="P540" s="24">
        <f>i_G_cap</f>
        <v/>
      </c>
      <c r="Q540" s="24">
        <f>i_G_cap</f>
        <v/>
      </c>
      <c r="R540" s="24">
        <f>i_G_cap</f>
        <v/>
      </c>
      <c r="S540" s="24">
        <f>i_G_cap</f>
        <v/>
      </c>
      <c r="T540" s="24">
        <f>i_G_cap</f>
        <v/>
      </c>
      <c r="U540" s="24">
        <f>i_G_cap</f>
        <v/>
      </c>
      <c r="V540" s="24">
        <f>i_G_cap</f>
        <v/>
      </c>
      <c r="W540" s="24">
        <f>i_G_cap</f>
        <v/>
      </c>
      <c r="X540" s="24">
        <f>i_G_cap</f>
        <v/>
      </c>
      <c r="Y540" s="24">
        <f>i_G_cap</f>
        <v/>
      </c>
      <c r="Z540" s="24">
        <f>i_G_cap</f>
        <v/>
      </c>
      <c r="AA540" s="24">
        <f>i_G_cap</f>
        <v/>
      </c>
      <c r="AB540" s="24">
        <f>i_G_cap</f>
        <v/>
      </c>
      <c r="AC540" s="24">
        <f>i_G_cap</f>
        <v/>
      </c>
      <c r="AD540" s="24">
        <f>i_G_cap</f>
        <v/>
      </c>
      <c r="AE540" s="24">
        <f>i_G_cap</f>
        <v/>
      </c>
      <c r="AF540" s="24">
        <f>i_G_cap</f>
        <v/>
      </c>
      <c r="AG540" s="24">
        <f>i_G_cap</f>
        <v/>
      </c>
      <c r="AH540" s="24">
        <f>i_G_cap</f>
        <v/>
      </c>
      <c r="AI540" s="24">
        <f>i_G_cap</f>
        <v/>
      </c>
    </row>
    <row r="541">
      <c r="B541" s="2" t="inlineStr">
        <is>
          <t xml:space="preserve">  Share on contracts signed before 2027</t>
        </is>
      </c>
      <c r="D541" s="21">
        <f>SUMIF(i_book_years,D$3,i_G_book)</f>
        <v/>
      </c>
      <c r="E541" s="21">
        <f>SUMIF(i_book_years,E$3,i_G_book)</f>
        <v/>
      </c>
      <c r="F541" s="21">
        <f>SUMIF(i_book_years,F$3,i_G_book)</f>
        <v/>
      </c>
      <c r="G541" s="21">
        <f>SUMIF(i_book_years,G$3,i_G_book)</f>
        <v/>
      </c>
      <c r="H541" s="21">
        <f>SUMIF(i_book_years,H$3,i_G_book)</f>
        <v/>
      </c>
      <c r="I541" s="21">
        <f>SUMIF(i_book_years,I$3,i_G_book)</f>
        <v/>
      </c>
      <c r="J541" s="21">
        <f>SUMIF(i_book_years,J$3,i_G_book)</f>
        <v/>
      </c>
      <c r="K541" s="21">
        <f>SUMIF(i_book_years,K$3,i_G_book)</f>
        <v/>
      </c>
      <c r="L541" s="21">
        <f>SUMIF(i_book_years,L$3,i_G_book)</f>
        <v/>
      </c>
      <c r="M541" s="21">
        <f>SUMIF(i_book_years,M$3,i_G_book)</f>
        <v/>
      </c>
      <c r="N541" s="21">
        <f>SUMIF(i_book_years,N$3,i_G_book)</f>
        <v/>
      </c>
      <c r="O541" s="21">
        <f>SUMIF(i_book_years,O$3,i_G_book)</f>
        <v/>
      </c>
      <c r="P541" s="21">
        <f>SUMIF(i_book_years,P$3,i_G_book)</f>
        <v/>
      </c>
      <c r="Q541" s="21">
        <f>SUMIF(i_book_years,Q$3,i_G_book)</f>
        <v/>
      </c>
      <c r="R541" s="21">
        <f>SUMIF(i_book_years,R$3,i_G_book)</f>
        <v/>
      </c>
      <c r="S541" s="21">
        <f>SUMIF(i_book_years,S$3,i_G_book)</f>
        <v/>
      </c>
      <c r="T541" s="21">
        <f>SUMIF(i_book_years,T$3,i_G_book)</f>
        <v/>
      </c>
      <c r="U541" s="21">
        <f>SUMIF(i_book_years,U$3,i_G_book)</f>
        <v/>
      </c>
      <c r="V541" s="21">
        <f>SUMIF(i_book_years,V$3,i_G_book)</f>
        <v/>
      </c>
      <c r="W541" s="21">
        <f>SUMIF(i_book_years,W$3,i_G_book)</f>
        <v/>
      </c>
      <c r="X541" s="21">
        <f>SUMIF(i_book_years,X$3,i_G_book)</f>
        <v/>
      </c>
      <c r="Y541" s="21">
        <f>SUMIF(i_book_years,Y$3,i_G_book)</f>
        <v/>
      </c>
      <c r="Z541" s="21">
        <f>SUMIF(i_book_years,Z$3,i_G_book)</f>
        <v/>
      </c>
      <c r="AA541" s="21">
        <f>SUMIF(i_book_years,AA$3,i_G_book)</f>
        <v/>
      </c>
      <c r="AB541" s="21">
        <f>SUMIF(i_book_years,AB$3,i_G_book)</f>
        <v/>
      </c>
      <c r="AC541" s="21">
        <f>SUMIF(i_book_years,AC$3,i_G_book)</f>
        <v/>
      </c>
      <c r="AD541" s="21">
        <f>SUMIF(i_book_years,AD$3,i_G_book)</f>
        <v/>
      </c>
      <c r="AE541" s="21">
        <f>SUMIF(i_book_years,AE$3,i_G_book)</f>
        <v/>
      </c>
      <c r="AF541" s="21">
        <f>SUMIF(i_book_years,AF$3,i_G_book)</f>
        <v/>
      </c>
      <c r="AG541" s="21">
        <f>SUMIF(i_book_years,AG$3,i_G_book)</f>
        <v/>
      </c>
      <c r="AH541" s="21">
        <f>SUMIF(i_book_years,AH$3,i_G_book)</f>
        <v/>
      </c>
      <c r="AI541" s="21">
        <f>SUMIF(i_book_years,AI$3,i_G_book)</f>
        <v/>
      </c>
    </row>
    <row r="542">
      <c r="B542" s="2" t="inlineStr">
        <is>
          <t xml:space="preserve">  Recontracting factor against current rates</t>
        </is>
      </c>
      <c r="D542" s="21">
        <f>IF(D$4=0,0,IF(Diligence!$C$479=1,i_G_mtm,i_G_mtm_plan)+Diligence!$C$485)</f>
        <v/>
      </c>
      <c r="E542" s="21">
        <f>IF(E$4=0,0,IF(Diligence!$C$479=1,i_G_mtm,i_G_mtm_plan)+Diligence!$C$485)</f>
        <v/>
      </c>
      <c r="F542" s="21">
        <f>IF(F$4=0,0,IF(Diligence!$C$479=1,i_G_mtm,i_G_mtm_plan)+Diligence!$C$485)</f>
        <v/>
      </c>
      <c r="G542" s="21">
        <f>IF(G$4=0,0,IF(Diligence!$C$479=1,i_G_mtm,i_G_mtm_plan)+Diligence!$C$485)</f>
        <v/>
      </c>
      <c r="H542" s="21">
        <f>IF(H$4=0,0,IF(Diligence!$C$479=1,i_G_mtm,i_G_mtm_plan)+Diligence!$C$485)</f>
        <v/>
      </c>
      <c r="I542" s="21">
        <f>IF(I$4=0,0,IF(Diligence!$C$479=1,i_G_mtm,i_G_mtm_plan)+Diligence!$C$485)</f>
        <v/>
      </c>
      <c r="J542" s="21">
        <f>IF(J$4=0,0,IF(Diligence!$C$479=1,i_G_mtm,i_G_mtm_plan)+Diligence!$C$485)</f>
        <v/>
      </c>
      <c r="K542" s="21">
        <f>IF(K$4=0,0,IF(Diligence!$C$479=1,i_G_mtm,i_G_mtm_plan)+Diligence!$C$485)</f>
        <v/>
      </c>
      <c r="L542" s="21">
        <f>IF(L$4=0,0,IF(Diligence!$C$479=1,i_G_mtm,i_G_mtm_plan)+Diligence!$C$485)</f>
        <v/>
      </c>
      <c r="M542" s="21">
        <f>IF(M$4=0,0,IF(Diligence!$C$479=1,i_G_mtm,i_G_mtm_plan)+Diligence!$C$485)</f>
        <v/>
      </c>
      <c r="N542" s="21">
        <f>IF(N$4=0,0,IF(Diligence!$C$479=1,i_G_mtm,i_G_mtm_plan)+Diligence!$C$485)</f>
        <v/>
      </c>
      <c r="O542" s="21">
        <f>IF(O$4=0,0,IF(Diligence!$C$479=1,i_G_mtm,i_G_mtm_plan)+Diligence!$C$485)</f>
        <v/>
      </c>
      <c r="P542" s="21">
        <f>IF(P$4=0,0,IF(Diligence!$C$479=1,i_G_mtm,i_G_mtm_plan)+Diligence!$C$485)</f>
        <v/>
      </c>
      <c r="Q542" s="21">
        <f>IF(Q$4=0,0,IF(Diligence!$C$479=1,i_G_mtm,i_G_mtm_plan)+Diligence!$C$485)</f>
        <v/>
      </c>
      <c r="R542" s="21">
        <f>IF(R$4=0,0,IF(Diligence!$C$479=1,i_G_mtm,i_G_mtm_plan)+Diligence!$C$485)</f>
        <v/>
      </c>
      <c r="S542" s="21">
        <f>IF(S$4=0,0,IF(Diligence!$C$479=1,i_G_mtm,i_G_mtm_plan)+Diligence!$C$485)</f>
        <v/>
      </c>
      <c r="T542" s="21">
        <f>IF(T$4=0,0,IF(Diligence!$C$479=1,i_G_mtm,i_G_mtm_plan)+Diligence!$C$485)</f>
        <v/>
      </c>
      <c r="U542" s="21">
        <f>IF(U$4=0,0,IF(Diligence!$C$479=1,i_G_mtm,i_G_mtm_plan)+Diligence!$C$485)</f>
        <v/>
      </c>
      <c r="V542" s="21">
        <f>IF(V$4=0,0,IF(Diligence!$C$479=1,i_G_mtm,i_G_mtm_plan)+Diligence!$C$485)</f>
        <v/>
      </c>
      <c r="W542" s="21">
        <f>IF(W$4=0,0,IF(Diligence!$C$479=1,i_G_mtm,i_G_mtm_plan)+Diligence!$C$485)</f>
        <v/>
      </c>
      <c r="X542" s="21">
        <f>IF(X$4=0,0,IF(Diligence!$C$479=1,i_G_mtm,i_G_mtm_plan)+Diligence!$C$485)</f>
        <v/>
      </c>
      <c r="Y542" s="21">
        <f>IF(Y$4=0,0,IF(Diligence!$C$479=1,i_G_mtm,i_G_mtm_plan)+Diligence!$C$485)</f>
        <v/>
      </c>
      <c r="Z542" s="21">
        <f>IF(Z$4=0,0,IF(Diligence!$C$479=1,i_G_mtm,i_G_mtm_plan)+Diligence!$C$485)</f>
        <v/>
      </c>
      <c r="AA542" s="21">
        <f>IF(AA$4=0,0,IF(Diligence!$C$479=1,i_G_mtm,i_G_mtm_plan)+Diligence!$C$485)</f>
        <v/>
      </c>
      <c r="AB542" s="21">
        <f>IF(AB$4=0,0,IF(Diligence!$C$479=1,i_G_mtm,i_G_mtm_plan)+Diligence!$C$485)</f>
        <v/>
      </c>
      <c r="AC542" s="21">
        <f>IF(AC$4=0,0,IF(Diligence!$C$479=1,i_G_mtm,i_G_mtm_plan)+Diligence!$C$485)</f>
        <v/>
      </c>
      <c r="AD542" s="21">
        <f>IF(AD$4=0,0,IF(Diligence!$C$479=1,i_G_mtm,i_G_mtm_plan)+Diligence!$C$485)</f>
        <v/>
      </c>
      <c r="AE542" s="21">
        <f>IF(AE$4=0,0,IF(Diligence!$C$479=1,i_G_mtm,i_G_mtm_plan)+Diligence!$C$485)</f>
        <v/>
      </c>
      <c r="AF542" s="21">
        <f>IF(AF$4=0,0,IF(Diligence!$C$479=1,i_G_mtm,i_G_mtm_plan)+Diligence!$C$485)</f>
        <v/>
      </c>
      <c r="AG542" s="21">
        <f>IF(AG$4=0,0,IF(Diligence!$C$479=1,i_G_mtm,i_G_mtm_plan)+Diligence!$C$485)</f>
        <v/>
      </c>
      <c r="AH542" s="21">
        <f>IF(AH$4=0,0,IF(Diligence!$C$479=1,i_G_mtm,i_G_mtm_plan)+Diligence!$C$485)</f>
        <v/>
      </c>
      <c r="AI542" s="21">
        <f>IF(AI$4=0,0,IF(Diligence!$C$479=1,i_G_mtm,i_G_mtm_plan)+Diligence!$C$485)</f>
        <v/>
      </c>
    </row>
    <row r="543">
      <c r="B543" s="2" t="inlineStr">
        <is>
          <t xml:space="preserve">  Average rate ($ per m3 per month)</t>
        </is>
      </c>
      <c r="D543" s="24">
        <f>i_G_rate*D490*(D541+(1-D541)*(1+D542))</f>
        <v/>
      </c>
      <c r="E543" s="24">
        <f>i_G_rate*E490*(E541+(1-E541)*(1+E542))</f>
        <v/>
      </c>
      <c r="F543" s="24">
        <f>i_G_rate*F490*(F541+(1-F541)*(1+F542))</f>
        <v/>
      </c>
      <c r="G543" s="24">
        <f>i_G_rate*G490*(G541+(1-G541)*(1+G542))</f>
        <v/>
      </c>
      <c r="H543" s="24">
        <f>i_G_rate*H490*(H541+(1-H541)*(1+H542))</f>
        <v/>
      </c>
      <c r="I543" s="24">
        <f>i_G_rate*I490*(I541+(1-I541)*(1+I542))</f>
        <v/>
      </c>
      <c r="J543" s="24">
        <f>i_G_rate*J490*(J541+(1-J541)*(1+J542))</f>
        <v/>
      </c>
      <c r="K543" s="24">
        <f>i_G_rate*K490*(K541+(1-K541)*(1+K542))</f>
        <v/>
      </c>
      <c r="L543" s="24">
        <f>i_G_rate*L490*(L541+(1-L541)*(1+L542))</f>
        <v/>
      </c>
      <c r="M543" s="24">
        <f>i_G_rate*M490*(M541+(1-M541)*(1+M542))</f>
        <v/>
      </c>
      <c r="N543" s="24">
        <f>i_G_rate*N490*(N541+(1-N541)*(1+N542))</f>
        <v/>
      </c>
      <c r="O543" s="24">
        <f>i_G_rate*O490*(O541+(1-O541)*(1+O542))</f>
        <v/>
      </c>
      <c r="P543" s="24">
        <f>i_G_rate*P490*(P541+(1-P541)*(1+P542))</f>
        <v/>
      </c>
      <c r="Q543" s="24">
        <f>i_G_rate*Q490*(Q541+(1-Q541)*(1+Q542))</f>
        <v/>
      </c>
      <c r="R543" s="24">
        <f>i_G_rate*R490*(R541+(1-R541)*(1+R542))</f>
        <v/>
      </c>
      <c r="S543" s="24">
        <f>i_G_rate*S490*(S541+(1-S541)*(1+S542))</f>
        <v/>
      </c>
      <c r="T543" s="24">
        <f>i_G_rate*T490*(T541+(1-T541)*(1+T542))</f>
        <v/>
      </c>
      <c r="U543" s="24">
        <f>i_G_rate*U490*(U541+(1-U541)*(1+U542))</f>
        <v/>
      </c>
      <c r="V543" s="24">
        <f>i_G_rate*V490*(V541+(1-V541)*(1+V542))</f>
        <v/>
      </c>
      <c r="W543" s="24">
        <f>i_G_rate*W490*(W541+(1-W541)*(1+W542))</f>
        <v/>
      </c>
      <c r="X543" s="24">
        <f>i_G_rate*X490*(X541+(1-X541)*(1+X542))</f>
        <v/>
      </c>
      <c r="Y543" s="24">
        <f>i_G_rate*Y490*(Y541+(1-Y541)*(1+Y542))</f>
        <v/>
      </c>
      <c r="Z543" s="24">
        <f>i_G_rate*Z490*(Z541+(1-Z541)*(1+Z542))</f>
        <v/>
      </c>
      <c r="AA543" s="24">
        <f>i_G_rate*AA490*(AA541+(1-AA541)*(1+AA542))</f>
        <v/>
      </c>
      <c r="AB543" s="24">
        <f>i_G_rate*AB490*(AB541+(1-AB541)*(1+AB542))</f>
        <v/>
      </c>
      <c r="AC543" s="24">
        <f>i_G_rate*AC490*(AC541+(1-AC541)*(1+AC542))</f>
        <v/>
      </c>
      <c r="AD543" s="24">
        <f>i_G_rate*AD490*(AD541+(1-AD541)*(1+AD542))</f>
        <v/>
      </c>
      <c r="AE543" s="24">
        <f>i_G_rate*AE490*(AE541+(1-AE541)*(1+AE542))</f>
        <v/>
      </c>
      <c r="AF543" s="24">
        <f>i_G_rate*AF490*(AF541+(1-AF541)*(1+AF542))</f>
        <v/>
      </c>
      <c r="AG543" s="24">
        <f>i_G_rate*AG490*(AG541+(1-AG541)*(1+AG542))</f>
        <v/>
      </c>
      <c r="AH543" s="24">
        <f>i_G_rate*AH490*(AH541+(1-AH541)*(1+AH542))</f>
        <v/>
      </c>
      <c r="AI543" s="24">
        <f>i_G_rate*AI490*(AI541+(1-AI541)*(1+AI542))</f>
        <v/>
      </c>
    </row>
    <row r="544">
      <c r="B544" s="2" t="inlineStr">
        <is>
          <t xml:space="preserve">  Occupancy after the transition decline and floor</t>
        </is>
      </c>
      <c r="D544" s="21">
        <f>IF(D$3&gt;i_trans_start,MAX(i_G_floor,i_G_occ-i_G_dec*(D$3-i_trans_start)),i_G_occ)</f>
        <v/>
      </c>
      <c r="E544" s="21">
        <f>IF(E$3&gt;i_trans_start,MAX(i_G_floor,i_G_occ-i_G_dec*(E$3-i_trans_start)),i_G_occ)</f>
        <v/>
      </c>
      <c r="F544" s="21">
        <f>IF(F$3&gt;i_trans_start,MAX(i_G_floor,i_G_occ-i_G_dec*(F$3-i_trans_start)),i_G_occ)</f>
        <v/>
      </c>
      <c r="G544" s="21">
        <f>IF(G$3&gt;i_trans_start,MAX(i_G_floor,i_G_occ-i_G_dec*(G$3-i_trans_start)),i_G_occ)</f>
        <v/>
      </c>
      <c r="H544" s="21">
        <f>IF(H$3&gt;i_trans_start,MAX(i_G_floor,i_G_occ-i_G_dec*(H$3-i_trans_start)),i_G_occ)</f>
        <v/>
      </c>
      <c r="I544" s="21">
        <f>IF(I$3&gt;i_trans_start,MAX(i_G_floor,i_G_occ-i_G_dec*(I$3-i_trans_start)),i_G_occ)</f>
        <v/>
      </c>
      <c r="J544" s="21">
        <f>IF(J$3&gt;i_trans_start,MAX(i_G_floor,i_G_occ-i_G_dec*(J$3-i_trans_start)),i_G_occ)</f>
        <v/>
      </c>
      <c r="K544" s="21">
        <f>IF(K$3&gt;i_trans_start,MAX(i_G_floor,i_G_occ-i_G_dec*(K$3-i_trans_start)),i_G_occ)</f>
        <v/>
      </c>
      <c r="L544" s="21">
        <f>IF(L$3&gt;i_trans_start,MAX(i_G_floor,i_G_occ-i_G_dec*(L$3-i_trans_start)),i_G_occ)</f>
        <v/>
      </c>
      <c r="M544" s="21">
        <f>IF(M$3&gt;i_trans_start,MAX(i_G_floor,i_G_occ-i_G_dec*(M$3-i_trans_start)),i_G_occ)</f>
        <v/>
      </c>
      <c r="N544" s="21">
        <f>IF(N$3&gt;i_trans_start,MAX(i_G_floor,i_G_occ-i_G_dec*(N$3-i_trans_start)),i_G_occ)</f>
        <v/>
      </c>
      <c r="O544" s="21">
        <f>IF(O$3&gt;i_trans_start,MAX(i_G_floor,i_G_occ-i_G_dec*(O$3-i_trans_start)),i_G_occ)</f>
        <v/>
      </c>
      <c r="P544" s="21">
        <f>IF(P$3&gt;i_trans_start,MAX(i_G_floor,i_G_occ-i_G_dec*(P$3-i_trans_start)),i_G_occ)</f>
        <v/>
      </c>
      <c r="Q544" s="21">
        <f>IF(Q$3&gt;i_trans_start,MAX(i_G_floor,i_G_occ-i_G_dec*(Q$3-i_trans_start)),i_G_occ)</f>
        <v/>
      </c>
      <c r="R544" s="21">
        <f>IF(R$3&gt;i_trans_start,MAX(i_G_floor,i_G_occ-i_G_dec*(R$3-i_trans_start)),i_G_occ)</f>
        <v/>
      </c>
      <c r="S544" s="21">
        <f>IF(S$3&gt;i_trans_start,MAX(i_G_floor,i_G_occ-i_G_dec*(S$3-i_trans_start)),i_G_occ)</f>
        <v/>
      </c>
      <c r="T544" s="21">
        <f>IF(T$3&gt;i_trans_start,MAX(i_G_floor,i_G_occ-i_G_dec*(T$3-i_trans_start)),i_G_occ)</f>
        <v/>
      </c>
      <c r="U544" s="21">
        <f>IF(U$3&gt;i_trans_start,MAX(i_G_floor,i_G_occ-i_G_dec*(U$3-i_trans_start)),i_G_occ)</f>
        <v/>
      </c>
      <c r="V544" s="21">
        <f>IF(V$3&gt;i_trans_start,MAX(i_G_floor,i_G_occ-i_G_dec*(V$3-i_trans_start)),i_G_occ)</f>
        <v/>
      </c>
      <c r="W544" s="21">
        <f>IF(W$3&gt;i_trans_start,MAX(i_G_floor,i_G_occ-i_G_dec*(W$3-i_trans_start)),i_G_occ)</f>
        <v/>
      </c>
      <c r="X544" s="21">
        <f>IF(X$3&gt;i_trans_start,MAX(i_G_floor,i_G_occ-i_G_dec*(X$3-i_trans_start)),i_G_occ)</f>
        <v/>
      </c>
      <c r="Y544" s="21">
        <f>IF(Y$3&gt;i_trans_start,MAX(i_G_floor,i_G_occ-i_G_dec*(Y$3-i_trans_start)),i_G_occ)</f>
        <v/>
      </c>
      <c r="Z544" s="21">
        <f>IF(Z$3&gt;i_trans_start,MAX(i_G_floor,i_G_occ-i_G_dec*(Z$3-i_trans_start)),i_G_occ)</f>
        <v/>
      </c>
      <c r="AA544" s="21">
        <f>IF(AA$3&gt;i_trans_start,MAX(i_G_floor,i_G_occ-i_G_dec*(AA$3-i_trans_start)),i_G_occ)</f>
        <v/>
      </c>
      <c r="AB544" s="21">
        <f>IF(AB$3&gt;i_trans_start,MAX(i_G_floor,i_G_occ-i_G_dec*(AB$3-i_trans_start)),i_G_occ)</f>
        <v/>
      </c>
      <c r="AC544" s="21">
        <f>IF(AC$3&gt;i_trans_start,MAX(i_G_floor,i_G_occ-i_G_dec*(AC$3-i_trans_start)),i_G_occ)</f>
        <v/>
      </c>
      <c r="AD544" s="21">
        <f>IF(AD$3&gt;i_trans_start,MAX(i_G_floor,i_G_occ-i_G_dec*(AD$3-i_trans_start)),i_G_occ)</f>
        <v/>
      </c>
      <c r="AE544" s="21">
        <f>IF(AE$3&gt;i_trans_start,MAX(i_G_floor,i_G_occ-i_G_dec*(AE$3-i_trans_start)),i_G_occ)</f>
        <v/>
      </c>
      <c r="AF544" s="21">
        <f>IF(AF$3&gt;i_trans_start,MAX(i_G_floor,i_G_occ-i_G_dec*(AF$3-i_trans_start)),i_G_occ)</f>
        <v/>
      </c>
      <c r="AG544" s="21">
        <f>IF(AG$3&gt;i_trans_start,MAX(i_G_floor,i_G_occ-i_G_dec*(AG$3-i_trans_start)),i_G_occ)</f>
        <v/>
      </c>
      <c r="AH544" s="21">
        <f>IF(AH$3&gt;i_trans_start,MAX(i_G_floor,i_G_occ-i_G_dec*(AH$3-i_trans_start)),i_G_occ)</f>
        <v/>
      </c>
      <c r="AI544" s="21">
        <f>IF(AI$3&gt;i_trans_start,MAX(i_G_floor,i_G_occ-i_G_dec*(AI$3-i_trans_start)),i_G_occ)</f>
        <v/>
      </c>
    </row>
    <row r="545">
      <c r="B545" s="2" t="inlineStr">
        <is>
          <t xml:space="preserve">  Occupancy (with the shift switch from 2027)</t>
        </is>
      </c>
      <c r="D545" s="21">
        <f>IF(D$4&gt;0,MIN(1,D544+Diligence!$C$484),D544)</f>
        <v/>
      </c>
      <c r="E545" s="21">
        <f>IF(E$4&gt;0,MIN(1,E544+Diligence!$C$484),E544)</f>
        <v/>
      </c>
      <c r="F545" s="21">
        <f>IF(F$4&gt;0,MIN(1,F544+Diligence!$C$484),F544)</f>
        <v/>
      </c>
      <c r="G545" s="21">
        <f>IF(G$4&gt;0,MIN(1,G544+Diligence!$C$484),G544)</f>
        <v/>
      </c>
      <c r="H545" s="21">
        <f>IF(H$4&gt;0,MIN(1,H544+Diligence!$C$484),H544)</f>
        <v/>
      </c>
      <c r="I545" s="21">
        <f>IF(I$4&gt;0,MIN(1,I544+Diligence!$C$484),I544)</f>
        <v/>
      </c>
      <c r="J545" s="21">
        <f>IF(J$4&gt;0,MIN(1,J544+Diligence!$C$484),J544)</f>
        <v/>
      </c>
      <c r="K545" s="21">
        <f>IF(K$4&gt;0,MIN(1,K544+Diligence!$C$484),K544)</f>
        <v/>
      </c>
      <c r="L545" s="21">
        <f>IF(L$4&gt;0,MIN(1,L544+Diligence!$C$484),L544)</f>
        <v/>
      </c>
      <c r="M545" s="21">
        <f>IF(M$4&gt;0,MIN(1,M544+Diligence!$C$484),M544)</f>
        <v/>
      </c>
      <c r="N545" s="21">
        <f>IF(N$4&gt;0,MIN(1,N544+Diligence!$C$484),N544)</f>
        <v/>
      </c>
      <c r="O545" s="21">
        <f>IF(O$4&gt;0,MIN(1,O544+Diligence!$C$484),O544)</f>
        <v/>
      </c>
      <c r="P545" s="21">
        <f>IF(P$4&gt;0,MIN(1,P544+Diligence!$C$484),P544)</f>
        <v/>
      </c>
      <c r="Q545" s="21">
        <f>IF(Q$4&gt;0,MIN(1,Q544+Diligence!$C$484),Q544)</f>
        <v/>
      </c>
      <c r="R545" s="21">
        <f>IF(R$4&gt;0,MIN(1,R544+Diligence!$C$484),R544)</f>
        <v/>
      </c>
      <c r="S545" s="21">
        <f>IF(S$4&gt;0,MIN(1,S544+Diligence!$C$484),S544)</f>
        <v/>
      </c>
      <c r="T545" s="21">
        <f>IF(T$4&gt;0,MIN(1,T544+Diligence!$C$484),T544)</f>
        <v/>
      </c>
      <c r="U545" s="21">
        <f>IF(U$4&gt;0,MIN(1,U544+Diligence!$C$484),U544)</f>
        <v/>
      </c>
      <c r="V545" s="21">
        <f>IF(V$4&gt;0,MIN(1,V544+Diligence!$C$484),V544)</f>
        <v/>
      </c>
      <c r="W545" s="21">
        <f>IF(W$4&gt;0,MIN(1,W544+Diligence!$C$484),W544)</f>
        <v/>
      </c>
      <c r="X545" s="21">
        <f>IF(X$4&gt;0,MIN(1,X544+Diligence!$C$484),X544)</f>
        <v/>
      </c>
      <c r="Y545" s="21">
        <f>IF(Y$4&gt;0,MIN(1,Y544+Diligence!$C$484),Y544)</f>
        <v/>
      </c>
      <c r="Z545" s="21">
        <f>IF(Z$4&gt;0,MIN(1,Z544+Diligence!$C$484),Z544)</f>
        <v/>
      </c>
      <c r="AA545" s="21">
        <f>IF(AA$4&gt;0,MIN(1,AA544+Diligence!$C$484),AA544)</f>
        <v/>
      </c>
      <c r="AB545" s="21">
        <f>IF(AB$4&gt;0,MIN(1,AB544+Diligence!$C$484),AB544)</f>
        <v/>
      </c>
      <c r="AC545" s="21">
        <f>IF(AC$4&gt;0,MIN(1,AC544+Diligence!$C$484),AC544)</f>
        <v/>
      </c>
      <c r="AD545" s="21">
        <f>IF(AD$4&gt;0,MIN(1,AD544+Diligence!$C$484),AD544)</f>
        <v/>
      </c>
      <c r="AE545" s="21">
        <f>IF(AE$4&gt;0,MIN(1,AE544+Diligence!$C$484),AE544)</f>
        <v/>
      </c>
      <c r="AF545" s="21">
        <f>IF(AF$4&gt;0,MIN(1,AF544+Diligence!$C$484),AF544)</f>
        <v/>
      </c>
      <c r="AG545" s="21">
        <f>IF(AG$4&gt;0,MIN(1,AG544+Diligence!$C$484),AG544)</f>
        <v/>
      </c>
      <c r="AH545" s="21">
        <f>IF(AH$4&gt;0,MIN(1,AH544+Diligence!$C$484),AH544)</f>
        <v/>
      </c>
      <c r="AI545" s="21">
        <f>IF(AI$4&gt;0,MIN(1,AI544+Diligence!$C$484),AI544)</f>
        <v/>
      </c>
    </row>
    <row r="546">
      <c r="B546" s="2" t="inlineStr">
        <is>
          <t xml:space="preserve">  Storage revenue</t>
        </is>
      </c>
      <c r="D546" s="19">
        <f>D540*D543*12*D545</f>
        <v/>
      </c>
      <c r="E546" s="19">
        <f>E540*E543*12*E545</f>
        <v/>
      </c>
      <c r="F546" s="19">
        <f>F540*F543*12*F545</f>
        <v/>
      </c>
      <c r="G546" s="19">
        <f>G540*G543*12*G545</f>
        <v/>
      </c>
      <c r="H546" s="19">
        <f>H540*H543*12*H545</f>
        <v/>
      </c>
      <c r="I546" s="19">
        <f>I540*I543*12*I545</f>
        <v/>
      </c>
      <c r="J546" s="19">
        <f>J540*J543*12*J545</f>
        <v/>
      </c>
      <c r="K546" s="19">
        <f>K540*K543*12*K545</f>
        <v/>
      </c>
      <c r="L546" s="19">
        <f>L540*L543*12*L545</f>
        <v/>
      </c>
      <c r="M546" s="19">
        <f>M540*M543*12*M545</f>
        <v/>
      </c>
      <c r="N546" s="19">
        <f>N540*N543*12*N545</f>
        <v/>
      </c>
      <c r="O546" s="19">
        <f>O540*O543*12*O545</f>
        <v/>
      </c>
      <c r="P546" s="19">
        <f>P540*P543*12*P545</f>
        <v/>
      </c>
      <c r="Q546" s="19">
        <f>Q540*Q543*12*Q545</f>
        <v/>
      </c>
      <c r="R546" s="19">
        <f>R540*R543*12*R545</f>
        <v/>
      </c>
      <c r="S546" s="19">
        <f>S540*S543*12*S545</f>
        <v/>
      </c>
      <c r="T546" s="19">
        <f>T540*T543*12*T545</f>
        <v/>
      </c>
      <c r="U546" s="19">
        <f>U540*U543*12*U545</f>
        <v/>
      </c>
      <c r="V546" s="19">
        <f>V540*V543*12*V545</f>
        <v/>
      </c>
      <c r="W546" s="19">
        <f>W540*W543*12*W545</f>
        <v/>
      </c>
      <c r="X546" s="19">
        <f>X540*X543*12*X545</f>
        <v/>
      </c>
      <c r="Y546" s="19">
        <f>Y540*Y543*12*Y545</f>
        <v/>
      </c>
      <c r="Z546" s="19">
        <f>Z540*Z543*12*Z545</f>
        <v/>
      </c>
      <c r="AA546" s="19">
        <f>AA540*AA543*12*AA545</f>
        <v/>
      </c>
      <c r="AB546" s="19">
        <f>AB540*AB543*12*AB545</f>
        <v/>
      </c>
      <c r="AC546" s="19">
        <f>AC540*AC543*12*AC545</f>
        <v/>
      </c>
      <c r="AD546" s="19">
        <f>AD540*AD543*12*AD545</f>
        <v/>
      </c>
      <c r="AE546" s="19">
        <f>AE540*AE543*12*AE545</f>
        <v/>
      </c>
      <c r="AF546" s="19">
        <f>AF540*AF543*12*AF545</f>
        <v/>
      </c>
      <c r="AG546" s="19">
        <f>AG540*AG543*12*AG545</f>
        <v/>
      </c>
      <c r="AH546" s="19">
        <f>AH540*AH543*12*AH545</f>
        <v/>
      </c>
      <c r="AI546" s="19">
        <f>AI540*AI543*12*AI545</f>
        <v/>
      </c>
    </row>
    <row r="547">
      <c r="B547" s="2" t="inlineStr">
        <is>
          <t xml:space="preserve">  Ancillary and throughput revenue</t>
        </is>
      </c>
      <c r="D547" s="19">
        <f>D546*i_G_anc</f>
        <v/>
      </c>
      <c r="E547" s="19">
        <f>E546*i_G_anc</f>
        <v/>
      </c>
      <c r="F547" s="19">
        <f>F546*i_G_anc</f>
        <v/>
      </c>
      <c r="G547" s="19">
        <f>G546*i_G_anc</f>
        <v/>
      </c>
      <c r="H547" s="19">
        <f>H546*i_G_anc</f>
        <v/>
      </c>
      <c r="I547" s="19">
        <f>I546*i_G_anc</f>
        <v/>
      </c>
      <c r="J547" s="19">
        <f>J546*i_G_anc</f>
        <v/>
      </c>
      <c r="K547" s="19">
        <f>K546*i_G_anc</f>
        <v/>
      </c>
      <c r="L547" s="19">
        <f>L546*i_G_anc</f>
        <v/>
      </c>
      <c r="M547" s="19">
        <f>M546*i_G_anc</f>
        <v/>
      </c>
      <c r="N547" s="19">
        <f>N546*i_G_anc</f>
        <v/>
      </c>
      <c r="O547" s="19">
        <f>O546*i_G_anc</f>
        <v/>
      </c>
      <c r="P547" s="19">
        <f>P546*i_G_anc</f>
        <v/>
      </c>
      <c r="Q547" s="19">
        <f>Q546*i_G_anc</f>
        <v/>
      </c>
      <c r="R547" s="19">
        <f>R546*i_G_anc</f>
        <v/>
      </c>
      <c r="S547" s="19">
        <f>S546*i_G_anc</f>
        <v/>
      </c>
      <c r="T547" s="19">
        <f>T546*i_G_anc</f>
        <v/>
      </c>
      <c r="U547" s="19">
        <f>U546*i_G_anc</f>
        <v/>
      </c>
      <c r="V547" s="19">
        <f>V546*i_G_anc</f>
        <v/>
      </c>
      <c r="W547" s="19">
        <f>W546*i_G_anc</f>
        <v/>
      </c>
      <c r="X547" s="19">
        <f>X546*i_G_anc</f>
        <v/>
      </c>
      <c r="Y547" s="19">
        <f>Y546*i_G_anc</f>
        <v/>
      </c>
      <c r="Z547" s="19">
        <f>Z546*i_G_anc</f>
        <v/>
      </c>
      <c r="AA547" s="19">
        <f>AA546*i_G_anc</f>
        <v/>
      </c>
      <c r="AB547" s="19">
        <f>AB546*i_G_anc</f>
        <v/>
      </c>
      <c r="AC547" s="19">
        <f>AC546*i_G_anc</f>
        <v/>
      </c>
      <c r="AD547" s="19">
        <f>AD546*i_G_anc</f>
        <v/>
      </c>
      <c r="AE547" s="19">
        <f>AE546*i_G_anc</f>
        <v/>
      </c>
      <c r="AF547" s="19">
        <f>AF546*i_G_anc</f>
        <v/>
      </c>
      <c r="AG547" s="19">
        <f>AG546*i_G_anc</f>
        <v/>
      </c>
      <c r="AH547" s="19">
        <f>AH546*i_G_anc</f>
        <v/>
      </c>
      <c r="AI547" s="19">
        <f>AI546*i_G_anc</f>
        <v/>
      </c>
    </row>
    <row r="548">
      <c r="B548" s="3" t="inlineStr">
        <is>
          <t xml:space="preserve">  Revenue</t>
        </is>
      </c>
      <c r="D548" s="31">
        <f>D546+D547</f>
        <v/>
      </c>
      <c r="E548" s="31">
        <f>E546+E547</f>
        <v/>
      </c>
      <c r="F548" s="31">
        <f>F546+F547</f>
        <v/>
      </c>
      <c r="G548" s="31">
        <f>G546+G547</f>
        <v/>
      </c>
      <c r="H548" s="31">
        <f>H546+H547</f>
        <v/>
      </c>
      <c r="I548" s="31">
        <f>I546+I547</f>
        <v/>
      </c>
      <c r="J548" s="31">
        <f>J546+J547</f>
        <v/>
      </c>
      <c r="K548" s="31">
        <f>K546+K547</f>
        <v/>
      </c>
      <c r="L548" s="31">
        <f>L546+L547</f>
        <v/>
      </c>
      <c r="M548" s="31">
        <f>M546+M547</f>
        <v/>
      </c>
      <c r="N548" s="31">
        <f>N546+N547</f>
        <v/>
      </c>
      <c r="O548" s="31">
        <f>O546+O547</f>
        <v/>
      </c>
      <c r="P548" s="31">
        <f>P546+P547</f>
        <v/>
      </c>
      <c r="Q548" s="31">
        <f>Q546+Q547</f>
        <v/>
      </c>
      <c r="R548" s="31">
        <f>R546+R547</f>
        <v/>
      </c>
      <c r="S548" s="31">
        <f>S546+S547</f>
        <v/>
      </c>
      <c r="T548" s="31">
        <f>T546+T547</f>
        <v/>
      </c>
      <c r="U548" s="31">
        <f>U546+U547</f>
        <v/>
      </c>
      <c r="V548" s="31">
        <f>V546+V547</f>
        <v/>
      </c>
      <c r="W548" s="31">
        <f>W546+W547</f>
        <v/>
      </c>
      <c r="X548" s="31">
        <f>X546+X547</f>
        <v/>
      </c>
      <c r="Y548" s="31">
        <f>Y546+Y547</f>
        <v/>
      </c>
      <c r="Z548" s="31">
        <f>Z546+Z547</f>
        <v/>
      </c>
      <c r="AA548" s="31">
        <f>AA546+AA547</f>
        <v/>
      </c>
      <c r="AB548" s="31">
        <f>AB546+AB547</f>
        <v/>
      </c>
      <c r="AC548" s="31">
        <f>AC546+AC547</f>
        <v/>
      </c>
      <c r="AD548" s="31">
        <f>AD546+AD547</f>
        <v/>
      </c>
      <c r="AE548" s="31">
        <f>AE546+AE547</f>
        <v/>
      </c>
      <c r="AF548" s="31">
        <f>AF546+AF547</f>
        <v/>
      </c>
      <c r="AG548" s="31">
        <f>AG546+AG547</f>
        <v/>
      </c>
      <c r="AH548" s="31">
        <f>AH546+AH547</f>
        <v/>
      </c>
      <c r="AI548" s="31">
        <f>AI546+AI547</f>
        <v/>
      </c>
    </row>
    <row r="549">
      <c r="B549" s="2" t="inlineStr">
        <is>
          <t xml:space="preserve">  Fixed cost</t>
        </is>
      </c>
      <c r="D549" s="19">
        <f>D540*i_G_fix*D489</f>
        <v/>
      </c>
      <c r="E549" s="19">
        <f>E540*i_G_fix*E489</f>
        <v/>
      </c>
      <c r="F549" s="19">
        <f>F540*i_G_fix*F489</f>
        <v/>
      </c>
      <c r="G549" s="19">
        <f>G540*i_G_fix*G489</f>
        <v/>
      </c>
      <c r="H549" s="19">
        <f>H540*i_G_fix*H489</f>
        <v/>
      </c>
      <c r="I549" s="19">
        <f>I540*i_G_fix*I489</f>
        <v/>
      </c>
      <c r="J549" s="19">
        <f>J540*i_G_fix*J489</f>
        <v/>
      </c>
      <c r="K549" s="19">
        <f>K540*i_G_fix*K489</f>
        <v/>
      </c>
      <c r="L549" s="19">
        <f>L540*i_G_fix*L489</f>
        <v/>
      </c>
      <c r="M549" s="19">
        <f>M540*i_G_fix*M489</f>
        <v/>
      </c>
      <c r="N549" s="19">
        <f>N540*i_G_fix*N489</f>
        <v/>
      </c>
      <c r="O549" s="19">
        <f>O540*i_G_fix*O489</f>
        <v/>
      </c>
      <c r="P549" s="19">
        <f>P540*i_G_fix*P489</f>
        <v/>
      </c>
      <c r="Q549" s="19">
        <f>Q540*i_G_fix*Q489</f>
        <v/>
      </c>
      <c r="R549" s="19">
        <f>R540*i_G_fix*R489</f>
        <v/>
      </c>
      <c r="S549" s="19">
        <f>S540*i_G_fix*S489</f>
        <v/>
      </c>
      <c r="T549" s="19">
        <f>T540*i_G_fix*T489</f>
        <v/>
      </c>
      <c r="U549" s="19">
        <f>U540*i_G_fix*U489</f>
        <v/>
      </c>
      <c r="V549" s="19">
        <f>V540*i_G_fix*V489</f>
        <v/>
      </c>
      <c r="W549" s="19">
        <f>W540*i_G_fix*W489</f>
        <v/>
      </c>
      <c r="X549" s="19">
        <f>X540*i_G_fix*X489</f>
        <v/>
      </c>
      <c r="Y549" s="19">
        <f>Y540*i_G_fix*Y489</f>
        <v/>
      </c>
      <c r="Z549" s="19">
        <f>Z540*i_G_fix*Z489</f>
        <v/>
      </c>
      <c r="AA549" s="19">
        <f>AA540*i_G_fix*AA489</f>
        <v/>
      </c>
      <c r="AB549" s="19">
        <f>AB540*i_G_fix*AB489</f>
        <v/>
      </c>
      <c r="AC549" s="19">
        <f>AC540*i_G_fix*AC489</f>
        <v/>
      </c>
      <c r="AD549" s="19">
        <f>AD540*i_G_fix*AD489</f>
        <v/>
      </c>
      <c r="AE549" s="19">
        <f>AE540*i_G_fix*AE489</f>
        <v/>
      </c>
      <c r="AF549" s="19">
        <f>AF540*i_G_fix*AF489</f>
        <v/>
      </c>
      <c r="AG549" s="19">
        <f>AG540*i_G_fix*AG489</f>
        <v/>
      </c>
      <c r="AH549" s="19">
        <f>AH540*i_G_fix*AH489</f>
        <v/>
      </c>
      <c r="AI549" s="19">
        <f>AI540*i_G_fix*AI489</f>
        <v/>
      </c>
    </row>
    <row r="550">
      <c r="B550" s="2" t="inlineStr">
        <is>
          <t xml:space="preserve">  Variable cost</t>
        </is>
      </c>
      <c r="D550" s="19">
        <f>i_G_var*D548</f>
        <v/>
      </c>
      <c r="E550" s="19">
        <f>i_G_var*E548</f>
        <v/>
      </c>
      <c r="F550" s="19">
        <f>i_G_var*F548</f>
        <v/>
      </c>
      <c r="G550" s="19">
        <f>i_G_var*G548</f>
        <v/>
      </c>
      <c r="H550" s="19">
        <f>i_G_var*H548</f>
        <v/>
      </c>
      <c r="I550" s="19">
        <f>i_G_var*I548</f>
        <v/>
      </c>
      <c r="J550" s="19">
        <f>i_G_var*J548</f>
        <v/>
      </c>
      <c r="K550" s="19">
        <f>i_G_var*K548</f>
        <v/>
      </c>
      <c r="L550" s="19">
        <f>i_G_var*L548</f>
        <v/>
      </c>
      <c r="M550" s="19">
        <f>i_G_var*M548</f>
        <v/>
      </c>
      <c r="N550" s="19">
        <f>i_G_var*N548</f>
        <v/>
      </c>
      <c r="O550" s="19">
        <f>i_G_var*O548</f>
        <v/>
      </c>
      <c r="P550" s="19">
        <f>i_G_var*P548</f>
        <v/>
      </c>
      <c r="Q550" s="19">
        <f>i_G_var*Q548</f>
        <v/>
      </c>
      <c r="R550" s="19">
        <f>i_G_var*R548</f>
        <v/>
      </c>
      <c r="S550" s="19">
        <f>i_G_var*S548</f>
        <v/>
      </c>
      <c r="T550" s="19">
        <f>i_G_var*T548</f>
        <v/>
      </c>
      <c r="U550" s="19">
        <f>i_G_var*U548</f>
        <v/>
      </c>
      <c r="V550" s="19">
        <f>i_G_var*V548</f>
        <v/>
      </c>
      <c r="W550" s="19">
        <f>i_G_var*W548</f>
        <v/>
      </c>
      <c r="X550" s="19">
        <f>i_G_var*X548</f>
        <v/>
      </c>
      <c r="Y550" s="19">
        <f>i_G_var*Y548</f>
        <v/>
      </c>
      <c r="Z550" s="19">
        <f>i_G_var*Z548</f>
        <v/>
      </c>
      <c r="AA550" s="19">
        <f>i_G_var*AA548</f>
        <v/>
      </c>
      <c r="AB550" s="19">
        <f>i_G_var*AB548</f>
        <v/>
      </c>
      <c r="AC550" s="19">
        <f>i_G_var*AC548</f>
        <v/>
      </c>
      <c r="AD550" s="19">
        <f>i_G_var*AD548</f>
        <v/>
      </c>
      <c r="AE550" s="19">
        <f>i_G_var*AE548</f>
        <v/>
      </c>
      <c r="AF550" s="19">
        <f>i_G_var*AF548</f>
        <v/>
      </c>
      <c r="AG550" s="19">
        <f>i_G_var*AG548</f>
        <v/>
      </c>
      <c r="AH550" s="19">
        <f>i_G_var*AH548</f>
        <v/>
      </c>
      <c r="AI550" s="19">
        <f>i_G_var*AI548</f>
        <v/>
      </c>
    </row>
    <row r="551">
      <c r="B551" s="2" t="inlineStr">
        <is>
          <t xml:space="preserve">  Extra windstorm insurance</t>
        </is>
      </c>
      <c r="D551" s="19">
        <f>IF(D$4&gt;0,Diligence!$C$482*i_g_ins*D489,0)</f>
        <v/>
      </c>
      <c r="E551" s="19">
        <f>IF(E$4&gt;0,Diligence!$C$482*i_g_ins*E489,0)</f>
        <v/>
      </c>
      <c r="F551" s="19">
        <f>IF(F$4&gt;0,Diligence!$C$482*i_g_ins*F489,0)</f>
        <v/>
      </c>
      <c r="G551" s="19">
        <f>IF(G$4&gt;0,Diligence!$C$482*i_g_ins*G489,0)</f>
        <v/>
      </c>
      <c r="H551" s="19">
        <f>IF(H$4&gt;0,Diligence!$C$482*i_g_ins*H489,0)</f>
        <v/>
      </c>
      <c r="I551" s="19">
        <f>IF(I$4&gt;0,Diligence!$C$482*i_g_ins*I489,0)</f>
        <v/>
      </c>
      <c r="J551" s="19">
        <f>IF(J$4&gt;0,Diligence!$C$482*i_g_ins*J489,0)</f>
        <v/>
      </c>
      <c r="K551" s="19">
        <f>IF(K$4&gt;0,Diligence!$C$482*i_g_ins*K489,0)</f>
        <v/>
      </c>
      <c r="L551" s="19">
        <f>IF(L$4&gt;0,Diligence!$C$482*i_g_ins*L489,0)</f>
        <v/>
      </c>
      <c r="M551" s="19">
        <f>IF(M$4&gt;0,Diligence!$C$482*i_g_ins*M489,0)</f>
        <v/>
      </c>
      <c r="N551" s="19">
        <f>IF(N$4&gt;0,Diligence!$C$482*i_g_ins*N489,0)</f>
        <v/>
      </c>
      <c r="O551" s="19">
        <f>IF(O$4&gt;0,Diligence!$C$482*i_g_ins*O489,0)</f>
        <v/>
      </c>
      <c r="P551" s="19">
        <f>IF(P$4&gt;0,Diligence!$C$482*i_g_ins*P489,0)</f>
        <v/>
      </c>
      <c r="Q551" s="19">
        <f>IF(Q$4&gt;0,Diligence!$C$482*i_g_ins*Q489,0)</f>
        <v/>
      </c>
      <c r="R551" s="19">
        <f>IF(R$4&gt;0,Diligence!$C$482*i_g_ins*R489,0)</f>
        <v/>
      </c>
      <c r="S551" s="19">
        <f>IF(S$4&gt;0,Diligence!$C$482*i_g_ins*S489,0)</f>
        <v/>
      </c>
      <c r="T551" s="19">
        <f>IF(T$4&gt;0,Diligence!$C$482*i_g_ins*T489,0)</f>
        <v/>
      </c>
      <c r="U551" s="19">
        <f>IF(U$4&gt;0,Diligence!$C$482*i_g_ins*U489,0)</f>
        <v/>
      </c>
      <c r="V551" s="19">
        <f>IF(V$4&gt;0,Diligence!$C$482*i_g_ins*V489,0)</f>
        <v/>
      </c>
      <c r="W551" s="19">
        <f>IF(W$4&gt;0,Diligence!$C$482*i_g_ins*W489,0)</f>
        <v/>
      </c>
      <c r="X551" s="19">
        <f>IF(X$4&gt;0,Diligence!$C$482*i_g_ins*X489,0)</f>
        <v/>
      </c>
      <c r="Y551" s="19">
        <f>IF(Y$4&gt;0,Diligence!$C$482*i_g_ins*Y489,0)</f>
        <v/>
      </c>
      <c r="Z551" s="19">
        <f>IF(Z$4&gt;0,Diligence!$C$482*i_g_ins*Z489,0)</f>
        <v/>
      </c>
      <c r="AA551" s="19">
        <f>IF(AA$4&gt;0,Diligence!$C$482*i_g_ins*AA489,0)</f>
        <v/>
      </c>
      <c r="AB551" s="19">
        <f>IF(AB$4&gt;0,Diligence!$C$482*i_g_ins*AB489,0)</f>
        <v/>
      </c>
      <c r="AC551" s="19">
        <f>IF(AC$4&gt;0,Diligence!$C$482*i_g_ins*AC489,0)</f>
        <v/>
      </c>
      <c r="AD551" s="19">
        <f>IF(AD$4&gt;0,Diligence!$C$482*i_g_ins*AD489,0)</f>
        <v/>
      </c>
      <c r="AE551" s="19">
        <f>IF(AE$4&gt;0,Diligence!$C$482*i_g_ins*AE489,0)</f>
        <v/>
      </c>
      <c r="AF551" s="19">
        <f>IF(AF$4&gt;0,Diligence!$C$482*i_g_ins*AF489,0)</f>
        <v/>
      </c>
      <c r="AG551" s="19">
        <f>IF(AG$4&gt;0,Diligence!$C$482*i_g_ins*AG489,0)</f>
        <v/>
      </c>
      <c r="AH551" s="19">
        <f>IF(AH$4&gt;0,Diligence!$C$482*i_g_ins*AH489,0)</f>
        <v/>
      </c>
      <c r="AI551" s="19">
        <f>IF(AI$4&gt;0,Diligence!$C$482*i_g_ins*AI489,0)</f>
        <v/>
      </c>
    </row>
    <row r="552">
      <c r="B552" s="2" t="inlineStr">
        <is>
          <t xml:space="preserve">  Operating cost</t>
        </is>
      </c>
      <c r="D552" s="19">
        <f>D549+D550+D551</f>
        <v/>
      </c>
      <c r="E552" s="19">
        <f>E549+E550+E551</f>
        <v/>
      </c>
      <c r="F552" s="19">
        <f>F549+F550+F551</f>
        <v/>
      </c>
      <c r="G552" s="19">
        <f>G549+G550+G551</f>
        <v/>
      </c>
      <c r="H552" s="19">
        <f>H549+H550+H551</f>
        <v/>
      </c>
      <c r="I552" s="19">
        <f>I549+I550+I551</f>
        <v/>
      </c>
      <c r="J552" s="19">
        <f>J549+J550+J551</f>
        <v/>
      </c>
      <c r="K552" s="19">
        <f>K549+K550+K551</f>
        <v/>
      </c>
      <c r="L552" s="19">
        <f>L549+L550+L551</f>
        <v/>
      </c>
      <c r="M552" s="19">
        <f>M549+M550+M551</f>
        <v/>
      </c>
      <c r="N552" s="19">
        <f>N549+N550+N551</f>
        <v/>
      </c>
      <c r="O552" s="19">
        <f>O549+O550+O551</f>
        <v/>
      </c>
      <c r="P552" s="19">
        <f>P549+P550+P551</f>
        <v/>
      </c>
      <c r="Q552" s="19">
        <f>Q549+Q550+Q551</f>
        <v/>
      </c>
      <c r="R552" s="19">
        <f>R549+R550+R551</f>
        <v/>
      </c>
      <c r="S552" s="19">
        <f>S549+S550+S551</f>
        <v/>
      </c>
      <c r="T552" s="19">
        <f>T549+T550+T551</f>
        <v/>
      </c>
      <c r="U552" s="19">
        <f>U549+U550+U551</f>
        <v/>
      </c>
      <c r="V552" s="19">
        <f>V549+V550+V551</f>
        <v/>
      </c>
      <c r="W552" s="19">
        <f>W549+W550+W551</f>
        <v/>
      </c>
      <c r="X552" s="19">
        <f>X549+X550+X551</f>
        <v/>
      </c>
      <c r="Y552" s="19">
        <f>Y549+Y550+Y551</f>
        <v/>
      </c>
      <c r="Z552" s="19">
        <f>Z549+Z550+Z551</f>
        <v/>
      </c>
      <c r="AA552" s="19">
        <f>AA549+AA550+AA551</f>
        <v/>
      </c>
      <c r="AB552" s="19">
        <f>AB549+AB550+AB551</f>
        <v/>
      </c>
      <c r="AC552" s="19">
        <f>AC549+AC550+AC551</f>
        <v/>
      </c>
      <c r="AD552" s="19">
        <f>AD549+AD550+AD551</f>
        <v/>
      </c>
      <c r="AE552" s="19">
        <f>AE549+AE550+AE551</f>
        <v/>
      </c>
      <c r="AF552" s="19">
        <f>AF549+AF550+AF551</f>
        <v/>
      </c>
      <c r="AG552" s="19">
        <f>AG549+AG550+AG551</f>
        <v/>
      </c>
      <c r="AH552" s="19">
        <f>AH549+AH550+AH551</f>
        <v/>
      </c>
      <c r="AI552" s="19">
        <f>AI549+AI550+AI551</f>
        <v/>
      </c>
    </row>
    <row r="553">
      <c r="B553" s="3" t="inlineStr">
        <is>
          <t xml:space="preserve">  EBITDA</t>
        </is>
      </c>
      <c r="D553" s="31">
        <f>D548-D552</f>
        <v/>
      </c>
      <c r="E553" s="31">
        <f>E548-E552</f>
        <v/>
      </c>
      <c r="F553" s="31">
        <f>F548-F552</f>
        <v/>
      </c>
      <c r="G553" s="31">
        <f>G548-G552</f>
        <v/>
      </c>
      <c r="H553" s="31">
        <f>H548-H552</f>
        <v/>
      </c>
      <c r="I553" s="31">
        <f>I548-I552</f>
        <v/>
      </c>
      <c r="J553" s="31">
        <f>J548-J552</f>
        <v/>
      </c>
      <c r="K553" s="31">
        <f>K548-K552</f>
        <v/>
      </c>
      <c r="L553" s="31">
        <f>L548-L552</f>
        <v/>
      </c>
      <c r="M553" s="31">
        <f>M548-M552</f>
        <v/>
      </c>
      <c r="N553" s="31">
        <f>N548-N552</f>
        <v/>
      </c>
      <c r="O553" s="31">
        <f>O548-O552</f>
        <v/>
      </c>
      <c r="P553" s="31">
        <f>P548-P552</f>
        <v/>
      </c>
      <c r="Q553" s="31">
        <f>Q548-Q552</f>
        <v/>
      </c>
      <c r="R553" s="31">
        <f>R548-R552</f>
        <v/>
      </c>
      <c r="S553" s="31">
        <f>S548-S552</f>
        <v/>
      </c>
      <c r="T553" s="31">
        <f>T548-T552</f>
        <v/>
      </c>
      <c r="U553" s="31">
        <f>U548-U552</f>
        <v/>
      </c>
      <c r="V553" s="31">
        <f>V548-V552</f>
        <v/>
      </c>
      <c r="W553" s="31">
        <f>W548-W552</f>
        <v/>
      </c>
      <c r="X553" s="31">
        <f>X548-X552</f>
        <v/>
      </c>
      <c r="Y553" s="31">
        <f>Y548-Y552</f>
        <v/>
      </c>
      <c r="Z553" s="31">
        <f>Z548-Z552</f>
        <v/>
      </c>
      <c r="AA553" s="31">
        <f>AA548-AA552</f>
        <v/>
      </c>
      <c r="AB553" s="31">
        <f>AB548-AB552</f>
        <v/>
      </c>
      <c r="AC553" s="31">
        <f>AC548-AC552</f>
        <v/>
      </c>
      <c r="AD553" s="31">
        <f>AD548-AD552</f>
        <v/>
      </c>
      <c r="AE553" s="31">
        <f>AE548-AE552</f>
        <v/>
      </c>
      <c r="AF553" s="31">
        <f>AF548-AF552</f>
        <v/>
      </c>
      <c r="AG553" s="31">
        <f>AG548-AG552</f>
        <v/>
      </c>
      <c r="AH553" s="31">
        <f>AH548-AH552</f>
        <v/>
      </c>
      <c r="AI553" s="31">
        <f>AI548-AI552</f>
        <v/>
      </c>
    </row>
    <row r="554">
      <c r="B554" s="2" t="inlineStr">
        <is>
          <t xml:space="preserve">  Maintenance capex</t>
        </is>
      </c>
      <c r="D554" s="19">
        <f>D540*i_G_mc*D489</f>
        <v/>
      </c>
      <c r="E554" s="19">
        <f>E540*i_G_mc*E489</f>
        <v/>
      </c>
      <c r="F554" s="19">
        <f>F540*i_G_mc*F489</f>
        <v/>
      </c>
      <c r="G554" s="19">
        <f>G540*i_G_mc*G489</f>
        <v/>
      </c>
      <c r="H554" s="19">
        <f>H540*i_G_mc*H489</f>
        <v/>
      </c>
      <c r="I554" s="19">
        <f>I540*i_G_mc*I489</f>
        <v/>
      </c>
      <c r="J554" s="19">
        <f>J540*i_G_mc*J489</f>
        <v/>
      </c>
      <c r="K554" s="19">
        <f>K540*i_G_mc*K489</f>
        <v/>
      </c>
      <c r="L554" s="19">
        <f>L540*i_G_mc*L489</f>
        <v/>
      </c>
      <c r="M554" s="19">
        <f>M540*i_G_mc*M489</f>
        <v/>
      </c>
      <c r="N554" s="19">
        <f>N540*i_G_mc*N489</f>
        <v/>
      </c>
      <c r="O554" s="19">
        <f>O540*i_G_mc*O489</f>
        <v/>
      </c>
      <c r="P554" s="19">
        <f>P540*i_G_mc*P489</f>
        <v/>
      </c>
      <c r="Q554" s="19">
        <f>Q540*i_G_mc*Q489</f>
        <v/>
      </c>
      <c r="R554" s="19">
        <f>R540*i_G_mc*R489</f>
        <v/>
      </c>
      <c r="S554" s="19">
        <f>S540*i_G_mc*S489</f>
        <v/>
      </c>
      <c r="T554" s="19">
        <f>T540*i_G_mc*T489</f>
        <v/>
      </c>
      <c r="U554" s="19">
        <f>U540*i_G_mc*U489</f>
        <v/>
      </c>
      <c r="V554" s="19">
        <f>V540*i_G_mc*V489</f>
        <v/>
      </c>
      <c r="W554" s="19">
        <f>W540*i_G_mc*W489</f>
        <v/>
      </c>
      <c r="X554" s="19">
        <f>X540*i_G_mc*X489</f>
        <v/>
      </c>
      <c r="Y554" s="19">
        <f>Y540*i_G_mc*Y489</f>
        <v/>
      </c>
      <c r="Z554" s="19">
        <f>Z540*i_G_mc*Z489</f>
        <v/>
      </c>
      <c r="AA554" s="19">
        <f>AA540*i_G_mc*AA489</f>
        <v/>
      </c>
      <c r="AB554" s="19">
        <f>AB540*i_G_mc*AB489</f>
        <v/>
      </c>
      <c r="AC554" s="19">
        <f>AC540*i_G_mc*AC489</f>
        <v/>
      </c>
      <c r="AD554" s="19">
        <f>AD540*i_G_mc*AD489</f>
        <v/>
      </c>
      <c r="AE554" s="19">
        <f>AE540*i_G_mc*AE489</f>
        <v/>
      </c>
      <c r="AF554" s="19">
        <f>AF540*i_G_mc*AF489</f>
        <v/>
      </c>
      <c r="AG554" s="19">
        <f>AG540*i_G_mc*AG489</f>
        <v/>
      </c>
      <c r="AH554" s="19">
        <f>AH540*i_G_mc*AH489</f>
        <v/>
      </c>
      <c r="AI554" s="19">
        <f>AI540*i_G_mc*AI489</f>
        <v/>
      </c>
    </row>
    <row r="555">
      <c r="B555" s="3" t="inlineStr">
        <is>
          <t>Sabine Bend expansion (renewable fuels)</t>
        </is>
      </c>
    </row>
    <row r="556">
      <c r="B556" s="2" t="inlineStr">
        <is>
          <t xml:space="preserve">  Growth capex</t>
        </is>
      </c>
      <c r="D556" s="19">
        <f>Diligence!$C$483*SUMIF(i_exp_capex_years,D$3,i_exp_capex_vals)*D489</f>
        <v/>
      </c>
      <c r="E556" s="19">
        <f>Diligence!$C$483*SUMIF(i_exp_capex_years,E$3,i_exp_capex_vals)*E489</f>
        <v/>
      </c>
      <c r="F556" s="19">
        <f>Diligence!$C$483*SUMIF(i_exp_capex_years,F$3,i_exp_capex_vals)*F489</f>
        <v/>
      </c>
      <c r="G556" s="19">
        <f>Diligence!$C$483*SUMIF(i_exp_capex_years,G$3,i_exp_capex_vals)*G489</f>
        <v/>
      </c>
      <c r="H556" s="19">
        <f>Diligence!$C$483*SUMIF(i_exp_capex_years,H$3,i_exp_capex_vals)*H489</f>
        <v/>
      </c>
      <c r="I556" s="19">
        <f>Diligence!$C$483*SUMIF(i_exp_capex_years,I$3,i_exp_capex_vals)*I489</f>
        <v/>
      </c>
      <c r="J556" s="19">
        <f>Diligence!$C$483*SUMIF(i_exp_capex_years,J$3,i_exp_capex_vals)*J489</f>
        <v/>
      </c>
      <c r="K556" s="19">
        <f>Diligence!$C$483*SUMIF(i_exp_capex_years,K$3,i_exp_capex_vals)*K489</f>
        <v/>
      </c>
      <c r="L556" s="19">
        <f>Diligence!$C$483*SUMIF(i_exp_capex_years,L$3,i_exp_capex_vals)*L489</f>
        <v/>
      </c>
      <c r="M556" s="19">
        <f>Diligence!$C$483*SUMIF(i_exp_capex_years,M$3,i_exp_capex_vals)*M489</f>
        <v/>
      </c>
      <c r="N556" s="19">
        <f>Diligence!$C$483*SUMIF(i_exp_capex_years,N$3,i_exp_capex_vals)*N489</f>
        <v/>
      </c>
      <c r="O556" s="19">
        <f>Diligence!$C$483*SUMIF(i_exp_capex_years,O$3,i_exp_capex_vals)*O489</f>
        <v/>
      </c>
      <c r="P556" s="19">
        <f>Diligence!$C$483*SUMIF(i_exp_capex_years,P$3,i_exp_capex_vals)*P489</f>
        <v/>
      </c>
      <c r="Q556" s="19">
        <f>Diligence!$C$483*SUMIF(i_exp_capex_years,Q$3,i_exp_capex_vals)*Q489</f>
        <v/>
      </c>
      <c r="R556" s="19">
        <f>Diligence!$C$483*SUMIF(i_exp_capex_years,R$3,i_exp_capex_vals)*R489</f>
        <v/>
      </c>
      <c r="S556" s="19">
        <f>Diligence!$C$483*SUMIF(i_exp_capex_years,S$3,i_exp_capex_vals)*S489</f>
        <v/>
      </c>
      <c r="T556" s="19">
        <f>Diligence!$C$483*SUMIF(i_exp_capex_years,T$3,i_exp_capex_vals)*T489</f>
        <v/>
      </c>
      <c r="U556" s="19">
        <f>Diligence!$C$483*SUMIF(i_exp_capex_years,U$3,i_exp_capex_vals)*U489</f>
        <v/>
      </c>
      <c r="V556" s="19">
        <f>Diligence!$C$483*SUMIF(i_exp_capex_years,V$3,i_exp_capex_vals)*V489</f>
        <v/>
      </c>
      <c r="W556" s="19">
        <f>Diligence!$C$483*SUMIF(i_exp_capex_years,W$3,i_exp_capex_vals)*W489</f>
        <v/>
      </c>
      <c r="X556" s="19">
        <f>Diligence!$C$483*SUMIF(i_exp_capex_years,X$3,i_exp_capex_vals)*X489</f>
        <v/>
      </c>
      <c r="Y556" s="19">
        <f>Diligence!$C$483*SUMIF(i_exp_capex_years,Y$3,i_exp_capex_vals)*Y489</f>
        <v/>
      </c>
      <c r="Z556" s="19">
        <f>Diligence!$C$483*SUMIF(i_exp_capex_years,Z$3,i_exp_capex_vals)*Z489</f>
        <v/>
      </c>
      <c r="AA556" s="19">
        <f>Diligence!$C$483*SUMIF(i_exp_capex_years,AA$3,i_exp_capex_vals)*AA489</f>
        <v/>
      </c>
      <c r="AB556" s="19">
        <f>Diligence!$C$483*SUMIF(i_exp_capex_years,AB$3,i_exp_capex_vals)*AB489</f>
        <v/>
      </c>
      <c r="AC556" s="19">
        <f>Diligence!$C$483*SUMIF(i_exp_capex_years,AC$3,i_exp_capex_vals)*AC489</f>
        <v/>
      </c>
      <c r="AD556" s="19">
        <f>Diligence!$C$483*SUMIF(i_exp_capex_years,AD$3,i_exp_capex_vals)*AD489</f>
        <v/>
      </c>
      <c r="AE556" s="19">
        <f>Diligence!$C$483*SUMIF(i_exp_capex_years,AE$3,i_exp_capex_vals)*AE489</f>
        <v/>
      </c>
      <c r="AF556" s="19">
        <f>Diligence!$C$483*SUMIF(i_exp_capex_years,AF$3,i_exp_capex_vals)*AF489</f>
        <v/>
      </c>
      <c r="AG556" s="19">
        <f>Diligence!$C$483*SUMIF(i_exp_capex_years,AG$3,i_exp_capex_vals)*AG489</f>
        <v/>
      </c>
      <c r="AH556" s="19">
        <f>Diligence!$C$483*SUMIF(i_exp_capex_years,AH$3,i_exp_capex_vals)*AH489</f>
        <v/>
      </c>
      <c r="AI556" s="19">
        <f>Diligence!$C$483*SUMIF(i_exp_capex_years,AI$3,i_exp_capex_vals)*AI489</f>
        <v/>
      </c>
    </row>
    <row r="557">
      <c r="B557" s="2" t="inlineStr">
        <is>
          <t xml:space="preserve">  Operating (1/0)</t>
        </is>
      </c>
      <c r="D557" s="22">
        <f>IF(D$3&gt;=i_exp_start,Diligence!$C$483,0)</f>
        <v/>
      </c>
      <c r="E557" s="22">
        <f>IF(E$3&gt;=i_exp_start,Diligence!$C$483,0)</f>
        <v/>
      </c>
      <c r="F557" s="22">
        <f>IF(F$3&gt;=i_exp_start,Diligence!$C$483,0)</f>
        <v/>
      </c>
      <c r="G557" s="22">
        <f>IF(G$3&gt;=i_exp_start,Diligence!$C$483,0)</f>
        <v/>
      </c>
      <c r="H557" s="22">
        <f>IF(H$3&gt;=i_exp_start,Diligence!$C$483,0)</f>
        <v/>
      </c>
      <c r="I557" s="22">
        <f>IF(I$3&gt;=i_exp_start,Diligence!$C$483,0)</f>
        <v/>
      </c>
      <c r="J557" s="22">
        <f>IF(J$3&gt;=i_exp_start,Diligence!$C$483,0)</f>
        <v/>
      </c>
      <c r="K557" s="22">
        <f>IF(K$3&gt;=i_exp_start,Diligence!$C$483,0)</f>
        <v/>
      </c>
      <c r="L557" s="22">
        <f>IF(L$3&gt;=i_exp_start,Diligence!$C$483,0)</f>
        <v/>
      </c>
      <c r="M557" s="22">
        <f>IF(M$3&gt;=i_exp_start,Diligence!$C$483,0)</f>
        <v/>
      </c>
      <c r="N557" s="22">
        <f>IF(N$3&gt;=i_exp_start,Diligence!$C$483,0)</f>
        <v/>
      </c>
      <c r="O557" s="22">
        <f>IF(O$3&gt;=i_exp_start,Diligence!$C$483,0)</f>
        <v/>
      </c>
      <c r="P557" s="22">
        <f>IF(P$3&gt;=i_exp_start,Diligence!$C$483,0)</f>
        <v/>
      </c>
      <c r="Q557" s="22">
        <f>IF(Q$3&gt;=i_exp_start,Diligence!$C$483,0)</f>
        <v/>
      </c>
      <c r="R557" s="22">
        <f>IF(R$3&gt;=i_exp_start,Diligence!$C$483,0)</f>
        <v/>
      </c>
      <c r="S557" s="22">
        <f>IF(S$3&gt;=i_exp_start,Diligence!$C$483,0)</f>
        <v/>
      </c>
      <c r="T557" s="22">
        <f>IF(T$3&gt;=i_exp_start,Diligence!$C$483,0)</f>
        <v/>
      </c>
      <c r="U557" s="22">
        <f>IF(U$3&gt;=i_exp_start,Diligence!$C$483,0)</f>
        <v/>
      </c>
      <c r="V557" s="22">
        <f>IF(V$3&gt;=i_exp_start,Diligence!$C$483,0)</f>
        <v/>
      </c>
      <c r="W557" s="22">
        <f>IF(W$3&gt;=i_exp_start,Diligence!$C$483,0)</f>
        <v/>
      </c>
      <c r="X557" s="22">
        <f>IF(X$3&gt;=i_exp_start,Diligence!$C$483,0)</f>
        <v/>
      </c>
      <c r="Y557" s="22">
        <f>IF(Y$3&gt;=i_exp_start,Diligence!$C$483,0)</f>
        <v/>
      </c>
      <c r="Z557" s="22">
        <f>IF(Z$3&gt;=i_exp_start,Diligence!$C$483,0)</f>
        <v/>
      </c>
      <c r="AA557" s="22">
        <f>IF(AA$3&gt;=i_exp_start,Diligence!$C$483,0)</f>
        <v/>
      </c>
      <c r="AB557" s="22">
        <f>IF(AB$3&gt;=i_exp_start,Diligence!$C$483,0)</f>
        <v/>
      </c>
      <c r="AC557" s="22">
        <f>IF(AC$3&gt;=i_exp_start,Diligence!$C$483,0)</f>
        <v/>
      </c>
      <c r="AD557" s="22">
        <f>IF(AD$3&gt;=i_exp_start,Diligence!$C$483,0)</f>
        <v/>
      </c>
      <c r="AE557" s="22">
        <f>IF(AE$3&gt;=i_exp_start,Diligence!$C$483,0)</f>
        <v/>
      </c>
      <c r="AF557" s="22">
        <f>IF(AF$3&gt;=i_exp_start,Diligence!$C$483,0)</f>
        <v/>
      </c>
      <c r="AG557" s="22">
        <f>IF(AG$3&gt;=i_exp_start,Diligence!$C$483,0)</f>
        <v/>
      </c>
      <c r="AH557" s="22">
        <f>IF(AH$3&gt;=i_exp_start,Diligence!$C$483,0)</f>
        <v/>
      </c>
      <c r="AI557" s="22">
        <f>IF(AI$3&gt;=i_exp_start,Diligence!$C$483,0)</f>
        <v/>
      </c>
    </row>
    <row r="558">
      <c r="B558" s="2" t="inlineStr">
        <is>
          <t xml:space="preserve">  Under the anchor contract (1/0)</t>
        </is>
      </c>
      <c r="D558" s="22">
        <f>IF(D$3&lt;i_exp_start+i_exp_years,1,0)</f>
        <v/>
      </c>
      <c r="E558" s="22">
        <f>IF(E$3&lt;i_exp_start+i_exp_years,1,0)</f>
        <v/>
      </c>
      <c r="F558" s="22">
        <f>IF(F$3&lt;i_exp_start+i_exp_years,1,0)</f>
        <v/>
      </c>
      <c r="G558" s="22">
        <f>IF(G$3&lt;i_exp_start+i_exp_years,1,0)</f>
        <v/>
      </c>
      <c r="H558" s="22">
        <f>IF(H$3&lt;i_exp_start+i_exp_years,1,0)</f>
        <v/>
      </c>
      <c r="I558" s="22">
        <f>IF(I$3&lt;i_exp_start+i_exp_years,1,0)</f>
        <v/>
      </c>
      <c r="J558" s="22">
        <f>IF(J$3&lt;i_exp_start+i_exp_years,1,0)</f>
        <v/>
      </c>
      <c r="K558" s="22">
        <f>IF(K$3&lt;i_exp_start+i_exp_years,1,0)</f>
        <v/>
      </c>
      <c r="L558" s="22">
        <f>IF(L$3&lt;i_exp_start+i_exp_years,1,0)</f>
        <v/>
      </c>
      <c r="M558" s="22">
        <f>IF(M$3&lt;i_exp_start+i_exp_years,1,0)</f>
        <v/>
      </c>
      <c r="N558" s="22">
        <f>IF(N$3&lt;i_exp_start+i_exp_years,1,0)</f>
        <v/>
      </c>
      <c r="O558" s="22">
        <f>IF(O$3&lt;i_exp_start+i_exp_years,1,0)</f>
        <v/>
      </c>
      <c r="P558" s="22">
        <f>IF(P$3&lt;i_exp_start+i_exp_years,1,0)</f>
        <v/>
      </c>
      <c r="Q558" s="22">
        <f>IF(Q$3&lt;i_exp_start+i_exp_years,1,0)</f>
        <v/>
      </c>
      <c r="R558" s="22">
        <f>IF(R$3&lt;i_exp_start+i_exp_years,1,0)</f>
        <v/>
      </c>
      <c r="S558" s="22">
        <f>IF(S$3&lt;i_exp_start+i_exp_years,1,0)</f>
        <v/>
      </c>
      <c r="T558" s="22">
        <f>IF(T$3&lt;i_exp_start+i_exp_years,1,0)</f>
        <v/>
      </c>
      <c r="U558" s="22">
        <f>IF(U$3&lt;i_exp_start+i_exp_years,1,0)</f>
        <v/>
      </c>
      <c r="V558" s="22">
        <f>IF(V$3&lt;i_exp_start+i_exp_years,1,0)</f>
        <v/>
      </c>
      <c r="W558" s="22">
        <f>IF(W$3&lt;i_exp_start+i_exp_years,1,0)</f>
        <v/>
      </c>
      <c r="X558" s="22">
        <f>IF(X$3&lt;i_exp_start+i_exp_years,1,0)</f>
        <v/>
      </c>
      <c r="Y558" s="22">
        <f>IF(Y$3&lt;i_exp_start+i_exp_years,1,0)</f>
        <v/>
      </c>
      <c r="Z558" s="22">
        <f>IF(Z$3&lt;i_exp_start+i_exp_years,1,0)</f>
        <v/>
      </c>
      <c r="AA558" s="22">
        <f>IF(AA$3&lt;i_exp_start+i_exp_years,1,0)</f>
        <v/>
      </c>
      <c r="AB558" s="22">
        <f>IF(AB$3&lt;i_exp_start+i_exp_years,1,0)</f>
        <v/>
      </c>
      <c r="AC558" s="22">
        <f>IF(AC$3&lt;i_exp_start+i_exp_years,1,0)</f>
        <v/>
      </c>
      <c r="AD558" s="22">
        <f>IF(AD$3&lt;i_exp_start+i_exp_years,1,0)</f>
        <v/>
      </c>
      <c r="AE558" s="22">
        <f>IF(AE$3&lt;i_exp_start+i_exp_years,1,0)</f>
        <v/>
      </c>
      <c r="AF558" s="22">
        <f>IF(AF$3&lt;i_exp_start+i_exp_years,1,0)</f>
        <v/>
      </c>
      <c r="AG558" s="22">
        <f>IF(AG$3&lt;i_exp_start+i_exp_years,1,0)</f>
        <v/>
      </c>
      <c r="AH558" s="22">
        <f>IF(AH$3&lt;i_exp_start+i_exp_years,1,0)</f>
        <v/>
      </c>
      <c r="AI558" s="22">
        <f>IF(AI$3&lt;i_exp_start+i_exp_years,1,0)</f>
        <v/>
      </c>
    </row>
    <row r="559">
      <c r="B559" s="2" t="inlineStr">
        <is>
          <t xml:space="preserve">  Rate ($ per m3 per month)</t>
        </is>
      </c>
      <c r="D559" s="24">
        <f>i_exp_rate*D490*IF(D558=1,1,1+i_exp_mtm)</f>
        <v/>
      </c>
      <c r="E559" s="24">
        <f>i_exp_rate*E490*IF(E558=1,1,1+i_exp_mtm)</f>
        <v/>
      </c>
      <c r="F559" s="24">
        <f>i_exp_rate*F490*IF(F558=1,1,1+i_exp_mtm)</f>
        <v/>
      </c>
      <c r="G559" s="24">
        <f>i_exp_rate*G490*IF(G558=1,1,1+i_exp_mtm)</f>
        <v/>
      </c>
      <c r="H559" s="24">
        <f>i_exp_rate*H490*IF(H558=1,1,1+i_exp_mtm)</f>
        <v/>
      </c>
      <c r="I559" s="24">
        <f>i_exp_rate*I490*IF(I558=1,1,1+i_exp_mtm)</f>
        <v/>
      </c>
      <c r="J559" s="24">
        <f>i_exp_rate*J490*IF(J558=1,1,1+i_exp_mtm)</f>
        <v/>
      </c>
      <c r="K559" s="24">
        <f>i_exp_rate*K490*IF(K558=1,1,1+i_exp_mtm)</f>
        <v/>
      </c>
      <c r="L559" s="24">
        <f>i_exp_rate*L490*IF(L558=1,1,1+i_exp_mtm)</f>
        <v/>
      </c>
      <c r="M559" s="24">
        <f>i_exp_rate*M490*IF(M558=1,1,1+i_exp_mtm)</f>
        <v/>
      </c>
      <c r="N559" s="24">
        <f>i_exp_rate*N490*IF(N558=1,1,1+i_exp_mtm)</f>
        <v/>
      </c>
      <c r="O559" s="24">
        <f>i_exp_rate*O490*IF(O558=1,1,1+i_exp_mtm)</f>
        <v/>
      </c>
      <c r="P559" s="24">
        <f>i_exp_rate*P490*IF(P558=1,1,1+i_exp_mtm)</f>
        <v/>
      </c>
      <c r="Q559" s="24">
        <f>i_exp_rate*Q490*IF(Q558=1,1,1+i_exp_mtm)</f>
        <v/>
      </c>
      <c r="R559" s="24">
        <f>i_exp_rate*R490*IF(R558=1,1,1+i_exp_mtm)</f>
        <v/>
      </c>
      <c r="S559" s="24">
        <f>i_exp_rate*S490*IF(S558=1,1,1+i_exp_mtm)</f>
        <v/>
      </c>
      <c r="T559" s="24">
        <f>i_exp_rate*T490*IF(T558=1,1,1+i_exp_mtm)</f>
        <v/>
      </c>
      <c r="U559" s="24">
        <f>i_exp_rate*U490*IF(U558=1,1,1+i_exp_mtm)</f>
        <v/>
      </c>
      <c r="V559" s="24">
        <f>i_exp_rate*V490*IF(V558=1,1,1+i_exp_mtm)</f>
        <v/>
      </c>
      <c r="W559" s="24">
        <f>i_exp_rate*W490*IF(W558=1,1,1+i_exp_mtm)</f>
        <v/>
      </c>
      <c r="X559" s="24">
        <f>i_exp_rate*X490*IF(X558=1,1,1+i_exp_mtm)</f>
        <v/>
      </c>
      <c r="Y559" s="24">
        <f>i_exp_rate*Y490*IF(Y558=1,1,1+i_exp_mtm)</f>
        <v/>
      </c>
      <c r="Z559" s="24">
        <f>i_exp_rate*Z490*IF(Z558=1,1,1+i_exp_mtm)</f>
        <v/>
      </c>
      <c r="AA559" s="24">
        <f>i_exp_rate*AA490*IF(AA558=1,1,1+i_exp_mtm)</f>
        <v/>
      </c>
      <c r="AB559" s="24">
        <f>i_exp_rate*AB490*IF(AB558=1,1,1+i_exp_mtm)</f>
        <v/>
      </c>
      <c r="AC559" s="24">
        <f>i_exp_rate*AC490*IF(AC558=1,1,1+i_exp_mtm)</f>
        <v/>
      </c>
      <c r="AD559" s="24">
        <f>i_exp_rate*AD490*IF(AD558=1,1,1+i_exp_mtm)</f>
        <v/>
      </c>
      <c r="AE559" s="24">
        <f>i_exp_rate*AE490*IF(AE558=1,1,1+i_exp_mtm)</f>
        <v/>
      </c>
      <c r="AF559" s="24">
        <f>i_exp_rate*AF490*IF(AF558=1,1,1+i_exp_mtm)</f>
        <v/>
      </c>
      <c r="AG559" s="24">
        <f>i_exp_rate*AG490*IF(AG558=1,1,1+i_exp_mtm)</f>
        <v/>
      </c>
      <c r="AH559" s="24">
        <f>i_exp_rate*AH490*IF(AH558=1,1,1+i_exp_mtm)</f>
        <v/>
      </c>
      <c r="AI559" s="24">
        <f>i_exp_rate*AI490*IF(AI558=1,1,1+i_exp_mtm)</f>
        <v/>
      </c>
    </row>
    <row r="560">
      <c r="B560" s="2" t="inlineStr">
        <is>
          <t xml:space="preserve">  Occupancy</t>
        </is>
      </c>
      <c r="D560" s="21">
        <f>IF(D558=1,i_exp_occ_c,i_exp_occ_m)</f>
        <v/>
      </c>
      <c r="E560" s="21">
        <f>IF(E558=1,i_exp_occ_c,i_exp_occ_m)</f>
        <v/>
      </c>
      <c r="F560" s="21">
        <f>IF(F558=1,i_exp_occ_c,i_exp_occ_m)</f>
        <v/>
      </c>
      <c r="G560" s="21">
        <f>IF(G558=1,i_exp_occ_c,i_exp_occ_m)</f>
        <v/>
      </c>
      <c r="H560" s="21">
        <f>IF(H558=1,i_exp_occ_c,i_exp_occ_m)</f>
        <v/>
      </c>
      <c r="I560" s="21">
        <f>IF(I558=1,i_exp_occ_c,i_exp_occ_m)</f>
        <v/>
      </c>
      <c r="J560" s="21">
        <f>IF(J558=1,i_exp_occ_c,i_exp_occ_m)</f>
        <v/>
      </c>
      <c r="K560" s="21">
        <f>IF(K558=1,i_exp_occ_c,i_exp_occ_m)</f>
        <v/>
      </c>
      <c r="L560" s="21">
        <f>IF(L558=1,i_exp_occ_c,i_exp_occ_m)</f>
        <v/>
      </c>
      <c r="M560" s="21">
        <f>IF(M558=1,i_exp_occ_c,i_exp_occ_m)</f>
        <v/>
      </c>
      <c r="N560" s="21">
        <f>IF(N558=1,i_exp_occ_c,i_exp_occ_m)</f>
        <v/>
      </c>
      <c r="O560" s="21">
        <f>IF(O558=1,i_exp_occ_c,i_exp_occ_m)</f>
        <v/>
      </c>
      <c r="P560" s="21">
        <f>IF(P558=1,i_exp_occ_c,i_exp_occ_m)</f>
        <v/>
      </c>
      <c r="Q560" s="21">
        <f>IF(Q558=1,i_exp_occ_c,i_exp_occ_m)</f>
        <v/>
      </c>
      <c r="R560" s="21">
        <f>IF(R558=1,i_exp_occ_c,i_exp_occ_m)</f>
        <v/>
      </c>
      <c r="S560" s="21">
        <f>IF(S558=1,i_exp_occ_c,i_exp_occ_m)</f>
        <v/>
      </c>
      <c r="T560" s="21">
        <f>IF(T558=1,i_exp_occ_c,i_exp_occ_m)</f>
        <v/>
      </c>
      <c r="U560" s="21">
        <f>IF(U558=1,i_exp_occ_c,i_exp_occ_m)</f>
        <v/>
      </c>
      <c r="V560" s="21">
        <f>IF(V558=1,i_exp_occ_c,i_exp_occ_m)</f>
        <v/>
      </c>
      <c r="W560" s="21">
        <f>IF(W558=1,i_exp_occ_c,i_exp_occ_m)</f>
        <v/>
      </c>
      <c r="X560" s="21">
        <f>IF(X558=1,i_exp_occ_c,i_exp_occ_m)</f>
        <v/>
      </c>
      <c r="Y560" s="21">
        <f>IF(Y558=1,i_exp_occ_c,i_exp_occ_m)</f>
        <v/>
      </c>
      <c r="Z560" s="21">
        <f>IF(Z558=1,i_exp_occ_c,i_exp_occ_m)</f>
        <v/>
      </c>
      <c r="AA560" s="21">
        <f>IF(AA558=1,i_exp_occ_c,i_exp_occ_m)</f>
        <v/>
      </c>
      <c r="AB560" s="21">
        <f>IF(AB558=1,i_exp_occ_c,i_exp_occ_m)</f>
        <v/>
      </c>
      <c r="AC560" s="21">
        <f>IF(AC558=1,i_exp_occ_c,i_exp_occ_m)</f>
        <v/>
      </c>
      <c r="AD560" s="21">
        <f>IF(AD558=1,i_exp_occ_c,i_exp_occ_m)</f>
        <v/>
      </c>
      <c r="AE560" s="21">
        <f>IF(AE558=1,i_exp_occ_c,i_exp_occ_m)</f>
        <v/>
      </c>
      <c r="AF560" s="21">
        <f>IF(AF558=1,i_exp_occ_c,i_exp_occ_m)</f>
        <v/>
      </c>
      <c r="AG560" s="21">
        <f>IF(AG558=1,i_exp_occ_c,i_exp_occ_m)</f>
        <v/>
      </c>
      <c r="AH560" s="21">
        <f>IF(AH558=1,i_exp_occ_c,i_exp_occ_m)</f>
        <v/>
      </c>
      <c r="AI560" s="21">
        <f>IF(AI558=1,i_exp_occ_c,i_exp_occ_m)</f>
        <v/>
      </c>
    </row>
    <row r="561">
      <c r="B561" s="2" t="inlineStr">
        <is>
          <t xml:space="preserve">  Storage revenue</t>
        </is>
      </c>
      <c r="D561" s="19">
        <f>D557*i_exp_cap*D559*12*D560</f>
        <v/>
      </c>
      <c r="E561" s="19">
        <f>E557*i_exp_cap*E559*12*E560</f>
        <v/>
      </c>
      <c r="F561" s="19">
        <f>F557*i_exp_cap*F559*12*F560</f>
        <v/>
      </c>
      <c r="G561" s="19">
        <f>G557*i_exp_cap*G559*12*G560</f>
        <v/>
      </c>
      <c r="H561" s="19">
        <f>H557*i_exp_cap*H559*12*H560</f>
        <v/>
      </c>
      <c r="I561" s="19">
        <f>I557*i_exp_cap*I559*12*I560</f>
        <v/>
      </c>
      <c r="J561" s="19">
        <f>J557*i_exp_cap*J559*12*J560</f>
        <v/>
      </c>
      <c r="K561" s="19">
        <f>K557*i_exp_cap*K559*12*K560</f>
        <v/>
      </c>
      <c r="L561" s="19">
        <f>L557*i_exp_cap*L559*12*L560</f>
        <v/>
      </c>
      <c r="M561" s="19">
        <f>M557*i_exp_cap*M559*12*M560</f>
        <v/>
      </c>
      <c r="N561" s="19">
        <f>N557*i_exp_cap*N559*12*N560</f>
        <v/>
      </c>
      <c r="O561" s="19">
        <f>O557*i_exp_cap*O559*12*O560</f>
        <v/>
      </c>
      <c r="P561" s="19">
        <f>P557*i_exp_cap*P559*12*P560</f>
        <v/>
      </c>
      <c r="Q561" s="19">
        <f>Q557*i_exp_cap*Q559*12*Q560</f>
        <v/>
      </c>
      <c r="R561" s="19">
        <f>R557*i_exp_cap*R559*12*R560</f>
        <v/>
      </c>
      <c r="S561" s="19">
        <f>S557*i_exp_cap*S559*12*S560</f>
        <v/>
      </c>
      <c r="T561" s="19">
        <f>T557*i_exp_cap*T559*12*T560</f>
        <v/>
      </c>
      <c r="U561" s="19">
        <f>U557*i_exp_cap*U559*12*U560</f>
        <v/>
      </c>
      <c r="V561" s="19">
        <f>V557*i_exp_cap*V559*12*V560</f>
        <v/>
      </c>
      <c r="W561" s="19">
        <f>W557*i_exp_cap*W559*12*W560</f>
        <v/>
      </c>
      <c r="X561" s="19">
        <f>X557*i_exp_cap*X559*12*X560</f>
        <v/>
      </c>
      <c r="Y561" s="19">
        <f>Y557*i_exp_cap*Y559*12*Y560</f>
        <v/>
      </c>
      <c r="Z561" s="19">
        <f>Z557*i_exp_cap*Z559*12*Z560</f>
        <v/>
      </c>
      <c r="AA561" s="19">
        <f>AA557*i_exp_cap*AA559*12*AA560</f>
        <v/>
      </c>
      <c r="AB561" s="19">
        <f>AB557*i_exp_cap*AB559*12*AB560</f>
        <v/>
      </c>
      <c r="AC561" s="19">
        <f>AC557*i_exp_cap*AC559*12*AC560</f>
        <v/>
      </c>
      <c r="AD561" s="19">
        <f>AD557*i_exp_cap*AD559*12*AD560</f>
        <v/>
      </c>
      <c r="AE561" s="19">
        <f>AE557*i_exp_cap*AE559*12*AE560</f>
        <v/>
      </c>
      <c r="AF561" s="19">
        <f>AF557*i_exp_cap*AF559*12*AF560</f>
        <v/>
      </c>
      <c r="AG561" s="19">
        <f>AG557*i_exp_cap*AG559*12*AG560</f>
        <v/>
      </c>
      <c r="AH561" s="19">
        <f>AH557*i_exp_cap*AH559*12*AH560</f>
        <v/>
      </c>
      <c r="AI561" s="19">
        <f>AI557*i_exp_cap*AI559*12*AI560</f>
        <v/>
      </c>
    </row>
    <row r="562">
      <c r="B562" s="3" t="inlineStr">
        <is>
          <t xml:space="preserve">  Revenue</t>
        </is>
      </c>
      <c r="D562" s="31">
        <f>D561*(1+i_exp_anc)</f>
        <v/>
      </c>
      <c r="E562" s="31">
        <f>E561*(1+i_exp_anc)</f>
        <v/>
      </c>
      <c r="F562" s="31">
        <f>F561*(1+i_exp_anc)</f>
        <v/>
      </c>
      <c r="G562" s="31">
        <f>G561*(1+i_exp_anc)</f>
        <v/>
      </c>
      <c r="H562" s="31">
        <f>H561*(1+i_exp_anc)</f>
        <v/>
      </c>
      <c r="I562" s="31">
        <f>I561*(1+i_exp_anc)</f>
        <v/>
      </c>
      <c r="J562" s="31">
        <f>J561*(1+i_exp_anc)</f>
        <v/>
      </c>
      <c r="K562" s="31">
        <f>K561*(1+i_exp_anc)</f>
        <v/>
      </c>
      <c r="L562" s="31">
        <f>L561*(1+i_exp_anc)</f>
        <v/>
      </c>
      <c r="M562" s="31">
        <f>M561*(1+i_exp_anc)</f>
        <v/>
      </c>
      <c r="N562" s="31">
        <f>N561*(1+i_exp_anc)</f>
        <v/>
      </c>
      <c r="O562" s="31">
        <f>O561*(1+i_exp_anc)</f>
        <v/>
      </c>
      <c r="P562" s="31">
        <f>P561*(1+i_exp_anc)</f>
        <v/>
      </c>
      <c r="Q562" s="31">
        <f>Q561*(1+i_exp_anc)</f>
        <v/>
      </c>
      <c r="R562" s="31">
        <f>R561*(1+i_exp_anc)</f>
        <v/>
      </c>
      <c r="S562" s="31">
        <f>S561*(1+i_exp_anc)</f>
        <v/>
      </c>
      <c r="T562" s="31">
        <f>T561*(1+i_exp_anc)</f>
        <v/>
      </c>
      <c r="U562" s="31">
        <f>U561*(1+i_exp_anc)</f>
        <v/>
      </c>
      <c r="V562" s="31">
        <f>V561*(1+i_exp_anc)</f>
        <v/>
      </c>
      <c r="W562" s="31">
        <f>W561*(1+i_exp_anc)</f>
        <v/>
      </c>
      <c r="X562" s="31">
        <f>X561*(1+i_exp_anc)</f>
        <v/>
      </c>
      <c r="Y562" s="31">
        <f>Y561*(1+i_exp_anc)</f>
        <v/>
      </c>
      <c r="Z562" s="31">
        <f>Z561*(1+i_exp_anc)</f>
        <v/>
      </c>
      <c r="AA562" s="31">
        <f>AA561*(1+i_exp_anc)</f>
        <v/>
      </c>
      <c r="AB562" s="31">
        <f>AB561*(1+i_exp_anc)</f>
        <v/>
      </c>
      <c r="AC562" s="31">
        <f>AC561*(1+i_exp_anc)</f>
        <v/>
      </c>
      <c r="AD562" s="31">
        <f>AD561*(1+i_exp_anc)</f>
        <v/>
      </c>
      <c r="AE562" s="31">
        <f>AE561*(1+i_exp_anc)</f>
        <v/>
      </c>
      <c r="AF562" s="31">
        <f>AF561*(1+i_exp_anc)</f>
        <v/>
      </c>
      <c r="AG562" s="31">
        <f>AG561*(1+i_exp_anc)</f>
        <v/>
      </c>
      <c r="AH562" s="31">
        <f>AH561*(1+i_exp_anc)</f>
        <v/>
      </c>
      <c r="AI562" s="31">
        <f>AI561*(1+i_exp_anc)</f>
        <v/>
      </c>
    </row>
    <row r="563">
      <c r="B563" s="2" t="inlineStr">
        <is>
          <t xml:space="preserve">  Operating cost</t>
        </is>
      </c>
      <c r="D563" s="19">
        <f>D557*i_exp_fix*i_exp_cap*D489+i_exp_var*D562</f>
        <v/>
      </c>
      <c r="E563" s="19">
        <f>E557*i_exp_fix*i_exp_cap*E489+i_exp_var*E562</f>
        <v/>
      </c>
      <c r="F563" s="19">
        <f>F557*i_exp_fix*i_exp_cap*F489+i_exp_var*F562</f>
        <v/>
      </c>
      <c r="G563" s="19">
        <f>G557*i_exp_fix*i_exp_cap*G489+i_exp_var*G562</f>
        <v/>
      </c>
      <c r="H563" s="19">
        <f>H557*i_exp_fix*i_exp_cap*H489+i_exp_var*H562</f>
        <v/>
      </c>
      <c r="I563" s="19">
        <f>I557*i_exp_fix*i_exp_cap*I489+i_exp_var*I562</f>
        <v/>
      </c>
      <c r="J563" s="19">
        <f>J557*i_exp_fix*i_exp_cap*J489+i_exp_var*J562</f>
        <v/>
      </c>
      <c r="K563" s="19">
        <f>K557*i_exp_fix*i_exp_cap*K489+i_exp_var*K562</f>
        <v/>
      </c>
      <c r="L563" s="19">
        <f>L557*i_exp_fix*i_exp_cap*L489+i_exp_var*L562</f>
        <v/>
      </c>
      <c r="M563" s="19">
        <f>M557*i_exp_fix*i_exp_cap*M489+i_exp_var*M562</f>
        <v/>
      </c>
      <c r="N563" s="19">
        <f>N557*i_exp_fix*i_exp_cap*N489+i_exp_var*N562</f>
        <v/>
      </c>
      <c r="O563" s="19">
        <f>O557*i_exp_fix*i_exp_cap*O489+i_exp_var*O562</f>
        <v/>
      </c>
      <c r="P563" s="19">
        <f>P557*i_exp_fix*i_exp_cap*P489+i_exp_var*P562</f>
        <v/>
      </c>
      <c r="Q563" s="19">
        <f>Q557*i_exp_fix*i_exp_cap*Q489+i_exp_var*Q562</f>
        <v/>
      </c>
      <c r="R563" s="19">
        <f>R557*i_exp_fix*i_exp_cap*R489+i_exp_var*R562</f>
        <v/>
      </c>
      <c r="S563" s="19">
        <f>S557*i_exp_fix*i_exp_cap*S489+i_exp_var*S562</f>
        <v/>
      </c>
      <c r="T563" s="19">
        <f>T557*i_exp_fix*i_exp_cap*T489+i_exp_var*T562</f>
        <v/>
      </c>
      <c r="U563" s="19">
        <f>U557*i_exp_fix*i_exp_cap*U489+i_exp_var*U562</f>
        <v/>
      </c>
      <c r="V563" s="19">
        <f>V557*i_exp_fix*i_exp_cap*V489+i_exp_var*V562</f>
        <v/>
      </c>
      <c r="W563" s="19">
        <f>W557*i_exp_fix*i_exp_cap*W489+i_exp_var*W562</f>
        <v/>
      </c>
      <c r="X563" s="19">
        <f>X557*i_exp_fix*i_exp_cap*X489+i_exp_var*X562</f>
        <v/>
      </c>
      <c r="Y563" s="19">
        <f>Y557*i_exp_fix*i_exp_cap*Y489+i_exp_var*Y562</f>
        <v/>
      </c>
      <c r="Z563" s="19">
        <f>Z557*i_exp_fix*i_exp_cap*Z489+i_exp_var*Z562</f>
        <v/>
      </c>
      <c r="AA563" s="19">
        <f>AA557*i_exp_fix*i_exp_cap*AA489+i_exp_var*AA562</f>
        <v/>
      </c>
      <c r="AB563" s="19">
        <f>AB557*i_exp_fix*i_exp_cap*AB489+i_exp_var*AB562</f>
        <v/>
      </c>
      <c r="AC563" s="19">
        <f>AC557*i_exp_fix*i_exp_cap*AC489+i_exp_var*AC562</f>
        <v/>
      </c>
      <c r="AD563" s="19">
        <f>AD557*i_exp_fix*i_exp_cap*AD489+i_exp_var*AD562</f>
        <v/>
      </c>
      <c r="AE563" s="19">
        <f>AE557*i_exp_fix*i_exp_cap*AE489+i_exp_var*AE562</f>
        <v/>
      </c>
      <c r="AF563" s="19">
        <f>AF557*i_exp_fix*i_exp_cap*AF489+i_exp_var*AF562</f>
        <v/>
      </c>
      <c r="AG563" s="19">
        <f>AG557*i_exp_fix*i_exp_cap*AG489+i_exp_var*AG562</f>
        <v/>
      </c>
      <c r="AH563" s="19">
        <f>AH557*i_exp_fix*i_exp_cap*AH489+i_exp_var*AH562</f>
        <v/>
      </c>
      <c r="AI563" s="19">
        <f>AI557*i_exp_fix*i_exp_cap*AI489+i_exp_var*AI562</f>
        <v/>
      </c>
    </row>
    <row r="564">
      <c r="B564" s="3" t="inlineStr">
        <is>
          <t xml:space="preserve">  EBITDA</t>
        </is>
      </c>
      <c r="D564" s="31">
        <f>D562-D563</f>
        <v/>
      </c>
      <c r="E564" s="31">
        <f>E562-E563</f>
        <v/>
      </c>
      <c r="F564" s="31">
        <f>F562-F563</f>
        <v/>
      </c>
      <c r="G564" s="31">
        <f>G562-G563</f>
        <v/>
      </c>
      <c r="H564" s="31">
        <f>H562-H563</f>
        <v/>
      </c>
      <c r="I564" s="31">
        <f>I562-I563</f>
        <v/>
      </c>
      <c r="J564" s="31">
        <f>J562-J563</f>
        <v/>
      </c>
      <c r="K564" s="31">
        <f>K562-K563</f>
        <v/>
      </c>
      <c r="L564" s="31">
        <f>L562-L563</f>
        <v/>
      </c>
      <c r="M564" s="31">
        <f>M562-M563</f>
        <v/>
      </c>
      <c r="N564" s="31">
        <f>N562-N563</f>
        <v/>
      </c>
      <c r="O564" s="31">
        <f>O562-O563</f>
        <v/>
      </c>
      <c r="P564" s="31">
        <f>P562-P563</f>
        <v/>
      </c>
      <c r="Q564" s="31">
        <f>Q562-Q563</f>
        <v/>
      </c>
      <c r="R564" s="31">
        <f>R562-R563</f>
        <v/>
      </c>
      <c r="S564" s="31">
        <f>S562-S563</f>
        <v/>
      </c>
      <c r="T564" s="31">
        <f>T562-T563</f>
        <v/>
      </c>
      <c r="U564" s="31">
        <f>U562-U563</f>
        <v/>
      </c>
      <c r="V564" s="31">
        <f>V562-V563</f>
        <v/>
      </c>
      <c r="W564" s="31">
        <f>W562-W563</f>
        <v/>
      </c>
      <c r="X564" s="31">
        <f>X562-X563</f>
        <v/>
      </c>
      <c r="Y564" s="31">
        <f>Y562-Y563</f>
        <v/>
      </c>
      <c r="Z564" s="31">
        <f>Z562-Z563</f>
        <v/>
      </c>
      <c r="AA564" s="31">
        <f>AA562-AA563</f>
        <v/>
      </c>
      <c r="AB564" s="31">
        <f>AB562-AB563</f>
        <v/>
      </c>
      <c r="AC564" s="31">
        <f>AC562-AC563</f>
        <v/>
      </c>
      <c r="AD564" s="31">
        <f>AD562-AD563</f>
        <v/>
      </c>
      <c r="AE564" s="31">
        <f>AE562-AE563</f>
        <v/>
      </c>
      <c r="AF564" s="31">
        <f>AF562-AF563</f>
        <v/>
      </c>
      <c r="AG564" s="31">
        <f>AG562-AG563</f>
        <v/>
      </c>
      <c r="AH564" s="31">
        <f>AH562-AH563</f>
        <v/>
      </c>
      <c r="AI564" s="31">
        <f>AI562-AI563</f>
        <v/>
      </c>
    </row>
    <row r="565">
      <c r="B565" s="2" t="inlineStr">
        <is>
          <t xml:space="preserve">  Maintenance capex</t>
        </is>
      </c>
      <c r="D565" s="19">
        <f>D557*i_exp_mc*i_exp_cap*D489</f>
        <v/>
      </c>
      <c r="E565" s="19">
        <f>E557*i_exp_mc*i_exp_cap*E489</f>
        <v/>
      </c>
      <c r="F565" s="19">
        <f>F557*i_exp_mc*i_exp_cap*F489</f>
        <v/>
      </c>
      <c r="G565" s="19">
        <f>G557*i_exp_mc*i_exp_cap*G489</f>
        <v/>
      </c>
      <c r="H565" s="19">
        <f>H557*i_exp_mc*i_exp_cap*H489</f>
        <v/>
      </c>
      <c r="I565" s="19">
        <f>I557*i_exp_mc*i_exp_cap*I489</f>
        <v/>
      </c>
      <c r="J565" s="19">
        <f>J557*i_exp_mc*i_exp_cap*J489</f>
        <v/>
      </c>
      <c r="K565" s="19">
        <f>K557*i_exp_mc*i_exp_cap*K489</f>
        <v/>
      </c>
      <c r="L565" s="19">
        <f>L557*i_exp_mc*i_exp_cap*L489</f>
        <v/>
      </c>
      <c r="M565" s="19">
        <f>M557*i_exp_mc*i_exp_cap*M489</f>
        <v/>
      </c>
      <c r="N565" s="19">
        <f>N557*i_exp_mc*i_exp_cap*N489</f>
        <v/>
      </c>
      <c r="O565" s="19">
        <f>O557*i_exp_mc*i_exp_cap*O489</f>
        <v/>
      </c>
      <c r="P565" s="19">
        <f>P557*i_exp_mc*i_exp_cap*P489</f>
        <v/>
      </c>
      <c r="Q565" s="19">
        <f>Q557*i_exp_mc*i_exp_cap*Q489</f>
        <v/>
      </c>
      <c r="R565" s="19">
        <f>R557*i_exp_mc*i_exp_cap*R489</f>
        <v/>
      </c>
      <c r="S565" s="19">
        <f>S557*i_exp_mc*i_exp_cap*S489</f>
        <v/>
      </c>
      <c r="T565" s="19">
        <f>T557*i_exp_mc*i_exp_cap*T489</f>
        <v/>
      </c>
      <c r="U565" s="19">
        <f>U557*i_exp_mc*i_exp_cap*U489</f>
        <v/>
      </c>
      <c r="V565" s="19">
        <f>V557*i_exp_mc*i_exp_cap*V489</f>
        <v/>
      </c>
      <c r="W565" s="19">
        <f>W557*i_exp_mc*i_exp_cap*W489</f>
        <v/>
      </c>
      <c r="X565" s="19">
        <f>X557*i_exp_mc*i_exp_cap*X489</f>
        <v/>
      </c>
      <c r="Y565" s="19">
        <f>Y557*i_exp_mc*i_exp_cap*Y489</f>
        <v/>
      </c>
      <c r="Z565" s="19">
        <f>Z557*i_exp_mc*i_exp_cap*Z489</f>
        <v/>
      </c>
      <c r="AA565" s="19">
        <f>AA557*i_exp_mc*i_exp_cap*AA489</f>
        <v/>
      </c>
      <c r="AB565" s="19">
        <f>AB557*i_exp_mc*i_exp_cap*AB489</f>
        <v/>
      </c>
      <c r="AC565" s="19">
        <f>AC557*i_exp_mc*i_exp_cap*AC489</f>
        <v/>
      </c>
      <c r="AD565" s="19">
        <f>AD557*i_exp_mc*i_exp_cap*AD489</f>
        <v/>
      </c>
      <c r="AE565" s="19">
        <f>AE557*i_exp_mc*i_exp_cap*AE489</f>
        <v/>
      </c>
      <c r="AF565" s="19">
        <f>AF557*i_exp_mc*i_exp_cap*AF489</f>
        <v/>
      </c>
      <c r="AG565" s="19">
        <f>AG557*i_exp_mc*i_exp_cap*AG489</f>
        <v/>
      </c>
      <c r="AH565" s="19">
        <f>AH557*i_exp_mc*i_exp_cap*AH489</f>
        <v/>
      </c>
      <c r="AI565" s="19">
        <f>AI557*i_exp_mc*i_exp_cap*AI489</f>
        <v/>
      </c>
    </row>
    <row r="567">
      <c r="B567" s="5" t="inlineStr">
        <is>
          <t>Consolidated</t>
        </is>
      </c>
    </row>
    <row r="568">
      <c r="B568" s="2" t="inlineStr">
        <is>
          <t>Revenue</t>
        </is>
      </c>
      <c r="D568" s="19">
        <f>D502+D518+D533+D548+D562</f>
        <v/>
      </c>
      <c r="E568" s="19">
        <f>E502+E518+E533+E548+E562</f>
        <v/>
      </c>
      <c r="F568" s="19">
        <f>F502+F518+F533+F548+F562</f>
        <v/>
      </c>
      <c r="G568" s="19">
        <f>G502+G518+G533+G548+G562</f>
        <v/>
      </c>
      <c r="H568" s="19">
        <f>H502+H518+H533+H548+H562</f>
        <v/>
      </c>
      <c r="I568" s="19">
        <f>I502+I518+I533+I548+I562</f>
        <v/>
      </c>
      <c r="J568" s="19">
        <f>J502+J518+J533+J548+J562</f>
        <v/>
      </c>
      <c r="K568" s="19">
        <f>K502+K518+K533+K548+K562</f>
        <v/>
      </c>
      <c r="L568" s="19">
        <f>L502+L518+L533+L548+L562</f>
        <v/>
      </c>
      <c r="M568" s="19">
        <f>M502+M518+M533+M548+M562</f>
        <v/>
      </c>
      <c r="N568" s="19">
        <f>N502+N518+N533+N548+N562</f>
        <v/>
      </c>
      <c r="O568" s="19">
        <f>O502+O518+O533+O548+O562</f>
        <v/>
      </c>
      <c r="P568" s="19">
        <f>P502+P518+P533+P548+P562</f>
        <v/>
      </c>
      <c r="Q568" s="19">
        <f>Q502+Q518+Q533+Q548+Q562</f>
        <v/>
      </c>
      <c r="R568" s="19">
        <f>R502+R518+R533+R548+R562</f>
        <v/>
      </c>
      <c r="S568" s="19">
        <f>S502+S518+S533+S548+S562</f>
        <v/>
      </c>
      <c r="T568" s="19">
        <f>T502+T518+T533+T548+T562</f>
        <v/>
      </c>
      <c r="U568" s="19">
        <f>U502+U518+U533+U548+U562</f>
        <v/>
      </c>
      <c r="V568" s="19">
        <f>V502+V518+V533+V548+V562</f>
        <v/>
      </c>
      <c r="W568" s="19">
        <f>W502+W518+W533+W548+W562</f>
        <v/>
      </c>
      <c r="X568" s="19">
        <f>X502+X518+X533+X548+X562</f>
        <v/>
      </c>
      <c r="Y568" s="19">
        <f>Y502+Y518+Y533+Y548+Y562</f>
        <v/>
      </c>
      <c r="Z568" s="19">
        <f>Z502+Z518+Z533+Z548+Z562</f>
        <v/>
      </c>
      <c r="AA568" s="19">
        <f>AA502+AA518+AA533+AA548+AA562</f>
        <v/>
      </c>
      <c r="AB568" s="19">
        <f>AB502+AB518+AB533+AB548+AB562</f>
        <v/>
      </c>
      <c r="AC568" s="19">
        <f>AC502+AC518+AC533+AC548+AC562</f>
        <v/>
      </c>
      <c r="AD568" s="19">
        <f>AD502+AD518+AD533+AD548+AD562</f>
        <v/>
      </c>
      <c r="AE568" s="19">
        <f>AE502+AE518+AE533+AE548+AE562</f>
        <v/>
      </c>
      <c r="AF568" s="19">
        <f>AF502+AF518+AF533+AF548+AF562</f>
        <v/>
      </c>
      <c r="AG568" s="19">
        <f>AG502+AG518+AG533+AG548+AG562</f>
        <v/>
      </c>
      <c r="AH568" s="19">
        <f>AH502+AH518+AH533+AH548+AH562</f>
        <v/>
      </c>
      <c r="AI568" s="19">
        <f>AI502+AI518+AI533+AI548+AI562</f>
        <v/>
      </c>
    </row>
    <row r="569">
      <c r="B569" s="2" t="inlineStr">
        <is>
          <t>Business unit EBITDA (with the expansion)</t>
        </is>
      </c>
      <c r="D569" s="19">
        <f>D507+D522+D537+D553+D564</f>
        <v/>
      </c>
      <c r="E569" s="19">
        <f>E507+E522+E537+E553+E564</f>
        <v/>
      </c>
      <c r="F569" s="19">
        <f>F507+F522+F537+F553+F564</f>
        <v/>
      </c>
      <c r="G569" s="19">
        <f>G507+G522+G537+G553+G564</f>
        <v/>
      </c>
      <c r="H569" s="19">
        <f>H507+H522+H537+H553+H564</f>
        <v/>
      </c>
      <c r="I569" s="19">
        <f>I507+I522+I537+I553+I564</f>
        <v/>
      </c>
      <c r="J569" s="19">
        <f>J507+J522+J537+J553+J564</f>
        <v/>
      </c>
      <c r="K569" s="19">
        <f>K507+K522+K537+K553+K564</f>
        <v/>
      </c>
      <c r="L569" s="19">
        <f>L507+L522+L537+L553+L564</f>
        <v/>
      </c>
      <c r="M569" s="19">
        <f>M507+M522+M537+M553+M564</f>
        <v/>
      </c>
      <c r="N569" s="19">
        <f>N507+N522+N537+N553+N564</f>
        <v/>
      </c>
      <c r="O569" s="19">
        <f>O507+O522+O537+O553+O564</f>
        <v/>
      </c>
      <c r="P569" s="19">
        <f>P507+P522+P537+P553+P564</f>
        <v/>
      </c>
      <c r="Q569" s="19">
        <f>Q507+Q522+Q537+Q553+Q564</f>
        <v/>
      </c>
      <c r="R569" s="19">
        <f>R507+R522+R537+R553+R564</f>
        <v/>
      </c>
      <c r="S569" s="19">
        <f>S507+S522+S537+S553+S564</f>
        <v/>
      </c>
      <c r="T569" s="19">
        <f>T507+T522+T537+T553+T564</f>
        <v/>
      </c>
      <c r="U569" s="19">
        <f>U507+U522+U537+U553+U564</f>
        <v/>
      </c>
      <c r="V569" s="19">
        <f>V507+V522+V537+V553+V564</f>
        <v/>
      </c>
      <c r="W569" s="19">
        <f>W507+W522+W537+W553+W564</f>
        <v/>
      </c>
      <c r="X569" s="19">
        <f>X507+X522+X537+X553+X564</f>
        <v/>
      </c>
      <c r="Y569" s="19">
        <f>Y507+Y522+Y537+Y553+Y564</f>
        <v/>
      </c>
      <c r="Z569" s="19">
        <f>Z507+Z522+Z537+Z553+Z564</f>
        <v/>
      </c>
      <c r="AA569" s="19">
        <f>AA507+AA522+AA537+AA553+AA564</f>
        <v/>
      </c>
      <c r="AB569" s="19">
        <f>AB507+AB522+AB537+AB553+AB564</f>
        <v/>
      </c>
      <c r="AC569" s="19">
        <f>AC507+AC522+AC537+AC553+AC564</f>
        <v/>
      </c>
      <c r="AD569" s="19">
        <f>AD507+AD522+AD537+AD553+AD564</f>
        <v/>
      </c>
      <c r="AE569" s="19">
        <f>AE507+AE522+AE537+AE553+AE564</f>
        <v/>
      </c>
      <c r="AF569" s="19">
        <f>AF507+AF522+AF537+AF553+AF564</f>
        <v/>
      </c>
      <c r="AG569" s="19">
        <f>AG507+AG522+AG537+AG553+AG564</f>
        <v/>
      </c>
      <c r="AH569" s="19">
        <f>AH507+AH522+AH537+AH553+AH564</f>
        <v/>
      </c>
      <c r="AI569" s="19">
        <f>AI507+AI522+AI537+AI553+AI564</f>
        <v/>
      </c>
    </row>
    <row r="570">
      <c r="B570" s="2" t="inlineStr">
        <is>
          <t>Corporate costs</t>
        </is>
      </c>
      <c r="D570" s="19">
        <f>i_corp*D489*IF(OR(Diligence!$C$486=1,D$3&lt;=i_conc_end),1,i_corp_after_w)+IF(D$3&gt;=i_mitig_start,Diligence!$C$488*D489,0)</f>
        <v/>
      </c>
      <c r="E570" s="19">
        <f>i_corp*E489*IF(OR(Diligence!$C$486=1,E$3&lt;=i_conc_end),1,i_corp_after_w)+IF(E$3&gt;=i_mitig_start,Diligence!$C$488*E489,0)</f>
        <v/>
      </c>
      <c r="F570" s="19">
        <f>i_corp*F489*IF(OR(Diligence!$C$486=1,F$3&lt;=i_conc_end),1,i_corp_after_w)+IF(F$3&gt;=i_mitig_start,Diligence!$C$488*F489,0)</f>
        <v/>
      </c>
      <c r="G570" s="19">
        <f>i_corp*G489*IF(OR(Diligence!$C$486=1,G$3&lt;=i_conc_end),1,i_corp_after_w)+IF(G$3&gt;=i_mitig_start,Diligence!$C$488*G489,0)</f>
        <v/>
      </c>
      <c r="H570" s="19">
        <f>i_corp*H489*IF(OR(Diligence!$C$486=1,H$3&lt;=i_conc_end),1,i_corp_after_w)+IF(H$3&gt;=i_mitig_start,Diligence!$C$488*H489,0)</f>
        <v/>
      </c>
      <c r="I570" s="19">
        <f>i_corp*I489*IF(OR(Diligence!$C$486=1,I$3&lt;=i_conc_end),1,i_corp_after_w)+IF(I$3&gt;=i_mitig_start,Diligence!$C$488*I489,0)</f>
        <v/>
      </c>
      <c r="J570" s="19">
        <f>i_corp*J489*IF(OR(Diligence!$C$486=1,J$3&lt;=i_conc_end),1,i_corp_after_w)+IF(J$3&gt;=i_mitig_start,Diligence!$C$488*J489,0)</f>
        <v/>
      </c>
      <c r="K570" s="19">
        <f>i_corp*K489*IF(OR(Diligence!$C$486=1,K$3&lt;=i_conc_end),1,i_corp_after_w)+IF(K$3&gt;=i_mitig_start,Diligence!$C$488*K489,0)</f>
        <v/>
      </c>
      <c r="L570" s="19">
        <f>i_corp*L489*IF(OR(Diligence!$C$486=1,L$3&lt;=i_conc_end),1,i_corp_after_w)+IF(L$3&gt;=i_mitig_start,Diligence!$C$488*L489,0)</f>
        <v/>
      </c>
      <c r="M570" s="19">
        <f>i_corp*M489*IF(OR(Diligence!$C$486=1,M$3&lt;=i_conc_end),1,i_corp_after_w)+IF(M$3&gt;=i_mitig_start,Diligence!$C$488*M489,0)</f>
        <v/>
      </c>
      <c r="N570" s="19">
        <f>i_corp*N489*IF(OR(Diligence!$C$486=1,N$3&lt;=i_conc_end),1,i_corp_after_w)+IF(N$3&gt;=i_mitig_start,Diligence!$C$488*N489,0)</f>
        <v/>
      </c>
      <c r="O570" s="19">
        <f>i_corp*O489*IF(OR(Diligence!$C$486=1,O$3&lt;=i_conc_end),1,i_corp_after_w)+IF(O$3&gt;=i_mitig_start,Diligence!$C$488*O489,0)</f>
        <v/>
      </c>
      <c r="P570" s="19">
        <f>i_corp*P489*IF(OR(Diligence!$C$486=1,P$3&lt;=i_conc_end),1,i_corp_after_w)+IF(P$3&gt;=i_mitig_start,Diligence!$C$488*P489,0)</f>
        <v/>
      </c>
      <c r="Q570" s="19">
        <f>i_corp*Q489*IF(OR(Diligence!$C$486=1,Q$3&lt;=i_conc_end),1,i_corp_after_w)+IF(Q$3&gt;=i_mitig_start,Diligence!$C$488*Q489,0)</f>
        <v/>
      </c>
      <c r="R570" s="19">
        <f>i_corp*R489*IF(OR(Diligence!$C$486=1,R$3&lt;=i_conc_end),1,i_corp_after_w)+IF(R$3&gt;=i_mitig_start,Diligence!$C$488*R489,0)</f>
        <v/>
      </c>
      <c r="S570" s="19">
        <f>i_corp*S489*IF(OR(Diligence!$C$486=1,S$3&lt;=i_conc_end),1,i_corp_after_w)+IF(S$3&gt;=i_mitig_start,Diligence!$C$488*S489,0)</f>
        <v/>
      </c>
      <c r="T570" s="19">
        <f>i_corp*T489*IF(OR(Diligence!$C$486=1,T$3&lt;=i_conc_end),1,i_corp_after_w)+IF(T$3&gt;=i_mitig_start,Diligence!$C$488*T489,0)</f>
        <v/>
      </c>
      <c r="U570" s="19">
        <f>i_corp*U489*IF(OR(Diligence!$C$486=1,U$3&lt;=i_conc_end),1,i_corp_after_w)+IF(U$3&gt;=i_mitig_start,Diligence!$C$488*U489,0)</f>
        <v/>
      </c>
      <c r="V570" s="19">
        <f>i_corp*V489*IF(OR(Diligence!$C$486=1,V$3&lt;=i_conc_end),1,i_corp_after_w)+IF(V$3&gt;=i_mitig_start,Diligence!$C$488*V489,0)</f>
        <v/>
      </c>
      <c r="W570" s="19">
        <f>i_corp*W489*IF(OR(Diligence!$C$486=1,W$3&lt;=i_conc_end),1,i_corp_after_w)+IF(W$3&gt;=i_mitig_start,Diligence!$C$488*W489,0)</f>
        <v/>
      </c>
      <c r="X570" s="19">
        <f>i_corp*X489*IF(OR(Diligence!$C$486=1,X$3&lt;=i_conc_end),1,i_corp_after_w)+IF(X$3&gt;=i_mitig_start,Diligence!$C$488*X489,0)</f>
        <v/>
      </c>
      <c r="Y570" s="19">
        <f>i_corp*Y489*IF(OR(Diligence!$C$486=1,Y$3&lt;=i_conc_end),1,i_corp_after_w)+IF(Y$3&gt;=i_mitig_start,Diligence!$C$488*Y489,0)</f>
        <v/>
      </c>
      <c r="Z570" s="19">
        <f>i_corp*Z489*IF(OR(Diligence!$C$486=1,Z$3&lt;=i_conc_end),1,i_corp_after_w)+IF(Z$3&gt;=i_mitig_start,Diligence!$C$488*Z489,0)</f>
        <v/>
      </c>
      <c r="AA570" s="19">
        <f>i_corp*AA489*IF(OR(Diligence!$C$486=1,AA$3&lt;=i_conc_end),1,i_corp_after_w)+IF(AA$3&gt;=i_mitig_start,Diligence!$C$488*AA489,0)</f>
        <v/>
      </c>
      <c r="AB570" s="19">
        <f>i_corp*AB489*IF(OR(Diligence!$C$486=1,AB$3&lt;=i_conc_end),1,i_corp_after_w)+IF(AB$3&gt;=i_mitig_start,Diligence!$C$488*AB489,0)</f>
        <v/>
      </c>
      <c r="AC570" s="19">
        <f>i_corp*AC489*IF(OR(Diligence!$C$486=1,AC$3&lt;=i_conc_end),1,i_corp_after_w)+IF(AC$3&gt;=i_mitig_start,Diligence!$C$488*AC489,0)</f>
        <v/>
      </c>
      <c r="AD570" s="19">
        <f>i_corp*AD489*IF(OR(Diligence!$C$486=1,AD$3&lt;=i_conc_end),1,i_corp_after_w)+IF(AD$3&gt;=i_mitig_start,Diligence!$C$488*AD489,0)</f>
        <v/>
      </c>
      <c r="AE570" s="19">
        <f>i_corp*AE489*IF(OR(Diligence!$C$486=1,AE$3&lt;=i_conc_end),1,i_corp_after_w)+IF(AE$3&gt;=i_mitig_start,Diligence!$C$488*AE489,0)</f>
        <v/>
      </c>
      <c r="AF570" s="19">
        <f>i_corp*AF489*IF(OR(Diligence!$C$486=1,AF$3&lt;=i_conc_end),1,i_corp_after_w)+IF(AF$3&gt;=i_mitig_start,Diligence!$C$488*AF489,0)</f>
        <v/>
      </c>
      <c r="AG570" s="19">
        <f>i_corp*AG489*IF(OR(Diligence!$C$486=1,AG$3&lt;=i_conc_end),1,i_corp_after_w)+IF(AG$3&gt;=i_mitig_start,Diligence!$C$488*AG489,0)</f>
        <v/>
      </c>
      <c r="AH570" s="19">
        <f>i_corp*AH489*IF(OR(Diligence!$C$486=1,AH$3&lt;=i_conc_end),1,i_corp_after_w)+IF(AH$3&gt;=i_mitig_start,Diligence!$C$488*AH489,0)</f>
        <v/>
      </c>
      <c r="AI570" s="19">
        <f>i_corp*AI489*IF(OR(Diligence!$C$486=1,AI$3&lt;=i_conc_end),1,i_corp_after_w)+IF(AI$3&gt;=i_mitig_start,Diligence!$C$488*AI489,0)</f>
        <v/>
      </c>
    </row>
    <row r="571">
      <c r="B571" s="3" t="inlineStr">
        <is>
          <t>EBITDA</t>
        </is>
      </c>
      <c r="D571" s="31">
        <f>D569-D570</f>
        <v/>
      </c>
      <c r="E571" s="31">
        <f>E569-E570</f>
        <v/>
      </c>
      <c r="F571" s="31">
        <f>F569-F570</f>
        <v/>
      </c>
      <c r="G571" s="31">
        <f>G569-G570</f>
        <v/>
      </c>
      <c r="H571" s="31">
        <f>H569-H570</f>
        <v/>
      </c>
      <c r="I571" s="31">
        <f>I569-I570</f>
        <v/>
      </c>
      <c r="J571" s="31">
        <f>J569-J570</f>
        <v/>
      </c>
      <c r="K571" s="31">
        <f>K569-K570</f>
        <v/>
      </c>
      <c r="L571" s="31">
        <f>L569-L570</f>
        <v/>
      </c>
      <c r="M571" s="31">
        <f>M569-M570</f>
        <v/>
      </c>
      <c r="N571" s="31">
        <f>N569-N570</f>
        <v/>
      </c>
      <c r="O571" s="31">
        <f>O569-O570</f>
        <v/>
      </c>
      <c r="P571" s="31">
        <f>P569-P570</f>
        <v/>
      </c>
      <c r="Q571" s="31">
        <f>Q569-Q570</f>
        <v/>
      </c>
      <c r="R571" s="31">
        <f>R569-R570</f>
        <v/>
      </c>
      <c r="S571" s="31">
        <f>S569-S570</f>
        <v/>
      </c>
      <c r="T571" s="31">
        <f>T569-T570</f>
        <v/>
      </c>
      <c r="U571" s="31">
        <f>U569-U570</f>
        <v/>
      </c>
      <c r="V571" s="31">
        <f>V569-V570</f>
        <v/>
      </c>
      <c r="W571" s="31">
        <f>W569-W570</f>
        <v/>
      </c>
      <c r="X571" s="31">
        <f>X569-X570</f>
        <v/>
      </c>
      <c r="Y571" s="31">
        <f>Y569-Y570</f>
        <v/>
      </c>
      <c r="Z571" s="31">
        <f>Z569-Z570</f>
        <v/>
      </c>
      <c r="AA571" s="31">
        <f>AA569-AA570</f>
        <v/>
      </c>
      <c r="AB571" s="31">
        <f>AB569-AB570</f>
        <v/>
      </c>
      <c r="AC571" s="31">
        <f>AC569-AC570</f>
        <v/>
      </c>
      <c r="AD571" s="31">
        <f>AD569-AD570</f>
        <v/>
      </c>
      <c r="AE571" s="31">
        <f>AE569-AE570</f>
        <v/>
      </c>
      <c r="AF571" s="31">
        <f>AF569-AF570</f>
        <v/>
      </c>
      <c r="AG571" s="31">
        <f>AG569-AG570</f>
        <v/>
      </c>
      <c r="AH571" s="31">
        <f>AH569-AH570</f>
        <v/>
      </c>
      <c r="AI571" s="31">
        <f>AI569-AI570</f>
        <v/>
      </c>
    </row>
    <row r="572">
      <c r="B572" s="2" t="inlineStr">
        <is>
          <t>Maintenance capex</t>
        </is>
      </c>
      <c r="D572" s="19">
        <f>D508+D523+D538+D554+D565</f>
        <v/>
      </c>
      <c r="E572" s="19">
        <f>E508+E523+E538+E554+E565</f>
        <v/>
      </c>
      <c r="F572" s="19">
        <f>F508+F523+F538+F554+F565</f>
        <v/>
      </c>
      <c r="G572" s="19">
        <f>G508+G523+G538+G554+G565</f>
        <v/>
      </c>
      <c r="H572" s="19">
        <f>H508+H523+H538+H554+H565</f>
        <v/>
      </c>
      <c r="I572" s="19">
        <f>I508+I523+I538+I554+I565</f>
        <v/>
      </c>
      <c r="J572" s="19">
        <f>J508+J523+J538+J554+J565</f>
        <v/>
      </c>
      <c r="K572" s="19">
        <f>K508+K523+K538+K554+K565</f>
        <v/>
      </c>
      <c r="L572" s="19">
        <f>L508+L523+L538+L554+L565</f>
        <v/>
      </c>
      <c r="M572" s="19">
        <f>M508+M523+M538+M554+M565</f>
        <v/>
      </c>
      <c r="N572" s="19">
        <f>N508+N523+N538+N554+N565</f>
        <v/>
      </c>
      <c r="O572" s="19">
        <f>O508+O523+O538+O554+O565</f>
        <v/>
      </c>
      <c r="P572" s="19">
        <f>P508+P523+P538+P554+P565</f>
        <v/>
      </c>
      <c r="Q572" s="19">
        <f>Q508+Q523+Q538+Q554+Q565</f>
        <v/>
      </c>
      <c r="R572" s="19">
        <f>R508+R523+R538+R554+R565</f>
        <v/>
      </c>
      <c r="S572" s="19">
        <f>S508+S523+S538+S554+S565</f>
        <v/>
      </c>
      <c r="T572" s="19">
        <f>T508+T523+T538+T554+T565</f>
        <v/>
      </c>
      <c r="U572" s="19">
        <f>U508+U523+U538+U554+U565</f>
        <v/>
      </c>
      <c r="V572" s="19">
        <f>V508+V523+V538+V554+V565</f>
        <v/>
      </c>
      <c r="W572" s="19">
        <f>W508+W523+W538+W554+W565</f>
        <v/>
      </c>
      <c r="X572" s="19">
        <f>X508+X523+X538+X554+X565</f>
        <v/>
      </c>
      <c r="Y572" s="19">
        <f>Y508+Y523+Y538+Y554+Y565</f>
        <v/>
      </c>
      <c r="Z572" s="19">
        <f>Z508+Z523+Z538+Z554+Z565</f>
        <v/>
      </c>
      <c r="AA572" s="19">
        <f>AA508+AA523+AA538+AA554+AA565</f>
        <v/>
      </c>
      <c r="AB572" s="19">
        <f>AB508+AB523+AB538+AB554+AB565</f>
        <v/>
      </c>
      <c r="AC572" s="19">
        <f>AC508+AC523+AC538+AC554+AC565</f>
        <v/>
      </c>
      <c r="AD572" s="19">
        <f>AD508+AD523+AD538+AD554+AD565</f>
        <v/>
      </c>
      <c r="AE572" s="19">
        <f>AE508+AE523+AE538+AE554+AE565</f>
        <v/>
      </c>
      <c r="AF572" s="19">
        <f>AF508+AF523+AF538+AF554+AF565</f>
        <v/>
      </c>
      <c r="AG572" s="19">
        <f>AG508+AG523+AG538+AG554+AG565</f>
        <v/>
      </c>
      <c r="AH572" s="19">
        <f>AH508+AH523+AH538+AH554+AH565</f>
        <v/>
      </c>
      <c r="AI572" s="19">
        <f>AI508+AI523+AI538+AI554+AI565</f>
        <v/>
      </c>
    </row>
    <row r="573">
      <c r="B573" s="2" t="inlineStr">
        <is>
          <t>Growth capex</t>
        </is>
      </c>
      <c r="D573" s="19">
        <f>D556</f>
        <v/>
      </c>
      <c r="E573" s="19">
        <f>E556</f>
        <v/>
      </c>
      <c r="F573" s="19">
        <f>F556</f>
        <v/>
      </c>
      <c r="G573" s="19">
        <f>G556</f>
        <v/>
      </c>
      <c r="H573" s="19">
        <f>H556</f>
        <v/>
      </c>
      <c r="I573" s="19">
        <f>I556</f>
        <v/>
      </c>
      <c r="J573" s="19">
        <f>J556</f>
        <v/>
      </c>
      <c r="K573" s="19">
        <f>K556</f>
        <v/>
      </c>
      <c r="L573" s="19">
        <f>L556</f>
        <v/>
      </c>
      <c r="M573" s="19">
        <f>M556</f>
        <v/>
      </c>
      <c r="N573" s="19">
        <f>N556</f>
        <v/>
      </c>
      <c r="O573" s="19">
        <f>O556</f>
        <v/>
      </c>
      <c r="P573" s="19">
        <f>P556</f>
        <v/>
      </c>
      <c r="Q573" s="19">
        <f>Q556</f>
        <v/>
      </c>
      <c r="R573" s="19">
        <f>R556</f>
        <v/>
      </c>
      <c r="S573" s="19">
        <f>S556</f>
        <v/>
      </c>
      <c r="T573" s="19">
        <f>T556</f>
        <v/>
      </c>
      <c r="U573" s="19">
        <f>U556</f>
        <v/>
      </c>
      <c r="V573" s="19">
        <f>V556</f>
        <v/>
      </c>
      <c r="W573" s="19">
        <f>W556</f>
        <v/>
      </c>
      <c r="X573" s="19">
        <f>X556</f>
        <v/>
      </c>
      <c r="Y573" s="19">
        <f>Y556</f>
        <v/>
      </c>
      <c r="Z573" s="19">
        <f>Z556</f>
        <v/>
      </c>
      <c r="AA573" s="19">
        <f>AA556</f>
        <v/>
      </c>
      <c r="AB573" s="19">
        <f>AB556</f>
        <v/>
      </c>
      <c r="AC573" s="19">
        <f>AC556</f>
        <v/>
      </c>
      <c r="AD573" s="19">
        <f>AD556</f>
        <v/>
      </c>
      <c r="AE573" s="19">
        <f>AE556</f>
        <v/>
      </c>
      <c r="AF573" s="19">
        <f>AF556</f>
        <v/>
      </c>
      <c r="AG573" s="19">
        <f>AG556</f>
        <v/>
      </c>
      <c r="AH573" s="19">
        <f>AH556</f>
        <v/>
      </c>
      <c r="AI573" s="19">
        <f>AI556</f>
        <v/>
      </c>
    </row>
    <row r="574">
      <c r="B574" s="2" t="inlineStr">
        <is>
          <t>Tax depreciation</t>
        </is>
      </c>
      <c r="D574" s="19">
        <f>D572+IF(D$3&lt;=i_tax_dep_end,i_tax_dep_extra,0)</f>
        <v/>
      </c>
      <c r="E574" s="19">
        <f>E572+IF(E$3&lt;=i_tax_dep_end,i_tax_dep_extra,0)</f>
        <v/>
      </c>
      <c r="F574" s="19">
        <f>F572+IF(F$3&lt;=i_tax_dep_end,i_tax_dep_extra,0)</f>
        <v/>
      </c>
      <c r="G574" s="19">
        <f>G572+IF(G$3&lt;=i_tax_dep_end,i_tax_dep_extra,0)</f>
        <v/>
      </c>
      <c r="H574" s="19">
        <f>H572+IF(H$3&lt;=i_tax_dep_end,i_tax_dep_extra,0)</f>
        <v/>
      </c>
      <c r="I574" s="19">
        <f>I572+IF(I$3&lt;=i_tax_dep_end,i_tax_dep_extra,0)</f>
        <v/>
      </c>
      <c r="J574" s="19">
        <f>J572+IF(J$3&lt;=i_tax_dep_end,i_tax_dep_extra,0)</f>
        <v/>
      </c>
      <c r="K574" s="19">
        <f>K572+IF(K$3&lt;=i_tax_dep_end,i_tax_dep_extra,0)</f>
        <v/>
      </c>
      <c r="L574" s="19">
        <f>L572+IF(L$3&lt;=i_tax_dep_end,i_tax_dep_extra,0)</f>
        <v/>
      </c>
      <c r="M574" s="19">
        <f>M572+IF(M$3&lt;=i_tax_dep_end,i_tax_dep_extra,0)</f>
        <v/>
      </c>
      <c r="N574" s="19">
        <f>N572+IF(N$3&lt;=i_tax_dep_end,i_tax_dep_extra,0)</f>
        <v/>
      </c>
      <c r="O574" s="19">
        <f>O572+IF(O$3&lt;=i_tax_dep_end,i_tax_dep_extra,0)</f>
        <v/>
      </c>
      <c r="P574" s="19">
        <f>P572+IF(P$3&lt;=i_tax_dep_end,i_tax_dep_extra,0)</f>
        <v/>
      </c>
      <c r="Q574" s="19">
        <f>Q572+IF(Q$3&lt;=i_tax_dep_end,i_tax_dep_extra,0)</f>
        <v/>
      </c>
      <c r="R574" s="19">
        <f>R572+IF(R$3&lt;=i_tax_dep_end,i_tax_dep_extra,0)</f>
        <v/>
      </c>
      <c r="S574" s="19">
        <f>S572+IF(S$3&lt;=i_tax_dep_end,i_tax_dep_extra,0)</f>
        <v/>
      </c>
      <c r="T574" s="19">
        <f>T572+IF(T$3&lt;=i_tax_dep_end,i_tax_dep_extra,0)</f>
        <v/>
      </c>
      <c r="U574" s="19">
        <f>U572+IF(U$3&lt;=i_tax_dep_end,i_tax_dep_extra,0)</f>
        <v/>
      </c>
      <c r="V574" s="19">
        <f>V572+IF(V$3&lt;=i_tax_dep_end,i_tax_dep_extra,0)</f>
        <v/>
      </c>
      <c r="W574" s="19">
        <f>W572+IF(W$3&lt;=i_tax_dep_end,i_tax_dep_extra,0)</f>
        <v/>
      </c>
      <c r="X574" s="19">
        <f>X572+IF(X$3&lt;=i_tax_dep_end,i_tax_dep_extra,0)</f>
        <v/>
      </c>
      <c r="Y574" s="19">
        <f>Y572+IF(Y$3&lt;=i_tax_dep_end,i_tax_dep_extra,0)</f>
        <v/>
      </c>
      <c r="Z574" s="19">
        <f>Z572+IF(Z$3&lt;=i_tax_dep_end,i_tax_dep_extra,0)</f>
        <v/>
      </c>
      <c r="AA574" s="19">
        <f>AA572+IF(AA$3&lt;=i_tax_dep_end,i_tax_dep_extra,0)</f>
        <v/>
      </c>
      <c r="AB574" s="19">
        <f>AB572+IF(AB$3&lt;=i_tax_dep_end,i_tax_dep_extra,0)</f>
        <v/>
      </c>
      <c r="AC574" s="19">
        <f>AC572+IF(AC$3&lt;=i_tax_dep_end,i_tax_dep_extra,0)</f>
        <v/>
      </c>
      <c r="AD574" s="19">
        <f>AD572+IF(AD$3&lt;=i_tax_dep_end,i_tax_dep_extra,0)</f>
        <v/>
      </c>
      <c r="AE574" s="19">
        <f>AE572+IF(AE$3&lt;=i_tax_dep_end,i_tax_dep_extra,0)</f>
        <v/>
      </c>
      <c r="AF574" s="19">
        <f>AF572+IF(AF$3&lt;=i_tax_dep_end,i_tax_dep_extra,0)</f>
        <v/>
      </c>
      <c r="AG574" s="19">
        <f>AG572+IF(AG$3&lt;=i_tax_dep_end,i_tax_dep_extra,0)</f>
        <v/>
      </c>
      <c r="AH574" s="19">
        <f>AH572+IF(AH$3&lt;=i_tax_dep_end,i_tax_dep_extra,0)</f>
        <v/>
      </c>
      <c r="AI574" s="19">
        <f>AI572+IF(AI$3&lt;=i_tax_dep_end,i_tax_dep_extra,0)</f>
        <v/>
      </c>
    </row>
    <row r="575">
      <c r="B575" s="2" t="inlineStr">
        <is>
          <t>Unlevered cash tax</t>
        </is>
      </c>
      <c r="D575" s="19">
        <f>i_tax*MAX(0,D571-D574)</f>
        <v/>
      </c>
      <c r="E575" s="19">
        <f>i_tax*MAX(0,E571-E574)</f>
        <v/>
      </c>
      <c r="F575" s="19">
        <f>i_tax*MAX(0,F571-F574)</f>
        <v/>
      </c>
      <c r="G575" s="19">
        <f>i_tax*MAX(0,G571-G574)</f>
        <v/>
      </c>
      <c r="H575" s="19">
        <f>i_tax*MAX(0,H571-H574)</f>
        <v/>
      </c>
      <c r="I575" s="19">
        <f>i_tax*MAX(0,I571-I574)</f>
        <v/>
      </c>
      <c r="J575" s="19">
        <f>i_tax*MAX(0,J571-J574)</f>
        <v/>
      </c>
      <c r="K575" s="19">
        <f>i_tax*MAX(0,K571-K574)</f>
        <v/>
      </c>
      <c r="L575" s="19">
        <f>i_tax*MAX(0,L571-L574)</f>
        <v/>
      </c>
      <c r="M575" s="19">
        <f>i_tax*MAX(0,M571-M574)</f>
        <v/>
      </c>
      <c r="N575" s="19">
        <f>i_tax*MAX(0,N571-N574)</f>
        <v/>
      </c>
      <c r="O575" s="19">
        <f>i_tax*MAX(0,O571-O574)</f>
        <v/>
      </c>
      <c r="P575" s="19">
        <f>i_tax*MAX(0,P571-P574)</f>
        <v/>
      </c>
      <c r="Q575" s="19">
        <f>i_tax*MAX(0,Q571-Q574)</f>
        <v/>
      </c>
      <c r="R575" s="19">
        <f>i_tax*MAX(0,R571-R574)</f>
        <v/>
      </c>
      <c r="S575" s="19">
        <f>i_tax*MAX(0,S571-S574)</f>
        <v/>
      </c>
      <c r="T575" s="19">
        <f>i_tax*MAX(0,T571-T574)</f>
        <v/>
      </c>
      <c r="U575" s="19">
        <f>i_tax*MAX(0,U571-U574)</f>
        <v/>
      </c>
      <c r="V575" s="19">
        <f>i_tax*MAX(0,V571-V574)</f>
        <v/>
      </c>
      <c r="W575" s="19">
        <f>i_tax*MAX(0,W571-W574)</f>
        <v/>
      </c>
      <c r="X575" s="19">
        <f>i_tax*MAX(0,X571-X574)</f>
        <v/>
      </c>
      <c r="Y575" s="19">
        <f>i_tax*MAX(0,Y571-Y574)</f>
        <v/>
      </c>
      <c r="Z575" s="19">
        <f>i_tax*MAX(0,Z571-Z574)</f>
        <v/>
      </c>
      <c r="AA575" s="19">
        <f>i_tax*MAX(0,AA571-AA574)</f>
        <v/>
      </c>
      <c r="AB575" s="19">
        <f>i_tax*MAX(0,AB571-AB574)</f>
        <v/>
      </c>
      <c r="AC575" s="19">
        <f>i_tax*MAX(0,AC571-AC574)</f>
        <v/>
      </c>
      <c r="AD575" s="19">
        <f>i_tax*MAX(0,AD571-AD574)</f>
        <v/>
      </c>
      <c r="AE575" s="19">
        <f>i_tax*MAX(0,AE571-AE574)</f>
        <v/>
      </c>
      <c r="AF575" s="19">
        <f>i_tax*MAX(0,AF571-AF574)</f>
        <v/>
      </c>
      <c r="AG575" s="19">
        <f>i_tax*MAX(0,AG571-AG574)</f>
        <v/>
      </c>
      <c r="AH575" s="19">
        <f>i_tax*MAX(0,AH571-AH574)</f>
        <v/>
      </c>
      <c r="AI575" s="19">
        <f>i_tax*MAX(0,AI571-AI574)</f>
        <v/>
      </c>
    </row>
    <row r="576">
      <c r="B576" s="2" t="inlineStr">
        <is>
          <t>Westerhaven handback works</t>
        </is>
      </c>
      <c r="D576" s="19">
        <f>IF(AND(Diligence!$C$486=0,D$3=i_conc_end),i_handback*D489,0)</f>
        <v/>
      </c>
      <c r="E576" s="19">
        <f>IF(AND(Diligence!$C$486=0,E$3=i_conc_end),i_handback*E489,0)</f>
        <v/>
      </c>
      <c r="F576" s="19">
        <f>IF(AND(Diligence!$C$486=0,F$3=i_conc_end),i_handback*F489,0)</f>
        <v/>
      </c>
      <c r="G576" s="19">
        <f>IF(AND(Diligence!$C$486=0,G$3=i_conc_end),i_handback*G489,0)</f>
        <v/>
      </c>
      <c r="H576" s="19">
        <f>IF(AND(Diligence!$C$486=0,H$3=i_conc_end),i_handback*H489,0)</f>
        <v/>
      </c>
      <c r="I576" s="19">
        <f>IF(AND(Diligence!$C$486=0,I$3=i_conc_end),i_handback*I489,0)</f>
        <v/>
      </c>
      <c r="J576" s="19">
        <f>IF(AND(Diligence!$C$486=0,J$3=i_conc_end),i_handback*J489,0)</f>
        <v/>
      </c>
      <c r="K576" s="19">
        <f>IF(AND(Diligence!$C$486=0,K$3=i_conc_end),i_handback*K489,0)</f>
        <v/>
      </c>
      <c r="L576" s="19">
        <f>IF(AND(Diligence!$C$486=0,L$3=i_conc_end),i_handback*L489,0)</f>
        <v/>
      </c>
      <c r="M576" s="19">
        <f>IF(AND(Diligence!$C$486=0,M$3=i_conc_end),i_handback*M489,0)</f>
        <v/>
      </c>
      <c r="N576" s="19">
        <f>IF(AND(Diligence!$C$486=0,N$3=i_conc_end),i_handback*N489,0)</f>
        <v/>
      </c>
      <c r="O576" s="19">
        <f>IF(AND(Diligence!$C$486=0,O$3=i_conc_end),i_handback*O489,0)</f>
        <v/>
      </c>
      <c r="P576" s="19">
        <f>IF(AND(Diligence!$C$486=0,P$3=i_conc_end),i_handback*P489,0)</f>
        <v/>
      </c>
      <c r="Q576" s="19">
        <f>IF(AND(Diligence!$C$486=0,Q$3=i_conc_end),i_handback*Q489,0)</f>
        <v/>
      </c>
      <c r="R576" s="19">
        <f>IF(AND(Diligence!$C$486=0,R$3=i_conc_end),i_handback*R489,0)</f>
        <v/>
      </c>
      <c r="S576" s="19">
        <f>IF(AND(Diligence!$C$486=0,S$3=i_conc_end),i_handback*S489,0)</f>
        <v/>
      </c>
      <c r="T576" s="19">
        <f>IF(AND(Diligence!$C$486=0,T$3=i_conc_end),i_handback*T489,0)</f>
        <v/>
      </c>
      <c r="U576" s="19">
        <f>IF(AND(Diligence!$C$486=0,U$3=i_conc_end),i_handback*U489,0)</f>
        <v/>
      </c>
      <c r="V576" s="19">
        <f>IF(AND(Diligence!$C$486=0,V$3=i_conc_end),i_handback*V489,0)</f>
        <v/>
      </c>
      <c r="W576" s="19">
        <f>IF(AND(Diligence!$C$486=0,W$3=i_conc_end),i_handback*W489,0)</f>
        <v/>
      </c>
      <c r="X576" s="19">
        <f>IF(AND(Diligence!$C$486=0,X$3=i_conc_end),i_handback*X489,0)</f>
        <v/>
      </c>
      <c r="Y576" s="19">
        <f>IF(AND(Diligence!$C$486=0,Y$3=i_conc_end),i_handback*Y489,0)</f>
        <v/>
      </c>
      <c r="Z576" s="19">
        <f>IF(AND(Diligence!$C$486=0,Z$3=i_conc_end),i_handback*Z489,0)</f>
        <v/>
      </c>
      <c r="AA576" s="19">
        <f>IF(AND(Diligence!$C$486=0,AA$3=i_conc_end),i_handback*AA489,0)</f>
        <v/>
      </c>
      <c r="AB576" s="19">
        <f>IF(AND(Diligence!$C$486=0,AB$3=i_conc_end),i_handback*AB489,0)</f>
        <v/>
      </c>
      <c r="AC576" s="19">
        <f>IF(AND(Diligence!$C$486=0,AC$3=i_conc_end),i_handback*AC489,0)</f>
        <v/>
      </c>
      <c r="AD576" s="19">
        <f>IF(AND(Diligence!$C$486=0,AD$3=i_conc_end),i_handback*AD489,0)</f>
        <v/>
      </c>
      <c r="AE576" s="19">
        <f>IF(AND(Diligence!$C$486=0,AE$3=i_conc_end),i_handback*AE489,0)</f>
        <v/>
      </c>
      <c r="AF576" s="19">
        <f>IF(AND(Diligence!$C$486=0,AF$3=i_conc_end),i_handback*AF489,0)</f>
        <v/>
      </c>
      <c r="AG576" s="19">
        <f>IF(AND(Diligence!$C$486=0,AG$3=i_conc_end),i_handback*AG489,0)</f>
        <v/>
      </c>
      <c r="AH576" s="19">
        <f>IF(AND(Diligence!$C$486=0,AH$3=i_conc_end),i_handback*AH489,0)</f>
        <v/>
      </c>
      <c r="AI576" s="19">
        <f>IF(AND(Diligence!$C$486=0,AI$3=i_conc_end),i_handback*AI489,0)</f>
        <v/>
      </c>
    </row>
    <row r="577">
      <c r="B577" s="3" t="inlineStr">
        <is>
          <t>Free cash flow (unlevered)</t>
        </is>
      </c>
      <c r="D577" s="31">
        <f>D571-D572-D573-D575-D576</f>
        <v/>
      </c>
      <c r="E577" s="31">
        <f>E571-E572-E573-E575-E576</f>
        <v/>
      </c>
      <c r="F577" s="31">
        <f>F571-F572-F573-F575-F576</f>
        <v/>
      </c>
      <c r="G577" s="31">
        <f>G571-G572-G573-G575-G576</f>
        <v/>
      </c>
      <c r="H577" s="31">
        <f>H571-H572-H573-H575-H576</f>
        <v/>
      </c>
      <c r="I577" s="31">
        <f>I571-I572-I573-I575-I576</f>
        <v/>
      </c>
      <c r="J577" s="31">
        <f>J571-J572-J573-J575-J576</f>
        <v/>
      </c>
      <c r="K577" s="31">
        <f>K571-K572-K573-K575-K576</f>
        <v/>
      </c>
      <c r="L577" s="31">
        <f>L571-L572-L573-L575-L576</f>
        <v/>
      </c>
      <c r="M577" s="31">
        <f>M571-M572-M573-M575-M576</f>
        <v/>
      </c>
      <c r="N577" s="31">
        <f>N571-N572-N573-N575-N576</f>
        <v/>
      </c>
      <c r="O577" s="31">
        <f>O571-O572-O573-O575-O576</f>
        <v/>
      </c>
      <c r="P577" s="31">
        <f>P571-P572-P573-P575-P576</f>
        <v/>
      </c>
      <c r="Q577" s="31">
        <f>Q571-Q572-Q573-Q575-Q576</f>
        <v/>
      </c>
      <c r="R577" s="31">
        <f>R571-R572-R573-R575-R576</f>
        <v/>
      </c>
      <c r="S577" s="31">
        <f>S571-S572-S573-S575-S576</f>
        <v/>
      </c>
      <c r="T577" s="31">
        <f>T571-T572-T573-T575-T576</f>
        <v/>
      </c>
      <c r="U577" s="31">
        <f>U571-U572-U573-U575-U576</f>
        <v/>
      </c>
      <c r="V577" s="31">
        <f>V571-V572-V573-V575-V576</f>
        <v/>
      </c>
      <c r="W577" s="31">
        <f>W571-W572-W573-W575-W576</f>
        <v/>
      </c>
      <c r="X577" s="31">
        <f>X571-X572-X573-X575-X576</f>
        <v/>
      </c>
      <c r="Y577" s="31">
        <f>Y571-Y572-Y573-Y575-Y576</f>
        <v/>
      </c>
      <c r="Z577" s="31">
        <f>Z571-Z572-Z573-Z575-Z576</f>
        <v/>
      </c>
      <c r="AA577" s="31">
        <f>AA571-AA572-AA573-AA575-AA576</f>
        <v/>
      </c>
      <c r="AB577" s="31">
        <f>AB571-AB572-AB573-AB575-AB576</f>
        <v/>
      </c>
      <c r="AC577" s="31">
        <f>AC571-AC572-AC573-AC575-AC576</f>
        <v/>
      </c>
      <c r="AD577" s="31">
        <f>AD571-AD572-AD573-AD575-AD576</f>
        <v/>
      </c>
      <c r="AE577" s="31">
        <f>AE571-AE572-AE573-AE575-AE576</f>
        <v/>
      </c>
      <c r="AF577" s="31">
        <f>AF571-AF572-AF573-AF575-AF576</f>
        <v/>
      </c>
      <c r="AG577" s="31">
        <f>AG571-AG572-AG573-AG575-AG576</f>
        <v/>
      </c>
      <c r="AH577" s="31">
        <f>AH571-AH572-AH573-AH575-AH576</f>
        <v/>
      </c>
      <c r="AI577" s="31">
        <f>AI571-AI572-AI573-AI575-AI576</f>
        <v/>
      </c>
    </row>
    <row r="578">
      <c r="B578" s="2" t="inlineStr">
        <is>
          <t>Present value at the discount rate (2027 to 2056)</t>
        </is>
      </c>
      <c r="D578" s="19">
        <f>IF(AND(D$3&gt;i_base_year,D$3&lt;=i_last),D577/(1+i_r)^D$4,0)</f>
        <v/>
      </c>
      <c r="E578" s="19">
        <f>IF(AND(E$3&gt;i_base_year,E$3&lt;=i_last),E577/(1+i_r)^E$4,0)</f>
        <v/>
      </c>
      <c r="F578" s="19">
        <f>IF(AND(F$3&gt;i_base_year,F$3&lt;=i_last),F577/(1+i_r)^F$4,0)</f>
        <v/>
      </c>
      <c r="G578" s="19">
        <f>IF(AND(G$3&gt;i_base_year,G$3&lt;=i_last),G577/(1+i_r)^G$4,0)</f>
        <v/>
      </c>
      <c r="H578" s="19">
        <f>IF(AND(H$3&gt;i_base_year,H$3&lt;=i_last),H577/(1+i_r)^H$4,0)</f>
        <v/>
      </c>
      <c r="I578" s="19">
        <f>IF(AND(I$3&gt;i_base_year,I$3&lt;=i_last),I577/(1+i_r)^I$4,0)</f>
        <v/>
      </c>
      <c r="J578" s="19">
        <f>IF(AND(J$3&gt;i_base_year,J$3&lt;=i_last),J577/(1+i_r)^J$4,0)</f>
        <v/>
      </c>
      <c r="K578" s="19">
        <f>IF(AND(K$3&gt;i_base_year,K$3&lt;=i_last),K577/(1+i_r)^K$4,0)</f>
        <v/>
      </c>
      <c r="L578" s="19">
        <f>IF(AND(L$3&gt;i_base_year,L$3&lt;=i_last),L577/(1+i_r)^L$4,0)</f>
        <v/>
      </c>
      <c r="M578" s="19">
        <f>IF(AND(M$3&gt;i_base_year,M$3&lt;=i_last),M577/(1+i_r)^M$4,0)</f>
        <v/>
      </c>
      <c r="N578" s="19">
        <f>IF(AND(N$3&gt;i_base_year,N$3&lt;=i_last),N577/(1+i_r)^N$4,0)</f>
        <v/>
      </c>
      <c r="O578" s="19">
        <f>IF(AND(O$3&gt;i_base_year,O$3&lt;=i_last),O577/(1+i_r)^O$4,0)</f>
        <v/>
      </c>
      <c r="P578" s="19">
        <f>IF(AND(P$3&gt;i_base_year,P$3&lt;=i_last),P577/(1+i_r)^P$4,0)</f>
        <v/>
      </c>
      <c r="Q578" s="19">
        <f>IF(AND(Q$3&gt;i_base_year,Q$3&lt;=i_last),Q577/(1+i_r)^Q$4,0)</f>
        <v/>
      </c>
      <c r="R578" s="19">
        <f>IF(AND(R$3&gt;i_base_year,R$3&lt;=i_last),R577/(1+i_r)^R$4,0)</f>
        <v/>
      </c>
      <c r="S578" s="19">
        <f>IF(AND(S$3&gt;i_base_year,S$3&lt;=i_last),S577/(1+i_r)^S$4,0)</f>
        <v/>
      </c>
      <c r="T578" s="19">
        <f>IF(AND(T$3&gt;i_base_year,T$3&lt;=i_last),T577/(1+i_r)^T$4,0)</f>
        <v/>
      </c>
      <c r="U578" s="19">
        <f>IF(AND(U$3&gt;i_base_year,U$3&lt;=i_last),U577/(1+i_r)^U$4,0)</f>
        <v/>
      </c>
      <c r="V578" s="19">
        <f>IF(AND(V$3&gt;i_base_year,V$3&lt;=i_last),V577/(1+i_r)^V$4,0)</f>
        <v/>
      </c>
      <c r="W578" s="19">
        <f>IF(AND(W$3&gt;i_base_year,W$3&lt;=i_last),W577/(1+i_r)^W$4,0)</f>
        <v/>
      </c>
      <c r="X578" s="19">
        <f>IF(AND(X$3&gt;i_base_year,X$3&lt;=i_last),X577/(1+i_r)^X$4,0)</f>
        <v/>
      </c>
      <c r="Y578" s="19">
        <f>IF(AND(Y$3&gt;i_base_year,Y$3&lt;=i_last),Y577/(1+i_r)^Y$4,0)</f>
        <v/>
      </c>
      <c r="Z578" s="19">
        <f>IF(AND(Z$3&gt;i_base_year,Z$3&lt;=i_last),Z577/(1+i_r)^Z$4,0)</f>
        <v/>
      </c>
      <c r="AA578" s="19">
        <f>IF(AND(AA$3&gt;i_base_year,AA$3&lt;=i_last),AA577/(1+i_r)^AA$4,0)</f>
        <v/>
      </c>
      <c r="AB578" s="19">
        <f>IF(AND(AB$3&gt;i_base_year,AB$3&lt;=i_last),AB577/(1+i_r)^AB$4,0)</f>
        <v/>
      </c>
      <c r="AC578" s="19">
        <f>IF(AND(AC$3&gt;i_base_year,AC$3&lt;=i_last),AC577/(1+i_r)^AC$4,0)</f>
        <v/>
      </c>
      <c r="AD578" s="19">
        <f>IF(AND(AD$3&gt;i_base_year,AD$3&lt;=i_last),AD577/(1+i_r)^AD$4,0)</f>
        <v/>
      </c>
      <c r="AE578" s="19">
        <f>IF(AND(AE$3&gt;i_base_year,AE$3&lt;=i_last),AE577/(1+i_r)^AE$4,0)</f>
        <v/>
      </c>
      <c r="AF578" s="19">
        <f>IF(AND(AF$3&gt;i_base_year,AF$3&lt;=i_last),AF577/(1+i_r)^AF$4,0)</f>
        <v/>
      </c>
      <c r="AG578" s="19">
        <f>IF(AND(AG$3&gt;i_base_year,AG$3&lt;=i_last),AG577/(1+i_r)^AG$4,0)</f>
        <v/>
      </c>
      <c r="AH578" s="19">
        <f>IF(AND(AH$3&gt;i_base_year,AH$3&lt;=i_last),AH577/(1+i_r)^AH$4,0)</f>
        <v/>
      </c>
      <c r="AI578" s="19">
        <f>IF(AND(AI$3&gt;i_base_year,AI$3&lt;=i_last),AI577/(1+i_r)^AI$4,0)</f>
        <v/>
      </c>
    </row>
    <row r="579">
      <c r="B579" s="2" t="inlineStr">
        <is>
          <t>Present value of 2027 to 2056 free cash flow</t>
        </is>
      </c>
      <c r="C579" s="19">
        <f>SUM(D578:AI578)</f>
        <v/>
      </c>
    </row>
    <row r="580">
      <c r="B580" s="2" t="inlineStr">
        <is>
          <t>Terminal value at the end of 2056 (on 2057 free cash flow)</t>
        </is>
      </c>
      <c r="C580" s="19">
        <f>AI577/(i_r-i_g)</f>
        <v/>
      </c>
    </row>
    <row r="581">
      <c r="B581" s="2" t="inlineStr">
        <is>
          <t>Present value of the terminal value</t>
        </is>
      </c>
      <c r="C581" s="19">
        <f>C580/(1+i_r)^(i_last-i_base_year)</f>
        <v/>
      </c>
    </row>
    <row r="582">
      <c r="B582" s="3" t="inlineStr">
        <is>
          <t>Enterprise value at 31 December 2026</t>
        </is>
      </c>
      <c r="C582" s="31">
        <f>C579+C581</f>
        <v/>
      </c>
    </row>
  </sheetData>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B1:F51"/>
  <sheetViews>
    <sheetView showGridLines="0" zoomScale="90" workbookViewId="0">
      <selection activeCell="A1" sqref="A1"/>
    </sheetView>
  </sheetViews>
  <sheetFormatPr baseColWidth="8" defaultRowHeight="15"/>
  <cols>
    <col width="2" customWidth="1" min="1" max="1"/>
    <col width="58" customWidth="1" min="2" max="2"/>
    <col width="13" customWidth="1" min="3" max="3"/>
    <col width="12" customWidth="1" min="4" max="4"/>
    <col width="12" customWidth="1" min="5" max="5"/>
    <col width="12" customWidth="1" min="6" max="6"/>
    <col width="12" customWidth="1" min="7" max="7"/>
  </cols>
  <sheetData>
    <row r="1">
      <c r="B1" s="1" t="inlineStr">
        <is>
          <t>Multiples: precedents, football field and the RAB premium (chapter 9)</t>
        </is>
      </c>
    </row>
    <row r="3">
      <c r="B3" s="5" t="inlineStr">
        <is>
          <t>Fictional precedents</t>
        </is>
      </c>
      <c r="C3" s="5" t="inlineStr">
        <is>
          <t>EV / EBITDA</t>
        </is>
      </c>
    </row>
    <row r="4">
      <c r="B4" s="2">
        <f>Inputs!B172</f>
        <v/>
      </c>
      <c r="C4" s="32">
        <f>Inputs!C172</f>
        <v/>
      </c>
    </row>
    <row r="5">
      <c r="B5" s="2">
        <f>Inputs!B173</f>
        <v/>
      </c>
      <c r="C5" s="32">
        <f>Inputs!C173</f>
        <v/>
      </c>
    </row>
    <row r="6">
      <c r="B6" s="2">
        <f>Inputs!B174</f>
        <v/>
      </c>
      <c r="C6" s="32">
        <f>Inputs!C174</f>
        <v/>
      </c>
    </row>
    <row r="7">
      <c r="B7" s="2">
        <f>Inputs!B175</f>
        <v/>
      </c>
      <c r="C7" s="32">
        <f>Inputs!C175</f>
        <v/>
      </c>
    </row>
    <row r="8">
      <c r="B8" s="2">
        <f>Inputs!B176</f>
        <v/>
      </c>
      <c r="C8" s="32">
        <f>Inputs!C176</f>
        <v/>
      </c>
    </row>
    <row r="9">
      <c r="B9" s="2" t="inlineStr">
        <is>
          <t>Median</t>
        </is>
      </c>
      <c r="C9" s="32">
        <f>MEDIAN(i_prec)</f>
        <v/>
      </c>
    </row>
    <row r="10">
      <c r="B10" s="2" t="inlineStr">
        <is>
          <t>Mean</t>
        </is>
      </c>
      <c r="C10" s="32">
        <f>AVERAGE(i_prec)</f>
        <v/>
      </c>
    </row>
    <row r="11">
      <c r="B11" s="2" t="inlineStr">
        <is>
          <t>Lowest</t>
        </is>
      </c>
      <c r="C11" s="32">
        <f>MIN(i_prec)</f>
        <v/>
      </c>
    </row>
    <row r="12">
      <c r="B12" s="2" t="inlineStr">
        <is>
          <t>Highest</t>
        </is>
      </c>
      <c r="C12" s="32">
        <f>MAX(i_prec)</f>
        <v/>
      </c>
    </row>
    <row r="13">
      <c r="B13" s="2" t="inlineStr">
        <is>
          <t>Median applied to 2026 EBITDA</t>
        </is>
      </c>
      <c r="C13" s="19">
        <f>C9*Platform!$D$10</f>
        <v/>
      </c>
    </row>
    <row r="14">
      <c r="B14" s="2" t="inlineStr">
        <is>
          <t>Capacity (million m3)</t>
        </is>
      </c>
      <c r="C14" s="24">
        <f>i_W_cap+i_R_cap+i_T_cap+i_G_cap</f>
        <v/>
      </c>
    </row>
    <row r="15">
      <c r="B15" s="2" t="inlineStr">
        <is>
          <t>Bid EV per m3 ($)</t>
        </is>
      </c>
      <c r="C15" s="34">
        <f>i_bid_ev/C14</f>
        <v/>
      </c>
    </row>
    <row r="16">
      <c r="B16" s="2" t="inlineStr">
        <is>
          <t>Bid / 2026 EBITDA</t>
        </is>
      </c>
      <c r="C16" s="32">
        <f>i_bid_ev/Platform!$D$10</f>
        <v/>
      </c>
    </row>
    <row r="17">
      <c r="B17" s="2" t="inlineStr">
        <is>
          <t>Bid / 2027 EBITDA</t>
        </is>
      </c>
      <c r="C17" s="32">
        <f>i_bid_ev/Platform!$E$10</f>
        <v/>
      </c>
    </row>
    <row r="18">
      <c r="B18" s="2" t="inlineStr">
        <is>
          <t>Halvard / 2026 EBITDA</t>
        </is>
      </c>
      <c r="C18" s="32">
        <f>(i_bid_ev+i_h_ev_add)/Platform!$D$10</f>
        <v/>
      </c>
    </row>
    <row r="20">
      <c r="B20" s="5" t="inlineStr">
        <is>
          <t>Football field (EV, $ million)</t>
        </is>
      </c>
      <c r="C20" s="5" t="inlineStr">
        <is>
          <t>Low</t>
        </is>
      </c>
      <c r="D20" s="5" t="inlineStr">
        <is>
          <t>High</t>
        </is>
      </c>
      <c r="E20" s="5" t="inlineStr">
        <is>
          <t>Bar start</t>
        </is>
      </c>
      <c r="F20" s="5" t="inlineStr">
        <is>
          <t>Bar length</t>
        </is>
      </c>
    </row>
    <row r="21">
      <c r="B21" s="2" t="inlineStr">
        <is>
          <t>DCF at 7.0 to 6.0 percent</t>
        </is>
      </c>
      <c r="C21" s="34">
        <f>DCF!$H$23</f>
        <v/>
      </c>
      <c r="D21" s="34">
        <f>DCF!$D$23</f>
        <v/>
      </c>
      <c r="E21" s="36">
        <f>C21</f>
        <v/>
      </c>
      <c r="F21" s="36">
        <f>MAX(D21-C21,8)</f>
        <v/>
      </c>
    </row>
    <row r="22">
      <c r="B22" s="2" t="inlineStr">
        <is>
          <t>Precedents, lowest to highest multiple</t>
        </is>
      </c>
      <c r="C22" s="34">
        <f>Multiples!$C$11*Platform!$D$10</f>
        <v/>
      </c>
      <c r="D22" s="34">
        <f>Multiples!$C$12*Platform!$D$10</f>
        <v/>
      </c>
      <c r="E22" s="36">
        <f>C22</f>
        <v/>
      </c>
      <c r="F22" s="36">
        <f>MAX(D22-C22,8)</f>
        <v/>
      </c>
    </row>
    <row r="23">
      <c r="B23" s="2" t="inlineStr">
        <is>
          <t>Seller's plan at 6.0 percent</t>
        </is>
      </c>
      <c r="C23" s="34">
        <f>Diligence!$C$16</f>
        <v/>
      </c>
      <c r="D23" s="34">
        <f>Diligence!$C$16</f>
        <v/>
      </c>
      <c r="E23" s="36">
        <f>C23</f>
        <v/>
      </c>
      <c r="F23" s="36">
        <f>MAX(D23-C23,8)</f>
        <v/>
      </c>
    </row>
    <row r="24">
      <c r="B24" s="2" t="inlineStr">
        <is>
          <t>First-round range</t>
        </is>
      </c>
      <c r="C24" s="34">
        <f>i_first_lo</f>
        <v/>
      </c>
      <c r="D24" s="34">
        <f>i_first_hi</f>
        <v/>
      </c>
      <c r="E24" s="36">
        <f>C24</f>
        <v/>
      </c>
      <c r="F24" s="36">
        <f>MAX(D24-C24,8)</f>
        <v/>
      </c>
    </row>
    <row r="25">
      <c r="B25" s="2" t="inlineStr">
        <is>
          <t>Walk-away price at the target IRR</t>
        </is>
      </c>
      <c r="C25" s="34">
        <f>Returns!$C$34</f>
        <v/>
      </c>
      <c r="D25" s="34">
        <f>Returns!$C$34</f>
        <v/>
      </c>
      <c r="E25" s="36">
        <f>C25</f>
        <v/>
      </c>
      <c r="F25" s="36">
        <f>MAX(D25-C25,8)</f>
        <v/>
      </c>
    </row>
    <row r="26">
      <c r="B26" s="2" t="inlineStr">
        <is>
          <t>Binding bid</t>
        </is>
      </c>
      <c r="C26" s="34">
        <f>i_bid_ev</f>
        <v/>
      </c>
      <c r="D26" s="34">
        <f>i_bid_ev</f>
        <v/>
      </c>
      <c r="E26" s="36">
        <f>C26</f>
        <v/>
      </c>
      <c r="F26" s="36">
        <f>MAX(D26-C26,8)</f>
        <v/>
      </c>
    </row>
    <row r="27">
      <c r="B27" s="2" t="inlineStr">
        <is>
          <t>Ashgrove's minimum</t>
        </is>
      </c>
      <c r="C27" s="34">
        <f>i_reserve</f>
        <v/>
      </c>
      <c r="D27" s="34">
        <f>i_reserve</f>
        <v/>
      </c>
      <c r="E27" s="36">
        <f>C27</f>
        <v/>
      </c>
      <c r="F27" s="36">
        <f>MAX(D27-C27,8)</f>
        <v/>
      </c>
    </row>
    <row r="28">
      <c r="B28" s="4" t="inlineStr">
        <is>
          <t>Single values are drawn as bars 8 wide so they show on the chart.</t>
        </is>
      </c>
    </row>
    <row r="47">
      <c r="B47" s="5" t="inlineStr">
        <is>
          <t>Regulated asset base: Brennan Gas Networks (real, pre-tax, flat RAB)</t>
        </is>
      </c>
      <c r="C47" s="5" t="inlineStr">
        <is>
          <t>Value</t>
        </is>
      </c>
      <c r="D47" s="5" t="inlineStr">
        <is>
          <t>x RAB</t>
        </is>
      </c>
    </row>
    <row r="48">
      <c r="B48" s="2" t="inlineStr">
        <is>
          <t>Allowed return only, discounted at the allowed return</t>
        </is>
      </c>
      <c r="C48" s="34">
        <f>(i_rab_allowed*i_rab+0)*(1-(1+i_rab_allowed)^(-i_rab_years))/i_rab_allowed+i_rab/(1+i_rab_allowed)^i_rab_years</f>
        <v/>
      </c>
      <c r="D48" s="37">
        <f>C48/i_rab</f>
        <v/>
      </c>
    </row>
    <row r="49">
      <c r="B49" s="2" t="inlineStr">
        <is>
          <t>With cost outperformance, at the allowed return</t>
        </is>
      </c>
      <c r="C49" s="34">
        <f>(i_rab_allowed*i_rab+i_rab_out)*(1-(1+i_rab_allowed)^(-i_rab_years))/i_rab_allowed+i_rab/(1+i_rab_allowed)^i_rab_years</f>
        <v/>
      </c>
      <c r="D49" s="37">
        <f>C49/i_rab</f>
        <v/>
      </c>
    </row>
    <row r="50">
      <c r="B50" s="2" t="inlineStr">
        <is>
          <t>With outperformance, at the buyer's rate (case 3)</t>
        </is>
      </c>
      <c r="C50" s="34">
        <f>(i_rab_allowed*i_rab+i_rab_out)*(1-(1+i_rab_d1)^(-i_rab_years))/i_rab_d1+i_rab/(1+i_rab_d1)^i_rab_years</f>
        <v/>
      </c>
      <c r="D50" s="37">
        <f>C50/i_rab</f>
        <v/>
      </c>
    </row>
    <row r="51">
      <c r="B51" s="2" t="inlineStr">
        <is>
          <t>With outperformance, at the buyer's rate (case 4)</t>
        </is>
      </c>
      <c r="C51" s="34">
        <f>(i_rab_allowed*i_rab+i_rab_out)*(1-(1+i_rab_d2)^(-i_rab_years))/i_rab_d2+i_rab/(1+i_rab_d2)^i_rab_years</f>
        <v/>
      </c>
      <c r="D51" s="37">
        <f>C51/i_rab</f>
        <v/>
      </c>
    </row>
  </sheetData>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B1:AI43"/>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s>
  <sheetData>
    <row r="1">
      <c r="B1" s="1" t="inlineStr">
        <is>
          <t>Price: from enterprise value to the cheque, live case (chapter 10)</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Equity bridge at the bid (live case)</t>
        </is>
      </c>
    </row>
    <row r="7">
      <c r="B7" s="4" t="inlineStr">
        <is>
          <t>Enterprise value at 31 December 2026</t>
        </is>
      </c>
      <c r="C7" s="29">
        <f>i_bid_ev</f>
        <v/>
      </c>
    </row>
    <row r="8">
      <c r="B8" s="4" t="inlineStr">
        <is>
          <t>Closing (years after 31 December 2026)</t>
        </is>
      </c>
      <c r="C8" s="28">
        <f>i_t_close</f>
        <v/>
      </c>
    </row>
    <row r="9">
      <c r="B9" s="4" t="inlineStr">
        <is>
          <t>Staple financing (1) or own debt (0)</t>
        </is>
      </c>
      <c r="C9" s="26">
        <f>i_sw_staple</f>
        <v/>
      </c>
    </row>
    <row r="10">
      <c r="B10" s="4" t="inlineStr">
        <is>
          <t>Minority sale in 2031 (1) or full exit (0)</t>
        </is>
      </c>
      <c r="C10" s="26">
        <f>IF(i_sw_exit="Minority",1,0)</f>
        <v/>
      </c>
    </row>
    <row r="11">
      <c r="B11" s="4" t="inlineStr">
        <is>
          <t>Exit discount rate</t>
        </is>
      </c>
      <c r="C11" s="38">
        <f>i_r_exit</f>
        <v/>
      </c>
    </row>
    <row r="12">
      <c r="B12" s="4" t="inlineStr">
        <is>
          <t>Change in the opco rate at refinancing</t>
        </is>
      </c>
      <c r="C12" s="38">
        <f>i_refi_shift</f>
        <v/>
      </c>
    </row>
    <row r="13">
      <c r="B13" s="2" t="inlineStr">
        <is>
          <t>Enterprise value</t>
        </is>
      </c>
      <c r="C13" s="19">
        <f>Price!$C$7</f>
        <v/>
      </c>
    </row>
    <row r="14">
      <c r="B14" s="2" t="inlineStr">
        <is>
          <t>less existing financial debt (term loan and notes)</t>
        </is>
      </c>
      <c r="C14" s="19">
        <f>i_old_tl+i_old_notes</f>
        <v/>
      </c>
    </row>
    <row r="15">
      <c r="B15" s="2" t="inlineStr">
        <is>
          <t>less make-whole on the notes</t>
        </is>
      </c>
      <c r="C15" s="19">
        <f>i_make_whole</f>
        <v/>
      </c>
    </row>
    <row r="16">
      <c r="B16" s="2" t="inlineStr">
        <is>
          <t>less debt-like items (pension, accrued capex, 2026 tax)</t>
        </is>
      </c>
      <c r="C16" s="19">
        <f>i_pension+i_def_capex+i_acc_tax</f>
        <v/>
      </c>
    </row>
    <row r="17">
      <c r="B17" s="2" t="inlineStr">
        <is>
          <t>plus cash at the locked box date</t>
        </is>
      </c>
      <c r="C17" s="19">
        <f>i_lb_cash</f>
        <v/>
      </c>
    </row>
    <row r="18">
      <c r="B18" s="2" t="inlineStr">
        <is>
          <t>less permitted leakage</t>
        </is>
      </c>
      <c r="C18" s="19">
        <f>i_permitted_leak</f>
        <v/>
      </c>
    </row>
    <row r="19">
      <c r="B19" s="3" t="inlineStr">
        <is>
          <t>Equity price (shares and shareholder loan)</t>
        </is>
      </c>
      <c r="C19" s="31">
        <f>Price!$C$13-Price!$C$14-Price!$C$15-Price!$C$16+Price!$C$17-Price!$C$18</f>
        <v/>
      </c>
    </row>
    <row r="20">
      <c r="B20" s="2" t="inlineStr">
        <is>
          <t xml:space="preserve">  of which shareholder loan at face value</t>
        </is>
      </c>
      <c r="C20" s="19">
        <f>i_shl</f>
        <v/>
      </c>
    </row>
    <row r="21">
      <c r="B21" s="2" t="inlineStr">
        <is>
          <t xml:space="preserve">  of which shares</t>
        </is>
      </c>
      <c r="C21" s="19">
        <f>Price!$C$19-Price!$C$20</f>
        <v/>
      </c>
    </row>
    <row r="22">
      <c r="B22" s="2" t="inlineStr">
        <is>
          <t>Ticking fee to closing</t>
        </is>
      </c>
      <c r="C22" s="19">
        <f>Price!$C$19*i_ticking*Price!$C$8</f>
        <v/>
      </c>
    </row>
    <row r="23">
      <c r="B23" s="2" t="inlineStr">
        <is>
          <t>Share of the year before closing (box period)</t>
        </is>
      </c>
      <c r="D23" s="24">
        <f>IF(D$4&lt;1,0,MAX(0,MIN(1,Price!$C$8-(D$4-1))))</f>
        <v/>
      </c>
      <c r="E23" s="24">
        <f>IF(E$4&lt;1,0,MAX(0,MIN(1,Price!$C$8-(E$4-1))))</f>
        <v/>
      </c>
      <c r="F23" s="24">
        <f>IF(F$4&lt;1,0,MAX(0,MIN(1,Price!$C$8-(F$4-1))))</f>
        <v/>
      </c>
      <c r="G23" s="24">
        <f>IF(G$4&lt;1,0,MAX(0,MIN(1,Price!$C$8-(G$4-1))))</f>
        <v/>
      </c>
      <c r="H23" s="24">
        <f>IF(H$4&lt;1,0,MAX(0,MIN(1,Price!$C$8-(H$4-1))))</f>
        <v/>
      </c>
      <c r="I23" s="24">
        <f>IF(I$4&lt;1,0,MAX(0,MIN(1,Price!$C$8-(I$4-1))))</f>
        <v/>
      </c>
      <c r="J23" s="24">
        <f>IF(J$4&lt;1,0,MAX(0,MIN(1,Price!$C$8-(J$4-1))))</f>
        <v/>
      </c>
      <c r="K23" s="24">
        <f>IF(K$4&lt;1,0,MAX(0,MIN(1,Price!$C$8-(K$4-1))))</f>
        <v/>
      </c>
      <c r="L23" s="24">
        <f>IF(L$4&lt;1,0,MAX(0,MIN(1,Price!$C$8-(L$4-1))))</f>
        <v/>
      </c>
      <c r="M23" s="24">
        <f>IF(M$4&lt;1,0,MAX(0,MIN(1,Price!$C$8-(M$4-1))))</f>
        <v/>
      </c>
      <c r="N23" s="24">
        <f>IF(N$4&lt;1,0,MAX(0,MIN(1,Price!$C$8-(N$4-1))))</f>
        <v/>
      </c>
      <c r="O23" s="24">
        <f>IF(O$4&lt;1,0,MAX(0,MIN(1,Price!$C$8-(O$4-1))))</f>
        <v/>
      </c>
      <c r="P23" s="24">
        <f>IF(P$4&lt;1,0,MAX(0,MIN(1,Price!$C$8-(P$4-1))))</f>
        <v/>
      </c>
      <c r="Q23" s="24">
        <f>IF(Q$4&lt;1,0,MAX(0,MIN(1,Price!$C$8-(Q$4-1))))</f>
        <v/>
      </c>
      <c r="R23" s="24">
        <f>IF(R$4&lt;1,0,MAX(0,MIN(1,Price!$C$8-(R$4-1))))</f>
        <v/>
      </c>
      <c r="S23" s="24">
        <f>IF(S$4&lt;1,0,MAX(0,MIN(1,Price!$C$8-(S$4-1))))</f>
        <v/>
      </c>
      <c r="T23" s="24">
        <f>IF(T$4&lt;1,0,MAX(0,MIN(1,Price!$C$8-(T$4-1))))</f>
        <v/>
      </c>
      <c r="U23" s="24">
        <f>IF(U$4&lt;1,0,MAX(0,MIN(1,Price!$C$8-(U$4-1))))</f>
        <v/>
      </c>
      <c r="V23" s="24">
        <f>IF(V$4&lt;1,0,MAX(0,MIN(1,Price!$C$8-(V$4-1))))</f>
        <v/>
      </c>
      <c r="W23" s="24">
        <f>IF(W$4&lt;1,0,MAX(0,MIN(1,Price!$C$8-(W$4-1))))</f>
        <v/>
      </c>
      <c r="X23" s="24">
        <f>IF(X$4&lt;1,0,MAX(0,MIN(1,Price!$C$8-(X$4-1))))</f>
        <v/>
      </c>
      <c r="Y23" s="24">
        <f>IF(Y$4&lt;1,0,MAX(0,MIN(1,Price!$C$8-(Y$4-1))))</f>
        <v/>
      </c>
      <c r="Z23" s="24">
        <f>IF(Z$4&lt;1,0,MAX(0,MIN(1,Price!$C$8-(Z$4-1))))</f>
        <v/>
      </c>
      <c r="AA23" s="24">
        <f>IF(AA$4&lt;1,0,MAX(0,MIN(1,Price!$C$8-(AA$4-1))))</f>
        <v/>
      </c>
      <c r="AB23" s="24">
        <f>IF(AB$4&lt;1,0,MAX(0,MIN(1,Price!$C$8-(AB$4-1))))</f>
        <v/>
      </c>
      <c r="AC23" s="24">
        <f>IF(AC$4&lt;1,0,MAX(0,MIN(1,Price!$C$8-(AC$4-1))))</f>
        <v/>
      </c>
      <c r="AD23" s="24">
        <f>IF(AD$4&lt;1,0,MAX(0,MIN(1,Price!$C$8-(AD$4-1))))</f>
        <v/>
      </c>
      <c r="AE23" s="24">
        <f>IF(AE$4&lt;1,0,MAX(0,MIN(1,Price!$C$8-(AE$4-1))))</f>
        <v/>
      </c>
      <c r="AF23" s="24">
        <f>IF(AF$4&lt;1,0,MAX(0,MIN(1,Price!$C$8-(AF$4-1))))</f>
        <v/>
      </c>
      <c r="AG23" s="24">
        <f>IF(AG$4&lt;1,0,MAX(0,MIN(1,Price!$C$8-(AG$4-1))))</f>
        <v/>
      </c>
      <c r="AH23" s="24">
        <f>IF(AH$4&lt;1,0,MAX(0,MIN(1,Price!$C$8-(AH$4-1))))</f>
        <v/>
      </c>
      <c r="AI23" s="24">
        <f>IF(AI$4&lt;1,0,MAX(0,MIN(1,Price!$C$8-(AI$4-1))))</f>
        <v/>
      </c>
    </row>
    <row r="24">
      <c r="B24" s="2" t="inlineStr">
        <is>
          <t>Box cash: free cash flow less interest on the old debt</t>
        </is>
      </c>
      <c r="D24" s="19">
        <f>D23*(Platform!D16-i_old_rate*(i_old_tl+i_old_notes))</f>
        <v/>
      </c>
      <c r="E24" s="19">
        <f>E23*(Platform!E16-i_old_rate*(i_old_tl+i_old_notes))</f>
        <v/>
      </c>
      <c r="F24" s="19">
        <f>F23*(Platform!F16-i_old_rate*(i_old_tl+i_old_notes))</f>
        <v/>
      </c>
      <c r="G24" s="19">
        <f>G23*(Platform!G16-i_old_rate*(i_old_tl+i_old_notes))</f>
        <v/>
      </c>
      <c r="H24" s="19">
        <f>H23*(Platform!H16-i_old_rate*(i_old_tl+i_old_notes))</f>
        <v/>
      </c>
      <c r="I24" s="19">
        <f>I23*(Platform!I16-i_old_rate*(i_old_tl+i_old_notes))</f>
        <v/>
      </c>
      <c r="J24" s="19">
        <f>J23*(Platform!J16-i_old_rate*(i_old_tl+i_old_notes))</f>
        <v/>
      </c>
      <c r="K24" s="19">
        <f>K23*(Platform!K16-i_old_rate*(i_old_tl+i_old_notes))</f>
        <v/>
      </c>
      <c r="L24" s="19">
        <f>L23*(Platform!L16-i_old_rate*(i_old_tl+i_old_notes))</f>
        <v/>
      </c>
      <c r="M24" s="19">
        <f>M23*(Platform!M16-i_old_rate*(i_old_tl+i_old_notes))</f>
        <v/>
      </c>
      <c r="N24" s="19">
        <f>N23*(Platform!N16-i_old_rate*(i_old_tl+i_old_notes))</f>
        <v/>
      </c>
      <c r="O24" s="19">
        <f>O23*(Platform!O16-i_old_rate*(i_old_tl+i_old_notes))</f>
        <v/>
      </c>
      <c r="P24" s="19">
        <f>P23*(Platform!P16-i_old_rate*(i_old_tl+i_old_notes))</f>
        <v/>
      </c>
      <c r="Q24" s="19">
        <f>Q23*(Platform!Q16-i_old_rate*(i_old_tl+i_old_notes))</f>
        <v/>
      </c>
      <c r="R24" s="19">
        <f>R23*(Platform!R16-i_old_rate*(i_old_tl+i_old_notes))</f>
        <v/>
      </c>
      <c r="S24" s="19">
        <f>S23*(Platform!S16-i_old_rate*(i_old_tl+i_old_notes))</f>
        <v/>
      </c>
      <c r="T24" s="19">
        <f>T23*(Platform!T16-i_old_rate*(i_old_tl+i_old_notes))</f>
        <v/>
      </c>
      <c r="U24" s="19">
        <f>U23*(Platform!U16-i_old_rate*(i_old_tl+i_old_notes))</f>
        <v/>
      </c>
      <c r="V24" s="19">
        <f>V23*(Platform!V16-i_old_rate*(i_old_tl+i_old_notes))</f>
        <v/>
      </c>
      <c r="W24" s="19">
        <f>W23*(Platform!W16-i_old_rate*(i_old_tl+i_old_notes))</f>
        <v/>
      </c>
      <c r="X24" s="19">
        <f>X23*(Platform!X16-i_old_rate*(i_old_tl+i_old_notes))</f>
        <v/>
      </c>
      <c r="Y24" s="19">
        <f>Y23*(Platform!Y16-i_old_rate*(i_old_tl+i_old_notes))</f>
        <v/>
      </c>
      <c r="Z24" s="19">
        <f>Z23*(Platform!Z16-i_old_rate*(i_old_tl+i_old_notes))</f>
        <v/>
      </c>
      <c r="AA24" s="19">
        <f>AA23*(Platform!AA16-i_old_rate*(i_old_tl+i_old_notes))</f>
        <v/>
      </c>
      <c r="AB24" s="19">
        <f>AB23*(Platform!AB16-i_old_rate*(i_old_tl+i_old_notes))</f>
        <v/>
      </c>
      <c r="AC24" s="19">
        <f>AC23*(Platform!AC16-i_old_rate*(i_old_tl+i_old_notes))</f>
        <v/>
      </c>
      <c r="AD24" s="19">
        <f>AD23*(Platform!AD16-i_old_rate*(i_old_tl+i_old_notes))</f>
        <v/>
      </c>
      <c r="AE24" s="19">
        <f>AE23*(Platform!AE16-i_old_rate*(i_old_tl+i_old_notes))</f>
        <v/>
      </c>
      <c r="AF24" s="19">
        <f>AF23*(Platform!AF16-i_old_rate*(i_old_tl+i_old_notes))</f>
        <v/>
      </c>
      <c r="AG24" s="19">
        <f>AG23*(Platform!AG16-i_old_rate*(i_old_tl+i_old_notes))</f>
        <v/>
      </c>
      <c r="AH24" s="19">
        <f>AH23*(Platform!AH16-i_old_rate*(i_old_tl+i_old_notes))</f>
        <v/>
      </c>
      <c r="AI24" s="19">
        <f>AI23*(Platform!AI16-i_old_rate*(i_old_tl+i_old_notes))</f>
        <v/>
      </c>
    </row>
    <row r="25">
      <c r="B25" s="2" t="inlineStr">
        <is>
          <t>Box cash generated from 1 January 2027 to closing</t>
        </is>
      </c>
      <c r="C25" s="19">
        <f>SUM(Price!D24:AI24)</f>
        <v/>
      </c>
    </row>
    <row r="26">
      <c r="B26" s="2" t="inlineStr">
        <is>
          <t>Cash in the company at closing</t>
        </is>
      </c>
      <c r="C26" s="19">
        <f>Price!$C$17-Price!$C$18+Price!$C$25</f>
        <v/>
      </c>
    </row>
    <row r="27">
      <c r="B27" s="2" t="inlineStr">
        <is>
          <t>Cash used at closing (above operating cash)</t>
        </is>
      </c>
      <c r="C27" s="19">
        <f>Price!$C$26-i_min_cash</f>
        <v/>
      </c>
    </row>
    <row r="29">
      <c r="B29" s="5" t="inlineStr">
        <is>
          <t>Ticking fee, box cash and the completion accounts alternative</t>
        </is>
      </c>
    </row>
    <row r="30">
      <c r="B30" s="2" t="inlineStr">
        <is>
          <t>Ticking fee per day</t>
        </is>
      </c>
      <c r="C30" s="35">
        <f>Price!$C$19*i_ticking/365</f>
        <v/>
      </c>
    </row>
    <row r="31">
      <c r="B31" s="2" t="inlineStr">
        <is>
          <t>Box cash over a full year (2027)</t>
        </is>
      </c>
      <c r="C31" s="19">
        <f>Platform!$E$16-i_old_rate*(i_old_tl+i_old_notes)</f>
        <v/>
      </c>
    </row>
    <row r="32">
      <c r="B32" s="2" t="inlineStr">
        <is>
          <t>Box cash a year, share of the equity price</t>
        </is>
      </c>
      <c r="C32" s="21">
        <f>C31/Price!$C$19</f>
        <v/>
      </c>
    </row>
    <row r="33">
      <c r="B33" s="3" t="inlineStr">
        <is>
          <t>Ashgrove receives at closing (equity price plus ticking fee)</t>
        </is>
      </c>
      <c r="C33" s="31">
        <f>Price!$C$19+Price!$C$22</f>
        <v/>
      </c>
    </row>
    <row r="34">
      <c r="B34" s="3" t="inlineStr">
        <is>
          <t>Box cash by quarter of 2027 under the old debt</t>
        </is>
      </c>
      <c r="C34" s="3" t="inlineStr">
        <is>
          <t>Generated</t>
        </is>
      </c>
      <c r="D34" s="3" t="inlineStr">
        <is>
          <t>Cumulative</t>
        </is>
      </c>
      <c r="E34" s="3" t="inlineStr">
        <is>
          <t>Before closing</t>
        </is>
      </c>
    </row>
    <row r="35">
      <c r="B35" s="2" t="inlineStr">
        <is>
          <t>Quarter to 31 March 2027</t>
        </is>
      </c>
      <c r="C35" s="19">
        <f>Price!$C$31/4</f>
        <v/>
      </c>
      <c r="D35" s="19">
        <f>C35</f>
        <v/>
      </c>
      <c r="E35" s="2">
        <f>IF(1*0.25&lt;=i_t_close+1E-9,"yes","no")</f>
        <v/>
      </c>
    </row>
    <row r="36">
      <c r="B36" s="2" t="inlineStr">
        <is>
          <t>Quarter to 30 June 2027</t>
        </is>
      </c>
      <c r="C36" s="19">
        <f>Price!$C$31/4</f>
        <v/>
      </c>
      <c r="D36" s="19">
        <f>D35+C36</f>
        <v/>
      </c>
      <c r="E36" s="2">
        <f>IF(2*0.25&lt;=i_t_close+1E-9,"yes","no")</f>
        <v/>
      </c>
    </row>
    <row r="37">
      <c r="B37" s="2" t="inlineStr">
        <is>
          <t>Quarter to 30 September 2027</t>
        </is>
      </c>
      <c r="C37" s="19">
        <f>Price!$C$31/4</f>
        <v/>
      </c>
      <c r="D37" s="19">
        <f>D36+C37</f>
        <v/>
      </c>
      <c r="E37" s="2">
        <f>IF(3*0.25&lt;=i_t_close+1E-9,"yes","no")</f>
        <v/>
      </c>
    </row>
    <row r="38">
      <c r="B38" s="2" t="inlineStr">
        <is>
          <t>Quarter to 31 December 2027</t>
        </is>
      </c>
      <c r="C38" s="19">
        <f>Price!$C$31/4</f>
        <v/>
      </c>
      <c r="D38" s="19">
        <f>D37+C38</f>
        <v/>
      </c>
      <c r="E38" s="2">
        <f>IF(4*0.25&lt;=i_t_close+1E-9,"yes","no")</f>
        <v/>
      </c>
    </row>
    <row r="39">
      <c r="B39" s="2" t="inlineStr">
        <is>
          <t>Completion accounts: cash at closing</t>
        </is>
      </c>
      <c r="C39" s="19">
        <f>Price!$C$26</f>
        <v/>
      </c>
    </row>
    <row r="40">
      <c r="B40" s="2" t="inlineStr">
        <is>
          <t>Completion accounts: working capital adjustment (actual less peg)</t>
        </is>
      </c>
      <c r="C40" s="19">
        <f>i_nwc_actual-i_nwc_peg</f>
        <v/>
      </c>
    </row>
    <row r="41">
      <c r="B41" s="3" t="inlineStr">
        <is>
          <t>Completion accounts: equity price at closing</t>
        </is>
      </c>
      <c r="C41" s="31">
        <f>Price!$C$13-(Price!$C$14+Price!$C$15)-Price!$C$16+C39+C40</f>
        <v/>
      </c>
    </row>
    <row r="42">
      <c r="B42" s="2" t="inlineStr">
        <is>
          <t>Locked box: equity price plus ticking fee, for comparison</t>
        </is>
      </c>
      <c r="C42" s="19">
        <f>Price!$C$33</f>
        <v/>
      </c>
    </row>
    <row r="43">
      <c r="B43" s="2" t="inlineStr">
        <is>
          <t>Leakage claim: unpermitted payment repaid dollar for dollar</t>
        </is>
      </c>
      <c r="C43" s="19">
        <f>i_leak_claim</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B1:AL139"/>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 width="11" customWidth="1" min="36" max="36"/>
    <col width="11" customWidth="1" min="37" max="37"/>
    <col width="11" customWidth="1" min="38" max="38"/>
  </cols>
  <sheetData>
    <row r="1">
      <c r="B1" s="1" t="inlineStr">
        <is>
          <t>Financing: sources and uses, debt, interest and the staple (chapter 12)</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c r="AJ3" s="5" t="inlineStr">
        <is>
          <t>Closing</t>
        </is>
      </c>
      <c r="AK3" s="5" t="inlineStr">
        <is>
          <t>Minority sale</t>
        </is>
      </c>
      <c r="AL3" s="5" t="inlineStr">
        <is>
          <t>Exit</t>
        </is>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3" t="inlineStr">
        <is>
          <t>Sources and uses at closing</t>
        </is>
      </c>
    </row>
    <row r="7">
      <c r="B7" s="2" t="inlineStr">
        <is>
          <t>EBITDA 2026 (sizing basis)</t>
        </is>
      </c>
      <c r="C7" s="19">
        <f>Platform!$D$10</f>
        <v/>
      </c>
    </row>
    <row r="8">
      <c r="B8" s="2" t="inlineStr">
        <is>
          <t>Opco multiple of 2026 EBITDA</t>
        </is>
      </c>
      <c r="C8" s="37">
        <f>IF(Price!$C$9=1,i_staple_x,i_opco_x)</f>
        <v/>
      </c>
    </row>
    <row r="9">
      <c r="B9" s="2" t="inlineStr">
        <is>
          <t>Opco rate</t>
        </is>
      </c>
      <c r="C9" s="23">
        <f>IF(Price!$C$9=1,i_staple_rate,i_opco_rate)</f>
        <v/>
      </c>
    </row>
    <row r="10">
      <c r="B10" s="2" t="inlineStr">
        <is>
          <t>Opco fees</t>
        </is>
      </c>
      <c r="C10" s="23">
        <f>IF(Price!$C$9=1,i_staple_fee,i_opco_fee)</f>
        <v/>
      </c>
    </row>
    <row r="11">
      <c r="B11" s="2" t="inlineStr">
        <is>
          <t>Opco senior debt (whole $ million)</t>
        </is>
      </c>
      <c r="C11" s="19">
        <f>ROUND(Financing!$C$8*Financing!$C$7,0)</f>
        <v/>
      </c>
    </row>
    <row r="12">
      <c r="B12" s="2" t="inlineStr">
        <is>
          <t>Holdco debt (whole $ million)</t>
        </is>
      </c>
      <c r="C12" s="19">
        <f>ROUND(i_hold_x*Financing!$C$7,0)</f>
        <v/>
      </c>
    </row>
    <row r="13">
      <c r="B13" s="2" t="inlineStr">
        <is>
          <t>W&amp;I premium with insurance premium tax</t>
        </is>
      </c>
      <c r="C13" s="35">
        <f>i_wi_limit_pct*Price!$C$13*i_wi_rol*(1+i_wi_ipt)</f>
        <v/>
      </c>
    </row>
    <row r="14">
      <c r="B14" s="2" t="inlineStr">
        <is>
          <t>HSR filing fee (on the equity price)</t>
        </is>
      </c>
      <c r="C14" s="39">
        <f>IF(Price!$C$19&lt;INDEX(i_hsr_lo,1),0,LOOKUP(Price!$C$19,i_hsr_lo,i_hsr_fee))</f>
        <v/>
      </c>
    </row>
    <row r="15">
      <c r="B15" s="2" t="inlineStr">
        <is>
          <t>Transaction costs (advisers, W&amp;I, HSR)</t>
        </is>
      </c>
      <c r="C15" s="19">
        <f>i_costs_adv+Financing!$C$13+Financing!$C$14</f>
        <v/>
      </c>
    </row>
    <row r="16">
      <c r="B16" s="2" t="inlineStr">
        <is>
          <t>Financing fees</t>
        </is>
      </c>
      <c r="C16" s="19">
        <f>Financing!$C$10*Financing!$C$11+i_hold_fee*Financing!$C$12</f>
        <v/>
      </c>
    </row>
    <row r="17">
      <c r="B17" s="2" t="inlineStr">
        <is>
          <t>Commitment fees, signing to closing</t>
        </is>
      </c>
      <c r="C17" s="19">
        <f>i_commit_fee*(Financing!$C$11+Financing!$C$12)*MAX(0,Price!$C$8-i_t_sign)</f>
        <v/>
      </c>
    </row>
    <row r="18">
      <c r="B18" s="3" t="inlineStr">
        <is>
          <t>Uses</t>
        </is>
      </c>
    </row>
    <row r="19">
      <c r="B19" s="2" t="inlineStr">
        <is>
          <t xml:space="preserve">  Equity price</t>
        </is>
      </c>
      <c r="C19" s="19">
        <f>Price!$C$19</f>
        <v/>
      </c>
    </row>
    <row r="20">
      <c r="B20" s="2" t="inlineStr">
        <is>
          <t xml:space="preserve">  Ticking fee</t>
        </is>
      </c>
      <c r="C20" s="19">
        <f>Price!$C$22</f>
        <v/>
      </c>
    </row>
    <row r="21">
      <c r="B21" s="2" t="inlineStr">
        <is>
          <t xml:space="preserve">  Repayment of existing debt and make-whole</t>
        </is>
      </c>
      <c r="C21" s="19">
        <f>Price!$C$14+Price!$C$15</f>
        <v/>
      </c>
    </row>
    <row r="22">
      <c r="B22" s="2" t="inlineStr">
        <is>
          <t xml:space="preserve">  Debt-like items settled</t>
        </is>
      </c>
      <c r="C22" s="19">
        <f>Price!$C$16</f>
        <v/>
      </c>
    </row>
    <row r="23">
      <c r="B23" s="2" t="inlineStr">
        <is>
          <t xml:space="preserve">  Transaction costs</t>
        </is>
      </c>
      <c r="C23" s="19">
        <f>Financing!$C$15</f>
        <v/>
      </c>
    </row>
    <row r="24">
      <c r="B24" s="2" t="inlineStr">
        <is>
          <t xml:space="preserve">  Financing fees</t>
        </is>
      </c>
      <c r="C24" s="19">
        <f>Financing!$C$16</f>
        <v/>
      </c>
    </row>
    <row r="25">
      <c r="B25" s="2" t="inlineStr">
        <is>
          <t xml:space="preserve">  Commitment fees</t>
        </is>
      </c>
      <c r="C25" s="19">
        <f>Financing!$C$17</f>
        <v/>
      </c>
    </row>
    <row r="26">
      <c r="B26" s="3" t="inlineStr">
        <is>
          <t>Total uses</t>
        </is>
      </c>
      <c r="C26" s="31">
        <f>SUM(C19:C25)</f>
        <v/>
      </c>
    </row>
    <row r="27">
      <c r="B27" s="3" t="inlineStr">
        <is>
          <t>Sources</t>
        </is>
      </c>
    </row>
    <row r="28">
      <c r="B28" s="2" t="inlineStr">
        <is>
          <t xml:space="preserve">  Opco senior debt</t>
        </is>
      </c>
      <c r="C28" s="19">
        <f>Financing!$C$11</f>
        <v/>
      </c>
    </row>
    <row r="29">
      <c r="B29" s="2" t="inlineStr">
        <is>
          <t xml:space="preserve">  Holdco debt</t>
        </is>
      </c>
      <c r="C29" s="19">
        <f>Financing!$C$12</f>
        <v/>
      </c>
    </row>
    <row r="30">
      <c r="B30" s="2" t="inlineStr">
        <is>
          <t xml:space="preserve">  Cash in the company at closing</t>
        </is>
      </c>
      <c r="C30" s="19">
        <f>Price!$C$27</f>
        <v/>
      </c>
    </row>
    <row r="31">
      <c r="B31" s="3" t="inlineStr">
        <is>
          <t xml:space="preserve">  Equity from the consortium</t>
        </is>
      </c>
      <c r="C31" s="31">
        <f>Financing!$C$26-Financing!$C$11-Financing!$C$12-Price!$C$27</f>
        <v/>
      </c>
    </row>
    <row r="32">
      <c r="B32" s="3" t="inlineStr">
        <is>
          <t>Total sources</t>
        </is>
      </c>
      <c r="C32" s="31">
        <f>SUM(C28:C31)</f>
        <v/>
      </c>
    </row>
    <row r="34">
      <c r="B34" s="5" t="inlineStr">
        <is>
          <t>Debt terms, coverage and the interest cap</t>
        </is>
      </c>
    </row>
    <row r="35">
      <c r="B35" s="2" t="inlineStr">
        <is>
          <t>Total leverage, multiple of 2026 EBITDA</t>
        </is>
      </c>
      <c r="C35" s="32">
        <f>(Financing!$C$11+Financing!$C$12)/Financing!$C$7</f>
        <v/>
      </c>
    </row>
    <row r="36">
      <c r="B36" s="2" t="inlineStr">
        <is>
          <t>Total debt, share of EV</t>
        </is>
      </c>
      <c r="C36" s="21">
        <f>(Financing!$C$11+Financing!$C$12)/Price!$C$13</f>
        <v/>
      </c>
    </row>
    <row r="37">
      <c r="B37" s="2" t="inlineStr">
        <is>
          <t>EBITDA 2028</t>
        </is>
      </c>
      <c r="C37" s="19">
        <f>Platform!$F$10</f>
        <v/>
      </c>
    </row>
    <row r="38">
      <c r="B38" s="2" t="inlineStr">
        <is>
          <t>Interest 2028</t>
        </is>
      </c>
      <c r="C38" s="19">
        <f>Returns!$F$9</f>
        <v/>
      </c>
    </row>
    <row r="39">
      <c r="B39" s="2" t="inlineStr">
        <is>
          <t>Interest cover 2028 (EBITDA / interest)</t>
        </is>
      </c>
      <c r="C39" s="37">
        <f>C37/C38</f>
        <v/>
      </c>
    </row>
    <row r="40">
      <c r="B40" s="2" t="inlineStr">
        <is>
          <t>Cash flow to equity 2028</t>
        </is>
      </c>
      <c r="C40" s="19">
        <f>Returns!$F$12</f>
        <v/>
      </c>
    </row>
    <row r="41">
      <c r="B41" s="2" t="inlineStr">
        <is>
          <t>Interest deductible in 2028 (30 percent of EBITDA)</t>
        </is>
      </c>
      <c r="C41" s="19">
        <f>i_int_cap*C37</f>
        <v/>
      </c>
    </row>
    <row r="42">
      <c r="B42" s="2" t="inlineStr">
        <is>
          <t>Interest disallowed in 2028</t>
        </is>
      </c>
      <c r="C42" s="19">
        <f>C38-Returns!$F$10</f>
        <v/>
      </c>
    </row>
    <row r="43">
      <c r="B43" s="2" t="inlineStr">
        <is>
          <t>Extra tax from the cap in 2028</t>
        </is>
      </c>
      <c r="C43" s="19">
        <f>i_tax*C42</f>
        <v/>
      </c>
    </row>
    <row r="44">
      <c r="B44" s="2" t="inlineStr">
        <is>
          <t>Existing debt repaid at closing (change of control)</t>
        </is>
      </c>
      <c r="C44" s="19">
        <f>i_old_tl+i_old_notes</f>
        <v/>
      </c>
    </row>
    <row r="46">
      <c r="B46" s="2" t="inlineStr">
        <is>
          <t>Interest by year (Returns)</t>
        </is>
      </c>
      <c r="D46" s="19">
        <f>Returns!D9</f>
        <v/>
      </c>
      <c r="E46" s="19">
        <f>Returns!E9</f>
        <v/>
      </c>
      <c r="F46" s="19">
        <f>Returns!F9</f>
        <v/>
      </c>
      <c r="G46" s="19">
        <f>Returns!G9</f>
        <v/>
      </c>
      <c r="H46" s="19">
        <f>Returns!H9</f>
        <v/>
      </c>
      <c r="I46" s="19">
        <f>Returns!I9</f>
        <v/>
      </c>
      <c r="J46" s="19">
        <f>Returns!J9</f>
        <v/>
      </c>
      <c r="K46" s="19">
        <f>Returns!K9</f>
        <v/>
      </c>
      <c r="L46" s="19">
        <f>Returns!L9</f>
        <v/>
      </c>
      <c r="M46" s="19">
        <f>Returns!M9</f>
        <v/>
      </c>
      <c r="N46" s="19">
        <f>Returns!N9</f>
        <v/>
      </c>
      <c r="O46" s="19">
        <f>Returns!O9</f>
        <v/>
      </c>
      <c r="P46" s="19">
        <f>Returns!P9</f>
        <v/>
      </c>
      <c r="Q46" s="19">
        <f>Returns!Q9</f>
        <v/>
      </c>
      <c r="R46" s="19">
        <f>Returns!R9</f>
        <v/>
      </c>
      <c r="S46" s="19">
        <f>Returns!S9</f>
        <v/>
      </c>
      <c r="T46" s="19">
        <f>Returns!T9</f>
        <v/>
      </c>
      <c r="U46" s="19">
        <f>Returns!U9</f>
        <v/>
      </c>
      <c r="V46" s="19">
        <f>Returns!V9</f>
        <v/>
      </c>
      <c r="W46" s="19">
        <f>Returns!W9</f>
        <v/>
      </c>
      <c r="X46" s="19">
        <f>Returns!X9</f>
        <v/>
      </c>
      <c r="Y46" s="19">
        <f>Returns!Y9</f>
        <v/>
      </c>
      <c r="Z46" s="19">
        <f>Returns!Z9</f>
        <v/>
      </c>
      <c r="AA46" s="19">
        <f>Returns!AA9</f>
        <v/>
      </c>
      <c r="AB46" s="19">
        <f>Returns!AB9</f>
        <v/>
      </c>
      <c r="AC46" s="19">
        <f>Returns!AC9</f>
        <v/>
      </c>
      <c r="AD46" s="19">
        <f>Returns!AD9</f>
        <v/>
      </c>
      <c r="AE46" s="19">
        <f>Returns!AE9</f>
        <v/>
      </c>
      <c r="AF46" s="19">
        <f>Returns!AF9</f>
        <v/>
      </c>
      <c r="AG46" s="19">
        <f>Returns!AG9</f>
        <v/>
      </c>
      <c r="AH46" s="19">
        <f>Returns!AH9</f>
        <v/>
      </c>
      <c r="AI46" s="19">
        <f>Returns!AI9</f>
        <v/>
      </c>
    </row>
    <row r="47">
      <c r="B47" s="2" t="inlineStr">
        <is>
          <t>Deductible interest</t>
        </is>
      </c>
      <c r="D47" s="19">
        <f>Returns!D10</f>
        <v/>
      </c>
      <c r="E47" s="19">
        <f>Returns!E10</f>
        <v/>
      </c>
      <c r="F47" s="19">
        <f>Returns!F10</f>
        <v/>
      </c>
      <c r="G47" s="19">
        <f>Returns!G10</f>
        <v/>
      </c>
      <c r="H47" s="19">
        <f>Returns!H10</f>
        <v/>
      </c>
      <c r="I47" s="19">
        <f>Returns!I10</f>
        <v/>
      </c>
      <c r="J47" s="19">
        <f>Returns!J10</f>
        <v/>
      </c>
      <c r="K47" s="19">
        <f>Returns!K10</f>
        <v/>
      </c>
      <c r="L47" s="19">
        <f>Returns!L10</f>
        <v/>
      </c>
      <c r="M47" s="19">
        <f>Returns!M10</f>
        <v/>
      </c>
      <c r="N47" s="19">
        <f>Returns!N10</f>
        <v/>
      </c>
      <c r="O47" s="19">
        <f>Returns!O10</f>
        <v/>
      </c>
      <c r="P47" s="19">
        <f>Returns!P10</f>
        <v/>
      </c>
      <c r="Q47" s="19">
        <f>Returns!Q10</f>
        <v/>
      </c>
      <c r="R47" s="19">
        <f>Returns!R10</f>
        <v/>
      </c>
      <c r="S47" s="19">
        <f>Returns!S10</f>
        <v/>
      </c>
      <c r="T47" s="19">
        <f>Returns!T10</f>
        <v/>
      </c>
      <c r="U47" s="19">
        <f>Returns!U10</f>
        <v/>
      </c>
      <c r="V47" s="19">
        <f>Returns!V10</f>
        <v/>
      </c>
      <c r="W47" s="19">
        <f>Returns!W10</f>
        <v/>
      </c>
      <c r="X47" s="19">
        <f>Returns!X10</f>
        <v/>
      </c>
      <c r="Y47" s="19">
        <f>Returns!Y10</f>
        <v/>
      </c>
      <c r="Z47" s="19">
        <f>Returns!Z10</f>
        <v/>
      </c>
      <c r="AA47" s="19">
        <f>Returns!AA10</f>
        <v/>
      </c>
      <c r="AB47" s="19">
        <f>Returns!AB10</f>
        <v/>
      </c>
      <c r="AC47" s="19">
        <f>Returns!AC10</f>
        <v/>
      </c>
      <c r="AD47" s="19">
        <f>Returns!AD10</f>
        <v/>
      </c>
      <c r="AE47" s="19">
        <f>Returns!AE10</f>
        <v/>
      </c>
      <c r="AF47" s="19">
        <f>Returns!AF10</f>
        <v/>
      </c>
      <c r="AG47" s="19">
        <f>Returns!AG10</f>
        <v/>
      </c>
      <c r="AH47" s="19">
        <f>Returns!AH10</f>
        <v/>
      </c>
      <c r="AI47" s="19">
        <f>Returns!AI10</f>
        <v/>
      </c>
    </row>
    <row r="48">
      <c r="B48" s="2" t="inlineStr">
        <is>
          <t>Disallowed interest</t>
        </is>
      </c>
      <c r="D48" s="19">
        <f>D46-D47</f>
        <v/>
      </c>
      <c r="E48" s="19">
        <f>E46-E47</f>
        <v/>
      </c>
      <c r="F48" s="19">
        <f>F46-F47</f>
        <v/>
      </c>
      <c r="G48" s="19">
        <f>G46-G47</f>
        <v/>
      </c>
      <c r="H48" s="19">
        <f>H46-H47</f>
        <v/>
      </c>
      <c r="I48" s="19">
        <f>I46-I47</f>
        <v/>
      </c>
      <c r="J48" s="19">
        <f>J46-J47</f>
        <v/>
      </c>
      <c r="K48" s="19">
        <f>K46-K47</f>
        <v/>
      </c>
      <c r="L48" s="19">
        <f>L46-L47</f>
        <v/>
      </c>
      <c r="M48" s="19">
        <f>M46-M47</f>
        <v/>
      </c>
      <c r="N48" s="19">
        <f>N46-N47</f>
        <v/>
      </c>
      <c r="O48" s="19">
        <f>O46-O47</f>
        <v/>
      </c>
      <c r="P48" s="19">
        <f>P46-P47</f>
        <v/>
      </c>
      <c r="Q48" s="19">
        <f>Q46-Q47</f>
        <v/>
      </c>
      <c r="R48" s="19">
        <f>R46-R47</f>
        <v/>
      </c>
      <c r="S48" s="19">
        <f>S46-S47</f>
        <v/>
      </c>
      <c r="T48" s="19">
        <f>T46-T47</f>
        <v/>
      </c>
      <c r="U48" s="19">
        <f>U46-U47</f>
        <v/>
      </c>
      <c r="V48" s="19">
        <f>V46-V47</f>
        <v/>
      </c>
      <c r="W48" s="19">
        <f>W46-W47</f>
        <v/>
      </c>
      <c r="X48" s="19">
        <f>X46-X47</f>
        <v/>
      </c>
      <c r="Y48" s="19">
        <f>Y46-Y47</f>
        <v/>
      </c>
      <c r="Z48" s="19">
        <f>Z46-Z47</f>
        <v/>
      </c>
      <c r="AA48" s="19">
        <f>AA46-AA47</f>
        <v/>
      </c>
      <c r="AB48" s="19">
        <f>AB46-AB47</f>
        <v/>
      </c>
      <c r="AC48" s="19">
        <f>AC46-AC47</f>
        <v/>
      </c>
      <c r="AD48" s="19">
        <f>AD46-AD47</f>
        <v/>
      </c>
      <c r="AE48" s="19">
        <f>AE46-AE47</f>
        <v/>
      </c>
      <c r="AF48" s="19">
        <f>AF46-AF47</f>
        <v/>
      </c>
      <c r="AG48" s="19">
        <f>AG46-AG47</f>
        <v/>
      </c>
      <c r="AH48" s="19">
        <f>AH46-AH47</f>
        <v/>
      </c>
      <c r="AI48" s="19">
        <f>AI46-AI47</f>
        <v/>
      </c>
    </row>
    <row r="49">
      <c r="B49" s="2" t="inlineStr">
        <is>
          <t>Interest cover (EBITDA / interest)</t>
        </is>
      </c>
      <c r="D49" s="37">
        <f>Platform!D10/D46</f>
        <v/>
      </c>
      <c r="E49" s="37">
        <f>Platform!E10/E46</f>
        <v/>
      </c>
      <c r="F49" s="37">
        <f>Platform!F10/F46</f>
        <v/>
      </c>
      <c r="G49" s="37">
        <f>Platform!G10/G46</f>
        <v/>
      </c>
      <c r="H49" s="37">
        <f>Platform!H10/H46</f>
        <v/>
      </c>
      <c r="I49" s="37">
        <f>Platform!I10/I46</f>
        <v/>
      </c>
      <c r="J49" s="37">
        <f>Platform!J10/J46</f>
        <v/>
      </c>
      <c r="K49" s="37">
        <f>Platform!K10/K46</f>
        <v/>
      </c>
      <c r="L49" s="37">
        <f>Platform!L10/L46</f>
        <v/>
      </c>
      <c r="M49" s="37">
        <f>Platform!M10/M46</f>
        <v/>
      </c>
      <c r="N49" s="37">
        <f>Platform!N10/N46</f>
        <v/>
      </c>
      <c r="O49" s="37">
        <f>Platform!O10/O46</f>
        <v/>
      </c>
      <c r="P49" s="37">
        <f>Platform!P10/P46</f>
        <v/>
      </c>
      <c r="Q49" s="37">
        <f>Platform!Q10/Q46</f>
        <v/>
      </c>
      <c r="R49" s="37">
        <f>Platform!R10/R46</f>
        <v/>
      </c>
      <c r="S49" s="37">
        <f>Platform!S10/S46</f>
        <v/>
      </c>
      <c r="T49" s="37">
        <f>Platform!T10/T46</f>
        <v/>
      </c>
      <c r="U49" s="37">
        <f>Platform!U10/U46</f>
        <v/>
      </c>
      <c r="V49" s="37">
        <f>Platform!V10/V46</f>
        <v/>
      </c>
      <c r="W49" s="37">
        <f>Platform!W10/W46</f>
        <v/>
      </c>
      <c r="X49" s="37">
        <f>Platform!X10/X46</f>
        <v/>
      </c>
      <c r="Y49" s="37">
        <f>Platform!Y10/Y46</f>
        <v/>
      </c>
      <c r="Z49" s="37">
        <f>Platform!Z10/Z46</f>
        <v/>
      </c>
      <c r="AA49" s="37">
        <f>Platform!AA10/AA46</f>
        <v/>
      </c>
      <c r="AB49" s="37">
        <f>Platform!AB10/AB46</f>
        <v/>
      </c>
      <c r="AC49" s="37">
        <f>Platform!AC10/AC46</f>
        <v/>
      </c>
      <c r="AD49" s="37">
        <f>Platform!AD10/AD46</f>
        <v/>
      </c>
      <c r="AE49" s="37">
        <f>Platform!AE10/AE46</f>
        <v/>
      </c>
      <c r="AF49" s="37">
        <f>Platform!AF10/AF46</f>
        <v/>
      </c>
      <c r="AG49" s="37">
        <f>Platform!AG10/AG46</f>
        <v/>
      </c>
      <c r="AH49" s="37">
        <f>Platform!AH10/AH46</f>
        <v/>
      </c>
      <c r="AI49" s="37">
        <f>Platform!AI10/AI46</f>
        <v/>
      </c>
    </row>
    <row r="51">
      <c r="B51" s="5" t="inlineStr">
        <is>
          <t>Staple financing (forced on), on the live case</t>
        </is>
      </c>
    </row>
    <row r="52">
      <c r="B52" s="4" t="inlineStr">
        <is>
          <t>Enterprise value at 31 December 2026</t>
        </is>
      </c>
      <c r="C52" s="29">
        <f>i_bid_ev</f>
        <v/>
      </c>
    </row>
    <row r="53">
      <c r="B53" s="4" t="inlineStr">
        <is>
          <t>Closing (years after 31 December 2026)</t>
        </is>
      </c>
      <c r="C53" s="28">
        <f>i_t_close</f>
        <v/>
      </c>
    </row>
    <row r="54">
      <c r="B54" s="4" t="inlineStr">
        <is>
          <t>Staple financing (1) or own debt (0)</t>
        </is>
      </c>
      <c r="C54" s="26">
        <f>1</f>
        <v/>
      </c>
    </row>
    <row r="55">
      <c r="B55" s="4" t="inlineStr">
        <is>
          <t>Minority sale in 2031 (1) or full exit (0)</t>
        </is>
      </c>
      <c r="C55" s="26">
        <f>IF(i_sw_exit="Minority",1,0)</f>
        <v/>
      </c>
    </row>
    <row r="56">
      <c r="B56" s="4" t="inlineStr">
        <is>
          <t>Exit discount rate</t>
        </is>
      </c>
      <c r="C56" s="38">
        <f>i_r_exit</f>
        <v/>
      </c>
    </row>
    <row r="57">
      <c r="B57" s="4" t="inlineStr">
        <is>
          <t>Change in the opco rate at refinancing</t>
        </is>
      </c>
      <c r="C57" s="38">
        <f>i_refi_shift</f>
        <v/>
      </c>
    </row>
    <row r="58">
      <c r="B58" s="2" t="inlineStr">
        <is>
          <t>Enterprise value</t>
        </is>
      </c>
      <c r="C58" s="19">
        <f>Financing!$C$52</f>
        <v/>
      </c>
    </row>
    <row r="59">
      <c r="B59" s="2" t="inlineStr">
        <is>
          <t>less existing financial debt (term loan and notes)</t>
        </is>
      </c>
      <c r="C59" s="19">
        <f>i_old_tl+i_old_notes</f>
        <v/>
      </c>
    </row>
    <row r="60">
      <c r="B60" s="2" t="inlineStr">
        <is>
          <t>less make-whole on the notes</t>
        </is>
      </c>
      <c r="C60" s="19">
        <f>i_make_whole</f>
        <v/>
      </c>
    </row>
    <row r="61">
      <c r="B61" s="2" t="inlineStr">
        <is>
          <t>less debt-like items (pension, accrued capex, 2026 tax)</t>
        </is>
      </c>
      <c r="C61" s="19">
        <f>i_pension+i_def_capex+i_acc_tax</f>
        <v/>
      </c>
    </row>
    <row r="62">
      <c r="B62" s="2" t="inlineStr">
        <is>
          <t>plus cash at the locked box date</t>
        </is>
      </c>
      <c r="C62" s="19">
        <f>i_lb_cash</f>
        <v/>
      </c>
    </row>
    <row r="63">
      <c r="B63" s="2" t="inlineStr">
        <is>
          <t>less permitted leakage</t>
        </is>
      </c>
      <c r="C63" s="19">
        <f>i_permitted_leak</f>
        <v/>
      </c>
    </row>
    <row r="64">
      <c r="B64" s="3" t="inlineStr">
        <is>
          <t>Equity price (shares and shareholder loan)</t>
        </is>
      </c>
      <c r="C64" s="31">
        <f>Financing!$C$58-Financing!$C$59-Financing!$C$60-Financing!$C$61+Financing!$C$62-Financing!$C$63</f>
        <v/>
      </c>
    </row>
    <row r="65">
      <c r="B65" s="2" t="inlineStr">
        <is>
          <t xml:space="preserve">  of which shareholder loan at face value</t>
        </is>
      </c>
      <c r="C65" s="19">
        <f>i_shl</f>
        <v/>
      </c>
    </row>
    <row r="66">
      <c r="B66" s="2" t="inlineStr">
        <is>
          <t xml:space="preserve">  of which shares</t>
        </is>
      </c>
      <c r="C66" s="19">
        <f>Financing!$C$64-Financing!$C$65</f>
        <v/>
      </c>
    </row>
    <row r="67">
      <c r="B67" s="2" t="inlineStr">
        <is>
          <t>Ticking fee to closing</t>
        </is>
      </c>
      <c r="C67" s="19">
        <f>Financing!$C$64*i_ticking*Financing!$C$53</f>
        <v/>
      </c>
    </row>
    <row r="68">
      <c r="B68" s="2" t="inlineStr">
        <is>
          <t>Share of the year before closing (box period)</t>
        </is>
      </c>
      <c r="D68" s="24">
        <f>IF(D$4&lt;1,0,MAX(0,MIN(1,Financing!$C$53-(D$4-1))))</f>
        <v/>
      </c>
      <c r="E68" s="24">
        <f>IF(E$4&lt;1,0,MAX(0,MIN(1,Financing!$C$53-(E$4-1))))</f>
        <v/>
      </c>
      <c r="F68" s="24">
        <f>IF(F$4&lt;1,0,MAX(0,MIN(1,Financing!$C$53-(F$4-1))))</f>
        <v/>
      </c>
      <c r="G68" s="24">
        <f>IF(G$4&lt;1,0,MAX(0,MIN(1,Financing!$C$53-(G$4-1))))</f>
        <v/>
      </c>
      <c r="H68" s="24">
        <f>IF(H$4&lt;1,0,MAX(0,MIN(1,Financing!$C$53-(H$4-1))))</f>
        <v/>
      </c>
      <c r="I68" s="24">
        <f>IF(I$4&lt;1,0,MAX(0,MIN(1,Financing!$C$53-(I$4-1))))</f>
        <v/>
      </c>
      <c r="J68" s="24">
        <f>IF(J$4&lt;1,0,MAX(0,MIN(1,Financing!$C$53-(J$4-1))))</f>
        <v/>
      </c>
      <c r="K68" s="24">
        <f>IF(K$4&lt;1,0,MAX(0,MIN(1,Financing!$C$53-(K$4-1))))</f>
        <v/>
      </c>
      <c r="L68" s="24">
        <f>IF(L$4&lt;1,0,MAX(0,MIN(1,Financing!$C$53-(L$4-1))))</f>
        <v/>
      </c>
      <c r="M68" s="24">
        <f>IF(M$4&lt;1,0,MAX(0,MIN(1,Financing!$C$53-(M$4-1))))</f>
        <v/>
      </c>
      <c r="N68" s="24">
        <f>IF(N$4&lt;1,0,MAX(0,MIN(1,Financing!$C$53-(N$4-1))))</f>
        <v/>
      </c>
      <c r="O68" s="24">
        <f>IF(O$4&lt;1,0,MAX(0,MIN(1,Financing!$C$53-(O$4-1))))</f>
        <v/>
      </c>
      <c r="P68" s="24">
        <f>IF(P$4&lt;1,0,MAX(0,MIN(1,Financing!$C$53-(P$4-1))))</f>
        <v/>
      </c>
      <c r="Q68" s="24">
        <f>IF(Q$4&lt;1,0,MAX(0,MIN(1,Financing!$C$53-(Q$4-1))))</f>
        <v/>
      </c>
      <c r="R68" s="24">
        <f>IF(R$4&lt;1,0,MAX(0,MIN(1,Financing!$C$53-(R$4-1))))</f>
        <v/>
      </c>
      <c r="S68" s="24">
        <f>IF(S$4&lt;1,0,MAX(0,MIN(1,Financing!$C$53-(S$4-1))))</f>
        <v/>
      </c>
      <c r="T68" s="24">
        <f>IF(T$4&lt;1,0,MAX(0,MIN(1,Financing!$C$53-(T$4-1))))</f>
        <v/>
      </c>
      <c r="U68" s="24">
        <f>IF(U$4&lt;1,0,MAX(0,MIN(1,Financing!$C$53-(U$4-1))))</f>
        <v/>
      </c>
      <c r="V68" s="24">
        <f>IF(V$4&lt;1,0,MAX(0,MIN(1,Financing!$C$53-(V$4-1))))</f>
        <v/>
      </c>
      <c r="W68" s="24">
        <f>IF(W$4&lt;1,0,MAX(0,MIN(1,Financing!$C$53-(W$4-1))))</f>
        <v/>
      </c>
      <c r="X68" s="24">
        <f>IF(X$4&lt;1,0,MAX(0,MIN(1,Financing!$C$53-(X$4-1))))</f>
        <v/>
      </c>
      <c r="Y68" s="24">
        <f>IF(Y$4&lt;1,0,MAX(0,MIN(1,Financing!$C$53-(Y$4-1))))</f>
        <v/>
      </c>
      <c r="Z68" s="24">
        <f>IF(Z$4&lt;1,0,MAX(0,MIN(1,Financing!$C$53-(Z$4-1))))</f>
        <v/>
      </c>
      <c r="AA68" s="24">
        <f>IF(AA$4&lt;1,0,MAX(0,MIN(1,Financing!$C$53-(AA$4-1))))</f>
        <v/>
      </c>
      <c r="AB68" s="24">
        <f>IF(AB$4&lt;1,0,MAX(0,MIN(1,Financing!$C$53-(AB$4-1))))</f>
        <v/>
      </c>
      <c r="AC68" s="24">
        <f>IF(AC$4&lt;1,0,MAX(0,MIN(1,Financing!$C$53-(AC$4-1))))</f>
        <v/>
      </c>
      <c r="AD68" s="24">
        <f>IF(AD$4&lt;1,0,MAX(0,MIN(1,Financing!$C$53-(AD$4-1))))</f>
        <v/>
      </c>
      <c r="AE68" s="24">
        <f>IF(AE$4&lt;1,0,MAX(0,MIN(1,Financing!$C$53-(AE$4-1))))</f>
        <v/>
      </c>
      <c r="AF68" s="24">
        <f>IF(AF$4&lt;1,0,MAX(0,MIN(1,Financing!$C$53-(AF$4-1))))</f>
        <v/>
      </c>
      <c r="AG68" s="24">
        <f>IF(AG$4&lt;1,0,MAX(0,MIN(1,Financing!$C$53-(AG$4-1))))</f>
        <v/>
      </c>
      <c r="AH68" s="24">
        <f>IF(AH$4&lt;1,0,MAX(0,MIN(1,Financing!$C$53-(AH$4-1))))</f>
        <v/>
      </c>
      <c r="AI68" s="24">
        <f>IF(AI$4&lt;1,0,MAX(0,MIN(1,Financing!$C$53-(AI$4-1))))</f>
        <v/>
      </c>
    </row>
    <row r="69">
      <c r="B69" s="2" t="inlineStr">
        <is>
          <t>Box cash: free cash flow less interest on the old debt</t>
        </is>
      </c>
      <c r="D69" s="19">
        <f>D68*(Platform!D16-i_old_rate*(i_old_tl+i_old_notes))</f>
        <v/>
      </c>
      <c r="E69" s="19">
        <f>E68*(Platform!E16-i_old_rate*(i_old_tl+i_old_notes))</f>
        <v/>
      </c>
      <c r="F69" s="19">
        <f>F68*(Platform!F16-i_old_rate*(i_old_tl+i_old_notes))</f>
        <v/>
      </c>
      <c r="G69" s="19">
        <f>G68*(Platform!G16-i_old_rate*(i_old_tl+i_old_notes))</f>
        <v/>
      </c>
      <c r="H69" s="19">
        <f>H68*(Platform!H16-i_old_rate*(i_old_tl+i_old_notes))</f>
        <v/>
      </c>
      <c r="I69" s="19">
        <f>I68*(Platform!I16-i_old_rate*(i_old_tl+i_old_notes))</f>
        <v/>
      </c>
      <c r="J69" s="19">
        <f>J68*(Platform!J16-i_old_rate*(i_old_tl+i_old_notes))</f>
        <v/>
      </c>
      <c r="K69" s="19">
        <f>K68*(Platform!K16-i_old_rate*(i_old_tl+i_old_notes))</f>
        <v/>
      </c>
      <c r="L69" s="19">
        <f>L68*(Platform!L16-i_old_rate*(i_old_tl+i_old_notes))</f>
        <v/>
      </c>
      <c r="M69" s="19">
        <f>M68*(Platform!M16-i_old_rate*(i_old_tl+i_old_notes))</f>
        <v/>
      </c>
      <c r="N69" s="19">
        <f>N68*(Platform!N16-i_old_rate*(i_old_tl+i_old_notes))</f>
        <v/>
      </c>
      <c r="O69" s="19">
        <f>O68*(Platform!O16-i_old_rate*(i_old_tl+i_old_notes))</f>
        <v/>
      </c>
      <c r="P69" s="19">
        <f>P68*(Platform!P16-i_old_rate*(i_old_tl+i_old_notes))</f>
        <v/>
      </c>
      <c r="Q69" s="19">
        <f>Q68*(Platform!Q16-i_old_rate*(i_old_tl+i_old_notes))</f>
        <v/>
      </c>
      <c r="R69" s="19">
        <f>R68*(Platform!R16-i_old_rate*(i_old_tl+i_old_notes))</f>
        <v/>
      </c>
      <c r="S69" s="19">
        <f>S68*(Platform!S16-i_old_rate*(i_old_tl+i_old_notes))</f>
        <v/>
      </c>
      <c r="T69" s="19">
        <f>T68*(Platform!T16-i_old_rate*(i_old_tl+i_old_notes))</f>
        <v/>
      </c>
      <c r="U69" s="19">
        <f>U68*(Platform!U16-i_old_rate*(i_old_tl+i_old_notes))</f>
        <v/>
      </c>
      <c r="V69" s="19">
        <f>V68*(Platform!V16-i_old_rate*(i_old_tl+i_old_notes))</f>
        <v/>
      </c>
      <c r="W69" s="19">
        <f>W68*(Platform!W16-i_old_rate*(i_old_tl+i_old_notes))</f>
        <v/>
      </c>
      <c r="X69" s="19">
        <f>X68*(Platform!X16-i_old_rate*(i_old_tl+i_old_notes))</f>
        <v/>
      </c>
      <c r="Y69" s="19">
        <f>Y68*(Platform!Y16-i_old_rate*(i_old_tl+i_old_notes))</f>
        <v/>
      </c>
      <c r="Z69" s="19">
        <f>Z68*(Platform!Z16-i_old_rate*(i_old_tl+i_old_notes))</f>
        <v/>
      </c>
      <c r="AA69" s="19">
        <f>AA68*(Platform!AA16-i_old_rate*(i_old_tl+i_old_notes))</f>
        <v/>
      </c>
      <c r="AB69" s="19">
        <f>AB68*(Platform!AB16-i_old_rate*(i_old_tl+i_old_notes))</f>
        <v/>
      </c>
      <c r="AC69" s="19">
        <f>AC68*(Platform!AC16-i_old_rate*(i_old_tl+i_old_notes))</f>
        <v/>
      </c>
      <c r="AD69" s="19">
        <f>AD68*(Platform!AD16-i_old_rate*(i_old_tl+i_old_notes))</f>
        <v/>
      </c>
      <c r="AE69" s="19">
        <f>AE68*(Platform!AE16-i_old_rate*(i_old_tl+i_old_notes))</f>
        <v/>
      </c>
      <c r="AF69" s="19">
        <f>AF68*(Platform!AF16-i_old_rate*(i_old_tl+i_old_notes))</f>
        <v/>
      </c>
      <c r="AG69" s="19">
        <f>AG68*(Platform!AG16-i_old_rate*(i_old_tl+i_old_notes))</f>
        <v/>
      </c>
      <c r="AH69" s="19">
        <f>AH68*(Platform!AH16-i_old_rate*(i_old_tl+i_old_notes))</f>
        <v/>
      </c>
      <c r="AI69" s="19">
        <f>AI68*(Platform!AI16-i_old_rate*(i_old_tl+i_old_notes))</f>
        <v/>
      </c>
    </row>
    <row r="70">
      <c r="B70" s="2" t="inlineStr">
        <is>
          <t>Box cash generated from 1 January 2027 to closing</t>
        </is>
      </c>
      <c r="C70" s="19">
        <f>SUM(Financing!D69:AI69)</f>
        <v/>
      </c>
    </row>
    <row r="71">
      <c r="B71" s="2" t="inlineStr">
        <is>
          <t>Cash in the company at closing</t>
        </is>
      </c>
      <c r="C71" s="19">
        <f>Financing!$C$62-Financing!$C$63+Financing!$C$70</f>
        <v/>
      </c>
    </row>
    <row r="72">
      <c r="B72" s="2" t="inlineStr">
        <is>
          <t>Cash used at closing (above operating cash)</t>
        </is>
      </c>
      <c r="C72" s="19">
        <f>Financing!$C$71-i_min_cash</f>
        <v/>
      </c>
    </row>
    <row r="74">
      <c r="B74" s="3" t="inlineStr">
        <is>
          <t>Sources and uses at closing</t>
        </is>
      </c>
    </row>
    <row r="75">
      <c r="B75" s="2" t="inlineStr">
        <is>
          <t>EBITDA 2026 (sizing basis)</t>
        </is>
      </c>
      <c r="C75" s="19">
        <f>Platform!$D$10</f>
        <v/>
      </c>
    </row>
    <row r="76">
      <c r="B76" s="2" t="inlineStr">
        <is>
          <t>Opco multiple of 2026 EBITDA</t>
        </is>
      </c>
      <c r="C76" s="37">
        <f>IF(Financing!$C$54=1,i_staple_x,i_opco_x)</f>
        <v/>
      </c>
    </row>
    <row r="77">
      <c r="B77" s="2" t="inlineStr">
        <is>
          <t>Opco rate</t>
        </is>
      </c>
      <c r="C77" s="23">
        <f>IF(Financing!$C$54=1,i_staple_rate,i_opco_rate)</f>
        <v/>
      </c>
    </row>
    <row r="78">
      <c r="B78" s="2" t="inlineStr">
        <is>
          <t>Opco fees</t>
        </is>
      </c>
      <c r="C78" s="23">
        <f>IF(Financing!$C$54=1,i_staple_fee,i_opco_fee)</f>
        <v/>
      </c>
    </row>
    <row r="79">
      <c r="B79" s="2" t="inlineStr">
        <is>
          <t>Opco senior debt (whole $ million)</t>
        </is>
      </c>
      <c r="C79" s="19">
        <f>ROUND(Financing!$C$76*Financing!$C$75,0)</f>
        <v/>
      </c>
    </row>
    <row r="80">
      <c r="B80" s="2" t="inlineStr">
        <is>
          <t>Holdco debt (whole $ million)</t>
        </is>
      </c>
      <c r="C80" s="19">
        <f>ROUND(i_hold_x*Financing!$C$75,0)</f>
        <v/>
      </c>
    </row>
    <row r="81">
      <c r="B81" s="2" t="inlineStr">
        <is>
          <t>W&amp;I premium with insurance premium tax</t>
        </is>
      </c>
      <c r="C81" s="35">
        <f>i_wi_limit_pct*Financing!$C$58*i_wi_rol*(1+i_wi_ipt)</f>
        <v/>
      </c>
    </row>
    <row r="82">
      <c r="B82" s="2" t="inlineStr">
        <is>
          <t>HSR filing fee (on the equity price)</t>
        </is>
      </c>
      <c r="C82" s="39">
        <f>IF(Financing!$C$64&lt;INDEX(i_hsr_lo,1),0,LOOKUP(Financing!$C$64,i_hsr_lo,i_hsr_fee))</f>
        <v/>
      </c>
    </row>
    <row r="83">
      <c r="B83" s="2" t="inlineStr">
        <is>
          <t>Transaction costs (advisers, W&amp;I, HSR)</t>
        </is>
      </c>
      <c r="C83" s="19">
        <f>i_costs_adv+Financing!$C$81+Financing!$C$82</f>
        <v/>
      </c>
    </row>
    <row r="84">
      <c r="B84" s="2" t="inlineStr">
        <is>
          <t>Financing fees</t>
        </is>
      </c>
      <c r="C84" s="19">
        <f>Financing!$C$78*Financing!$C$79+i_hold_fee*Financing!$C$80</f>
        <v/>
      </c>
    </row>
    <row r="85">
      <c r="B85" s="2" t="inlineStr">
        <is>
          <t>Commitment fees, signing to closing</t>
        </is>
      </c>
      <c r="C85" s="19">
        <f>i_commit_fee*(Financing!$C$79+Financing!$C$80)*MAX(0,Financing!$C$53-i_t_sign)</f>
        <v/>
      </c>
    </row>
    <row r="86">
      <c r="B86" s="3" t="inlineStr">
        <is>
          <t>Uses</t>
        </is>
      </c>
    </row>
    <row r="87">
      <c r="B87" s="2" t="inlineStr">
        <is>
          <t xml:space="preserve">  Equity price</t>
        </is>
      </c>
      <c r="C87" s="19">
        <f>Financing!$C$64</f>
        <v/>
      </c>
    </row>
    <row r="88">
      <c r="B88" s="2" t="inlineStr">
        <is>
          <t xml:space="preserve">  Ticking fee</t>
        </is>
      </c>
      <c r="C88" s="19">
        <f>Financing!$C$67</f>
        <v/>
      </c>
    </row>
    <row r="89">
      <c r="B89" s="2" t="inlineStr">
        <is>
          <t xml:space="preserve">  Repayment of existing debt and make-whole</t>
        </is>
      </c>
      <c r="C89" s="19">
        <f>Financing!$C$59+Financing!$C$60</f>
        <v/>
      </c>
    </row>
    <row r="90">
      <c r="B90" s="2" t="inlineStr">
        <is>
          <t xml:space="preserve">  Debt-like items settled</t>
        </is>
      </c>
      <c r="C90" s="19">
        <f>Financing!$C$61</f>
        <v/>
      </c>
    </row>
    <row r="91">
      <c r="B91" s="2" t="inlineStr">
        <is>
          <t xml:space="preserve">  Transaction costs</t>
        </is>
      </c>
      <c r="C91" s="19">
        <f>Financing!$C$83</f>
        <v/>
      </c>
    </row>
    <row r="92">
      <c r="B92" s="2" t="inlineStr">
        <is>
          <t xml:space="preserve">  Financing fees</t>
        </is>
      </c>
      <c r="C92" s="19">
        <f>Financing!$C$84</f>
        <v/>
      </c>
    </row>
    <row r="93">
      <c r="B93" s="2" t="inlineStr">
        <is>
          <t xml:space="preserve">  Commitment fees</t>
        </is>
      </c>
      <c r="C93" s="19">
        <f>Financing!$C$85</f>
        <v/>
      </c>
    </row>
    <row r="94">
      <c r="B94" s="3" t="inlineStr">
        <is>
          <t>Total uses</t>
        </is>
      </c>
      <c r="C94" s="31">
        <f>SUM(C87:C93)</f>
        <v/>
      </c>
    </row>
    <row r="95">
      <c r="B95" s="3" t="inlineStr">
        <is>
          <t>Sources</t>
        </is>
      </c>
    </row>
    <row r="96">
      <c r="B96" s="2" t="inlineStr">
        <is>
          <t xml:space="preserve">  Opco senior debt</t>
        </is>
      </c>
      <c r="C96" s="19">
        <f>Financing!$C$79</f>
        <v/>
      </c>
    </row>
    <row r="97">
      <c r="B97" s="2" t="inlineStr">
        <is>
          <t xml:space="preserve">  Holdco debt</t>
        </is>
      </c>
      <c r="C97" s="19">
        <f>Financing!$C$80</f>
        <v/>
      </c>
    </row>
    <row r="98">
      <c r="B98" s="2" t="inlineStr">
        <is>
          <t xml:space="preserve">  Cash in the company at closing</t>
        </is>
      </c>
      <c r="C98" s="19">
        <f>Financing!$C$72</f>
        <v/>
      </c>
    </row>
    <row r="99">
      <c r="B99" s="3" t="inlineStr">
        <is>
          <t xml:space="preserve">  Equity from the consortium</t>
        </is>
      </c>
      <c r="C99" s="31">
        <f>Financing!$C$94-Financing!$C$79-Financing!$C$80-Financing!$C$72</f>
        <v/>
      </c>
    </row>
    <row r="100">
      <c r="B100" s="3" t="inlineStr">
        <is>
          <t>Total sources</t>
        </is>
      </c>
      <c r="C100" s="31">
        <f>SUM(C96:C99)</f>
        <v/>
      </c>
    </row>
    <row r="102">
      <c r="B102" s="3" t="inlineStr">
        <is>
          <t>Flows after closing (years in columns D to AI; closing, minority sale and exit in AJ to AL)</t>
        </is>
      </c>
    </row>
    <row r="103">
      <c r="B103" s="2" t="inlineStr">
        <is>
          <t>Share of the year owned</t>
        </is>
      </c>
      <c r="D103" s="24">
        <f>IF(D$3&gt;i_exit_year,0,MIN(1,MAX(0,D$4-Financing!$C$53)))</f>
        <v/>
      </c>
      <c r="E103" s="24">
        <f>IF(E$3&gt;i_exit_year,0,MIN(1,MAX(0,E$4-Financing!$C$53)))</f>
        <v/>
      </c>
      <c r="F103" s="24">
        <f>IF(F$3&gt;i_exit_year,0,MIN(1,MAX(0,F$4-Financing!$C$53)))</f>
        <v/>
      </c>
      <c r="G103" s="24">
        <f>IF(G$3&gt;i_exit_year,0,MIN(1,MAX(0,G$4-Financing!$C$53)))</f>
        <v/>
      </c>
      <c r="H103" s="24">
        <f>IF(H$3&gt;i_exit_year,0,MIN(1,MAX(0,H$4-Financing!$C$53)))</f>
        <v/>
      </c>
      <c r="I103" s="24">
        <f>IF(I$3&gt;i_exit_year,0,MIN(1,MAX(0,I$4-Financing!$C$53)))</f>
        <v/>
      </c>
      <c r="J103" s="24">
        <f>IF(J$3&gt;i_exit_year,0,MIN(1,MAX(0,J$4-Financing!$C$53)))</f>
        <v/>
      </c>
      <c r="K103" s="24">
        <f>IF(K$3&gt;i_exit_year,0,MIN(1,MAX(0,K$4-Financing!$C$53)))</f>
        <v/>
      </c>
      <c r="L103" s="24">
        <f>IF(L$3&gt;i_exit_year,0,MIN(1,MAX(0,L$4-Financing!$C$53)))</f>
        <v/>
      </c>
      <c r="M103" s="24">
        <f>IF(M$3&gt;i_exit_year,0,MIN(1,MAX(0,M$4-Financing!$C$53)))</f>
        <v/>
      </c>
      <c r="N103" s="24">
        <f>IF(N$3&gt;i_exit_year,0,MIN(1,MAX(0,N$4-Financing!$C$53)))</f>
        <v/>
      </c>
      <c r="O103" s="24">
        <f>IF(O$3&gt;i_exit_year,0,MIN(1,MAX(0,O$4-Financing!$C$53)))</f>
        <v/>
      </c>
      <c r="P103" s="24">
        <f>IF(P$3&gt;i_exit_year,0,MIN(1,MAX(0,P$4-Financing!$C$53)))</f>
        <v/>
      </c>
      <c r="Q103" s="24">
        <f>IF(Q$3&gt;i_exit_year,0,MIN(1,MAX(0,Q$4-Financing!$C$53)))</f>
        <v/>
      </c>
      <c r="R103" s="24">
        <f>IF(R$3&gt;i_exit_year,0,MIN(1,MAX(0,R$4-Financing!$C$53)))</f>
        <v/>
      </c>
      <c r="S103" s="24">
        <f>IF(S$3&gt;i_exit_year,0,MIN(1,MAX(0,S$4-Financing!$C$53)))</f>
        <v/>
      </c>
      <c r="T103" s="24">
        <f>IF(T$3&gt;i_exit_year,0,MIN(1,MAX(0,T$4-Financing!$C$53)))</f>
        <v/>
      </c>
      <c r="U103" s="24">
        <f>IF(U$3&gt;i_exit_year,0,MIN(1,MAX(0,U$4-Financing!$C$53)))</f>
        <v/>
      </c>
      <c r="V103" s="24">
        <f>IF(V$3&gt;i_exit_year,0,MIN(1,MAX(0,V$4-Financing!$C$53)))</f>
        <v/>
      </c>
      <c r="W103" s="24">
        <f>IF(W$3&gt;i_exit_year,0,MIN(1,MAX(0,W$4-Financing!$C$53)))</f>
        <v/>
      </c>
      <c r="X103" s="24">
        <f>IF(X$3&gt;i_exit_year,0,MIN(1,MAX(0,X$4-Financing!$C$53)))</f>
        <v/>
      </c>
      <c r="Y103" s="24">
        <f>IF(Y$3&gt;i_exit_year,0,MIN(1,MAX(0,Y$4-Financing!$C$53)))</f>
        <v/>
      </c>
      <c r="Z103" s="24">
        <f>IF(Z$3&gt;i_exit_year,0,MIN(1,MAX(0,Z$4-Financing!$C$53)))</f>
        <v/>
      </c>
      <c r="AA103" s="24">
        <f>IF(AA$3&gt;i_exit_year,0,MIN(1,MAX(0,AA$4-Financing!$C$53)))</f>
        <v/>
      </c>
      <c r="AB103" s="24">
        <f>IF(AB$3&gt;i_exit_year,0,MIN(1,MAX(0,AB$4-Financing!$C$53)))</f>
        <v/>
      </c>
      <c r="AC103" s="24">
        <f>IF(AC$3&gt;i_exit_year,0,MIN(1,MAX(0,AC$4-Financing!$C$53)))</f>
        <v/>
      </c>
      <c r="AD103" s="24">
        <f>IF(AD$3&gt;i_exit_year,0,MIN(1,MAX(0,AD$4-Financing!$C$53)))</f>
        <v/>
      </c>
      <c r="AE103" s="24">
        <f>IF(AE$3&gt;i_exit_year,0,MIN(1,MAX(0,AE$4-Financing!$C$53)))</f>
        <v/>
      </c>
      <c r="AF103" s="24">
        <f>IF(AF$3&gt;i_exit_year,0,MIN(1,MAX(0,AF$4-Financing!$C$53)))</f>
        <v/>
      </c>
      <c r="AG103" s="24">
        <f>IF(AG$3&gt;i_exit_year,0,MIN(1,MAX(0,AG$4-Financing!$C$53)))</f>
        <v/>
      </c>
      <c r="AH103" s="24">
        <f>IF(AH$3&gt;i_exit_year,0,MIN(1,MAX(0,AH$4-Financing!$C$53)))</f>
        <v/>
      </c>
      <c r="AI103" s="24">
        <f>IF(AI$3&gt;i_exit_year,0,MIN(1,MAX(0,AI$4-Financing!$C$53)))</f>
        <v/>
      </c>
    </row>
    <row r="104">
      <c r="B104" s="2" t="inlineStr">
        <is>
          <t>Opco rate (refinanced after the tenor)</t>
        </is>
      </c>
      <c r="D104" s="23">
        <f>IF(D$4&lt;=Financing!$C$53+i_opco_tenor,Financing!$C$77,Financing!$C$77+Financing!$C$57)</f>
        <v/>
      </c>
      <c r="E104" s="23">
        <f>IF(E$4&lt;=Financing!$C$53+i_opco_tenor,Financing!$C$77,Financing!$C$77+Financing!$C$57)</f>
        <v/>
      </c>
      <c r="F104" s="23">
        <f>IF(F$4&lt;=Financing!$C$53+i_opco_tenor,Financing!$C$77,Financing!$C$77+Financing!$C$57)</f>
        <v/>
      </c>
      <c r="G104" s="23">
        <f>IF(G$4&lt;=Financing!$C$53+i_opco_tenor,Financing!$C$77,Financing!$C$77+Financing!$C$57)</f>
        <v/>
      </c>
      <c r="H104" s="23">
        <f>IF(H$4&lt;=Financing!$C$53+i_opco_tenor,Financing!$C$77,Financing!$C$77+Financing!$C$57)</f>
        <v/>
      </c>
      <c r="I104" s="23">
        <f>IF(I$4&lt;=Financing!$C$53+i_opco_tenor,Financing!$C$77,Financing!$C$77+Financing!$C$57)</f>
        <v/>
      </c>
      <c r="J104" s="23">
        <f>IF(J$4&lt;=Financing!$C$53+i_opco_tenor,Financing!$C$77,Financing!$C$77+Financing!$C$57)</f>
        <v/>
      </c>
      <c r="K104" s="23">
        <f>IF(K$4&lt;=Financing!$C$53+i_opco_tenor,Financing!$C$77,Financing!$C$77+Financing!$C$57)</f>
        <v/>
      </c>
      <c r="L104" s="23">
        <f>IF(L$4&lt;=Financing!$C$53+i_opco_tenor,Financing!$C$77,Financing!$C$77+Financing!$C$57)</f>
        <v/>
      </c>
      <c r="M104" s="23">
        <f>IF(M$4&lt;=Financing!$C$53+i_opco_tenor,Financing!$C$77,Financing!$C$77+Financing!$C$57)</f>
        <v/>
      </c>
      <c r="N104" s="23">
        <f>IF(N$4&lt;=Financing!$C$53+i_opco_tenor,Financing!$C$77,Financing!$C$77+Financing!$C$57)</f>
        <v/>
      </c>
      <c r="O104" s="23">
        <f>IF(O$4&lt;=Financing!$C$53+i_opco_tenor,Financing!$C$77,Financing!$C$77+Financing!$C$57)</f>
        <v/>
      </c>
      <c r="P104" s="23">
        <f>IF(P$4&lt;=Financing!$C$53+i_opco_tenor,Financing!$C$77,Financing!$C$77+Financing!$C$57)</f>
        <v/>
      </c>
      <c r="Q104" s="23">
        <f>IF(Q$4&lt;=Financing!$C$53+i_opco_tenor,Financing!$C$77,Financing!$C$77+Financing!$C$57)</f>
        <v/>
      </c>
      <c r="R104" s="23">
        <f>IF(R$4&lt;=Financing!$C$53+i_opco_tenor,Financing!$C$77,Financing!$C$77+Financing!$C$57)</f>
        <v/>
      </c>
      <c r="S104" s="23">
        <f>IF(S$4&lt;=Financing!$C$53+i_opco_tenor,Financing!$C$77,Financing!$C$77+Financing!$C$57)</f>
        <v/>
      </c>
      <c r="T104" s="23">
        <f>IF(T$4&lt;=Financing!$C$53+i_opco_tenor,Financing!$C$77,Financing!$C$77+Financing!$C$57)</f>
        <v/>
      </c>
      <c r="U104" s="23">
        <f>IF(U$4&lt;=Financing!$C$53+i_opco_tenor,Financing!$C$77,Financing!$C$77+Financing!$C$57)</f>
        <v/>
      </c>
      <c r="V104" s="23">
        <f>IF(V$4&lt;=Financing!$C$53+i_opco_tenor,Financing!$C$77,Financing!$C$77+Financing!$C$57)</f>
        <v/>
      </c>
      <c r="W104" s="23">
        <f>IF(W$4&lt;=Financing!$C$53+i_opco_tenor,Financing!$C$77,Financing!$C$77+Financing!$C$57)</f>
        <v/>
      </c>
      <c r="X104" s="23">
        <f>IF(X$4&lt;=Financing!$C$53+i_opco_tenor,Financing!$C$77,Financing!$C$77+Financing!$C$57)</f>
        <v/>
      </c>
      <c r="Y104" s="23">
        <f>IF(Y$4&lt;=Financing!$C$53+i_opco_tenor,Financing!$C$77,Financing!$C$77+Financing!$C$57)</f>
        <v/>
      </c>
      <c r="Z104" s="23">
        <f>IF(Z$4&lt;=Financing!$C$53+i_opco_tenor,Financing!$C$77,Financing!$C$77+Financing!$C$57)</f>
        <v/>
      </c>
      <c r="AA104" s="23">
        <f>IF(AA$4&lt;=Financing!$C$53+i_opco_tenor,Financing!$C$77,Financing!$C$77+Financing!$C$57)</f>
        <v/>
      </c>
      <c r="AB104" s="23">
        <f>IF(AB$4&lt;=Financing!$C$53+i_opco_tenor,Financing!$C$77,Financing!$C$77+Financing!$C$57)</f>
        <v/>
      </c>
      <c r="AC104" s="23">
        <f>IF(AC$4&lt;=Financing!$C$53+i_opco_tenor,Financing!$C$77,Financing!$C$77+Financing!$C$57)</f>
        <v/>
      </c>
      <c r="AD104" s="23">
        <f>IF(AD$4&lt;=Financing!$C$53+i_opco_tenor,Financing!$C$77,Financing!$C$77+Financing!$C$57)</f>
        <v/>
      </c>
      <c r="AE104" s="23">
        <f>IF(AE$4&lt;=Financing!$C$53+i_opco_tenor,Financing!$C$77,Financing!$C$77+Financing!$C$57)</f>
        <v/>
      </c>
      <c r="AF104" s="23">
        <f>IF(AF$4&lt;=Financing!$C$53+i_opco_tenor,Financing!$C$77,Financing!$C$77+Financing!$C$57)</f>
        <v/>
      </c>
      <c r="AG104" s="23">
        <f>IF(AG$4&lt;=Financing!$C$53+i_opco_tenor,Financing!$C$77,Financing!$C$77+Financing!$C$57)</f>
        <v/>
      </c>
      <c r="AH104" s="23">
        <f>IF(AH$4&lt;=Financing!$C$53+i_opco_tenor,Financing!$C$77,Financing!$C$77+Financing!$C$57)</f>
        <v/>
      </c>
      <c r="AI104" s="23">
        <f>IF(AI$4&lt;=Financing!$C$53+i_opco_tenor,Financing!$C$77,Financing!$C$77+Financing!$C$57)</f>
        <v/>
      </c>
    </row>
    <row r="105">
      <c r="B105" s="2" t="inlineStr">
        <is>
          <t>Interest (opco and holdco)</t>
        </is>
      </c>
      <c r="D105" s="19">
        <f>D104*Financing!$C$79+i_hold_rate*Financing!$C$80</f>
        <v/>
      </c>
      <c r="E105" s="19">
        <f>E104*Financing!$C$79+i_hold_rate*Financing!$C$80</f>
        <v/>
      </c>
      <c r="F105" s="19">
        <f>F104*Financing!$C$79+i_hold_rate*Financing!$C$80</f>
        <v/>
      </c>
      <c r="G105" s="19">
        <f>G104*Financing!$C$79+i_hold_rate*Financing!$C$80</f>
        <v/>
      </c>
      <c r="H105" s="19">
        <f>H104*Financing!$C$79+i_hold_rate*Financing!$C$80</f>
        <v/>
      </c>
      <c r="I105" s="19">
        <f>I104*Financing!$C$79+i_hold_rate*Financing!$C$80</f>
        <v/>
      </c>
      <c r="J105" s="19">
        <f>J104*Financing!$C$79+i_hold_rate*Financing!$C$80</f>
        <v/>
      </c>
      <c r="K105" s="19">
        <f>K104*Financing!$C$79+i_hold_rate*Financing!$C$80</f>
        <v/>
      </c>
      <c r="L105" s="19">
        <f>L104*Financing!$C$79+i_hold_rate*Financing!$C$80</f>
        <v/>
      </c>
      <c r="M105" s="19">
        <f>M104*Financing!$C$79+i_hold_rate*Financing!$C$80</f>
        <v/>
      </c>
      <c r="N105" s="19">
        <f>N104*Financing!$C$79+i_hold_rate*Financing!$C$80</f>
        <v/>
      </c>
      <c r="O105" s="19">
        <f>O104*Financing!$C$79+i_hold_rate*Financing!$C$80</f>
        <v/>
      </c>
      <c r="P105" s="19">
        <f>P104*Financing!$C$79+i_hold_rate*Financing!$C$80</f>
        <v/>
      </c>
      <c r="Q105" s="19">
        <f>Q104*Financing!$C$79+i_hold_rate*Financing!$C$80</f>
        <v/>
      </c>
      <c r="R105" s="19">
        <f>R104*Financing!$C$79+i_hold_rate*Financing!$C$80</f>
        <v/>
      </c>
      <c r="S105" s="19">
        <f>S104*Financing!$C$79+i_hold_rate*Financing!$C$80</f>
        <v/>
      </c>
      <c r="T105" s="19">
        <f>T104*Financing!$C$79+i_hold_rate*Financing!$C$80</f>
        <v/>
      </c>
      <c r="U105" s="19">
        <f>U104*Financing!$C$79+i_hold_rate*Financing!$C$80</f>
        <v/>
      </c>
      <c r="V105" s="19">
        <f>V104*Financing!$C$79+i_hold_rate*Financing!$C$80</f>
        <v/>
      </c>
      <c r="W105" s="19">
        <f>W104*Financing!$C$79+i_hold_rate*Financing!$C$80</f>
        <v/>
      </c>
      <c r="X105" s="19">
        <f>X104*Financing!$C$79+i_hold_rate*Financing!$C$80</f>
        <v/>
      </c>
      <c r="Y105" s="19">
        <f>Y104*Financing!$C$79+i_hold_rate*Financing!$C$80</f>
        <v/>
      </c>
      <c r="Z105" s="19">
        <f>Z104*Financing!$C$79+i_hold_rate*Financing!$C$80</f>
        <v/>
      </c>
      <c r="AA105" s="19">
        <f>AA104*Financing!$C$79+i_hold_rate*Financing!$C$80</f>
        <v/>
      </c>
      <c r="AB105" s="19">
        <f>AB104*Financing!$C$79+i_hold_rate*Financing!$C$80</f>
        <v/>
      </c>
      <c r="AC105" s="19">
        <f>AC104*Financing!$C$79+i_hold_rate*Financing!$C$80</f>
        <v/>
      </c>
      <c r="AD105" s="19">
        <f>AD104*Financing!$C$79+i_hold_rate*Financing!$C$80</f>
        <v/>
      </c>
      <c r="AE105" s="19">
        <f>AE104*Financing!$C$79+i_hold_rate*Financing!$C$80</f>
        <v/>
      </c>
      <c r="AF105" s="19">
        <f>AF104*Financing!$C$79+i_hold_rate*Financing!$C$80</f>
        <v/>
      </c>
      <c r="AG105" s="19">
        <f>AG104*Financing!$C$79+i_hold_rate*Financing!$C$80</f>
        <v/>
      </c>
      <c r="AH105" s="19">
        <f>AH104*Financing!$C$79+i_hold_rate*Financing!$C$80</f>
        <v/>
      </c>
      <c r="AI105" s="19">
        <f>AI104*Financing!$C$79+i_hold_rate*Financing!$C$80</f>
        <v/>
      </c>
    </row>
    <row r="106">
      <c r="B106" s="2" t="inlineStr">
        <is>
          <t>Deductible interest (cap on EBITDA)</t>
        </is>
      </c>
      <c r="D106" s="19">
        <f>MIN(D105,i_int_cap*Platform!D10)</f>
        <v/>
      </c>
      <c r="E106" s="19">
        <f>MIN(E105,i_int_cap*Platform!E10)</f>
        <v/>
      </c>
      <c r="F106" s="19">
        <f>MIN(F105,i_int_cap*Platform!F10)</f>
        <v/>
      </c>
      <c r="G106" s="19">
        <f>MIN(G105,i_int_cap*Platform!G10)</f>
        <v/>
      </c>
      <c r="H106" s="19">
        <f>MIN(H105,i_int_cap*Platform!H10)</f>
        <v/>
      </c>
      <c r="I106" s="19">
        <f>MIN(I105,i_int_cap*Platform!I10)</f>
        <v/>
      </c>
      <c r="J106" s="19">
        <f>MIN(J105,i_int_cap*Platform!J10)</f>
        <v/>
      </c>
      <c r="K106" s="19">
        <f>MIN(K105,i_int_cap*Platform!K10)</f>
        <v/>
      </c>
      <c r="L106" s="19">
        <f>MIN(L105,i_int_cap*Platform!L10)</f>
        <v/>
      </c>
      <c r="M106" s="19">
        <f>MIN(M105,i_int_cap*Platform!M10)</f>
        <v/>
      </c>
      <c r="N106" s="19">
        <f>MIN(N105,i_int_cap*Platform!N10)</f>
        <v/>
      </c>
      <c r="O106" s="19">
        <f>MIN(O105,i_int_cap*Platform!O10)</f>
        <v/>
      </c>
      <c r="P106" s="19">
        <f>MIN(P105,i_int_cap*Platform!P10)</f>
        <v/>
      </c>
      <c r="Q106" s="19">
        <f>MIN(Q105,i_int_cap*Platform!Q10)</f>
        <v/>
      </c>
      <c r="R106" s="19">
        <f>MIN(R105,i_int_cap*Platform!R10)</f>
        <v/>
      </c>
      <c r="S106" s="19">
        <f>MIN(S105,i_int_cap*Platform!S10)</f>
        <v/>
      </c>
      <c r="T106" s="19">
        <f>MIN(T105,i_int_cap*Platform!T10)</f>
        <v/>
      </c>
      <c r="U106" s="19">
        <f>MIN(U105,i_int_cap*Platform!U10)</f>
        <v/>
      </c>
      <c r="V106" s="19">
        <f>MIN(V105,i_int_cap*Platform!V10)</f>
        <v/>
      </c>
      <c r="W106" s="19">
        <f>MIN(W105,i_int_cap*Platform!W10)</f>
        <v/>
      </c>
      <c r="X106" s="19">
        <f>MIN(X105,i_int_cap*Platform!X10)</f>
        <v/>
      </c>
      <c r="Y106" s="19">
        <f>MIN(Y105,i_int_cap*Platform!Y10)</f>
        <v/>
      </c>
      <c r="Z106" s="19">
        <f>MIN(Z105,i_int_cap*Platform!Z10)</f>
        <v/>
      </c>
      <c r="AA106" s="19">
        <f>MIN(AA105,i_int_cap*Platform!AA10)</f>
        <v/>
      </c>
      <c r="AB106" s="19">
        <f>MIN(AB105,i_int_cap*Platform!AB10)</f>
        <v/>
      </c>
      <c r="AC106" s="19">
        <f>MIN(AC105,i_int_cap*Platform!AC10)</f>
        <v/>
      </c>
      <c r="AD106" s="19">
        <f>MIN(AD105,i_int_cap*Platform!AD10)</f>
        <v/>
      </c>
      <c r="AE106" s="19">
        <f>MIN(AE105,i_int_cap*Platform!AE10)</f>
        <v/>
      </c>
      <c r="AF106" s="19">
        <f>MIN(AF105,i_int_cap*Platform!AF10)</f>
        <v/>
      </c>
      <c r="AG106" s="19">
        <f>MIN(AG105,i_int_cap*Platform!AG10)</f>
        <v/>
      </c>
      <c r="AH106" s="19">
        <f>MIN(AH105,i_int_cap*Platform!AH10)</f>
        <v/>
      </c>
      <c r="AI106" s="19">
        <f>MIN(AI105,i_int_cap*Platform!AI10)</f>
        <v/>
      </c>
    </row>
    <row r="107">
      <c r="B107" s="2" t="inlineStr">
        <is>
          <t>Cash tax with the debt</t>
        </is>
      </c>
      <c r="D107" s="19">
        <f>i_tax*MAX(0,Platform!D10-Platform!D13-D106)</f>
        <v/>
      </c>
      <c r="E107" s="19">
        <f>i_tax*MAX(0,Platform!E10-Platform!E13-E106)</f>
        <v/>
      </c>
      <c r="F107" s="19">
        <f>i_tax*MAX(0,Platform!F10-Platform!F13-F106)</f>
        <v/>
      </c>
      <c r="G107" s="19">
        <f>i_tax*MAX(0,Platform!G10-Platform!G13-G106)</f>
        <v/>
      </c>
      <c r="H107" s="19">
        <f>i_tax*MAX(0,Platform!H10-Platform!H13-H106)</f>
        <v/>
      </c>
      <c r="I107" s="19">
        <f>i_tax*MAX(0,Platform!I10-Platform!I13-I106)</f>
        <v/>
      </c>
      <c r="J107" s="19">
        <f>i_tax*MAX(0,Platform!J10-Platform!J13-J106)</f>
        <v/>
      </c>
      <c r="K107" s="19">
        <f>i_tax*MAX(0,Platform!K10-Platform!K13-K106)</f>
        <v/>
      </c>
      <c r="L107" s="19">
        <f>i_tax*MAX(0,Platform!L10-Platform!L13-L106)</f>
        <v/>
      </c>
      <c r="M107" s="19">
        <f>i_tax*MAX(0,Platform!M10-Platform!M13-M106)</f>
        <v/>
      </c>
      <c r="N107" s="19">
        <f>i_tax*MAX(0,Platform!N10-Platform!N13-N106)</f>
        <v/>
      </c>
      <c r="O107" s="19">
        <f>i_tax*MAX(0,Platform!O10-Platform!O13-O106)</f>
        <v/>
      </c>
      <c r="P107" s="19">
        <f>i_tax*MAX(0,Platform!P10-Platform!P13-P106)</f>
        <v/>
      </c>
      <c r="Q107" s="19">
        <f>i_tax*MAX(0,Platform!Q10-Platform!Q13-Q106)</f>
        <v/>
      </c>
      <c r="R107" s="19">
        <f>i_tax*MAX(0,Platform!R10-Platform!R13-R106)</f>
        <v/>
      </c>
      <c r="S107" s="19">
        <f>i_tax*MAX(0,Platform!S10-Platform!S13-S106)</f>
        <v/>
      </c>
      <c r="T107" s="19">
        <f>i_tax*MAX(0,Platform!T10-Platform!T13-T106)</f>
        <v/>
      </c>
      <c r="U107" s="19">
        <f>i_tax*MAX(0,Platform!U10-Platform!U13-U106)</f>
        <v/>
      </c>
      <c r="V107" s="19">
        <f>i_tax*MAX(0,Platform!V10-Platform!V13-V106)</f>
        <v/>
      </c>
      <c r="W107" s="19">
        <f>i_tax*MAX(0,Platform!W10-Platform!W13-W106)</f>
        <v/>
      </c>
      <c r="X107" s="19">
        <f>i_tax*MAX(0,Platform!X10-Platform!X13-X106)</f>
        <v/>
      </c>
      <c r="Y107" s="19">
        <f>i_tax*MAX(0,Platform!Y10-Platform!Y13-Y106)</f>
        <v/>
      </c>
      <c r="Z107" s="19">
        <f>i_tax*MAX(0,Platform!Z10-Platform!Z13-Z106)</f>
        <v/>
      </c>
      <c r="AA107" s="19">
        <f>i_tax*MAX(0,Platform!AA10-Platform!AA13-AA106)</f>
        <v/>
      </c>
      <c r="AB107" s="19">
        <f>i_tax*MAX(0,Platform!AB10-Platform!AB13-AB106)</f>
        <v/>
      </c>
      <c r="AC107" s="19">
        <f>i_tax*MAX(0,Platform!AC10-Platform!AC13-AC106)</f>
        <v/>
      </c>
      <c r="AD107" s="19">
        <f>i_tax*MAX(0,Platform!AD10-Platform!AD13-AD106)</f>
        <v/>
      </c>
      <c r="AE107" s="19">
        <f>i_tax*MAX(0,Platform!AE10-Platform!AE13-AE106)</f>
        <v/>
      </c>
      <c r="AF107" s="19">
        <f>i_tax*MAX(0,Platform!AF10-Platform!AF13-AF106)</f>
        <v/>
      </c>
      <c r="AG107" s="19">
        <f>i_tax*MAX(0,Platform!AG10-Platform!AG13-AG106)</f>
        <v/>
      </c>
      <c r="AH107" s="19">
        <f>i_tax*MAX(0,Platform!AH10-Platform!AH13-AH106)</f>
        <v/>
      </c>
      <c r="AI107" s="19">
        <f>i_tax*MAX(0,Platform!AI10-Platform!AI13-AI106)</f>
        <v/>
      </c>
    </row>
    <row r="108">
      <c r="B108" s="3" t="inlineStr">
        <is>
          <t>Cash flow to equity (full year)</t>
        </is>
      </c>
      <c r="D108" s="31">
        <f>Platform!D10-Platform!D11-Platform!D12-D107-D105-Platform!D15</f>
        <v/>
      </c>
      <c r="E108" s="31">
        <f>Platform!E10-Platform!E11-Platform!E12-E107-E105-Platform!E15</f>
        <v/>
      </c>
      <c r="F108" s="31">
        <f>Platform!F10-Platform!F11-Platform!F12-F107-F105-Platform!F15</f>
        <v/>
      </c>
      <c r="G108" s="31">
        <f>Platform!G10-Platform!G11-Platform!G12-G107-G105-Platform!G15</f>
        <v/>
      </c>
      <c r="H108" s="31">
        <f>Platform!H10-Platform!H11-Platform!H12-H107-H105-Platform!H15</f>
        <v/>
      </c>
      <c r="I108" s="31">
        <f>Platform!I10-Platform!I11-Platform!I12-I107-I105-Platform!I15</f>
        <v/>
      </c>
      <c r="J108" s="31">
        <f>Platform!J10-Platform!J11-Platform!J12-J107-J105-Platform!J15</f>
        <v/>
      </c>
      <c r="K108" s="31">
        <f>Platform!K10-Platform!K11-Platform!K12-K107-K105-Platform!K15</f>
        <v/>
      </c>
      <c r="L108" s="31">
        <f>Platform!L10-Platform!L11-Platform!L12-L107-L105-Platform!L15</f>
        <v/>
      </c>
      <c r="M108" s="31">
        <f>Platform!M10-Platform!M11-Platform!M12-M107-M105-Platform!M15</f>
        <v/>
      </c>
      <c r="N108" s="31">
        <f>Platform!N10-Platform!N11-Platform!N12-N107-N105-Platform!N15</f>
        <v/>
      </c>
      <c r="O108" s="31">
        <f>Platform!O10-Platform!O11-Platform!O12-O107-O105-Platform!O15</f>
        <v/>
      </c>
      <c r="P108" s="31">
        <f>Platform!P10-Platform!P11-Platform!P12-P107-P105-Platform!P15</f>
        <v/>
      </c>
      <c r="Q108" s="31">
        <f>Platform!Q10-Platform!Q11-Platform!Q12-Q107-Q105-Platform!Q15</f>
        <v/>
      </c>
      <c r="R108" s="31">
        <f>Platform!R10-Platform!R11-Platform!R12-R107-R105-Platform!R15</f>
        <v/>
      </c>
      <c r="S108" s="31">
        <f>Platform!S10-Platform!S11-Platform!S12-S107-S105-Platform!S15</f>
        <v/>
      </c>
      <c r="T108" s="31">
        <f>Platform!T10-Platform!T11-Platform!T12-T107-T105-Platform!T15</f>
        <v/>
      </c>
      <c r="U108" s="31">
        <f>Platform!U10-Platform!U11-Platform!U12-U107-U105-Platform!U15</f>
        <v/>
      </c>
      <c r="V108" s="31">
        <f>Platform!V10-Platform!V11-Platform!V12-V107-V105-Platform!V15</f>
        <v/>
      </c>
      <c r="W108" s="31">
        <f>Platform!W10-Platform!W11-Platform!W12-W107-W105-Platform!W15</f>
        <v/>
      </c>
      <c r="X108" s="31">
        <f>Platform!X10-Platform!X11-Platform!X12-X107-X105-Platform!X15</f>
        <v/>
      </c>
      <c r="Y108" s="31">
        <f>Platform!Y10-Platform!Y11-Platform!Y12-Y107-Y105-Platform!Y15</f>
        <v/>
      </c>
      <c r="Z108" s="31">
        <f>Platform!Z10-Platform!Z11-Platform!Z12-Z107-Z105-Platform!Z15</f>
        <v/>
      </c>
      <c r="AA108" s="31">
        <f>Platform!AA10-Platform!AA11-Platform!AA12-AA107-AA105-Platform!AA15</f>
        <v/>
      </c>
      <c r="AB108" s="31">
        <f>Platform!AB10-Platform!AB11-Platform!AB12-AB107-AB105-Platform!AB15</f>
        <v/>
      </c>
      <c r="AC108" s="31">
        <f>Platform!AC10-Platform!AC11-Platform!AC12-AC107-AC105-Platform!AC15</f>
        <v/>
      </c>
      <c r="AD108" s="31">
        <f>Platform!AD10-Platform!AD11-Platform!AD12-AD107-AD105-Platform!AD15</f>
        <v/>
      </c>
      <c r="AE108" s="31">
        <f>Platform!AE10-Platform!AE11-Platform!AE12-AE107-AE105-Platform!AE15</f>
        <v/>
      </c>
      <c r="AF108" s="31">
        <f>Platform!AF10-Platform!AF11-Platform!AF12-AF107-AF105-Platform!AF15</f>
        <v/>
      </c>
      <c r="AG108" s="31">
        <f>Platform!AG10-Platform!AG11-Platform!AG12-AG107-AG105-Platform!AG15</f>
        <v/>
      </c>
      <c r="AH108" s="31">
        <f>Platform!AH10-Platform!AH11-Platform!AH12-AH107-AH105-Platform!AH15</f>
        <v/>
      </c>
      <c r="AI108" s="31">
        <f>Platform!AI10-Platform!AI11-Platform!AI12-AI107-AI105-Platform!AI15</f>
        <v/>
      </c>
    </row>
    <row r="109">
      <c r="B109" s="2" t="inlineStr">
        <is>
          <t>Exit EV at the end of the exit year (DCF at the exit rate)</t>
        </is>
      </c>
      <c r="C109" s="19">
        <f>SUMPRODUCT((Financing!$D$3:$AI$3&gt;i_exit_year)*(Financing!$D$3:$AI$3&lt;=i_last)*Platform!$D$16:$AI$16/(1+Financing!$C$56)^(Financing!$D$3:$AI$3-i_exit_year))+Platform!$AI$16/(Financing!$C$56-i_g)/(1+Financing!$C$56)^(i_last-i_exit_year)</f>
        <v/>
      </c>
    </row>
    <row r="110">
      <c r="B110" s="2" t="inlineStr">
        <is>
          <t>Debt at exit (bullets)</t>
        </is>
      </c>
      <c r="C110" s="19">
        <f>Financing!$C$79+Financing!$C$80</f>
        <v/>
      </c>
    </row>
    <row r="111">
      <c r="B111" s="3" t="inlineStr">
        <is>
          <t>Equity value at exit</t>
        </is>
      </c>
      <c r="C111" s="31">
        <f>Financing!$C$109-Financing!$C$110</f>
        <v/>
      </c>
    </row>
    <row r="112">
      <c r="B112" s="2" t="inlineStr">
        <is>
          <t>Minority option: EV at the end of 2031 (minority buyer's rate)</t>
        </is>
      </c>
      <c r="C112" s="19">
        <f>SUMPRODUCT((Financing!$D$3:$AI$3&gt;i_min_year)*(Financing!$D$3:$AI$3&lt;=i_last)*Platform!$D$16:$AI$16/(1+i_min_r)^(Financing!$D$3:$AI$3-i_min_year))+Platform!$AI$16/(i_min_r-i_g)/(1+i_min_r)^(i_last-i_min_year)</f>
        <v/>
      </c>
    </row>
    <row r="113">
      <c r="B113" s="2" t="inlineStr">
        <is>
          <t>Minority option: equity value in 2031</t>
        </is>
      </c>
      <c r="C113" s="19">
        <f>Financing!$C$112-Financing!$C$110</f>
        <v/>
      </c>
    </row>
    <row r="114">
      <c r="B114" s="2" t="inlineStr">
        <is>
          <t>Minority option: proceeds of the 49 percent sold</t>
        </is>
      </c>
      <c r="C114" s="19">
        <f>Financing!$C$55*i_min_share*Financing!$C$113*(1-i_min_disc)</f>
        <v/>
      </c>
    </row>
    <row r="115">
      <c r="B115" s="4" t="inlineStr">
        <is>
          <t>Time of each flow (years after 31 December 2026)</t>
        </is>
      </c>
      <c r="D115" s="28">
        <f>D$4</f>
        <v/>
      </c>
      <c r="E115" s="28">
        <f>E$4</f>
        <v/>
      </c>
      <c r="F115" s="28">
        <f>F$4</f>
        <v/>
      </c>
      <c r="G115" s="28">
        <f>G$4</f>
        <v/>
      </c>
      <c r="H115" s="28">
        <f>H$4</f>
        <v/>
      </c>
      <c r="I115" s="28">
        <f>I$4</f>
        <v/>
      </c>
      <c r="J115" s="28">
        <f>J$4</f>
        <v/>
      </c>
      <c r="K115" s="28">
        <f>K$4</f>
        <v/>
      </c>
      <c r="L115" s="28">
        <f>L$4</f>
        <v/>
      </c>
      <c r="M115" s="28">
        <f>M$4</f>
        <v/>
      </c>
      <c r="N115" s="28">
        <f>N$4</f>
        <v/>
      </c>
      <c r="O115" s="28">
        <f>O$4</f>
        <v/>
      </c>
      <c r="P115" s="28">
        <f>P$4</f>
        <v/>
      </c>
      <c r="Q115" s="28">
        <f>Q$4</f>
        <v/>
      </c>
      <c r="R115" s="28">
        <f>R$4</f>
        <v/>
      </c>
      <c r="S115" s="28">
        <f>S$4</f>
        <v/>
      </c>
      <c r="T115" s="28">
        <f>T$4</f>
        <v/>
      </c>
      <c r="U115" s="28">
        <f>U$4</f>
        <v/>
      </c>
      <c r="V115" s="28">
        <f>V$4</f>
        <v/>
      </c>
      <c r="W115" s="28">
        <f>W$4</f>
        <v/>
      </c>
      <c r="X115" s="28">
        <f>X$4</f>
        <v/>
      </c>
      <c r="Y115" s="28">
        <f>Y$4</f>
        <v/>
      </c>
      <c r="Z115" s="28">
        <f>Z$4</f>
        <v/>
      </c>
      <c r="AA115" s="28">
        <f>AA$4</f>
        <v/>
      </c>
      <c r="AB115" s="28">
        <f>AB$4</f>
        <v/>
      </c>
      <c r="AC115" s="28">
        <f>AC$4</f>
        <v/>
      </c>
      <c r="AD115" s="28">
        <f>AD$4</f>
        <v/>
      </c>
      <c r="AE115" s="28">
        <f>AE$4</f>
        <v/>
      </c>
      <c r="AF115" s="28">
        <f>AF$4</f>
        <v/>
      </c>
      <c r="AG115" s="28">
        <f>AG$4</f>
        <v/>
      </c>
      <c r="AH115" s="28">
        <f>AH$4</f>
        <v/>
      </c>
      <c r="AI115" s="28">
        <f>AI$4</f>
        <v/>
      </c>
      <c r="AJ115" s="28">
        <f>Financing!$C$53</f>
        <v/>
      </c>
      <c r="AK115" s="28">
        <f>i_min_year-i_base_year</f>
        <v/>
      </c>
      <c r="AL115" s="28">
        <f>i_exit_year-i_base_year</f>
        <v/>
      </c>
    </row>
    <row r="116">
      <c r="B116" s="3" t="inlineStr">
        <is>
          <t>Levered flows (equity)</t>
        </is>
      </c>
      <c r="D116" s="31">
        <f>D103*D108*IF(AND(Financing!$C$55=1,D115&gt;$AK$115+1E-9),1-i_min_share,1)</f>
        <v/>
      </c>
      <c r="E116" s="31">
        <f>E103*E108*IF(AND(Financing!$C$55=1,E115&gt;$AK$115+1E-9),1-i_min_share,1)</f>
        <v/>
      </c>
      <c r="F116" s="31">
        <f>F103*F108*IF(AND(Financing!$C$55=1,F115&gt;$AK$115+1E-9),1-i_min_share,1)</f>
        <v/>
      </c>
      <c r="G116" s="31">
        <f>G103*G108*IF(AND(Financing!$C$55=1,G115&gt;$AK$115+1E-9),1-i_min_share,1)</f>
        <v/>
      </c>
      <c r="H116" s="31">
        <f>H103*H108*IF(AND(Financing!$C$55=1,H115&gt;$AK$115+1E-9),1-i_min_share,1)</f>
        <v/>
      </c>
      <c r="I116" s="31">
        <f>I103*I108*IF(AND(Financing!$C$55=1,I115&gt;$AK$115+1E-9),1-i_min_share,1)</f>
        <v/>
      </c>
      <c r="J116" s="31">
        <f>J103*J108*IF(AND(Financing!$C$55=1,J115&gt;$AK$115+1E-9),1-i_min_share,1)</f>
        <v/>
      </c>
      <c r="K116" s="31">
        <f>K103*K108*IF(AND(Financing!$C$55=1,K115&gt;$AK$115+1E-9),1-i_min_share,1)</f>
        <v/>
      </c>
      <c r="L116" s="31">
        <f>L103*L108*IF(AND(Financing!$C$55=1,L115&gt;$AK$115+1E-9),1-i_min_share,1)</f>
        <v/>
      </c>
      <c r="M116" s="31">
        <f>M103*M108*IF(AND(Financing!$C$55=1,M115&gt;$AK$115+1E-9),1-i_min_share,1)</f>
        <v/>
      </c>
      <c r="N116" s="31">
        <f>N103*N108*IF(AND(Financing!$C$55=1,N115&gt;$AK$115+1E-9),1-i_min_share,1)</f>
        <v/>
      </c>
      <c r="O116" s="31">
        <f>O103*O108*IF(AND(Financing!$C$55=1,O115&gt;$AK$115+1E-9),1-i_min_share,1)</f>
        <v/>
      </c>
      <c r="P116" s="31">
        <f>P103*P108*IF(AND(Financing!$C$55=1,P115&gt;$AK$115+1E-9),1-i_min_share,1)</f>
        <v/>
      </c>
      <c r="Q116" s="31">
        <f>Q103*Q108*IF(AND(Financing!$C$55=1,Q115&gt;$AK$115+1E-9),1-i_min_share,1)</f>
        <v/>
      </c>
      <c r="R116" s="31">
        <f>R103*R108*IF(AND(Financing!$C$55=1,R115&gt;$AK$115+1E-9),1-i_min_share,1)</f>
        <v/>
      </c>
      <c r="S116" s="31">
        <f>S103*S108*IF(AND(Financing!$C$55=1,S115&gt;$AK$115+1E-9),1-i_min_share,1)</f>
        <v/>
      </c>
      <c r="T116" s="31">
        <f>T103*T108*IF(AND(Financing!$C$55=1,T115&gt;$AK$115+1E-9),1-i_min_share,1)</f>
        <v/>
      </c>
      <c r="U116" s="31">
        <f>U103*U108*IF(AND(Financing!$C$55=1,U115&gt;$AK$115+1E-9),1-i_min_share,1)</f>
        <v/>
      </c>
      <c r="V116" s="31">
        <f>V103*V108*IF(AND(Financing!$C$55=1,V115&gt;$AK$115+1E-9),1-i_min_share,1)</f>
        <v/>
      </c>
      <c r="W116" s="31">
        <f>W103*W108*IF(AND(Financing!$C$55=1,W115&gt;$AK$115+1E-9),1-i_min_share,1)</f>
        <v/>
      </c>
      <c r="X116" s="31">
        <f>X103*X108*IF(AND(Financing!$C$55=1,X115&gt;$AK$115+1E-9),1-i_min_share,1)</f>
        <v/>
      </c>
      <c r="Y116" s="31">
        <f>Y103*Y108*IF(AND(Financing!$C$55=1,Y115&gt;$AK$115+1E-9),1-i_min_share,1)</f>
        <v/>
      </c>
      <c r="Z116" s="31">
        <f>Z103*Z108*IF(AND(Financing!$C$55=1,Z115&gt;$AK$115+1E-9),1-i_min_share,1)</f>
        <v/>
      </c>
      <c r="AA116" s="31">
        <f>AA103*AA108*IF(AND(Financing!$C$55=1,AA115&gt;$AK$115+1E-9),1-i_min_share,1)</f>
        <v/>
      </c>
      <c r="AB116" s="31">
        <f>AB103*AB108*IF(AND(Financing!$C$55=1,AB115&gt;$AK$115+1E-9),1-i_min_share,1)</f>
        <v/>
      </c>
      <c r="AC116" s="31">
        <f>AC103*AC108*IF(AND(Financing!$C$55=1,AC115&gt;$AK$115+1E-9),1-i_min_share,1)</f>
        <v/>
      </c>
      <c r="AD116" s="31">
        <f>AD103*AD108*IF(AND(Financing!$C$55=1,AD115&gt;$AK$115+1E-9),1-i_min_share,1)</f>
        <v/>
      </c>
      <c r="AE116" s="31">
        <f>AE103*AE108*IF(AND(Financing!$C$55=1,AE115&gt;$AK$115+1E-9),1-i_min_share,1)</f>
        <v/>
      </c>
      <c r="AF116" s="31">
        <f>AF103*AF108*IF(AND(Financing!$C$55=1,AF115&gt;$AK$115+1E-9),1-i_min_share,1)</f>
        <v/>
      </c>
      <c r="AG116" s="31">
        <f>AG103*AG108*IF(AND(Financing!$C$55=1,AG115&gt;$AK$115+1E-9),1-i_min_share,1)</f>
        <v/>
      </c>
      <c r="AH116" s="31">
        <f>AH103*AH108*IF(AND(Financing!$C$55=1,AH115&gt;$AK$115+1E-9),1-i_min_share,1)</f>
        <v/>
      </c>
      <c r="AI116" s="31">
        <f>AI103*AI108*IF(AND(Financing!$C$55=1,AI115&gt;$AK$115+1E-9),1-i_min_share,1)</f>
        <v/>
      </c>
      <c r="AJ116" s="31">
        <f>-Financing!$C$99</f>
        <v/>
      </c>
      <c r="AK116" s="31">
        <f>Financing!$C$114</f>
        <v/>
      </c>
      <c r="AL116" s="31">
        <f>Financing!$C$111*IF(Financing!$C$55=1,1-i_min_share,1)</f>
        <v/>
      </c>
    </row>
    <row r="117">
      <c r="B117" s="3" t="inlineStr">
        <is>
          <t>Unlevered flows (before financing)</t>
        </is>
      </c>
      <c r="D117" s="31">
        <f>D103*Platform!D16</f>
        <v/>
      </c>
      <c r="E117" s="31">
        <f>E103*Platform!E16</f>
        <v/>
      </c>
      <c r="F117" s="31">
        <f>F103*Platform!F16</f>
        <v/>
      </c>
      <c r="G117" s="31">
        <f>G103*Platform!G16</f>
        <v/>
      </c>
      <c r="H117" s="31">
        <f>H103*Platform!H16</f>
        <v/>
      </c>
      <c r="I117" s="31">
        <f>I103*Platform!I16</f>
        <v/>
      </c>
      <c r="J117" s="31">
        <f>J103*Platform!J16</f>
        <v/>
      </c>
      <c r="K117" s="31">
        <f>K103*Platform!K16</f>
        <v/>
      </c>
      <c r="L117" s="31">
        <f>L103*Platform!L16</f>
        <v/>
      </c>
      <c r="M117" s="31">
        <f>M103*Platform!M16</f>
        <v/>
      </c>
      <c r="N117" s="31">
        <f>N103*Platform!N16</f>
        <v/>
      </c>
      <c r="O117" s="31">
        <f>O103*Platform!O16</f>
        <v/>
      </c>
      <c r="P117" s="31">
        <f>P103*Platform!P16</f>
        <v/>
      </c>
      <c r="Q117" s="31">
        <f>Q103*Platform!Q16</f>
        <v/>
      </c>
      <c r="R117" s="31">
        <f>R103*Platform!R16</f>
        <v/>
      </c>
      <c r="S117" s="31">
        <f>S103*Platform!S16</f>
        <v/>
      </c>
      <c r="T117" s="31">
        <f>T103*Platform!T16</f>
        <v/>
      </c>
      <c r="U117" s="31">
        <f>U103*Platform!U16</f>
        <v/>
      </c>
      <c r="V117" s="31">
        <f>V103*Platform!V16</f>
        <v/>
      </c>
      <c r="W117" s="31">
        <f>W103*Platform!W16</f>
        <v/>
      </c>
      <c r="X117" s="31">
        <f>X103*Platform!X16</f>
        <v/>
      </c>
      <c r="Y117" s="31">
        <f>Y103*Platform!Y16</f>
        <v/>
      </c>
      <c r="Z117" s="31">
        <f>Z103*Platform!Z16</f>
        <v/>
      </c>
      <c r="AA117" s="31">
        <f>AA103*Platform!AA16</f>
        <v/>
      </c>
      <c r="AB117" s="31">
        <f>AB103*Platform!AB16</f>
        <v/>
      </c>
      <c r="AC117" s="31">
        <f>AC103*Platform!AC16</f>
        <v/>
      </c>
      <c r="AD117" s="31">
        <f>AD103*Platform!AD16</f>
        <v/>
      </c>
      <c r="AE117" s="31">
        <f>AE103*Platform!AE16</f>
        <v/>
      </c>
      <c r="AF117" s="31">
        <f>AF103*Platform!AF16</f>
        <v/>
      </c>
      <c r="AG117" s="31">
        <f>AG103*Platform!AG16</f>
        <v/>
      </c>
      <c r="AH117" s="31">
        <f>AH103*Platform!AH16</f>
        <v/>
      </c>
      <c r="AI117" s="31">
        <f>AI103*Platform!AI16</f>
        <v/>
      </c>
      <c r="AJ117" s="31">
        <f>-(Financing!$C$94-Financing!$C$72-Financing!$C$84)</f>
        <v/>
      </c>
      <c r="AK117" s="19" t="n">
        <v>0</v>
      </c>
      <c r="AL117" s="31">
        <f>Financing!$C$109</f>
        <v/>
      </c>
    </row>
    <row r="118">
      <c r="B118" s="4" t="inlineStr">
        <is>
          <t>Levered IRR (Newton steps from 10 percent)</t>
        </is>
      </c>
      <c r="D118" s="38" t="n">
        <v>0.1</v>
      </c>
      <c r="E118" s="40">
        <f>D118-SUMPRODUCT($D$116:$AL$116,(1+D118)^(-$D$115:$AL$115))/SUMPRODUCT($D$116:$AL$116*(-$D$115:$AL$115),(1+D118)^(-$D$115:$AL$115-1))</f>
        <v/>
      </c>
      <c r="F118" s="40">
        <f>E118-SUMPRODUCT($D$116:$AL$116,(1+E118)^(-$D$115:$AL$115))/SUMPRODUCT($D$116:$AL$116*(-$D$115:$AL$115),(1+E118)^(-$D$115:$AL$115-1))</f>
        <v/>
      </c>
      <c r="G118" s="40">
        <f>F118-SUMPRODUCT($D$116:$AL$116,(1+F118)^(-$D$115:$AL$115))/SUMPRODUCT($D$116:$AL$116*(-$D$115:$AL$115),(1+F118)^(-$D$115:$AL$115-1))</f>
        <v/>
      </c>
      <c r="H118" s="40">
        <f>G118-SUMPRODUCT($D$116:$AL$116,(1+G118)^(-$D$115:$AL$115))/SUMPRODUCT($D$116:$AL$116*(-$D$115:$AL$115),(1+G118)^(-$D$115:$AL$115-1))</f>
        <v/>
      </c>
      <c r="I118" s="40">
        <f>H118-SUMPRODUCT($D$116:$AL$116,(1+H118)^(-$D$115:$AL$115))/SUMPRODUCT($D$116:$AL$116*(-$D$115:$AL$115),(1+H118)^(-$D$115:$AL$115-1))</f>
        <v/>
      </c>
      <c r="J118" s="40">
        <f>I118-SUMPRODUCT($D$116:$AL$116,(1+I118)^(-$D$115:$AL$115))/SUMPRODUCT($D$116:$AL$116*(-$D$115:$AL$115),(1+I118)^(-$D$115:$AL$115-1))</f>
        <v/>
      </c>
      <c r="K118" s="40">
        <f>J118-SUMPRODUCT($D$116:$AL$116,(1+J118)^(-$D$115:$AL$115))/SUMPRODUCT($D$116:$AL$116*(-$D$115:$AL$115),(1+J118)^(-$D$115:$AL$115-1))</f>
        <v/>
      </c>
      <c r="L118" s="40">
        <f>K118-SUMPRODUCT($D$116:$AL$116,(1+K118)^(-$D$115:$AL$115))/SUMPRODUCT($D$116:$AL$116*(-$D$115:$AL$115),(1+K118)^(-$D$115:$AL$115-1))</f>
        <v/>
      </c>
      <c r="M118" s="40">
        <f>L118-SUMPRODUCT($D$116:$AL$116,(1+L118)^(-$D$115:$AL$115))/SUMPRODUCT($D$116:$AL$116*(-$D$115:$AL$115),(1+L118)^(-$D$115:$AL$115-1))</f>
        <v/>
      </c>
      <c r="N118" s="40">
        <f>M118-SUMPRODUCT($D$116:$AL$116,(1+M118)^(-$D$115:$AL$115))/SUMPRODUCT($D$116:$AL$116*(-$D$115:$AL$115),(1+M118)^(-$D$115:$AL$115-1))</f>
        <v/>
      </c>
      <c r="O118" s="40">
        <f>N118-SUMPRODUCT($D$116:$AL$116,(1+N118)^(-$D$115:$AL$115))/SUMPRODUCT($D$116:$AL$116*(-$D$115:$AL$115),(1+N118)^(-$D$115:$AL$115-1))</f>
        <v/>
      </c>
      <c r="P118" s="40">
        <f>O118-SUMPRODUCT($D$116:$AL$116,(1+O118)^(-$D$115:$AL$115))/SUMPRODUCT($D$116:$AL$116*(-$D$115:$AL$115),(1+O118)^(-$D$115:$AL$115-1))</f>
        <v/>
      </c>
      <c r="Q118" s="40">
        <f>P118-SUMPRODUCT($D$116:$AL$116,(1+P118)^(-$D$115:$AL$115))/SUMPRODUCT($D$116:$AL$116*(-$D$115:$AL$115),(1+P118)^(-$D$115:$AL$115-1))</f>
        <v/>
      </c>
      <c r="R118" s="40">
        <f>Q118-SUMPRODUCT($D$116:$AL$116,(1+Q118)^(-$D$115:$AL$115))/SUMPRODUCT($D$116:$AL$116*(-$D$115:$AL$115),(1+Q118)^(-$D$115:$AL$115-1))</f>
        <v/>
      </c>
    </row>
    <row r="119">
      <c r="B119" s="4" t="inlineStr">
        <is>
          <t>Unlevered IRR (Newton steps from 10 percent)</t>
        </is>
      </c>
      <c r="D119" s="38" t="n">
        <v>0.1</v>
      </c>
      <c r="E119" s="40">
        <f>D119-SUMPRODUCT($D$117:$AL$117,(1+D119)^(-$D$115:$AL$115))/SUMPRODUCT($D$117:$AL$117*(-$D$115:$AL$115),(1+D119)^(-$D$115:$AL$115-1))</f>
        <v/>
      </c>
      <c r="F119" s="40">
        <f>E119-SUMPRODUCT($D$117:$AL$117,(1+E119)^(-$D$115:$AL$115))/SUMPRODUCT($D$117:$AL$117*(-$D$115:$AL$115),(1+E119)^(-$D$115:$AL$115-1))</f>
        <v/>
      </c>
      <c r="G119" s="40">
        <f>F119-SUMPRODUCT($D$117:$AL$117,(1+F119)^(-$D$115:$AL$115))/SUMPRODUCT($D$117:$AL$117*(-$D$115:$AL$115),(1+F119)^(-$D$115:$AL$115-1))</f>
        <v/>
      </c>
      <c r="H119" s="40">
        <f>G119-SUMPRODUCT($D$117:$AL$117,(1+G119)^(-$D$115:$AL$115))/SUMPRODUCT($D$117:$AL$117*(-$D$115:$AL$115),(1+G119)^(-$D$115:$AL$115-1))</f>
        <v/>
      </c>
      <c r="I119" s="40">
        <f>H119-SUMPRODUCT($D$117:$AL$117,(1+H119)^(-$D$115:$AL$115))/SUMPRODUCT($D$117:$AL$117*(-$D$115:$AL$115),(1+H119)^(-$D$115:$AL$115-1))</f>
        <v/>
      </c>
      <c r="J119" s="40">
        <f>I119-SUMPRODUCT($D$117:$AL$117,(1+I119)^(-$D$115:$AL$115))/SUMPRODUCT($D$117:$AL$117*(-$D$115:$AL$115),(1+I119)^(-$D$115:$AL$115-1))</f>
        <v/>
      </c>
      <c r="K119" s="40">
        <f>J119-SUMPRODUCT($D$117:$AL$117,(1+J119)^(-$D$115:$AL$115))/SUMPRODUCT($D$117:$AL$117*(-$D$115:$AL$115),(1+J119)^(-$D$115:$AL$115-1))</f>
        <v/>
      </c>
      <c r="L119" s="40">
        <f>K119-SUMPRODUCT($D$117:$AL$117,(1+K119)^(-$D$115:$AL$115))/SUMPRODUCT($D$117:$AL$117*(-$D$115:$AL$115),(1+K119)^(-$D$115:$AL$115-1))</f>
        <v/>
      </c>
      <c r="M119" s="40">
        <f>L119-SUMPRODUCT($D$117:$AL$117,(1+L119)^(-$D$115:$AL$115))/SUMPRODUCT($D$117:$AL$117*(-$D$115:$AL$115),(1+L119)^(-$D$115:$AL$115-1))</f>
        <v/>
      </c>
      <c r="N119" s="40">
        <f>M119-SUMPRODUCT($D$117:$AL$117,(1+M119)^(-$D$115:$AL$115))/SUMPRODUCT($D$117:$AL$117*(-$D$115:$AL$115),(1+M119)^(-$D$115:$AL$115-1))</f>
        <v/>
      </c>
      <c r="O119" s="40">
        <f>N119-SUMPRODUCT($D$117:$AL$117,(1+N119)^(-$D$115:$AL$115))/SUMPRODUCT($D$117:$AL$117*(-$D$115:$AL$115),(1+N119)^(-$D$115:$AL$115-1))</f>
        <v/>
      </c>
      <c r="P119" s="40">
        <f>O119-SUMPRODUCT($D$117:$AL$117,(1+O119)^(-$D$115:$AL$115))/SUMPRODUCT($D$117:$AL$117*(-$D$115:$AL$115),(1+O119)^(-$D$115:$AL$115-1))</f>
        <v/>
      </c>
      <c r="Q119" s="40">
        <f>P119-SUMPRODUCT($D$117:$AL$117,(1+P119)^(-$D$115:$AL$115))/SUMPRODUCT($D$117:$AL$117*(-$D$115:$AL$115),(1+P119)^(-$D$115:$AL$115-1))</f>
        <v/>
      </c>
      <c r="R119" s="40">
        <f>Q119-SUMPRODUCT($D$117:$AL$117,(1+Q119)^(-$D$115:$AL$115))/SUMPRODUCT($D$117:$AL$117*(-$D$115:$AL$115),(1+Q119)^(-$D$115:$AL$115-1))</f>
        <v/>
      </c>
    </row>
    <row r="120">
      <c r="B120" s="3" t="inlineStr">
        <is>
          <t>Levered IRR (equity)</t>
        </is>
      </c>
      <c r="C120" s="33">
        <f>R118</f>
        <v/>
      </c>
    </row>
    <row r="121">
      <c r="B121" s="3" t="inlineStr">
        <is>
          <t>Unlevered IRR</t>
        </is>
      </c>
      <c r="C121" s="33">
        <f>R119</f>
        <v/>
      </c>
    </row>
    <row r="122">
      <c r="B122" s="2" t="inlineStr">
        <is>
          <t>Check: levered NPV at the levered IRR</t>
        </is>
      </c>
      <c r="C122" s="41">
        <f>SUMPRODUCT($D$116:$AL$116,(1+Financing!$C$120)^(-$D$115:$AL$115))</f>
        <v/>
      </c>
    </row>
    <row r="123">
      <c r="B123" s="2" t="inlineStr">
        <is>
          <t>Check: unlevered NPV at the unlevered IRR</t>
        </is>
      </c>
      <c r="C123" s="41">
        <f>SUMPRODUCT($D$117:$AL$117,(1+Financing!$C$121)^(-$D$115:$AL$115))</f>
        <v/>
      </c>
    </row>
    <row r="124">
      <c r="B124" s="2" t="inlineStr">
        <is>
          <t>Money multiple (cash in over cash out)</t>
        </is>
      </c>
      <c r="C124" s="37">
        <f>SUMIF($D$116:$AL$116,"&gt;0")/-SUMIF($D$116:$AL$116,"&lt;0")</f>
        <v/>
      </c>
    </row>
    <row r="125">
      <c r="B125" s="2" t="inlineStr">
        <is>
          <t>Present value at the target IRR of the flows after closing</t>
        </is>
      </c>
      <c r="C125" s="19">
        <f>SUMPRODUCT($D$116:$AL$116,(1+i_hurdle)^(-$D$115:$AL$115))+Financing!$C$99*(1+i_hurdle)^(-Financing!$C$53)</f>
        <v/>
      </c>
    </row>
    <row r="126">
      <c r="B126" s="2" t="inlineStr">
        <is>
          <t>Equity cheque that gives exactly the target IRR</t>
        </is>
      </c>
      <c r="C126" s="19">
        <f>Financing!$C$125*(1+i_hurdle)^Financing!$C$53</f>
        <v/>
      </c>
    </row>
    <row r="127">
      <c r="B127" s="2" t="inlineStr">
        <is>
          <t>EV less equity price (fixed bridge items)</t>
        </is>
      </c>
      <c r="C127" s="19">
        <f>Financing!$C$58-Financing!$C$64</f>
        <v/>
      </c>
    </row>
    <row r="128">
      <c r="B128" s="2" t="inlineStr">
        <is>
          <t>Equity cheque items that do not move with the price</t>
        </is>
      </c>
      <c r="C128" s="19">
        <f>Financing!$C$89+Financing!$C$61+i_costs_adv+Financing!$C$84+Financing!$C$85-Financing!$C$79-Financing!$C$80-Financing!$C$72</f>
        <v/>
      </c>
    </row>
    <row r="129">
      <c r="B129" s="2" t="inlineStr">
        <is>
          <t>Walk-away EV, first pass (HSR fee at the bid)</t>
        </is>
      </c>
      <c r="C129" s="19">
        <f>(Financing!$C$126-Financing!$C$128-Financing!$C$82+Financing!$C$127*(1+i_ticking*Financing!$C$53))/(1+i_ticking*Financing!$C$53+i_wi_limit_pct*i_wi_rol*(1+i_wi_ipt))</f>
        <v/>
      </c>
    </row>
    <row r="130">
      <c r="B130" s="3" t="inlineStr">
        <is>
          <t>Walk-away EV (highest EV at the target IRR)</t>
        </is>
      </c>
      <c r="C130" s="31">
        <f>(Financing!$C$126-Financing!$C$128-IF(Financing!$C$129-Financing!$C$127&lt;INDEX(i_hsr_lo,1),0,LOOKUP(Financing!$C$129-Financing!$C$127,i_hsr_lo,i_hsr_fee))+Financing!$C$127*(1+i_ticking*Financing!$C$53))/(1+i_ticking*Financing!$C$53+i_wi_limit_pct*i_wi_rol*(1+i_wi_ipt))</f>
        <v/>
      </c>
    </row>
    <row r="132">
      <c r="B132" s="5" t="inlineStr">
        <is>
          <t>Side by side</t>
        </is>
      </c>
      <c r="C132" s="5" t="inlineStr">
        <is>
          <t>Live case</t>
        </is>
      </c>
      <c r="D132" s="5" t="inlineStr">
        <is>
          <t>Staple</t>
        </is>
      </c>
    </row>
    <row r="133">
      <c r="B133" s="2" t="inlineStr">
        <is>
          <t>Opco debt</t>
        </is>
      </c>
      <c r="C133" s="19">
        <f>Financing!$C$11</f>
        <v/>
      </c>
      <c r="D133" s="19">
        <f>Financing!$C$79</f>
        <v/>
      </c>
    </row>
    <row r="134">
      <c r="B134" s="2" t="inlineStr">
        <is>
          <t>Opco rate</t>
        </is>
      </c>
      <c r="C134" s="23">
        <f>Financing!$C$9</f>
        <v/>
      </c>
      <c r="D134" s="23">
        <f>Financing!$C$77</f>
        <v/>
      </c>
    </row>
    <row r="135">
      <c r="B135" s="2" t="inlineStr">
        <is>
          <t>Opco fees</t>
        </is>
      </c>
      <c r="C135" s="23">
        <f>Financing!$C$10</f>
        <v/>
      </c>
      <c r="D135" s="23">
        <f>Financing!$C$78</f>
        <v/>
      </c>
    </row>
    <row r="136">
      <c r="B136" s="2" t="inlineStr">
        <is>
          <t>Equity at closing</t>
        </is>
      </c>
      <c r="C136" s="19">
        <f>Financing!$C$31</f>
        <v/>
      </c>
      <c r="D136" s="19">
        <f>Financing!$C$99</f>
        <v/>
      </c>
    </row>
    <row r="137">
      <c r="B137" s="2" t="inlineStr">
        <is>
          <t>Levered IRR</t>
        </is>
      </c>
      <c r="C137" s="23">
        <f>Returns!$C$24</f>
        <v/>
      </c>
      <c r="D137" s="23">
        <f>Financing!$C$120</f>
        <v/>
      </c>
    </row>
    <row r="138">
      <c r="B138" s="2" t="inlineStr">
        <is>
          <t>Walk-away EV</t>
        </is>
      </c>
      <c r="C138" s="19">
        <f>Returns!$C$34</f>
        <v/>
      </c>
      <c r="D138" s="19">
        <f>Financing!$C$130</f>
        <v/>
      </c>
    </row>
    <row r="139">
      <c r="B139" s="2" t="inlineStr">
        <is>
          <t>Interest cover 2028</t>
        </is>
      </c>
      <c r="C139" s="37">
        <f>Financing!$C$39</f>
        <v/>
      </c>
      <c r="D139" s="37">
        <f>Financing!$C$37/Financing!$F$105</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B1:AL86"/>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 width="11" customWidth="1" min="36" max="36"/>
    <col width="11" customWidth="1" min="37" max="37"/>
    <col width="11" customWidth="1" min="38" max="38"/>
  </cols>
  <sheetData>
    <row r="1">
      <c r="B1" s="1" t="inlineStr">
        <is>
          <t>Returns: unlevered and levered flows, IRRs and the walk-away price, live case (chapter 11)</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c r="AJ3" s="5" t="inlineStr">
        <is>
          <t>Closing</t>
        </is>
      </c>
      <c r="AK3" s="5" t="inlineStr">
        <is>
          <t>Minority sale</t>
        </is>
      </c>
      <c r="AL3" s="5" t="inlineStr">
        <is>
          <t>Exit</t>
        </is>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3" t="inlineStr">
        <is>
          <t>Flows after closing (years in columns D to AI; closing, minority sale and exit in AJ to AL)</t>
        </is>
      </c>
    </row>
    <row r="7">
      <c r="B7" s="2" t="inlineStr">
        <is>
          <t>Share of the year owned</t>
        </is>
      </c>
      <c r="D7" s="24">
        <f>IF(D$3&gt;i_exit_year,0,MIN(1,MAX(0,D$4-Price!$C$8)))</f>
        <v/>
      </c>
      <c r="E7" s="24">
        <f>IF(E$3&gt;i_exit_year,0,MIN(1,MAX(0,E$4-Price!$C$8)))</f>
        <v/>
      </c>
      <c r="F7" s="24">
        <f>IF(F$3&gt;i_exit_year,0,MIN(1,MAX(0,F$4-Price!$C$8)))</f>
        <v/>
      </c>
      <c r="G7" s="24">
        <f>IF(G$3&gt;i_exit_year,0,MIN(1,MAX(0,G$4-Price!$C$8)))</f>
        <v/>
      </c>
      <c r="H7" s="24">
        <f>IF(H$3&gt;i_exit_year,0,MIN(1,MAX(0,H$4-Price!$C$8)))</f>
        <v/>
      </c>
      <c r="I7" s="24">
        <f>IF(I$3&gt;i_exit_year,0,MIN(1,MAX(0,I$4-Price!$C$8)))</f>
        <v/>
      </c>
      <c r="J7" s="24">
        <f>IF(J$3&gt;i_exit_year,0,MIN(1,MAX(0,J$4-Price!$C$8)))</f>
        <v/>
      </c>
      <c r="K7" s="24">
        <f>IF(K$3&gt;i_exit_year,0,MIN(1,MAX(0,K$4-Price!$C$8)))</f>
        <v/>
      </c>
      <c r="L7" s="24">
        <f>IF(L$3&gt;i_exit_year,0,MIN(1,MAX(0,L$4-Price!$C$8)))</f>
        <v/>
      </c>
      <c r="M7" s="24">
        <f>IF(M$3&gt;i_exit_year,0,MIN(1,MAX(0,M$4-Price!$C$8)))</f>
        <v/>
      </c>
      <c r="N7" s="24">
        <f>IF(N$3&gt;i_exit_year,0,MIN(1,MAX(0,N$4-Price!$C$8)))</f>
        <v/>
      </c>
      <c r="O7" s="24">
        <f>IF(O$3&gt;i_exit_year,0,MIN(1,MAX(0,O$4-Price!$C$8)))</f>
        <v/>
      </c>
      <c r="P7" s="24">
        <f>IF(P$3&gt;i_exit_year,0,MIN(1,MAX(0,P$4-Price!$C$8)))</f>
        <v/>
      </c>
      <c r="Q7" s="24">
        <f>IF(Q$3&gt;i_exit_year,0,MIN(1,MAX(0,Q$4-Price!$C$8)))</f>
        <v/>
      </c>
      <c r="R7" s="24">
        <f>IF(R$3&gt;i_exit_year,0,MIN(1,MAX(0,R$4-Price!$C$8)))</f>
        <v/>
      </c>
      <c r="S7" s="24">
        <f>IF(S$3&gt;i_exit_year,0,MIN(1,MAX(0,S$4-Price!$C$8)))</f>
        <v/>
      </c>
      <c r="T7" s="24">
        <f>IF(T$3&gt;i_exit_year,0,MIN(1,MAX(0,T$4-Price!$C$8)))</f>
        <v/>
      </c>
      <c r="U7" s="24">
        <f>IF(U$3&gt;i_exit_year,0,MIN(1,MAX(0,U$4-Price!$C$8)))</f>
        <v/>
      </c>
      <c r="V7" s="24">
        <f>IF(V$3&gt;i_exit_year,0,MIN(1,MAX(0,V$4-Price!$C$8)))</f>
        <v/>
      </c>
      <c r="W7" s="24">
        <f>IF(W$3&gt;i_exit_year,0,MIN(1,MAX(0,W$4-Price!$C$8)))</f>
        <v/>
      </c>
      <c r="X7" s="24">
        <f>IF(X$3&gt;i_exit_year,0,MIN(1,MAX(0,X$4-Price!$C$8)))</f>
        <v/>
      </c>
      <c r="Y7" s="24">
        <f>IF(Y$3&gt;i_exit_year,0,MIN(1,MAX(0,Y$4-Price!$C$8)))</f>
        <v/>
      </c>
      <c r="Z7" s="24">
        <f>IF(Z$3&gt;i_exit_year,0,MIN(1,MAX(0,Z$4-Price!$C$8)))</f>
        <v/>
      </c>
      <c r="AA7" s="24">
        <f>IF(AA$3&gt;i_exit_year,0,MIN(1,MAX(0,AA$4-Price!$C$8)))</f>
        <v/>
      </c>
      <c r="AB7" s="24">
        <f>IF(AB$3&gt;i_exit_year,0,MIN(1,MAX(0,AB$4-Price!$C$8)))</f>
        <v/>
      </c>
      <c r="AC7" s="24">
        <f>IF(AC$3&gt;i_exit_year,0,MIN(1,MAX(0,AC$4-Price!$C$8)))</f>
        <v/>
      </c>
      <c r="AD7" s="24">
        <f>IF(AD$3&gt;i_exit_year,0,MIN(1,MAX(0,AD$4-Price!$C$8)))</f>
        <v/>
      </c>
      <c r="AE7" s="24">
        <f>IF(AE$3&gt;i_exit_year,0,MIN(1,MAX(0,AE$4-Price!$C$8)))</f>
        <v/>
      </c>
      <c r="AF7" s="24">
        <f>IF(AF$3&gt;i_exit_year,0,MIN(1,MAX(0,AF$4-Price!$C$8)))</f>
        <v/>
      </c>
      <c r="AG7" s="24">
        <f>IF(AG$3&gt;i_exit_year,0,MIN(1,MAX(0,AG$4-Price!$C$8)))</f>
        <v/>
      </c>
      <c r="AH7" s="24">
        <f>IF(AH$3&gt;i_exit_year,0,MIN(1,MAX(0,AH$4-Price!$C$8)))</f>
        <v/>
      </c>
      <c r="AI7" s="24">
        <f>IF(AI$3&gt;i_exit_year,0,MIN(1,MAX(0,AI$4-Price!$C$8)))</f>
        <v/>
      </c>
    </row>
    <row r="8">
      <c r="B8" s="2" t="inlineStr">
        <is>
          <t>Opco rate (refinanced after the tenor)</t>
        </is>
      </c>
      <c r="D8" s="23">
        <f>IF(D$4&lt;=Price!$C$8+i_opco_tenor,Financing!$C$9,Financing!$C$9+Price!$C$12)</f>
        <v/>
      </c>
      <c r="E8" s="23">
        <f>IF(E$4&lt;=Price!$C$8+i_opco_tenor,Financing!$C$9,Financing!$C$9+Price!$C$12)</f>
        <v/>
      </c>
      <c r="F8" s="23">
        <f>IF(F$4&lt;=Price!$C$8+i_opco_tenor,Financing!$C$9,Financing!$C$9+Price!$C$12)</f>
        <v/>
      </c>
      <c r="G8" s="23">
        <f>IF(G$4&lt;=Price!$C$8+i_opco_tenor,Financing!$C$9,Financing!$C$9+Price!$C$12)</f>
        <v/>
      </c>
      <c r="H8" s="23">
        <f>IF(H$4&lt;=Price!$C$8+i_opco_tenor,Financing!$C$9,Financing!$C$9+Price!$C$12)</f>
        <v/>
      </c>
      <c r="I8" s="23">
        <f>IF(I$4&lt;=Price!$C$8+i_opco_tenor,Financing!$C$9,Financing!$C$9+Price!$C$12)</f>
        <v/>
      </c>
      <c r="J8" s="23">
        <f>IF(J$4&lt;=Price!$C$8+i_opco_tenor,Financing!$C$9,Financing!$C$9+Price!$C$12)</f>
        <v/>
      </c>
      <c r="K8" s="23">
        <f>IF(K$4&lt;=Price!$C$8+i_opco_tenor,Financing!$C$9,Financing!$C$9+Price!$C$12)</f>
        <v/>
      </c>
      <c r="L8" s="23">
        <f>IF(L$4&lt;=Price!$C$8+i_opco_tenor,Financing!$C$9,Financing!$C$9+Price!$C$12)</f>
        <v/>
      </c>
      <c r="M8" s="23">
        <f>IF(M$4&lt;=Price!$C$8+i_opco_tenor,Financing!$C$9,Financing!$C$9+Price!$C$12)</f>
        <v/>
      </c>
      <c r="N8" s="23">
        <f>IF(N$4&lt;=Price!$C$8+i_opco_tenor,Financing!$C$9,Financing!$C$9+Price!$C$12)</f>
        <v/>
      </c>
      <c r="O8" s="23">
        <f>IF(O$4&lt;=Price!$C$8+i_opco_tenor,Financing!$C$9,Financing!$C$9+Price!$C$12)</f>
        <v/>
      </c>
      <c r="P8" s="23">
        <f>IF(P$4&lt;=Price!$C$8+i_opco_tenor,Financing!$C$9,Financing!$C$9+Price!$C$12)</f>
        <v/>
      </c>
      <c r="Q8" s="23">
        <f>IF(Q$4&lt;=Price!$C$8+i_opco_tenor,Financing!$C$9,Financing!$C$9+Price!$C$12)</f>
        <v/>
      </c>
      <c r="R8" s="23">
        <f>IF(R$4&lt;=Price!$C$8+i_opco_tenor,Financing!$C$9,Financing!$C$9+Price!$C$12)</f>
        <v/>
      </c>
      <c r="S8" s="23">
        <f>IF(S$4&lt;=Price!$C$8+i_opco_tenor,Financing!$C$9,Financing!$C$9+Price!$C$12)</f>
        <v/>
      </c>
      <c r="T8" s="23">
        <f>IF(T$4&lt;=Price!$C$8+i_opco_tenor,Financing!$C$9,Financing!$C$9+Price!$C$12)</f>
        <v/>
      </c>
      <c r="U8" s="23">
        <f>IF(U$4&lt;=Price!$C$8+i_opco_tenor,Financing!$C$9,Financing!$C$9+Price!$C$12)</f>
        <v/>
      </c>
      <c r="V8" s="23">
        <f>IF(V$4&lt;=Price!$C$8+i_opco_tenor,Financing!$C$9,Financing!$C$9+Price!$C$12)</f>
        <v/>
      </c>
      <c r="W8" s="23">
        <f>IF(W$4&lt;=Price!$C$8+i_opco_tenor,Financing!$C$9,Financing!$C$9+Price!$C$12)</f>
        <v/>
      </c>
      <c r="X8" s="23">
        <f>IF(X$4&lt;=Price!$C$8+i_opco_tenor,Financing!$C$9,Financing!$C$9+Price!$C$12)</f>
        <v/>
      </c>
      <c r="Y8" s="23">
        <f>IF(Y$4&lt;=Price!$C$8+i_opco_tenor,Financing!$C$9,Financing!$C$9+Price!$C$12)</f>
        <v/>
      </c>
      <c r="Z8" s="23">
        <f>IF(Z$4&lt;=Price!$C$8+i_opco_tenor,Financing!$C$9,Financing!$C$9+Price!$C$12)</f>
        <v/>
      </c>
      <c r="AA8" s="23">
        <f>IF(AA$4&lt;=Price!$C$8+i_opco_tenor,Financing!$C$9,Financing!$C$9+Price!$C$12)</f>
        <v/>
      </c>
      <c r="AB8" s="23">
        <f>IF(AB$4&lt;=Price!$C$8+i_opco_tenor,Financing!$C$9,Financing!$C$9+Price!$C$12)</f>
        <v/>
      </c>
      <c r="AC8" s="23">
        <f>IF(AC$4&lt;=Price!$C$8+i_opco_tenor,Financing!$C$9,Financing!$C$9+Price!$C$12)</f>
        <v/>
      </c>
      <c r="AD8" s="23">
        <f>IF(AD$4&lt;=Price!$C$8+i_opco_tenor,Financing!$C$9,Financing!$C$9+Price!$C$12)</f>
        <v/>
      </c>
      <c r="AE8" s="23">
        <f>IF(AE$4&lt;=Price!$C$8+i_opco_tenor,Financing!$C$9,Financing!$C$9+Price!$C$12)</f>
        <v/>
      </c>
      <c r="AF8" s="23">
        <f>IF(AF$4&lt;=Price!$C$8+i_opco_tenor,Financing!$C$9,Financing!$C$9+Price!$C$12)</f>
        <v/>
      </c>
      <c r="AG8" s="23">
        <f>IF(AG$4&lt;=Price!$C$8+i_opco_tenor,Financing!$C$9,Financing!$C$9+Price!$C$12)</f>
        <v/>
      </c>
      <c r="AH8" s="23">
        <f>IF(AH$4&lt;=Price!$C$8+i_opco_tenor,Financing!$C$9,Financing!$C$9+Price!$C$12)</f>
        <v/>
      </c>
      <c r="AI8" s="23">
        <f>IF(AI$4&lt;=Price!$C$8+i_opco_tenor,Financing!$C$9,Financing!$C$9+Price!$C$12)</f>
        <v/>
      </c>
    </row>
    <row r="9">
      <c r="B9" s="2" t="inlineStr">
        <is>
          <t>Interest (opco and holdco)</t>
        </is>
      </c>
      <c r="D9" s="19">
        <f>D8*Financing!$C$11+i_hold_rate*Financing!$C$12</f>
        <v/>
      </c>
      <c r="E9" s="19">
        <f>E8*Financing!$C$11+i_hold_rate*Financing!$C$12</f>
        <v/>
      </c>
      <c r="F9" s="19">
        <f>F8*Financing!$C$11+i_hold_rate*Financing!$C$12</f>
        <v/>
      </c>
      <c r="G9" s="19">
        <f>G8*Financing!$C$11+i_hold_rate*Financing!$C$12</f>
        <v/>
      </c>
      <c r="H9" s="19">
        <f>H8*Financing!$C$11+i_hold_rate*Financing!$C$12</f>
        <v/>
      </c>
      <c r="I9" s="19">
        <f>I8*Financing!$C$11+i_hold_rate*Financing!$C$12</f>
        <v/>
      </c>
      <c r="J9" s="19">
        <f>J8*Financing!$C$11+i_hold_rate*Financing!$C$12</f>
        <v/>
      </c>
      <c r="K9" s="19">
        <f>K8*Financing!$C$11+i_hold_rate*Financing!$C$12</f>
        <v/>
      </c>
      <c r="L9" s="19">
        <f>L8*Financing!$C$11+i_hold_rate*Financing!$C$12</f>
        <v/>
      </c>
      <c r="M9" s="19">
        <f>M8*Financing!$C$11+i_hold_rate*Financing!$C$12</f>
        <v/>
      </c>
      <c r="N9" s="19">
        <f>N8*Financing!$C$11+i_hold_rate*Financing!$C$12</f>
        <v/>
      </c>
      <c r="O9" s="19">
        <f>O8*Financing!$C$11+i_hold_rate*Financing!$C$12</f>
        <v/>
      </c>
      <c r="P9" s="19">
        <f>P8*Financing!$C$11+i_hold_rate*Financing!$C$12</f>
        <v/>
      </c>
      <c r="Q9" s="19">
        <f>Q8*Financing!$C$11+i_hold_rate*Financing!$C$12</f>
        <v/>
      </c>
      <c r="R9" s="19">
        <f>R8*Financing!$C$11+i_hold_rate*Financing!$C$12</f>
        <v/>
      </c>
      <c r="S9" s="19">
        <f>S8*Financing!$C$11+i_hold_rate*Financing!$C$12</f>
        <v/>
      </c>
      <c r="T9" s="19">
        <f>T8*Financing!$C$11+i_hold_rate*Financing!$C$12</f>
        <v/>
      </c>
      <c r="U9" s="19">
        <f>U8*Financing!$C$11+i_hold_rate*Financing!$C$12</f>
        <v/>
      </c>
      <c r="V9" s="19">
        <f>V8*Financing!$C$11+i_hold_rate*Financing!$C$12</f>
        <v/>
      </c>
      <c r="W9" s="19">
        <f>W8*Financing!$C$11+i_hold_rate*Financing!$C$12</f>
        <v/>
      </c>
      <c r="X9" s="19">
        <f>X8*Financing!$C$11+i_hold_rate*Financing!$C$12</f>
        <v/>
      </c>
      <c r="Y9" s="19">
        <f>Y8*Financing!$C$11+i_hold_rate*Financing!$C$12</f>
        <v/>
      </c>
      <c r="Z9" s="19">
        <f>Z8*Financing!$C$11+i_hold_rate*Financing!$C$12</f>
        <v/>
      </c>
      <c r="AA9" s="19">
        <f>AA8*Financing!$C$11+i_hold_rate*Financing!$C$12</f>
        <v/>
      </c>
      <c r="AB9" s="19">
        <f>AB8*Financing!$C$11+i_hold_rate*Financing!$C$12</f>
        <v/>
      </c>
      <c r="AC9" s="19">
        <f>AC8*Financing!$C$11+i_hold_rate*Financing!$C$12</f>
        <v/>
      </c>
      <c r="AD9" s="19">
        <f>AD8*Financing!$C$11+i_hold_rate*Financing!$C$12</f>
        <v/>
      </c>
      <c r="AE9" s="19">
        <f>AE8*Financing!$C$11+i_hold_rate*Financing!$C$12</f>
        <v/>
      </c>
      <c r="AF9" s="19">
        <f>AF8*Financing!$C$11+i_hold_rate*Financing!$C$12</f>
        <v/>
      </c>
      <c r="AG9" s="19">
        <f>AG8*Financing!$C$11+i_hold_rate*Financing!$C$12</f>
        <v/>
      </c>
      <c r="AH9" s="19">
        <f>AH8*Financing!$C$11+i_hold_rate*Financing!$C$12</f>
        <v/>
      </c>
      <c r="AI9" s="19">
        <f>AI8*Financing!$C$11+i_hold_rate*Financing!$C$12</f>
        <v/>
      </c>
    </row>
    <row r="10">
      <c r="B10" s="2" t="inlineStr">
        <is>
          <t>Deductible interest (cap on EBITDA)</t>
        </is>
      </c>
      <c r="D10" s="19">
        <f>MIN(D9,i_int_cap*Platform!D10)</f>
        <v/>
      </c>
      <c r="E10" s="19">
        <f>MIN(E9,i_int_cap*Platform!E10)</f>
        <v/>
      </c>
      <c r="F10" s="19">
        <f>MIN(F9,i_int_cap*Platform!F10)</f>
        <v/>
      </c>
      <c r="G10" s="19">
        <f>MIN(G9,i_int_cap*Platform!G10)</f>
        <v/>
      </c>
      <c r="H10" s="19">
        <f>MIN(H9,i_int_cap*Platform!H10)</f>
        <v/>
      </c>
      <c r="I10" s="19">
        <f>MIN(I9,i_int_cap*Platform!I10)</f>
        <v/>
      </c>
      <c r="J10" s="19">
        <f>MIN(J9,i_int_cap*Platform!J10)</f>
        <v/>
      </c>
      <c r="K10" s="19">
        <f>MIN(K9,i_int_cap*Platform!K10)</f>
        <v/>
      </c>
      <c r="L10" s="19">
        <f>MIN(L9,i_int_cap*Platform!L10)</f>
        <v/>
      </c>
      <c r="M10" s="19">
        <f>MIN(M9,i_int_cap*Platform!M10)</f>
        <v/>
      </c>
      <c r="N10" s="19">
        <f>MIN(N9,i_int_cap*Platform!N10)</f>
        <v/>
      </c>
      <c r="O10" s="19">
        <f>MIN(O9,i_int_cap*Platform!O10)</f>
        <v/>
      </c>
      <c r="P10" s="19">
        <f>MIN(P9,i_int_cap*Platform!P10)</f>
        <v/>
      </c>
      <c r="Q10" s="19">
        <f>MIN(Q9,i_int_cap*Platform!Q10)</f>
        <v/>
      </c>
      <c r="R10" s="19">
        <f>MIN(R9,i_int_cap*Platform!R10)</f>
        <v/>
      </c>
      <c r="S10" s="19">
        <f>MIN(S9,i_int_cap*Platform!S10)</f>
        <v/>
      </c>
      <c r="T10" s="19">
        <f>MIN(T9,i_int_cap*Platform!T10)</f>
        <v/>
      </c>
      <c r="U10" s="19">
        <f>MIN(U9,i_int_cap*Platform!U10)</f>
        <v/>
      </c>
      <c r="V10" s="19">
        <f>MIN(V9,i_int_cap*Platform!V10)</f>
        <v/>
      </c>
      <c r="W10" s="19">
        <f>MIN(W9,i_int_cap*Platform!W10)</f>
        <v/>
      </c>
      <c r="X10" s="19">
        <f>MIN(X9,i_int_cap*Platform!X10)</f>
        <v/>
      </c>
      <c r="Y10" s="19">
        <f>MIN(Y9,i_int_cap*Platform!Y10)</f>
        <v/>
      </c>
      <c r="Z10" s="19">
        <f>MIN(Z9,i_int_cap*Platform!Z10)</f>
        <v/>
      </c>
      <c r="AA10" s="19">
        <f>MIN(AA9,i_int_cap*Platform!AA10)</f>
        <v/>
      </c>
      <c r="AB10" s="19">
        <f>MIN(AB9,i_int_cap*Platform!AB10)</f>
        <v/>
      </c>
      <c r="AC10" s="19">
        <f>MIN(AC9,i_int_cap*Platform!AC10)</f>
        <v/>
      </c>
      <c r="AD10" s="19">
        <f>MIN(AD9,i_int_cap*Platform!AD10)</f>
        <v/>
      </c>
      <c r="AE10" s="19">
        <f>MIN(AE9,i_int_cap*Platform!AE10)</f>
        <v/>
      </c>
      <c r="AF10" s="19">
        <f>MIN(AF9,i_int_cap*Platform!AF10)</f>
        <v/>
      </c>
      <c r="AG10" s="19">
        <f>MIN(AG9,i_int_cap*Platform!AG10)</f>
        <v/>
      </c>
      <c r="AH10" s="19">
        <f>MIN(AH9,i_int_cap*Platform!AH10)</f>
        <v/>
      </c>
      <c r="AI10" s="19">
        <f>MIN(AI9,i_int_cap*Platform!AI10)</f>
        <v/>
      </c>
    </row>
    <row r="11">
      <c r="B11" s="2" t="inlineStr">
        <is>
          <t>Cash tax with the debt</t>
        </is>
      </c>
      <c r="D11" s="19">
        <f>i_tax*MAX(0,Platform!D10-Platform!D13-D10)</f>
        <v/>
      </c>
      <c r="E11" s="19">
        <f>i_tax*MAX(0,Platform!E10-Platform!E13-E10)</f>
        <v/>
      </c>
      <c r="F11" s="19">
        <f>i_tax*MAX(0,Platform!F10-Platform!F13-F10)</f>
        <v/>
      </c>
      <c r="G11" s="19">
        <f>i_tax*MAX(0,Platform!G10-Platform!G13-G10)</f>
        <v/>
      </c>
      <c r="H11" s="19">
        <f>i_tax*MAX(0,Platform!H10-Platform!H13-H10)</f>
        <v/>
      </c>
      <c r="I11" s="19">
        <f>i_tax*MAX(0,Platform!I10-Platform!I13-I10)</f>
        <v/>
      </c>
      <c r="J11" s="19">
        <f>i_tax*MAX(0,Platform!J10-Platform!J13-J10)</f>
        <v/>
      </c>
      <c r="K11" s="19">
        <f>i_tax*MAX(0,Platform!K10-Platform!K13-K10)</f>
        <v/>
      </c>
      <c r="L11" s="19">
        <f>i_tax*MAX(0,Platform!L10-Platform!L13-L10)</f>
        <v/>
      </c>
      <c r="M11" s="19">
        <f>i_tax*MAX(0,Platform!M10-Platform!M13-M10)</f>
        <v/>
      </c>
      <c r="N11" s="19">
        <f>i_tax*MAX(0,Platform!N10-Platform!N13-N10)</f>
        <v/>
      </c>
      <c r="O11" s="19">
        <f>i_tax*MAX(0,Platform!O10-Platform!O13-O10)</f>
        <v/>
      </c>
      <c r="P11" s="19">
        <f>i_tax*MAX(0,Platform!P10-Platform!P13-P10)</f>
        <v/>
      </c>
      <c r="Q11" s="19">
        <f>i_tax*MAX(0,Platform!Q10-Platform!Q13-Q10)</f>
        <v/>
      </c>
      <c r="R11" s="19">
        <f>i_tax*MAX(0,Platform!R10-Platform!R13-R10)</f>
        <v/>
      </c>
      <c r="S11" s="19">
        <f>i_tax*MAX(0,Platform!S10-Platform!S13-S10)</f>
        <v/>
      </c>
      <c r="T11" s="19">
        <f>i_tax*MAX(0,Platform!T10-Platform!T13-T10)</f>
        <v/>
      </c>
      <c r="U11" s="19">
        <f>i_tax*MAX(0,Platform!U10-Platform!U13-U10)</f>
        <v/>
      </c>
      <c r="V11" s="19">
        <f>i_tax*MAX(0,Platform!V10-Platform!V13-V10)</f>
        <v/>
      </c>
      <c r="W11" s="19">
        <f>i_tax*MAX(0,Platform!W10-Platform!W13-W10)</f>
        <v/>
      </c>
      <c r="X11" s="19">
        <f>i_tax*MAX(0,Platform!X10-Platform!X13-X10)</f>
        <v/>
      </c>
      <c r="Y11" s="19">
        <f>i_tax*MAX(0,Platform!Y10-Platform!Y13-Y10)</f>
        <v/>
      </c>
      <c r="Z11" s="19">
        <f>i_tax*MAX(0,Platform!Z10-Platform!Z13-Z10)</f>
        <v/>
      </c>
      <c r="AA11" s="19">
        <f>i_tax*MAX(0,Platform!AA10-Platform!AA13-AA10)</f>
        <v/>
      </c>
      <c r="AB11" s="19">
        <f>i_tax*MAX(0,Platform!AB10-Platform!AB13-AB10)</f>
        <v/>
      </c>
      <c r="AC11" s="19">
        <f>i_tax*MAX(0,Platform!AC10-Platform!AC13-AC10)</f>
        <v/>
      </c>
      <c r="AD11" s="19">
        <f>i_tax*MAX(0,Platform!AD10-Platform!AD13-AD10)</f>
        <v/>
      </c>
      <c r="AE11" s="19">
        <f>i_tax*MAX(0,Platform!AE10-Platform!AE13-AE10)</f>
        <v/>
      </c>
      <c r="AF11" s="19">
        <f>i_tax*MAX(0,Platform!AF10-Platform!AF13-AF10)</f>
        <v/>
      </c>
      <c r="AG11" s="19">
        <f>i_tax*MAX(0,Platform!AG10-Platform!AG13-AG10)</f>
        <v/>
      </c>
      <c r="AH11" s="19">
        <f>i_tax*MAX(0,Platform!AH10-Platform!AH13-AH10)</f>
        <v/>
      </c>
      <c r="AI11" s="19">
        <f>i_tax*MAX(0,Platform!AI10-Platform!AI13-AI10)</f>
        <v/>
      </c>
    </row>
    <row r="12">
      <c r="B12" s="3" t="inlineStr">
        <is>
          <t>Cash flow to equity (full year)</t>
        </is>
      </c>
      <c r="D12" s="31">
        <f>Platform!D10-Platform!D11-Platform!D12-D11-D9-Platform!D15</f>
        <v/>
      </c>
      <c r="E12" s="31">
        <f>Platform!E10-Platform!E11-Platform!E12-E11-E9-Platform!E15</f>
        <v/>
      </c>
      <c r="F12" s="31">
        <f>Platform!F10-Platform!F11-Platform!F12-F11-F9-Platform!F15</f>
        <v/>
      </c>
      <c r="G12" s="31">
        <f>Platform!G10-Platform!G11-Platform!G12-G11-G9-Platform!G15</f>
        <v/>
      </c>
      <c r="H12" s="31">
        <f>Platform!H10-Platform!H11-Platform!H12-H11-H9-Platform!H15</f>
        <v/>
      </c>
      <c r="I12" s="31">
        <f>Platform!I10-Platform!I11-Platform!I12-I11-I9-Platform!I15</f>
        <v/>
      </c>
      <c r="J12" s="31">
        <f>Platform!J10-Platform!J11-Platform!J12-J11-J9-Platform!J15</f>
        <v/>
      </c>
      <c r="K12" s="31">
        <f>Platform!K10-Platform!K11-Platform!K12-K11-K9-Platform!K15</f>
        <v/>
      </c>
      <c r="L12" s="31">
        <f>Platform!L10-Platform!L11-Platform!L12-L11-L9-Platform!L15</f>
        <v/>
      </c>
      <c r="M12" s="31">
        <f>Platform!M10-Platform!M11-Platform!M12-M11-M9-Platform!M15</f>
        <v/>
      </c>
      <c r="N12" s="31">
        <f>Platform!N10-Platform!N11-Platform!N12-N11-N9-Platform!N15</f>
        <v/>
      </c>
      <c r="O12" s="31">
        <f>Platform!O10-Platform!O11-Platform!O12-O11-O9-Platform!O15</f>
        <v/>
      </c>
      <c r="P12" s="31">
        <f>Platform!P10-Platform!P11-Platform!P12-P11-P9-Platform!P15</f>
        <v/>
      </c>
      <c r="Q12" s="31">
        <f>Platform!Q10-Platform!Q11-Platform!Q12-Q11-Q9-Platform!Q15</f>
        <v/>
      </c>
      <c r="R12" s="31">
        <f>Platform!R10-Platform!R11-Platform!R12-R11-R9-Platform!R15</f>
        <v/>
      </c>
      <c r="S12" s="31">
        <f>Platform!S10-Platform!S11-Platform!S12-S11-S9-Platform!S15</f>
        <v/>
      </c>
      <c r="T12" s="31">
        <f>Platform!T10-Platform!T11-Platform!T12-T11-T9-Platform!T15</f>
        <v/>
      </c>
      <c r="U12" s="31">
        <f>Platform!U10-Platform!U11-Platform!U12-U11-U9-Platform!U15</f>
        <v/>
      </c>
      <c r="V12" s="31">
        <f>Platform!V10-Platform!V11-Platform!V12-V11-V9-Platform!V15</f>
        <v/>
      </c>
      <c r="W12" s="31">
        <f>Platform!W10-Platform!W11-Platform!W12-W11-W9-Platform!W15</f>
        <v/>
      </c>
      <c r="X12" s="31">
        <f>Platform!X10-Platform!X11-Platform!X12-X11-X9-Platform!X15</f>
        <v/>
      </c>
      <c r="Y12" s="31">
        <f>Platform!Y10-Platform!Y11-Platform!Y12-Y11-Y9-Platform!Y15</f>
        <v/>
      </c>
      <c r="Z12" s="31">
        <f>Platform!Z10-Platform!Z11-Platform!Z12-Z11-Z9-Platform!Z15</f>
        <v/>
      </c>
      <c r="AA12" s="31">
        <f>Platform!AA10-Platform!AA11-Platform!AA12-AA11-AA9-Platform!AA15</f>
        <v/>
      </c>
      <c r="AB12" s="31">
        <f>Platform!AB10-Platform!AB11-Platform!AB12-AB11-AB9-Platform!AB15</f>
        <v/>
      </c>
      <c r="AC12" s="31">
        <f>Platform!AC10-Platform!AC11-Platform!AC12-AC11-AC9-Platform!AC15</f>
        <v/>
      </c>
      <c r="AD12" s="31">
        <f>Platform!AD10-Platform!AD11-Platform!AD12-AD11-AD9-Platform!AD15</f>
        <v/>
      </c>
      <c r="AE12" s="31">
        <f>Platform!AE10-Platform!AE11-Platform!AE12-AE11-AE9-Platform!AE15</f>
        <v/>
      </c>
      <c r="AF12" s="31">
        <f>Platform!AF10-Platform!AF11-Platform!AF12-AF11-AF9-Platform!AF15</f>
        <v/>
      </c>
      <c r="AG12" s="31">
        <f>Platform!AG10-Platform!AG11-Platform!AG12-AG11-AG9-Platform!AG15</f>
        <v/>
      </c>
      <c r="AH12" s="31">
        <f>Platform!AH10-Platform!AH11-Platform!AH12-AH11-AH9-Platform!AH15</f>
        <v/>
      </c>
      <c r="AI12" s="31">
        <f>Platform!AI10-Platform!AI11-Platform!AI12-AI11-AI9-Platform!AI15</f>
        <v/>
      </c>
    </row>
    <row r="13">
      <c r="B13" s="2" t="inlineStr">
        <is>
          <t>Exit EV at the end of the exit year (DCF at the exit rate)</t>
        </is>
      </c>
      <c r="C13" s="19">
        <f>SUMPRODUCT((Returns!$D$3:$AI$3&gt;i_exit_year)*(Returns!$D$3:$AI$3&lt;=i_last)*Platform!$D$16:$AI$16/(1+Price!$C$11)^(Returns!$D$3:$AI$3-i_exit_year))+Platform!$AI$16/(Price!$C$11-i_g)/(1+Price!$C$11)^(i_last-i_exit_year)</f>
        <v/>
      </c>
    </row>
    <row r="14">
      <c r="B14" s="2" t="inlineStr">
        <is>
          <t>Debt at exit (bullets)</t>
        </is>
      </c>
      <c r="C14" s="19">
        <f>Financing!$C$11+Financing!$C$12</f>
        <v/>
      </c>
    </row>
    <row r="15">
      <c r="B15" s="3" t="inlineStr">
        <is>
          <t>Equity value at exit</t>
        </is>
      </c>
      <c r="C15" s="31">
        <f>Returns!$C$13-Returns!$C$14</f>
        <v/>
      </c>
    </row>
    <row r="16">
      <c r="B16" s="2" t="inlineStr">
        <is>
          <t>Minority option: EV at the end of 2031 (minority buyer's rate)</t>
        </is>
      </c>
      <c r="C16" s="19">
        <f>SUMPRODUCT((Returns!$D$3:$AI$3&gt;i_min_year)*(Returns!$D$3:$AI$3&lt;=i_last)*Platform!$D$16:$AI$16/(1+i_min_r)^(Returns!$D$3:$AI$3-i_min_year))+Platform!$AI$16/(i_min_r-i_g)/(1+i_min_r)^(i_last-i_min_year)</f>
        <v/>
      </c>
    </row>
    <row r="17">
      <c r="B17" s="2" t="inlineStr">
        <is>
          <t>Minority option: equity value in 2031</t>
        </is>
      </c>
      <c r="C17" s="19">
        <f>Returns!$C$16-Returns!$C$14</f>
        <v/>
      </c>
    </row>
    <row r="18">
      <c r="B18" s="2" t="inlineStr">
        <is>
          <t>Minority option: proceeds of the 49 percent sold</t>
        </is>
      </c>
      <c r="C18" s="19">
        <f>Price!$C$10*i_min_share*Returns!$C$17*(1-i_min_disc)</f>
        <v/>
      </c>
    </row>
    <row r="19">
      <c r="B19" s="4" t="inlineStr">
        <is>
          <t>Time of each flow (years after 31 December 2026)</t>
        </is>
      </c>
      <c r="D19" s="28">
        <f>D$4</f>
        <v/>
      </c>
      <c r="E19" s="28">
        <f>E$4</f>
        <v/>
      </c>
      <c r="F19" s="28">
        <f>F$4</f>
        <v/>
      </c>
      <c r="G19" s="28">
        <f>G$4</f>
        <v/>
      </c>
      <c r="H19" s="28">
        <f>H$4</f>
        <v/>
      </c>
      <c r="I19" s="28">
        <f>I$4</f>
        <v/>
      </c>
      <c r="J19" s="28">
        <f>J$4</f>
        <v/>
      </c>
      <c r="K19" s="28">
        <f>K$4</f>
        <v/>
      </c>
      <c r="L19" s="28">
        <f>L$4</f>
        <v/>
      </c>
      <c r="M19" s="28">
        <f>M$4</f>
        <v/>
      </c>
      <c r="N19" s="28">
        <f>N$4</f>
        <v/>
      </c>
      <c r="O19" s="28">
        <f>O$4</f>
        <v/>
      </c>
      <c r="P19" s="28">
        <f>P$4</f>
        <v/>
      </c>
      <c r="Q19" s="28">
        <f>Q$4</f>
        <v/>
      </c>
      <c r="R19" s="28">
        <f>R$4</f>
        <v/>
      </c>
      <c r="S19" s="28">
        <f>S$4</f>
        <v/>
      </c>
      <c r="T19" s="28">
        <f>T$4</f>
        <v/>
      </c>
      <c r="U19" s="28">
        <f>U$4</f>
        <v/>
      </c>
      <c r="V19" s="28">
        <f>V$4</f>
        <v/>
      </c>
      <c r="W19" s="28">
        <f>W$4</f>
        <v/>
      </c>
      <c r="X19" s="28">
        <f>X$4</f>
        <v/>
      </c>
      <c r="Y19" s="28">
        <f>Y$4</f>
        <v/>
      </c>
      <c r="Z19" s="28">
        <f>Z$4</f>
        <v/>
      </c>
      <c r="AA19" s="28">
        <f>AA$4</f>
        <v/>
      </c>
      <c r="AB19" s="28">
        <f>AB$4</f>
        <v/>
      </c>
      <c r="AC19" s="28">
        <f>AC$4</f>
        <v/>
      </c>
      <c r="AD19" s="28">
        <f>AD$4</f>
        <v/>
      </c>
      <c r="AE19" s="28">
        <f>AE$4</f>
        <v/>
      </c>
      <c r="AF19" s="28">
        <f>AF$4</f>
        <v/>
      </c>
      <c r="AG19" s="28">
        <f>AG$4</f>
        <v/>
      </c>
      <c r="AH19" s="28">
        <f>AH$4</f>
        <v/>
      </c>
      <c r="AI19" s="28">
        <f>AI$4</f>
        <v/>
      </c>
      <c r="AJ19" s="28">
        <f>Price!$C$8</f>
        <v/>
      </c>
      <c r="AK19" s="28">
        <f>i_min_year-i_base_year</f>
        <v/>
      </c>
      <c r="AL19" s="28">
        <f>i_exit_year-i_base_year</f>
        <v/>
      </c>
    </row>
    <row r="20">
      <c r="B20" s="3" t="inlineStr">
        <is>
          <t>Levered flows (equity)</t>
        </is>
      </c>
      <c r="D20" s="31">
        <f>D7*D12*IF(AND(Price!$C$10=1,D19&gt;$AK$19+1E-9),1-i_min_share,1)</f>
        <v/>
      </c>
      <c r="E20" s="31">
        <f>E7*E12*IF(AND(Price!$C$10=1,E19&gt;$AK$19+1E-9),1-i_min_share,1)</f>
        <v/>
      </c>
      <c r="F20" s="31">
        <f>F7*F12*IF(AND(Price!$C$10=1,F19&gt;$AK$19+1E-9),1-i_min_share,1)</f>
        <v/>
      </c>
      <c r="G20" s="31">
        <f>G7*G12*IF(AND(Price!$C$10=1,G19&gt;$AK$19+1E-9),1-i_min_share,1)</f>
        <v/>
      </c>
      <c r="H20" s="31">
        <f>H7*H12*IF(AND(Price!$C$10=1,H19&gt;$AK$19+1E-9),1-i_min_share,1)</f>
        <v/>
      </c>
      <c r="I20" s="31">
        <f>I7*I12*IF(AND(Price!$C$10=1,I19&gt;$AK$19+1E-9),1-i_min_share,1)</f>
        <v/>
      </c>
      <c r="J20" s="31">
        <f>J7*J12*IF(AND(Price!$C$10=1,J19&gt;$AK$19+1E-9),1-i_min_share,1)</f>
        <v/>
      </c>
      <c r="K20" s="31">
        <f>K7*K12*IF(AND(Price!$C$10=1,K19&gt;$AK$19+1E-9),1-i_min_share,1)</f>
        <v/>
      </c>
      <c r="L20" s="31">
        <f>L7*L12*IF(AND(Price!$C$10=1,L19&gt;$AK$19+1E-9),1-i_min_share,1)</f>
        <v/>
      </c>
      <c r="M20" s="31">
        <f>M7*M12*IF(AND(Price!$C$10=1,M19&gt;$AK$19+1E-9),1-i_min_share,1)</f>
        <v/>
      </c>
      <c r="N20" s="31">
        <f>N7*N12*IF(AND(Price!$C$10=1,N19&gt;$AK$19+1E-9),1-i_min_share,1)</f>
        <v/>
      </c>
      <c r="O20" s="31">
        <f>O7*O12*IF(AND(Price!$C$10=1,O19&gt;$AK$19+1E-9),1-i_min_share,1)</f>
        <v/>
      </c>
      <c r="P20" s="31">
        <f>P7*P12*IF(AND(Price!$C$10=1,P19&gt;$AK$19+1E-9),1-i_min_share,1)</f>
        <v/>
      </c>
      <c r="Q20" s="31">
        <f>Q7*Q12*IF(AND(Price!$C$10=1,Q19&gt;$AK$19+1E-9),1-i_min_share,1)</f>
        <v/>
      </c>
      <c r="R20" s="31">
        <f>R7*R12*IF(AND(Price!$C$10=1,R19&gt;$AK$19+1E-9),1-i_min_share,1)</f>
        <v/>
      </c>
      <c r="S20" s="31">
        <f>S7*S12*IF(AND(Price!$C$10=1,S19&gt;$AK$19+1E-9),1-i_min_share,1)</f>
        <v/>
      </c>
      <c r="T20" s="31">
        <f>T7*T12*IF(AND(Price!$C$10=1,T19&gt;$AK$19+1E-9),1-i_min_share,1)</f>
        <v/>
      </c>
      <c r="U20" s="31">
        <f>U7*U12*IF(AND(Price!$C$10=1,U19&gt;$AK$19+1E-9),1-i_min_share,1)</f>
        <v/>
      </c>
      <c r="V20" s="31">
        <f>V7*V12*IF(AND(Price!$C$10=1,V19&gt;$AK$19+1E-9),1-i_min_share,1)</f>
        <v/>
      </c>
      <c r="W20" s="31">
        <f>W7*W12*IF(AND(Price!$C$10=1,W19&gt;$AK$19+1E-9),1-i_min_share,1)</f>
        <v/>
      </c>
      <c r="X20" s="31">
        <f>X7*X12*IF(AND(Price!$C$10=1,X19&gt;$AK$19+1E-9),1-i_min_share,1)</f>
        <v/>
      </c>
      <c r="Y20" s="31">
        <f>Y7*Y12*IF(AND(Price!$C$10=1,Y19&gt;$AK$19+1E-9),1-i_min_share,1)</f>
        <v/>
      </c>
      <c r="Z20" s="31">
        <f>Z7*Z12*IF(AND(Price!$C$10=1,Z19&gt;$AK$19+1E-9),1-i_min_share,1)</f>
        <v/>
      </c>
      <c r="AA20" s="31">
        <f>AA7*AA12*IF(AND(Price!$C$10=1,AA19&gt;$AK$19+1E-9),1-i_min_share,1)</f>
        <v/>
      </c>
      <c r="AB20" s="31">
        <f>AB7*AB12*IF(AND(Price!$C$10=1,AB19&gt;$AK$19+1E-9),1-i_min_share,1)</f>
        <v/>
      </c>
      <c r="AC20" s="31">
        <f>AC7*AC12*IF(AND(Price!$C$10=1,AC19&gt;$AK$19+1E-9),1-i_min_share,1)</f>
        <v/>
      </c>
      <c r="AD20" s="31">
        <f>AD7*AD12*IF(AND(Price!$C$10=1,AD19&gt;$AK$19+1E-9),1-i_min_share,1)</f>
        <v/>
      </c>
      <c r="AE20" s="31">
        <f>AE7*AE12*IF(AND(Price!$C$10=1,AE19&gt;$AK$19+1E-9),1-i_min_share,1)</f>
        <v/>
      </c>
      <c r="AF20" s="31">
        <f>AF7*AF12*IF(AND(Price!$C$10=1,AF19&gt;$AK$19+1E-9),1-i_min_share,1)</f>
        <v/>
      </c>
      <c r="AG20" s="31">
        <f>AG7*AG12*IF(AND(Price!$C$10=1,AG19&gt;$AK$19+1E-9),1-i_min_share,1)</f>
        <v/>
      </c>
      <c r="AH20" s="31">
        <f>AH7*AH12*IF(AND(Price!$C$10=1,AH19&gt;$AK$19+1E-9),1-i_min_share,1)</f>
        <v/>
      </c>
      <c r="AI20" s="31">
        <f>AI7*AI12*IF(AND(Price!$C$10=1,AI19&gt;$AK$19+1E-9),1-i_min_share,1)</f>
        <v/>
      </c>
      <c r="AJ20" s="31">
        <f>-Financing!$C$31</f>
        <v/>
      </c>
      <c r="AK20" s="31">
        <f>Returns!$C$18</f>
        <v/>
      </c>
      <c r="AL20" s="31">
        <f>Returns!$C$15*IF(Price!$C$10=1,1-i_min_share,1)</f>
        <v/>
      </c>
    </row>
    <row r="21">
      <c r="B21" s="3" t="inlineStr">
        <is>
          <t>Unlevered flows (before financing)</t>
        </is>
      </c>
      <c r="D21" s="31">
        <f>D7*Platform!D16</f>
        <v/>
      </c>
      <c r="E21" s="31">
        <f>E7*Platform!E16</f>
        <v/>
      </c>
      <c r="F21" s="31">
        <f>F7*Platform!F16</f>
        <v/>
      </c>
      <c r="G21" s="31">
        <f>G7*Platform!G16</f>
        <v/>
      </c>
      <c r="H21" s="31">
        <f>H7*Platform!H16</f>
        <v/>
      </c>
      <c r="I21" s="31">
        <f>I7*Platform!I16</f>
        <v/>
      </c>
      <c r="J21" s="31">
        <f>J7*Platform!J16</f>
        <v/>
      </c>
      <c r="K21" s="31">
        <f>K7*Platform!K16</f>
        <v/>
      </c>
      <c r="L21" s="31">
        <f>L7*Platform!L16</f>
        <v/>
      </c>
      <c r="M21" s="31">
        <f>M7*Platform!M16</f>
        <v/>
      </c>
      <c r="N21" s="31">
        <f>N7*Platform!N16</f>
        <v/>
      </c>
      <c r="O21" s="31">
        <f>O7*Platform!O16</f>
        <v/>
      </c>
      <c r="P21" s="31">
        <f>P7*Platform!P16</f>
        <v/>
      </c>
      <c r="Q21" s="31">
        <f>Q7*Platform!Q16</f>
        <v/>
      </c>
      <c r="R21" s="31">
        <f>R7*Platform!R16</f>
        <v/>
      </c>
      <c r="S21" s="31">
        <f>S7*Platform!S16</f>
        <v/>
      </c>
      <c r="T21" s="31">
        <f>T7*Platform!T16</f>
        <v/>
      </c>
      <c r="U21" s="31">
        <f>U7*Platform!U16</f>
        <v/>
      </c>
      <c r="V21" s="31">
        <f>V7*Platform!V16</f>
        <v/>
      </c>
      <c r="W21" s="31">
        <f>W7*Platform!W16</f>
        <v/>
      </c>
      <c r="X21" s="31">
        <f>X7*Platform!X16</f>
        <v/>
      </c>
      <c r="Y21" s="31">
        <f>Y7*Platform!Y16</f>
        <v/>
      </c>
      <c r="Z21" s="31">
        <f>Z7*Platform!Z16</f>
        <v/>
      </c>
      <c r="AA21" s="31">
        <f>AA7*Platform!AA16</f>
        <v/>
      </c>
      <c r="AB21" s="31">
        <f>AB7*Platform!AB16</f>
        <v/>
      </c>
      <c r="AC21" s="31">
        <f>AC7*Platform!AC16</f>
        <v/>
      </c>
      <c r="AD21" s="31">
        <f>AD7*Platform!AD16</f>
        <v/>
      </c>
      <c r="AE21" s="31">
        <f>AE7*Platform!AE16</f>
        <v/>
      </c>
      <c r="AF21" s="31">
        <f>AF7*Platform!AF16</f>
        <v/>
      </c>
      <c r="AG21" s="31">
        <f>AG7*Platform!AG16</f>
        <v/>
      </c>
      <c r="AH21" s="31">
        <f>AH7*Platform!AH16</f>
        <v/>
      </c>
      <c r="AI21" s="31">
        <f>AI7*Platform!AI16</f>
        <v/>
      </c>
      <c r="AJ21" s="31">
        <f>-(Financing!$C$26-Price!$C$27-Financing!$C$16)</f>
        <v/>
      </c>
      <c r="AK21" s="19" t="n">
        <v>0</v>
      </c>
      <c r="AL21" s="31">
        <f>Returns!$C$13</f>
        <v/>
      </c>
    </row>
    <row r="22">
      <c r="B22" s="4" t="inlineStr">
        <is>
          <t>Levered IRR (Newton steps from 10 percent)</t>
        </is>
      </c>
      <c r="D22" s="38" t="n">
        <v>0.1</v>
      </c>
      <c r="E22" s="40">
        <f>D22-SUMPRODUCT($D$20:$AL$20,(1+D22)^(-$D$19:$AL$19))/SUMPRODUCT($D$20:$AL$20*(-$D$19:$AL$19),(1+D22)^(-$D$19:$AL$19-1))</f>
        <v/>
      </c>
      <c r="F22" s="40">
        <f>E22-SUMPRODUCT($D$20:$AL$20,(1+E22)^(-$D$19:$AL$19))/SUMPRODUCT($D$20:$AL$20*(-$D$19:$AL$19),(1+E22)^(-$D$19:$AL$19-1))</f>
        <v/>
      </c>
      <c r="G22" s="40">
        <f>F22-SUMPRODUCT($D$20:$AL$20,(1+F22)^(-$D$19:$AL$19))/SUMPRODUCT($D$20:$AL$20*(-$D$19:$AL$19),(1+F22)^(-$D$19:$AL$19-1))</f>
        <v/>
      </c>
      <c r="H22" s="40">
        <f>G22-SUMPRODUCT($D$20:$AL$20,(1+G22)^(-$D$19:$AL$19))/SUMPRODUCT($D$20:$AL$20*(-$D$19:$AL$19),(1+G22)^(-$D$19:$AL$19-1))</f>
        <v/>
      </c>
      <c r="I22" s="40">
        <f>H22-SUMPRODUCT($D$20:$AL$20,(1+H22)^(-$D$19:$AL$19))/SUMPRODUCT($D$20:$AL$20*(-$D$19:$AL$19),(1+H22)^(-$D$19:$AL$19-1))</f>
        <v/>
      </c>
      <c r="J22" s="40">
        <f>I22-SUMPRODUCT($D$20:$AL$20,(1+I22)^(-$D$19:$AL$19))/SUMPRODUCT($D$20:$AL$20*(-$D$19:$AL$19),(1+I22)^(-$D$19:$AL$19-1))</f>
        <v/>
      </c>
      <c r="K22" s="40">
        <f>J22-SUMPRODUCT($D$20:$AL$20,(1+J22)^(-$D$19:$AL$19))/SUMPRODUCT($D$20:$AL$20*(-$D$19:$AL$19),(1+J22)^(-$D$19:$AL$19-1))</f>
        <v/>
      </c>
      <c r="L22" s="40">
        <f>K22-SUMPRODUCT($D$20:$AL$20,(1+K22)^(-$D$19:$AL$19))/SUMPRODUCT($D$20:$AL$20*(-$D$19:$AL$19),(1+K22)^(-$D$19:$AL$19-1))</f>
        <v/>
      </c>
      <c r="M22" s="40">
        <f>L22-SUMPRODUCT($D$20:$AL$20,(1+L22)^(-$D$19:$AL$19))/SUMPRODUCT($D$20:$AL$20*(-$D$19:$AL$19),(1+L22)^(-$D$19:$AL$19-1))</f>
        <v/>
      </c>
      <c r="N22" s="40">
        <f>M22-SUMPRODUCT($D$20:$AL$20,(1+M22)^(-$D$19:$AL$19))/SUMPRODUCT($D$20:$AL$20*(-$D$19:$AL$19),(1+M22)^(-$D$19:$AL$19-1))</f>
        <v/>
      </c>
      <c r="O22" s="40">
        <f>N22-SUMPRODUCT($D$20:$AL$20,(1+N22)^(-$D$19:$AL$19))/SUMPRODUCT($D$20:$AL$20*(-$D$19:$AL$19),(1+N22)^(-$D$19:$AL$19-1))</f>
        <v/>
      </c>
      <c r="P22" s="40">
        <f>O22-SUMPRODUCT($D$20:$AL$20,(1+O22)^(-$D$19:$AL$19))/SUMPRODUCT($D$20:$AL$20*(-$D$19:$AL$19),(1+O22)^(-$D$19:$AL$19-1))</f>
        <v/>
      </c>
      <c r="Q22" s="40">
        <f>P22-SUMPRODUCT($D$20:$AL$20,(1+P22)^(-$D$19:$AL$19))/SUMPRODUCT($D$20:$AL$20*(-$D$19:$AL$19),(1+P22)^(-$D$19:$AL$19-1))</f>
        <v/>
      </c>
      <c r="R22" s="40">
        <f>Q22-SUMPRODUCT($D$20:$AL$20,(1+Q22)^(-$D$19:$AL$19))/SUMPRODUCT($D$20:$AL$20*(-$D$19:$AL$19),(1+Q22)^(-$D$19:$AL$19-1))</f>
        <v/>
      </c>
    </row>
    <row r="23">
      <c r="B23" s="4" t="inlineStr">
        <is>
          <t>Unlevered IRR (Newton steps from 10 percent)</t>
        </is>
      </c>
      <c r="D23" s="38" t="n">
        <v>0.1</v>
      </c>
      <c r="E23" s="40">
        <f>D23-SUMPRODUCT($D$21:$AL$21,(1+D23)^(-$D$19:$AL$19))/SUMPRODUCT($D$21:$AL$21*(-$D$19:$AL$19),(1+D23)^(-$D$19:$AL$19-1))</f>
        <v/>
      </c>
      <c r="F23" s="40">
        <f>E23-SUMPRODUCT($D$21:$AL$21,(1+E23)^(-$D$19:$AL$19))/SUMPRODUCT($D$21:$AL$21*(-$D$19:$AL$19),(1+E23)^(-$D$19:$AL$19-1))</f>
        <v/>
      </c>
      <c r="G23" s="40">
        <f>F23-SUMPRODUCT($D$21:$AL$21,(1+F23)^(-$D$19:$AL$19))/SUMPRODUCT($D$21:$AL$21*(-$D$19:$AL$19),(1+F23)^(-$D$19:$AL$19-1))</f>
        <v/>
      </c>
      <c r="H23" s="40">
        <f>G23-SUMPRODUCT($D$21:$AL$21,(1+G23)^(-$D$19:$AL$19))/SUMPRODUCT($D$21:$AL$21*(-$D$19:$AL$19),(1+G23)^(-$D$19:$AL$19-1))</f>
        <v/>
      </c>
      <c r="I23" s="40">
        <f>H23-SUMPRODUCT($D$21:$AL$21,(1+H23)^(-$D$19:$AL$19))/SUMPRODUCT($D$21:$AL$21*(-$D$19:$AL$19),(1+H23)^(-$D$19:$AL$19-1))</f>
        <v/>
      </c>
      <c r="J23" s="40">
        <f>I23-SUMPRODUCT($D$21:$AL$21,(1+I23)^(-$D$19:$AL$19))/SUMPRODUCT($D$21:$AL$21*(-$D$19:$AL$19),(1+I23)^(-$D$19:$AL$19-1))</f>
        <v/>
      </c>
      <c r="K23" s="40">
        <f>J23-SUMPRODUCT($D$21:$AL$21,(1+J23)^(-$D$19:$AL$19))/SUMPRODUCT($D$21:$AL$21*(-$D$19:$AL$19),(1+J23)^(-$D$19:$AL$19-1))</f>
        <v/>
      </c>
      <c r="L23" s="40">
        <f>K23-SUMPRODUCT($D$21:$AL$21,(1+K23)^(-$D$19:$AL$19))/SUMPRODUCT($D$21:$AL$21*(-$D$19:$AL$19),(1+K23)^(-$D$19:$AL$19-1))</f>
        <v/>
      </c>
      <c r="M23" s="40">
        <f>L23-SUMPRODUCT($D$21:$AL$21,(1+L23)^(-$D$19:$AL$19))/SUMPRODUCT($D$21:$AL$21*(-$D$19:$AL$19),(1+L23)^(-$D$19:$AL$19-1))</f>
        <v/>
      </c>
      <c r="N23" s="40">
        <f>M23-SUMPRODUCT($D$21:$AL$21,(1+M23)^(-$D$19:$AL$19))/SUMPRODUCT($D$21:$AL$21*(-$D$19:$AL$19),(1+M23)^(-$D$19:$AL$19-1))</f>
        <v/>
      </c>
      <c r="O23" s="40">
        <f>N23-SUMPRODUCT($D$21:$AL$21,(1+N23)^(-$D$19:$AL$19))/SUMPRODUCT($D$21:$AL$21*(-$D$19:$AL$19),(1+N23)^(-$D$19:$AL$19-1))</f>
        <v/>
      </c>
      <c r="P23" s="40">
        <f>O23-SUMPRODUCT($D$21:$AL$21,(1+O23)^(-$D$19:$AL$19))/SUMPRODUCT($D$21:$AL$21*(-$D$19:$AL$19),(1+O23)^(-$D$19:$AL$19-1))</f>
        <v/>
      </c>
      <c r="Q23" s="40">
        <f>P23-SUMPRODUCT($D$21:$AL$21,(1+P23)^(-$D$19:$AL$19))/SUMPRODUCT($D$21:$AL$21*(-$D$19:$AL$19),(1+P23)^(-$D$19:$AL$19-1))</f>
        <v/>
      </c>
      <c r="R23" s="40">
        <f>Q23-SUMPRODUCT($D$21:$AL$21,(1+Q23)^(-$D$19:$AL$19))/SUMPRODUCT($D$21:$AL$21*(-$D$19:$AL$19),(1+Q23)^(-$D$19:$AL$19-1))</f>
        <v/>
      </c>
    </row>
    <row r="24">
      <c r="B24" s="3" t="inlineStr">
        <is>
          <t>Levered IRR (equity)</t>
        </is>
      </c>
      <c r="C24" s="33">
        <f>R22</f>
        <v/>
      </c>
    </row>
    <row r="25">
      <c r="B25" s="3" t="inlineStr">
        <is>
          <t>Unlevered IRR</t>
        </is>
      </c>
      <c r="C25" s="33">
        <f>R23</f>
        <v/>
      </c>
    </row>
    <row r="26">
      <c r="B26" s="2" t="inlineStr">
        <is>
          <t>Check: levered NPV at the levered IRR</t>
        </is>
      </c>
      <c r="C26" s="41">
        <f>SUMPRODUCT($D$20:$AL$20,(1+Returns!$C$24)^(-$D$19:$AL$19))</f>
        <v/>
      </c>
    </row>
    <row r="27">
      <c r="B27" s="2" t="inlineStr">
        <is>
          <t>Check: unlevered NPV at the unlevered IRR</t>
        </is>
      </c>
      <c r="C27" s="41">
        <f>SUMPRODUCT($D$21:$AL$21,(1+Returns!$C$25)^(-$D$19:$AL$19))</f>
        <v/>
      </c>
    </row>
    <row r="28">
      <c r="B28" s="2" t="inlineStr">
        <is>
          <t>Money multiple (cash in over cash out)</t>
        </is>
      </c>
      <c r="C28" s="37">
        <f>SUMIF($D$20:$AL$20,"&gt;0")/-SUMIF($D$20:$AL$20,"&lt;0")</f>
        <v/>
      </c>
    </row>
    <row r="29">
      <c r="B29" s="2" t="inlineStr">
        <is>
          <t>Present value at the target IRR of the flows after closing</t>
        </is>
      </c>
      <c r="C29" s="19">
        <f>SUMPRODUCT($D$20:$AL$20,(1+i_hurdle)^(-$D$19:$AL$19))+Financing!$C$31*(1+i_hurdle)^(-Price!$C$8)</f>
        <v/>
      </c>
    </row>
    <row r="30">
      <c r="B30" s="2" t="inlineStr">
        <is>
          <t>Equity cheque that gives exactly the target IRR</t>
        </is>
      </c>
      <c r="C30" s="19">
        <f>Returns!$C$29*(1+i_hurdle)^Price!$C$8</f>
        <v/>
      </c>
    </row>
    <row r="31">
      <c r="B31" s="2" t="inlineStr">
        <is>
          <t>EV less equity price (fixed bridge items)</t>
        </is>
      </c>
      <c r="C31" s="19">
        <f>Price!$C$13-Price!$C$19</f>
        <v/>
      </c>
    </row>
    <row r="32">
      <c r="B32" s="2" t="inlineStr">
        <is>
          <t>Equity cheque items that do not move with the price</t>
        </is>
      </c>
      <c r="C32" s="19">
        <f>Financing!$C$21+Price!$C$16+i_costs_adv+Financing!$C$16+Financing!$C$17-Financing!$C$11-Financing!$C$12-Price!$C$27</f>
        <v/>
      </c>
    </row>
    <row r="33">
      <c r="B33" s="2" t="inlineStr">
        <is>
          <t>Walk-away EV, first pass (HSR fee at the bid)</t>
        </is>
      </c>
      <c r="C33" s="19">
        <f>(Returns!$C$30-Returns!$C$32-Financing!$C$14+Returns!$C$31*(1+i_ticking*Price!$C$8))/(1+i_ticking*Price!$C$8+i_wi_limit_pct*i_wi_rol*(1+i_wi_ipt))</f>
        <v/>
      </c>
    </row>
    <row r="34">
      <c r="B34" s="3" t="inlineStr">
        <is>
          <t>Walk-away EV (highest EV at the target IRR)</t>
        </is>
      </c>
      <c r="C34" s="31">
        <f>(Returns!$C$30-Returns!$C$32-IF(Returns!$C$33-Returns!$C$31&lt;INDEX(i_hsr_lo,1),0,LOOKUP(Returns!$C$33-Returns!$C$31,i_hsr_lo,i_hsr_fee))+Returns!$C$31*(1+i_ticking*Price!$C$8))/(1+i_ticking*Price!$C$8+i_wi_limit_pct*i_wi_rol*(1+i_wi_ipt))</f>
        <v/>
      </c>
    </row>
    <row r="36">
      <c r="B36" s="5" t="inlineStr">
        <is>
          <t>Exit and leverage</t>
        </is>
      </c>
    </row>
    <row r="37">
      <c r="B37" s="2" t="inlineStr">
        <is>
          <t>Exit EV / 2037 EBITDA</t>
        </is>
      </c>
      <c r="C37" s="32">
        <f>Returns!$C$13/Platform!$O$10</f>
        <v/>
      </c>
    </row>
    <row r="38">
      <c r="B38" s="2" t="inlineStr">
        <is>
          <t>Entry: bid EV / 2027 EBITDA</t>
        </is>
      </c>
      <c r="C38" s="32">
        <f>i_bid_ev/Platform!$E$10</f>
        <v/>
      </c>
    </row>
    <row r="39">
      <c r="B39" s="2" t="inlineStr">
        <is>
          <t>Leverage adds (levered less unlevered IRR)</t>
        </is>
      </c>
      <c r="C39" s="23">
        <f>Returns!$C$24-Returns!$C$25</f>
        <v/>
      </c>
    </row>
    <row r="40">
      <c r="B40" s="2" t="inlineStr">
        <is>
          <t>Walk-away EV / 2026 EBITDA</t>
        </is>
      </c>
      <c r="C40" s="32">
        <f>Returns!$C$34/Platform!$D$10</f>
        <v/>
      </c>
    </row>
    <row r="41">
      <c r="B41" s="2" t="inlineStr">
        <is>
          <t>Headroom: walk-away EV less the bid</t>
        </is>
      </c>
      <c r="C41" s="19">
        <f>Returns!$C$34-i_bid_ev</f>
        <v/>
      </c>
    </row>
    <row r="43">
      <c r="B43" s="5" t="inlineStr">
        <is>
          <t>Walk-away price by bisection: each row halves the interval; no Goal Seek</t>
        </is>
      </c>
    </row>
    <row r="44">
      <c r="B44" s="3" t="inlineStr">
        <is>
          <t>Step</t>
        </is>
      </c>
      <c r="C44" s="3" t="inlineStr">
        <is>
          <t>Low EV</t>
        </is>
      </c>
      <c r="D44" s="3" t="inlineStr">
        <is>
          <t>High EV</t>
        </is>
      </c>
      <c r="E44" s="3" t="inlineStr">
        <is>
          <t>Mid EV</t>
        </is>
      </c>
      <c r="F44" s="3" t="inlineStr">
        <is>
          <t>Equity price</t>
        </is>
      </c>
      <c r="G44" s="3" t="inlineStr">
        <is>
          <t>HSR fee</t>
        </is>
      </c>
      <c r="H44" s="3" t="inlineStr">
        <is>
          <t>Equity cheque</t>
        </is>
      </c>
      <c r="I44" s="3" t="inlineStr">
        <is>
          <t>NPV at the target IRR</t>
        </is>
      </c>
    </row>
    <row r="45">
      <c r="B45" s="22" t="n">
        <v>1</v>
      </c>
      <c r="C45" s="19">
        <f>i_bis_lo</f>
        <v/>
      </c>
      <c r="D45" s="19">
        <f>i_bis_hi</f>
        <v/>
      </c>
      <c r="E45" s="42">
        <f>(C45+D45)/2</f>
        <v/>
      </c>
      <c r="F45" s="19">
        <f>E45-Returns!$C$31</f>
        <v/>
      </c>
      <c r="G45" s="39">
        <f>IF(F45&lt;INDEX(i_hsr_lo,1),0,LOOKUP(F45,i_hsr_lo,i_hsr_fee))</f>
        <v/>
      </c>
      <c r="H45" s="19">
        <f>F45*(1+i_ticking*Price!$C$8)+i_wi_limit_pct*i_wi_rol*(1+i_wi_ipt)*E45+Returns!$C$32+G45</f>
        <v/>
      </c>
      <c r="I45" s="42">
        <f>(Returns!$C$29)-H45*(1+i_hurdle)^(-Price!$C$8)</f>
        <v/>
      </c>
    </row>
    <row r="46">
      <c r="B46" s="22" t="n">
        <v>2</v>
      </c>
      <c r="C46" s="19">
        <f>IF(I45&gt;0,E45,C45)</f>
        <v/>
      </c>
      <c r="D46" s="19">
        <f>IF(I45&gt;0,D45,E45)</f>
        <v/>
      </c>
      <c r="E46" s="42">
        <f>(C46+D46)/2</f>
        <v/>
      </c>
      <c r="F46" s="19">
        <f>E46-Returns!$C$31</f>
        <v/>
      </c>
      <c r="G46" s="39">
        <f>IF(F46&lt;INDEX(i_hsr_lo,1),0,LOOKUP(F46,i_hsr_lo,i_hsr_fee))</f>
        <v/>
      </c>
      <c r="H46" s="19">
        <f>F46*(1+i_ticking*Price!$C$8)+i_wi_limit_pct*i_wi_rol*(1+i_wi_ipt)*E46+Returns!$C$32+G46</f>
        <v/>
      </c>
      <c r="I46" s="42">
        <f>(Returns!$C$29)-H46*(1+i_hurdle)^(-Price!$C$8)</f>
        <v/>
      </c>
    </row>
    <row r="47">
      <c r="B47" s="22" t="n">
        <v>3</v>
      </c>
      <c r="C47" s="19">
        <f>IF(I46&gt;0,E46,C46)</f>
        <v/>
      </c>
      <c r="D47" s="19">
        <f>IF(I46&gt;0,D46,E46)</f>
        <v/>
      </c>
      <c r="E47" s="42">
        <f>(C47+D47)/2</f>
        <v/>
      </c>
      <c r="F47" s="19">
        <f>E47-Returns!$C$31</f>
        <v/>
      </c>
      <c r="G47" s="39">
        <f>IF(F47&lt;INDEX(i_hsr_lo,1),0,LOOKUP(F47,i_hsr_lo,i_hsr_fee))</f>
        <v/>
      </c>
      <c r="H47" s="19">
        <f>F47*(1+i_ticking*Price!$C$8)+i_wi_limit_pct*i_wi_rol*(1+i_wi_ipt)*E47+Returns!$C$32+G47</f>
        <v/>
      </c>
      <c r="I47" s="42">
        <f>(Returns!$C$29)-H47*(1+i_hurdle)^(-Price!$C$8)</f>
        <v/>
      </c>
    </row>
    <row r="48">
      <c r="B48" s="22" t="n">
        <v>4</v>
      </c>
      <c r="C48" s="19">
        <f>IF(I47&gt;0,E47,C47)</f>
        <v/>
      </c>
      <c r="D48" s="19">
        <f>IF(I47&gt;0,D47,E47)</f>
        <v/>
      </c>
      <c r="E48" s="42">
        <f>(C48+D48)/2</f>
        <v/>
      </c>
      <c r="F48" s="19">
        <f>E48-Returns!$C$31</f>
        <v/>
      </c>
      <c r="G48" s="39">
        <f>IF(F48&lt;INDEX(i_hsr_lo,1),0,LOOKUP(F48,i_hsr_lo,i_hsr_fee))</f>
        <v/>
      </c>
      <c r="H48" s="19">
        <f>F48*(1+i_ticking*Price!$C$8)+i_wi_limit_pct*i_wi_rol*(1+i_wi_ipt)*E48+Returns!$C$32+G48</f>
        <v/>
      </c>
      <c r="I48" s="42">
        <f>(Returns!$C$29)-H48*(1+i_hurdle)^(-Price!$C$8)</f>
        <v/>
      </c>
    </row>
    <row r="49">
      <c r="B49" s="22" t="n">
        <v>5</v>
      </c>
      <c r="C49" s="19">
        <f>IF(I48&gt;0,E48,C48)</f>
        <v/>
      </c>
      <c r="D49" s="19">
        <f>IF(I48&gt;0,D48,E48)</f>
        <v/>
      </c>
      <c r="E49" s="42">
        <f>(C49+D49)/2</f>
        <v/>
      </c>
      <c r="F49" s="19">
        <f>E49-Returns!$C$31</f>
        <v/>
      </c>
      <c r="G49" s="39">
        <f>IF(F49&lt;INDEX(i_hsr_lo,1),0,LOOKUP(F49,i_hsr_lo,i_hsr_fee))</f>
        <v/>
      </c>
      <c r="H49" s="19">
        <f>F49*(1+i_ticking*Price!$C$8)+i_wi_limit_pct*i_wi_rol*(1+i_wi_ipt)*E49+Returns!$C$32+G49</f>
        <v/>
      </c>
      <c r="I49" s="42">
        <f>(Returns!$C$29)-H49*(1+i_hurdle)^(-Price!$C$8)</f>
        <v/>
      </c>
    </row>
    <row r="50">
      <c r="B50" s="22" t="n">
        <v>6</v>
      </c>
      <c r="C50" s="19">
        <f>IF(I49&gt;0,E49,C49)</f>
        <v/>
      </c>
      <c r="D50" s="19">
        <f>IF(I49&gt;0,D49,E49)</f>
        <v/>
      </c>
      <c r="E50" s="42">
        <f>(C50+D50)/2</f>
        <v/>
      </c>
      <c r="F50" s="19">
        <f>E50-Returns!$C$31</f>
        <v/>
      </c>
      <c r="G50" s="39">
        <f>IF(F50&lt;INDEX(i_hsr_lo,1),0,LOOKUP(F50,i_hsr_lo,i_hsr_fee))</f>
        <v/>
      </c>
      <c r="H50" s="19">
        <f>F50*(1+i_ticking*Price!$C$8)+i_wi_limit_pct*i_wi_rol*(1+i_wi_ipt)*E50+Returns!$C$32+G50</f>
        <v/>
      </c>
      <c r="I50" s="42">
        <f>(Returns!$C$29)-H50*(1+i_hurdle)^(-Price!$C$8)</f>
        <v/>
      </c>
    </row>
    <row r="51">
      <c r="B51" s="22" t="n">
        <v>7</v>
      </c>
      <c r="C51" s="19">
        <f>IF(I50&gt;0,E50,C50)</f>
        <v/>
      </c>
      <c r="D51" s="19">
        <f>IF(I50&gt;0,D50,E50)</f>
        <v/>
      </c>
      <c r="E51" s="42">
        <f>(C51+D51)/2</f>
        <v/>
      </c>
      <c r="F51" s="19">
        <f>E51-Returns!$C$31</f>
        <v/>
      </c>
      <c r="G51" s="39">
        <f>IF(F51&lt;INDEX(i_hsr_lo,1),0,LOOKUP(F51,i_hsr_lo,i_hsr_fee))</f>
        <v/>
      </c>
      <c r="H51" s="19">
        <f>F51*(1+i_ticking*Price!$C$8)+i_wi_limit_pct*i_wi_rol*(1+i_wi_ipt)*E51+Returns!$C$32+G51</f>
        <v/>
      </c>
      <c r="I51" s="42">
        <f>(Returns!$C$29)-H51*(1+i_hurdle)^(-Price!$C$8)</f>
        <v/>
      </c>
    </row>
    <row r="52">
      <c r="B52" s="22" t="n">
        <v>8</v>
      </c>
      <c r="C52" s="19">
        <f>IF(I51&gt;0,E51,C51)</f>
        <v/>
      </c>
      <c r="D52" s="19">
        <f>IF(I51&gt;0,D51,E51)</f>
        <v/>
      </c>
      <c r="E52" s="42">
        <f>(C52+D52)/2</f>
        <v/>
      </c>
      <c r="F52" s="19">
        <f>E52-Returns!$C$31</f>
        <v/>
      </c>
      <c r="G52" s="39">
        <f>IF(F52&lt;INDEX(i_hsr_lo,1),0,LOOKUP(F52,i_hsr_lo,i_hsr_fee))</f>
        <v/>
      </c>
      <c r="H52" s="19">
        <f>F52*(1+i_ticking*Price!$C$8)+i_wi_limit_pct*i_wi_rol*(1+i_wi_ipt)*E52+Returns!$C$32+G52</f>
        <v/>
      </c>
      <c r="I52" s="42">
        <f>(Returns!$C$29)-H52*(1+i_hurdle)^(-Price!$C$8)</f>
        <v/>
      </c>
    </row>
    <row r="53">
      <c r="B53" s="22" t="n">
        <v>9</v>
      </c>
      <c r="C53" s="19">
        <f>IF(I52&gt;0,E52,C52)</f>
        <v/>
      </c>
      <c r="D53" s="19">
        <f>IF(I52&gt;0,D52,E52)</f>
        <v/>
      </c>
      <c r="E53" s="42">
        <f>(C53+D53)/2</f>
        <v/>
      </c>
      <c r="F53" s="19">
        <f>E53-Returns!$C$31</f>
        <v/>
      </c>
      <c r="G53" s="39">
        <f>IF(F53&lt;INDEX(i_hsr_lo,1),0,LOOKUP(F53,i_hsr_lo,i_hsr_fee))</f>
        <v/>
      </c>
      <c r="H53" s="19">
        <f>F53*(1+i_ticking*Price!$C$8)+i_wi_limit_pct*i_wi_rol*(1+i_wi_ipt)*E53+Returns!$C$32+G53</f>
        <v/>
      </c>
      <c r="I53" s="42">
        <f>(Returns!$C$29)-H53*(1+i_hurdle)^(-Price!$C$8)</f>
        <v/>
      </c>
    </row>
    <row r="54">
      <c r="B54" s="22" t="n">
        <v>10</v>
      </c>
      <c r="C54" s="19">
        <f>IF(I53&gt;0,E53,C53)</f>
        <v/>
      </c>
      <c r="D54" s="19">
        <f>IF(I53&gt;0,D53,E53)</f>
        <v/>
      </c>
      <c r="E54" s="42">
        <f>(C54+D54)/2</f>
        <v/>
      </c>
      <c r="F54" s="19">
        <f>E54-Returns!$C$31</f>
        <v/>
      </c>
      <c r="G54" s="39">
        <f>IF(F54&lt;INDEX(i_hsr_lo,1),0,LOOKUP(F54,i_hsr_lo,i_hsr_fee))</f>
        <v/>
      </c>
      <c r="H54" s="19">
        <f>F54*(1+i_ticking*Price!$C$8)+i_wi_limit_pct*i_wi_rol*(1+i_wi_ipt)*E54+Returns!$C$32+G54</f>
        <v/>
      </c>
      <c r="I54" s="42">
        <f>(Returns!$C$29)-H54*(1+i_hurdle)^(-Price!$C$8)</f>
        <v/>
      </c>
    </row>
    <row r="55">
      <c r="B55" s="22" t="n">
        <v>11</v>
      </c>
      <c r="C55" s="19">
        <f>IF(I54&gt;0,E54,C54)</f>
        <v/>
      </c>
      <c r="D55" s="19">
        <f>IF(I54&gt;0,D54,E54)</f>
        <v/>
      </c>
      <c r="E55" s="42">
        <f>(C55+D55)/2</f>
        <v/>
      </c>
      <c r="F55" s="19">
        <f>E55-Returns!$C$31</f>
        <v/>
      </c>
      <c r="G55" s="39">
        <f>IF(F55&lt;INDEX(i_hsr_lo,1),0,LOOKUP(F55,i_hsr_lo,i_hsr_fee))</f>
        <v/>
      </c>
      <c r="H55" s="19">
        <f>F55*(1+i_ticking*Price!$C$8)+i_wi_limit_pct*i_wi_rol*(1+i_wi_ipt)*E55+Returns!$C$32+G55</f>
        <v/>
      </c>
      <c r="I55" s="42">
        <f>(Returns!$C$29)-H55*(1+i_hurdle)^(-Price!$C$8)</f>
        <v/>
      </c>
    </row>
    <row r="56">
      <c r="B56" s="22" t="n">
        <v>12</v>
      </c>
      <c r="C56" s="19">
        <f>IF(I55&gt;0,E55,C55)</f>
        <v/>
      </c>
      <c r="D56" s="19">
        <f>IF(I55&gt;0,D55,E55)</f>
        <v/>
      </c>
      <c r="E56" s="42">
        <f>(C56+D56)/2</f>
        <v/>
      </c>
      <c r="F56" s="19">
        <f>E56-Returns!$C$31</f>
        <v/>
      </c>
      <c r="G56" s="39">
        <f>IF(F56&lt;INDEX(i_hsr_lo,1),0,LOOKUP(F56,i_hsr_lo,i_hsr_fee))</f>
        <v/>
      </c>
      <c r="H56" s="19">
        <f>F56*(1+i_ticking*Price!$C$8)+i_wi_limit_pct*i_wi_rol*(1+i_wi_ipt)*E56+Returns!$C$32+G56</f>
        <v/>
      </c>
      <c r="I56" s="42">
        <f>(Returns!$C$29)-H56*(1+i_hurdle)^(-Price!$C$8)</f>
        <v/>
      </c>
    </row>
    <row r="57">
      <c r="B57" s="22" t="n">
        <v>13</v>
      </c>
      <c r="C57" s="19">
        <f>IF(I56&gt;0,E56,C56)</f>
        <v/>
      </c>
      <c r="D57" s="19">
        <f>IF(I56&gt;0,D56,E56)</f>
        <v/>
      </c>
      <c r="E57" s="42">
        <f>(C57+D57)/2</f>
        <v/>
      </c>
      <c r="F57" s="19">
        <f>E57-Returns!$C$31</f>
        <v/>
      </c>
      <c r="G57" s="39">
        <f>IF(F57&lt;INDEX(i_hsr_lo,1),0,LOOKUP(F57,i_hsr_lo,i_hsr_fee))</f>
        <v/>
      </c>
      <c r="H57" s="19">
        <f>F57*(1+i_ticking*Price!$C$8)+i_wi_limit_pct*i_wi_rol*(1+i_wi_ipt)*E57+Returns!$C$32+G57</f>
        <v/>
      </c>
      <c r="I57" s="42">
        <f>(Returns!$C$29)-H57*(1+i_hurdle)^(-Price!$C$8)</f>
        <v/>
      </c>
    </row>
    <row r="58">
      <c r="B58" s="22" t="n">
        <v>14</v>
      </c>
      <c r="C58" s="19">
        <f>IF(I57&gt;0,E57,C57)</f>
        <v/>
      </c>
      <c r="D58" s="19">
        <f>IF(I57&gt;0,D57,E57)</f>
        <v/>
      </c>
      <c r="E58" s="42">
        <f>(C58+D58)/2</f>
        <v/>
      </c>
      <c r="F58" s="19">
        <f>E58-Returns!$C$31</f>
        <v/>
      </c>
      <c r="G58" s="39">
        <f>IF(F58&lt;INDEX(i_hsr_lo,1),0,LOOKUP(F58,i_hsr_lo,i_hsr_fee))</f>
        <v/>
      </c>
      <c r="H58" s="19">
        <f>F58*(1+i_ticking*Price!$C$8)+i_wi_limit_pct*i_wi_rol*(1+i_wi_ipt)*E58+Returns!$C$32+G58</f>
        <v/>
      </c>
      <c r="I58" s="42">
        <f>(Returns!$C$29)-H58*(1+i_hurdle)^(-Price!$C$8)</f>
        <v/>
      </c>
    </row>
    <row r="59">
      <c r="B59" s="22" t="n">
        <v>15</v>
      </c>
      <c r="C59" s="19">
        <f>IF(I58&gt;0,E58,C58)</f>
        <v/>
      </c>
      <c r="D59" s="19">
        <f>IF(I58&gt;0,D58,E58)</f>
        <v/>
      </c>
      <c r="E59" s="42">
        <f>(C59+D59)/2</f>
        <v/>
      </c>
      <c r="F59" s="19">
        <f>E59-Returns!$C$31</f>
        <v/>
      </c>
      <c r="G59" s="39">
        <f>IF(F59&lt;INDEX(i_hsr_lo,1),0,LOOKUP(F59,i_hsr_lo,i_hsr_fee))</f>
        <v/>
      </c>
      <c r="H59" s="19">
        <f>F59*(1+i_ticking*Price!$C$8)+i_wi_limit_pct*i_wi_rol*(1+i_wi_ipt)*E59+Returns!$C$32+G59</f>
        <v/>
      </c>
      <c r="I59" s="42">
        <f>(Returns!$C$29)-H59*(1+i_hurdle)^(-Price!$C$8)</f>
        <v/>
      </c>
    </row>
    <row r="60">
      <c r="B60" s="22" t="n">
        <v>16</v>
      </c>
      <c r="C60" s="19">
        <f>IF(I59&gt;0,E59,C59)</f>
        <v/>
      </c>
      <c r="D60" s="19">
        <f>IF(I59&gt;0,D59,E59)</f>
        <v/>
      </c>
      <c r="E60" s="42">
        <f>(C60+D60)/2</f>
        <v/>
      </c>
      <c r="F60" s="19">
        <f>E60-Returns!$C$31</f>
        <v/>
      </c>
      <c r="G60" s="39">
        <f>IF(F60&lt;INDEX(i_hsr_lo,1),0,LOOKUP(F60,i_hsr_lo,i_hsr_fee))</f>
        <v/>
      </c>
      <c r="H60" s="19">
        <f>F60*(1+i_ticking*Price!$C$8)+i_wi_limit_pct*i_wi_rol*(1+i_wi_ipt)*E60+Returns!$C$32+G60</f>
        <v/>
      </c>
      <c r="I60" s="42">
        <f>(Returns!$C$29)-H60*(1+i_hurdle)^(-Price!$C$8)</f>
        <v/>
      </c>
    </row>
    <row r="61">
      <c r="B61" s="22" t="n">
        <v>17</v>
      </c>
      <c r="C61" s="19">
        <f>IF(I60&gt;0,E60,C60)</f>
        <v/>
      </c>
      <c r="D61" s="19">
        <f>IF(I60&gt;0,D60,E60)</f>
        <v/>
      </c>
      <c r="E61" s="42">
        <f>(C61+D61)/2</f>
        <v/>
      </c>
      <c r="F61" s="19">
        <f>E61-Returns!$C$31</f>
        <v/>
      </c>
      <c r="G61" s="39">
        <f>IF(F61&lt;INDEX(i_hsr_lo,1),0,LOOKUP(F61,i_hsr_lo,i_hsr_fee))</f>
        <v/>
      </c>
      <c r="H61" s="19">
        <f>F61*(1+i_ticking*Price!$C$8)+i_wi_limit_pct*i_wi_rol*(1+i_wi_ipt)*E61+Returns!$C$32+G61</f>
        <v/>
      </c>
      <c r="I61" s="42">
        <f>(Returns!$C$29)-H61*(1+i_hurdle)^(-Price!$C$8)</f>
        <v/>
      </c>
    </row>
    <row r="62">
      <c r="B62" s="22" t="n">
        <v>18</v>
      </c>
      <c r="C62" s="19">
        <f>IF(I61&gt;0,E61,C61)</f>
        <v/>
      </c>
      <c r="D62" s="19">
        <f>IF(I61&gt;0,D61,E61)</f>
        <v/>
      </c>
      <c r="E62" s="42">
        <f>(C62+D62)/2</f>
        <v/>
      </c>
      <c r="F62" s="19">
        <f>E62-Returns!$C$31</f>
        <v/>
      </c>
      <c r="G62" s="39">
        <f>IF(F62&lt;INDEX(i_hsr_lo,1),0,LOOKUP(F62,i_hsr_lo,i_hsr_fee))</f>
        <v/>
      </c>
      <c r="H62" s="19">
        <f>F62*(1+i_ticking*Price!$C$8)+i_wi_limit_pct*i_wi_rol*(1+i_wi_ipt)*E62+Returns!$C$32+G62</f>
        <v/>
      </c>
      <c r="I62" s="42">
        <f>(Returns!$C$29)-H62*(1+i_hurdle)^(-Price!$C$8)</f>
        <v/>
      </c>
    </row>
    <row r="63">
      <c r="B63" s="22" t="n">
        <v>19</v>
      </c>
      <c r="C63" s="19">
        <f>IF(I62&gt;0,E62,C62)</f>
        <v/>
      </c>
      <c r="D63" s="19">
        <f>IF(I62&gt;0,D62,E62)</f>
        <v/>
      </c>
      <c r="E63" s="42">
        <f>(C63+D63)/2</f>
        <v/>
      </c>
      <c r="F63" s="19">
        <f>E63-Returns!$C$31</f>
        <v/>
      </c>
      <c r="G63" s="39">
        <f>IF(F63&lt;INDEX(i_hsr_lo,1),0,LOOKUP(F63,i_hsr_lo,i_hsr_fee))</f>
        <v/>
      </c>
      <c r="H63" s="19">
        <f>F63*(1+i_ticking*Price!$C$8)+i_wi_limit_pct*i_wi_rol*(1+i_wi_ipt)*E63+Returns!$C$32+G63</f>
        <v/>
      </c>
      <c r="I63" s="42">
        <f>(Returns!$C$29)-H63*(1+i_hurdle)^(-Price!$C$8)</f>
        <v/>
      </c>
    </row>
    <row r="64">
      <c r="B64" s="22" t="n">
        <v>20</v>
      </c>
      <c r="C64" s="19">
        <f>IF(I63&gt;0,E63,C63)</f>
        <v/>
      </c>
      <c r="D64" s="19">
        <f>IF(I63&gt;0,D63,E63)</f>
        <v/>
      </c>
      <c r="E64" s="42">
        <f>(C64+D64)/2</f>
        <v/>
      </c>
      <c r="F64" s="19">
        <f>E64-Returns!$C$31</f>
        <v/>
      </c>
      <c r="G64" s="39">
        <f>IF(F64&lt;INDEX(i_hsr_lo,1),0,LOOKUP(F64,i_hsr_lo,i_hsr_fee))</f>
        <v/>
      </c>
      <c r="H64" s="19">
        <f>F64*(1+i_ticking*Price!$C$8)+i_wi_limit_pct*i_wi_rol*(1+i_wi_ipt)*E64+Returns!$C$32+G64</f>
        <v/>
      </c>
      <c r="I64" s="42">
        <f>(Returns!$C$29)-H64*(1+i_hurdle)^(-Price!$C$8)</f>
        <v/>
      </c>
    </row>
    <row r="65">
      <c r="B65" s="22" t="n">
        <v>21</v>
      </c>
      <c r="C65" s="19">
        <f>IF(I64&gt;0,E64,C64)</f>
        <v/>
      </c>
      <c r="D65" s="19">
        <f>IF(I64&gt;0,D64,E64)</f>
        <v/>
      </c>
      <c r="E65" s="42">
        <f>(C65+D65)/2</f>
        <v/>
      </c>
      <c r="F65" s="19">
        <f>E65-Returns!$C$31</f>
        <v/>
      </c>
      <c r="G65" s="39">
        <f>IF(F65&lt;INDEX(i_hsr_lo,1),0,LOOKUP(F65,i_hsr_lo,i_hsr_fee))</f>
        <v/>
      </c>
      <c r="H65" s="19">
        <f>F65*(1+i_ticking*Price!$C$8)+i_wi_limit_pct*i_wi_rol*(1+i_wi_ipt)*E65+Returns!$C$32+G65</f>
        <v/>
      </c>
      <c r="I65" s="42">
        <f>(Returns!$C$29)-H65*(1+i_hurdle)^(-Price!$C$8)</f>
        <v/>
      </c>
    </row>
    <row r="66">
      <c r="B66" s="22" t="n">
        <v>22</v>
      </c>
      <c r="C66" s="19">
        <f>IF(I65&gt;0,E65,C65)</f>
        <v/>
      </c>
      <c r="D66" s="19">
        <f>IF(I65&gt;0,D65,E65)</f>
        <v/>
      </c>
      <c r="E66" s="42">
        <f>(C66+D66)/2</f>
        <v/>
      </c>
      <c r="F66" s="19">
        <f>E66-Returns!$C$31</f>
        <v/>
      </c>
      <c r="G66" s="39">
        <f>IF(F66&lt;INDEX(i_hsr_lo,1),0,LOOKUP(F66,i_hsr_lo,i_hsr_fee))</f>
        <v/>
      </c>
      <c r="H66" s="19">
        <f>F66*(1+i_ticking*Price!$C$8)+i_wi_limit_pct*i_wi_rol*(1+i_wi_ipt)*E66+Returns!$C$32+G66</f>
        <v/>
      </c>
      <c r="I66" s="42">
        <f>(Returns!$C$29)-H66*(1+i_hurdle)^(-Price!$C$8)</f>
        <v/>
      </c>
    </row>
    <row r="67">
      <c r="B67" s="22" t="n">
        <v>23</v>
      </c>
      <c r="C67" s="19">
        <f>IF(I66&gt;0,E66,C66)</f>
        <v/>
      </c>
      <c r="D67" s="19">
        <f>IF(I66&gt;0,D66,E66)</f>
        <v/>
      </c>
      <c r="E67" s="42">
        <f>(C67+D67)/2</f>
        <v/>
      </c>
      <c r="F67" s="19">
        <f>E67-Returns!$C$31</f>
        <v/>
      </c>
      <c r="G67" s="39">
        <f>IF(F67&lt;INDEX(i_hsr_lo,1),0,LOOKUP(F67,i_hsr_lo,i_hsr_fee))</f>
        <v/>
      </c>
      <c r="H67" s="19">
        <f>F67*(1+i_ticking*Price!$C$8)+i_wi_limit_pct*i_wi_rol*(1+i_wi_ipt)*E67+Returns!$C$32+G67</f>
        <v/>
      </c>
      <c r="I67" s="42">
        <f>(Returns!$C$29)-H67*(1+i_hurdle)^(-Price!$C$8)</f>
        <v/>
      </c>
    </row>
    <row r="68">
      <c r="B68" s="22" t="n">
        <v>24</v>
      </c>
      <c r="C68" s="19">
        <f>IF(I67&gt;0,E67,C67)</f>
        <v/>
      </c>
      <c r="D68" s="19">
        <f>IF(I67&gt;0,D67,E67)</f>
        <v/>
      </c>
      <c r="E68" s="42">
        <f>(C68+D68)/2</f>
        <v/>
      </c>
      <c r="F68" s="19">
        <f>E68-Returns!$C$31</f>
        <v/>
      </c>
      <c r="G68" s="39">
        <f>IF(F68&lt;INDEX(i_hsr_lo,1),0,LOOKUP(F68,i_hsr_lo,i_hsr_fee))</f>
        <v/>
      </c>
      <c r="H68" s="19">
        <f>F68*(1+i_ticking*Price!$C$8)+i_wi_limit_pct*i_wi_rol*(1+i_wi_ipt)*E68+Returns!$C$32+G68</f>
        <v/>
      </c>
      <c r="I68" s="42">
        <f>(Returns!$C$29)-H68*(1+i_hurdle)^(-Price!$C$8)</f>
        <v/>
      </c>
    </row>
    <row r="69">
      <c r="B69" s="22" t="n">
        <v>25</v>
      </c>
      <c r="C69" s="19">
        <f>IF(I68&gt;0,E68,C68)</f>
        <v/>
      </c>
      <c r="D69" s="19">
        <f>IF(I68&gt;0,D68,E68)</f>
        <v/>
      </c>
      <c r="E69" s="42">
        <f>(C69+D69)/2</f>
        <v/>
      </c>
      <c r="F69" s="19">
        <f>E69-Returns!$C$31</f>
        <v/>
      </c>
      <c r="G69" s="39">
        <f>IF(F69&lt;INDEX(i_hsr_lo,1),0,LOOKUP(F69,i_hsr_lo,i_hsr_fee))</f>
        <v/>
      </c>
      <c r="H69" s="19">
        <f>F69*(1+i_ticking*Price!$C$8)+i_wi_limit_pct*i_wi_rol*(1+i_wi_ipt)*E69+Returns!$C$32+G69</f>
        <v/>
      </c>
      <c r="I69" s="42">
        <f>(Returns!$C$29)-H69*(1+i_hurdle)^(-Price!$C$8)</f>
        <v/>
      </c>
    </row>
    <row r="70">
      <c r="B70" s="22" t="n">
        <v>26</v>
      </c>
      <c r="C70" s="19">
        <f>IF(I69&gt;0,E69,C69)</f>
        <v/>
      </c>
      <c r="D70" s="19">
        <f>IF(I69&gt;0,D69,E69)</f>
        <v/>
      </c>
      <c r="E70" s="42">
        <f>(C70+D70)/2</f>
        <v/>
      </c>
      <c r="F70" s="19">
        <f>E70-Returns!$C$31</f>
        <v/>
      </c>
      <c r="G70" s="39">
        <f>IF(F70&lt;INDEX(i_hsr_lo,1),0,LOOKUP(F70,i_hsr_lo,i_hsr_fee))</f>
        <v/>
      </c>
      <c r="H70" s="19">
        <f>F70*(1+i_ticking*Price!$C$8)+i_wi_limit_pct*i_wi_rol*(1+i_wi_ipt)*E70+Returns!$C$32+G70</f>
        <v/>
      </c>
      <c r="I70" s="42">
        <f>(Returns!$C$29)-H70*(1+i_hurdle)^(-Price!$C$8)</f>
        <v/>
      </c>
    </row>
    <row r="71">
      <c r="B71" s="22" t="n">
        <v>27</v>
      </c>
      <c r="C71" s="19">
        <f>IF(I70&gt;0,E70,C70)</f>
        <v/>
      </c>
      <c r="D71" s="19">
        <f>IF(I70&gt;0,D70,E70)</f>
        <v/>
      </c>
      <c r="E71" s="42">
        <f>(C71+D71)/2</f>
        <v/>
      </c>
      <c r="F71" s="19">
        <f>E71-Returns!$C$31</f>
        <v/>
      </c>
      <c r="G71" s="39">
        <f>IF(F71&lt;INDEX(i_hsr_lo,1),0,LOOKUP(F71,i_hsr_lo,i_hsr_fee))</f>
        <v/>
      </c>
      <c r="H71" s="19">
        <f>F71*(1+i_ticking*Price!$C$8)+i_wi_limit_pct*i_wi_rol*(1+i_wi_ipt)*E71+Returns!$C$32+G71</f>
        <v/>
      </c>
      <c r="I71" s="42">
        <f>(Returns!$C$29)-H71*(1+i_hurdle)^(-Price!$C$8)</f>
        <v/>
      </c>
    </row>
    <row r="72">
      <c r="B72" s="22" t="n">
        <v>28</v>
      </c>
      <c r="C72" s="19">
        <f>IF(I71&gt;0,E71,C71)</f>
        <v/>
      </c>
      <c r="D72" s="19">
        <f>IF(I71&gt;0,D71,E71)</f>
        <v/>
      </c>
      <c r="E72" s="42">
        <f>(C72+D72)/2</f>
        <v/>
      </c>
      <c r="F72" s="19">
        <f>E72-Returns!$C$31</f>
        <v/>
      </c>
      <c r="G72" s="39">
        <f>IF(F72&lt;INDEX(i_hsr_lo,1),0,LOOKUP(F72,i_hsr_lo,i_hsr_fee))</f>
        <v/>
      </c>
      <c r="H72" s="19">
        <f>F72*(1+i_ticking*Price!$C$8)+i_wi_limit_pct*i_wi_rol*(1+i_wi_ipt)*E72+Returns!$C$32+G72</f>
        <v/>
      </c>
      <c r="I72" s="42">
        <f>(Returns!$C$29)-H72*(1+i_hurdle)^(-Price!$C$8)</f>
        <v/>
      </c>
    </row>
    <row r="73">
      <c r="B73" s="22" t="n">
        <v>29</v>
      </c>
      <c r="C73" s="19">
        <f>IF(I72&gt;0,E72,C72)</f>
        <v/>
      </c>
      <c r="D73" s="19">
        <f>IF(I72&gt;0,D72,E72)</f>
        <v/>
      </c>
      <c r="E73" s="42">
        <f>(C73+D73)/2</f>
        <v/>
      </c>
      <c r="F73" s="19">
        <f>E73-Returns!$C$31</f>
        <v/>
      </c>
      <c r="G73" s="39">
        <f>IF(F73&lt;INDEX(i_hsr_lo,1),0,LOOKUP(F73,i_hsr_lo,i_hsr_fee))</f>
        <v/>
      </c>
      <c r="H73" s="19">
        <f>F73*(1+i_ticking*Price!$C$8)+i_wi_limit_pct*i_wi_rol*(1+i_wi_ipt)*E73+Returns!$C$32+G73</f>
        <v/>
      </c>
      <c r="I73" s="42">
        <f>(Returns!$C$29)-H73*(1+i_hurdle)^(-Price!$C$8)</f>
        <v/>
      </c>
    </row>
    <row r="74">
      <c r="B74" s="22" t="n">
        <v>30</v>
      </c>
      <c r="C74" s="19">
        <f>IF(I73&gt;0,E73,C73)</f>
        <v/>
      </c>
      <c r="D74" s="19">
        <f>IF(I73&gt;0,D73,E73)</f>
        <v/>
      </c>
      <c r="E74" s="42">
        <f>(C74+D74)/2</f>
        <v/>
      </c>
      <c r="F74" s="19">
        <f>E74-Returns!$C$31</f>
        <v/>
      </c>
      <c r="G74" s="39">
        <f>IF(F74&lt;INDEX(i_hsr_lo,1),0,LOOKUP(F74,i_hsr_lo,i_hsr_fee))</f>
        <v/>
      </c>
      <c r="H74" s="19">
        <f>F74*(1+i_ticking*Price!$C$8)+i_wi_limit_pct*i_wi_rol*(1+i_wi_ipt)*E74+Returns!$C$32+G74</f>
        <v/>
      </c>
      <c r="I74" s="42">
        <f>(Returns!$C$29)-H74*(1+i_hurdle)^(-Price!$C$8)</f>
        <v/>
      </c>
    </row>
    <row r="75">
      <c r="B75" s="22" t="n">
        <v>31</v>
      </c>
      <c r="C75" s="19">
        <f>IF(I74&gt;0,E74,C74)</f>
        <v/>
      </c>
      <c r="D75" s="19">
        <f>IF(I74&gt;0,D74,E74)</f>
        <v/>
      </c>
      <c r="E75" s="42">
        <f>(C75+D75)/2</f>
        <v/>
      </c>
      <c r="F75" s="19">
        <f>E75-Returns!$C$31</f>
        <v/>
      </c>
      <c r="G75" s="39">
        <f>IF(F75&lt;INDEX(i_hsr_lo,1),0,LOOKUP(F75,i_hsr_lo,i_hsr_fee))</f>
        <v/>
      </c>
      <c r="H75" s="19">
        <f>F75*(1+i_ticking*Price!$C$8)+i_wi_limit_pct*i_wi_rol*(1+i_wi_ipt)*E75+Returns!$C$32+G75</f>
        <v/>
      </c>
      <c r="I75" s="42">
        <f>(Returns!$C$29)-H75*(1+i_hurdle)^(-Price!$C$8)</f>
        <v/>
      </c>
    </row>
    <row r="76">
      <c r="B76" s="22" t="n">
        <v>32</v>
      </c>
      <c r="C76" s="19">
        <f>IF(I75&gt;0,E75,C75)</f>
        <v/>
      </c>
      <c r="D76" s="19">
        <f>IF(I75&gt;0,D75,E75)</f>
        <v/>
      </c>
      <c r="E76" s="42">
        <f>(C76+D76)/2</f>
        <v/>
      </c>
      <c r="F76" s="19">
        <f>E76-Returns!$C$31</f>
        <v/>
      </c>
      <c r="G76" s="39">
        <f>IF(F76&lt;INDEX(i_hsr_lo,1),0,LOOKUP(F76,i_hsr_lo,i_hsr_fee))</f>
        <v/>
      </c>
      <c r="H76" s="19">
        <f>F76*(1+i_ticking*Price!$C$8)+i_wi_limit_pct*i_wi_rol*(1+i_wi_ipt)*E76+Returns!$C$32+G76</f>
        <v/>
      </c>
      <c r="I76" s="42">
        <f>(Returns!$C$29)-H76*(1+i_hurdle)^(-Price!$C$8)</f>
        <v/>
      </c>
    </row>
    <row r="77">
      <c r="B77" s="22" t="n">
        <v>33</v>
      </c>
      <c r="C77" s="19">
        <f>IF(I76&gt;0,E76,C76)</f>
        <v/>
      </c>
      <c r="D77" s="19">
        <f>IF(I76&gt;0,D76,E76)</f>
        <v/>
      </c>
      <c r="E77" s="42">
        <f>(C77+D77)/2</f>
        <v/>
      </c>
      <c r="F77" s="19">
        <f>E77-Returns!$C$31</f>
        <v/>
      </c>
      <c r="G77" s="39">
        <f>IF(F77&lt;INDEX(i_hsr_lo,1),0,LOOKUP(F77,i_hsr_lo,i_hsr_fee))</f>
        <v/>
      </c>
      <c r="H77" s="19">
        <f>F77*(1+i_ticking*Price!$C$8)+i_wi_limit_pct*i_wi_rol*(1+i_wi_ipt)*E77+Returns!$C$32+G77</f>
        <v/>
      </c>
      <c r="I77" s="42">
        <f>(Returns!$C$29)-H77*(1+i_hurdle)^(-Price!$C$8)</f>
        <v/>
      </c>
    </row>
    <row r="78">
      <c r="B78" s="22" t="n">
        <v>34</v>
      </c>
      <c r="C78" s="19">
        <f>IF(I77&gt;0,E77,C77)</f>
        <v/>
      </c>
      <c r="D78" s="19">
        <f>IF(I77&gt;0,D77,E77)</f>
        <v/>
      </c>
      <c r="E78" s="42">
        <f>(C78+D78)/2</f>
        <v/>
      </c>
      <c r="F78" s="19">
        <f>E78-Returns!$C$31</f>
        <v/>
      </c>
      <c r="G78" s="39">
        <f>IF(F78&lt;INDEX(i_hsr_lo,1),0,LOOKUP(F78,i_hsr_lo,i_hsr_fee))</f>
        <v/>
      </c>
      <c r="H78" s="19">
        <f>F78*(1+i_ticking*Price!$C$8)+i_wi_limit_pct*i_wi_rol*(1+i_wi_ipt)*E78+Returns!$C$32+G78</f>
        <v/>
      </c>
      <c r="I78" s="42">
        <f>(Returns!$C$29)-H78*(1+i_hurdle)^(-Price!$C$8)</f>
        <v/>
      </c>
    </row>
    <row r="79">
      <c r="B79" s="22" t="n">
        <v>35</v>
      </c>
      <c r="C79" s="19">
        <f>IF(I78&gt;0,E78,C78)</f>
        <v/>
      </c>
      <c r="D79" s="19">
        <f>IF(I78&gt;0,D78,E78)</f>
        <v/>
      </c>
      <c r="E79" s="42">
        <f>(C79+D79)/2</f>
        <v/>
      </c>
      <c r="F79" s="19">
        <f>E79-Returns!$C$31</f>
        <v/>
      </c>
      <c r="G79" s="39">
        <f>IF(F79&lt;INDEX(i_hsr_lo,1),0,LOOKUP(F79,i_hsr_lo,i_hsr_fee))</f>
        <v/>
      </c>
      <c r="H79" s="19">
        <f>F79*(1+i_ticking*Price!$C$8)+i_wi_limit_pct*i_wi_rol*(1+i_wi_ipt)*E79+Returns!$C$32+G79</f>
        <v/>
      </c>
      <c r="I79" s="42">
        <f>(Returns!$C$29)-H79*(1+i_hurdle)^(-Price!$C$8)</f>
        <v/>
      </c>
    </row>
    <row r="80">
      <c r="B80" s="22" t="n">
        <v>36</v>
      </c>
      <c r="C80" s="19">
        <f>IF(I79&gt;0,E79,C79)</f>
        <v/>
      </c>
      <c r="D80" s="19">
        <f>IF(I79&gt;0,D79,E79)</f>
        <v/>
      </c>
      <c r="E80" s="42">
        <f>(C80+D80)/2</f>
        <v/>
      </c>
      <c r="F80" s="19">
        <f>E80-Returns!$C$31</f>
        <v/>
      </c>
      <c r="G80" s="39">
        <f>IF(F80&lt;INDEX(i_hsr_lo,1),0,LOOKUP(F80,i_hsr_lo,i_hsr_fee))</f>
        <v/>
      </c>
      <c r="H80" s="19">
        <f>F80*(1+i_ticking*Price!$C$8)+i_wi_limit_pct*i_wi_rol*(1+i_wi_ipt)*E80+Returns!$C$32+G80</f>
        <v/>
      </c>
      <c r="I80" s="42">
        <f>(Returns!$C$29)-H80*(1+i_hurdle)^(-Price!$C$8)</f>
        <v/>
      </c>
    </row>
    <row r="81">
      <c r="B81" s="22" t="n">
        <v>37</v>
      </c>
      <c r="C81" s="19">
        <f>IF(I80&gt;0,E80,C80)</f>
        <v/>
      </c>
      <c r="D81" s="19">
        <f>IF(I80&gt;0,D80,E80)</f>
        <v/>
      </c>
      <c r="E81" s="42">
        <f>(C81+D81)/2</f>
        <v/>
      </c>
      <c r="F81" s="19">
        <f>E81-Returns!$C$31</f>
        <v/>
      </c>
      <c r="G81" s="39">
        <f>IF(F81&lt;INDEX(i_hsr_lo,1),0,LOOKUP(F81,i_hsr_lo,i_hsr_fee))</f>
        <v/>
      </c>
      <c r="H81" s="19">
        <f>F81*(1+i_ticking*Price!$C$8)+i_wi_limit_pct*i_wi_rol*(1+i_wi_ipt)*E81+Returns!$C$32+G81</f>
        <v/>
      </c>
      <c r="I81" s="42">
        <f>(Returns!$C$29)-H81*(1+i_hurdle)^(-Price!$C$8)</f>
        <v/>
      </c>
    </row>
    <row r="82">
      <c r="B82" s="22" t="n">
        <v>38</v>
      </c>
      <c r="C82" s="19">
        <f>IF(I81&gt;0,E81,C81)</f>
        <v/>
      </c>
      <c r="D82" s="19">
        <f>IF(I81&gt;0,D81,E81)</f>
        <v/>
      </c>
      <c r="E82" s="42">
        <f>(C82+D82)/2</f>
        <v/>
      </c>
      <c r="F82" s="19">
        <f>E82-Returns!$C$31</f>
        <v/>
      </c>
      <c r="G82" s="39">
        <f>IF(F82&lt;INDEX(i_hsr_lo,1),0,LOOKUP(F82,i_hsr_lo,i_hsr_fee))</f>
        <v/>
      </c>
      <c r="H82" s="19">
        <f>F82*(1+i_ticking*Price!$C$8)+i_wi_limit_pct*i_wi_rol*(1+i_wi_ipt)*E82+Returns!$C$32+G82</f>
        <v/>
      </c>
      <c r="I82" s="42">
        <f>(Returns!$C$29)-H82*(1+i_hurdle)^(-Price!$C$8)</f>
        <v/>
      </c>
    </row>
    <row r="83">
      <c r="B83" s="22" t="n">
        <v>39</v>
      </c>
      <c r="C83" s="19">
        <f>IF(I82&gt;0,E82,C82)</f>
        <v/>
      </c>
      <c r="D83" s="19">
        <f>IF(I82&gt;0,D82,E82)</f>
        <v/>
      </c>
      <c r="E83" s="42">
        <f>(C83+D83)/2</f>
        <v/>
      </c>
      <c r="F83" s="19">
        <f>E83-Returns!$C$31</f>
        <v/>
      </c>
      <c r="G83" s="39">
        <f>IF(F83&lt;INDEX(i_hsr_lo,1),0,LOOKUP(F83,i_hsr_lo,i_hsr_fee))</f>
        <v/>
      </c>
      <c r="H83" s="19">
        <f>F83*(1+i_ticking*Price!$C$8)+i_wi_limit_pct*i_wi_rol*(1+i_wi_ipt)*E83+Returns!$C$32+G83</f>
        <v/>
      </c>
      <c r="I83" s="42">
        <f>(Returns!$C$29)-H83*(1+i_hurdle)^(-Price!$C$8)</f>
        <v/>
      </c>
    </row>
    <row r="84">
      <c r="B84" s="22" t="n">
        <v>40</v>
      </c>
      <c r="C84" s="19">
        <f>IF(I83&gt;0,E83,C83)</f>
        <v/>
      </c>
      <c r="D84" s="19">
        <f>IF(I83&gt;0,D83,E83)</f>
        <v/>
      </c>
      <c r="E84" s="42">
        <f>(C84+D84)/2</f>
        <v/>
      </c>
      <c r="F84" s="19">
        <f>E84-Returns!$C$31</f>
        <v/>
      </c>
      <c r="G84" s="39">
        <f>IF(F84&lt;INDEX(i_hsr_lo,1),0,LOOKUP(F84,i_hsr_lo,i_hsr_fee))</f>
        <v/>
      </c>
      <c r="H84" s="19">
        <f>F84*(1+i_ticking*Price!$C$8)+i_wi_limit_pct*i_wi_rol*(1+i_wi_ipt)*E84+Returns!$C$32+G84</f>
        <v/>
      </c>
      <c r="I84" s="42">
        <f>(Returns!$C$29)-H84*(1+i_hurdle)^(-Price!$C$8)</f>
        <v/>
      </c>
    </row>
    <row r="85">
      <c r="B85" s="3" t="inlineStr">
        <is>
          <t>Walk-away EV after 40 steps</t>
        </is>
      </c>
      <c r="C85" s="43">
        <f>E84</f>
        <v/>
      </c>
    </row>
    <row r="86">
      <c r="B86" s="2" t="inlineStr">
        <is>
          <t>Check: bisection less the direct solution above</t>
        </is>
      </c>
      <c r="C86" s="41">
        <f>C85-Returns!$C$34</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B1:AL1465"/>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 width="11" customWidth="1" min="36" max="36"/>
    <col width="11" customWidth="1" min="37" max="37"/>
    <col width="11" customWidth="1" min="38" max="38"/>
  </cols>
  <sheetData>
    <row r="1">
      <c r="B1" s="1" t="inlineStr">
        <is>
          <t>Sensitivities: chapter 11, each row a full case (fixed cases, independent of the switches except inflation and closing)</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c r="AJ3" s="5" t="inlineStr">
        <is>
          <t>Closing</t>
        </is>
      </c>
      <c r="AK3" s="5" t="inlineStr">
        <is>
          <t>Minority sale</t>
        </is>
      </c>
      <c r="AL3" s="5" t="inlineStr">
        <is>
          <t>Exit</t>
        </is>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Scenario</t>
        </is>
      </c>
      <c r="C6" s="5" t="inlineStr">
        <is>
          <t>Levered IRR</t>
        </is>
      </c>
      <c r="D6" s="5" t="inlineStr">
        <is>
          <t>Unlevered IRR</t>
        </is>
      </c>
      <c r="E6" s="5" t="inlineStr">
        <is>
          <t>Walk-away EV</t>
        </is>
      </c>
      <c r="F6" s="5" t="inlineStr">
        <is>
          <t>Change vs base</t>
        </is>
      </c>
    </row>
    <row r="7">
      <c r="B7" s="2" t="inlineStr">
        <is>
          <t>base case</t>
        </is>
      </c>
      <c r="C7" s="23">
        <f>Sensitivities!$C$635</f>
        <v/>
      </c>
      <c r="D7" s="23">
        <f>Sensitivities!$C$636</f>
        <v/>
      </c>
      <c r="E7" s="19">
        <f>Sensitivities!$C$645</f>
        <v/>
      </c>
      <c r="F7" s="19">
        <f>E7-$E$7</f>
        <v/>
      </c>
    </row>
    <row r="8">
      <c r="B8" s="2" t="inlineStr">
        <is>
          <t>interest rates +1 point (refinancing in 2034 and exit discount rate)</t>
        </is>
      </c>
      <c r="C8" s="23">
        <f>Sensitivities!$C$717</f>
        <v/>
      </c>
      <c r="D8" s="23">
        <f>Sensitivities!$C$718</f>
        <v/>
      </c>
      <c r="E8" s="19">
        <f>Sensitivities!$C$727</f>
        <v/>
      </c>
      <c r="F8" s="19">
        <f>E8-$E$7</f>
        <v/>
      </c>
    </row>
    <row r="9">
      <c r="B9" s="2" t="inlineStr">
        <is>
          <t>exit discount rate +0.5 point</t>
        </is>
      </c>
      <c r="C9" s="23">
        <f>Sensitivities!$C$799</f>
        <v/>
      </c>
      <c r="D9" s="23">
        <f>Sensitivities!$C$800</f>
        <v/>
      </c>
      <c r="E9" s="19">
        <f>Sensitivities!$C$809</f>
        <v/>
      </c>
      <c r="F9" s="19">
        <f>E9-$E$7</f>
        <v/>
      </c>
    </row>
    <row r="10">
      <c r="B10" s="2" t="inlineStr">
        <is>
          <t>inflation 3.5 percent instead of 2.5 (discount and debt rates unchanged)</t>
        </is>
      </c>
      <c r="C10" s="23">
        <f>Sensitivities!$C$881</f>
        <v/>
      </c>
      <c r="D10" s="23">
        <f>Sensitivities!$C$882</f>
        <v/>
      </c>
      <c r="E10" s="19">
        <f>Sensitivities!$C$891</f>
        <v/>
      </c>
      <c r="F10" s="19">
        <f>E10-$E$7</f>
        <v/>
      </c>
    </row>
    <row r="11">
      <c r="B11" s="2" t="inlineStr">
        <is>
          <t>inflation 1.5 percent instead of 2.5 (discount and debt rates unchanged)</t>
        </is>
      </c>
      <c r="C11" s="23">
        <f>Sensitivities!$C$963</f>
        <v/>
      </c>
      <c r="D11" s="23">
        <f>Sensitivities!$C$964</f>
        <v/>
      </c>
      <c r="E11" s="19">
        <f>Sensitivities!$C$973</f>
        <v/>
      </c>
      <c r="F11" s="19">
        <f>E11-$E$7</f>
        <v/>
      </c>
    </row>
    <row r="12">
      <c r="B12" s="2" t="inlineStr">
        <is>
          <t>inflation 3.5 percent with refinancing and exit discount rates 1 point higher</t>
        </is>
      </c>
      <c r="C12" s="23">
        <f>Sensitivities!$C$1045</f>
        <v/>
      </c>
      <c r="D12" s="23">
        <f>Sensitivities!$C$1046</f>
        <v/>
      </c>
      <c r="E12" s="19">
        <f>Sensitivities!$C$1055</f>
        <v/>
      </c>
      <c r="F12" s="19">
        <f>E12-$E$7</f>
        <v/>
      </c>
    </row>
    <row r="13">
      <c r="B13" s="2" t="inlineStr">
        <is>
          <t>occupancy 5 points lower, all terminals, from 2027</t>
        </is>
      </c>
      <c r="C13" s="23">
        <f>Sensitivities!$C$1127</f>
        <v/>
      </c>
      <c r="D13" s="23">
        <f>Sensitivities!$C$1128</f>
        <v/>
      </c>
      <c r="E13" s="19">
        <f>Sensitivities!$C$1137</f>
        <v/>
      </c>
      <c r="F13" s="19">
        <f>E13-$E$7</f>
        <v/>
      </c>
    </row>
    <row r="14">
      <c r="B14" s="2" t="inlineStr">
        <is>
          <t>occupancy 2 points lower, all terminals, from 2027</t>
        </is>
      </c>
      <c r="C14" s="23">
        <f>Sensitivities!$C$1209</f>
        <v/>
      </c>
      <c r="D14" s="23">
        <f>Sensitivities!$C$1210</f>
        <v/>
      </c>
      <c r="E14" s="19">
        <f>Sensitivities!$C$1219</f>
        <v/>
      </c>
      <c r="F14" s="19">
        <f>E14-$E$7</f>
        <v/>
      </c>
    </row>
    <row r="15">
      <c r="B15" s="2" t="inlineStr">
        <is>
          <t>recontracting 5 percent below the base market rates</t>
        </is>
      </c>
      <c r="C15" s="23">
        <f>Sensitivities!$C$1291</f>
        <v/>
      </c>
      <c r="D15" s="23">
        <f>Sensitivities!$C$1292</f>
        <v/>
      </c>
      <c r="E15" s="19">
        <f>Sensitivities!$C$1301</f>
        <v/>
      </c>
      <c r="F15" s="19">
        <f>E15-$E$7</f>
        <v/>
      </c>
    </row>
    <row r="16">
      <c r="B16" s="2" t="inlineStr">
        <is>
          <t>Westerhaven concession renewed to 2081 at an 8 percent fee</t>
        </is>
      </c>
      <c r="C16" s="23">
        <f>Sensitivities!$C$1373</f>
        <v/>
      </c>
      <c r="D16" s="23">
        <f>Sensitivities!$C$1374</f>
        <v/>
      </c>
      <c r="E16" s="19">
        <f>Sensitivities!$C$1383</f>
        <v/>
      </c>
      <c r="F16" s="19">
        <f>E16-$E$7</f>
        <v/>
      </c>
    </row>
    <row r="17">
      <c r="B17" s="2" t="inlineStr">
        <is>
          <t>closing slips to 31 March 2028</t>
        </is>
      </c>
      <c r="C17" s="23">
        <f>Sensitivities!$C$1455</f>
        <v/>
      </c>
      <c r="D17" s="23">
        <f>Sensitivities!$C$1456</f>
        <v/>
      </c>
      <c r="E17" s="19">
        <f>Sensitivities!$C$1465</f>
        <v/>
      </c>
      <c r="F17" s="19">
        <f>E17-$E$7</f>
        <v/>
      </c>
    </row>
    <row r="26">
      <c r="B26" s="5" t="inlineStr">
        <is>
          <t>Platform case: Inflation 3.5%</t>
        </is>
      </c>
    </row>
    <row r="27">
      <c r="B27" s="4" t="inlineStr">
        <is>
          <t>Inflation</t>
        </is>
      </c>
      <c r="C27" s="27">
        <f>Inputs!$M$219</f>
        <v/>
      </c>
    </row>
    <row r="28">
      <c r="B28" s="4" t="inlineStr">
        <is>
          <t>Buyer's recontracting rates (1) or seller's plan rates (0)</t>
        </is>
      </c>
      <c r="C28" s="26">
        <f>Inputs!$M$220</f>
        <v/>
      </c>
    </row>
    <row r="29">
      <c r="B29" s="4" t="inlineStr">
        <is>
          <t>Largest Westerhaven customer leaves (1/0)</t>
        </is>
      </c>
      <c r="C29" s="26">
        <f>Inputs!$M$221</f>
        <v/>
      </c>
    </row>
    <row r="30">
      <c r="B30" s="4" t="inlineStr">
        <is>
          <t>Jetty 3 refurbishment (1/0)</t>
        </is>
      </c>
      <c r="C30" s="26">
        <f>Inputs!$M$222</f>
        <v/>
      </c>
    </row>
    <row r="31">
      <c r="B31" s="4" t="inlineStr">
        <is>
          <t>Sabine Bend extra insurance (1/0)</t>
        </is>
      </c>
      <c r="C31" s="26">
        <f>Inputs!$M$223</f>
        <v/>
      </c>
    </row>
    <row r="32">
      <c r="B32" s="4" t="inlineStr">
        <is>
          <t>Expansion built (1/0)</t>
        </is>
      </c>
      <c r="C32" s="26">
        <f>Inputs!$M$224</f>
        <v/>
      </c>
    </row>
    <row r="33">
      <c r="B33" s="4" t="inlineStr">
        <is>
          <t>Occupancy shift from 2027</t>
        </is>
      </c>
      <c r="C33" s="27">
        <f>Inputs!$M$225</f>
        <v/>
      </c>
    </row>
    <row r="34">
      <c r="B34" s="4" t="inlineStr">
        <is>
          <t>Recontracting shift</t>
        </is>
      </c>
      <c r="C34" s="27">
        <f>Inputs!$M$226</f>
        <v/>
      </c>
    </row>
    <row r="35">
      <c r="B35" s="4" t="inlineStr">
        <is>
          <t>Concession renewed (1/0)</t>
        </is>
      </c>
      <c r="C35" s="26">
        <f>Inputs!$M$227</f>
        <v/>
      </c>
    </row>
    <row r="36">
      <c r="B36" s="4" t="inlineStr">
        <is>
          <t>Westerhaven capacity multiplier</t>
        </is>
      </c>
      <c r="C36" s="28">
        <f>Inputs!$M$228</f>
        <v/>
      </c>
    </row>
    <row r="37">
      <c r="B37" s="4" t="inlineStr">
        <is>
          <t>Extra yearly cost from 2028 ($m, 2026 dollars)</t>
        </is>
      </c>
      <c r="C37" s="29">
        <f>Inputs!$M$229</f>
        <v/>
      </c>
    </row>
    <row r="38">
      <c r="B38" s="2" t="inlineStr">
        <is>
          <t>Cost index (inflation)</t>
        </is>
      </c>
      <c r="D38" s="30">
        <f>(1+Sensitivities!$C$27)^D$4</f>
        <v/>
      </c>
      <c r="E38" s="30">
        <f>(1+Sensitivities!$C$27)^E$4</f>
        <v/>
      </c>
      <c r="F38" s="30">
        <f>(1+Sensitivities!$C$27)^F$4</f>
        <v/>
      </c>
      <c r="G38" s="30">
        <f>(1+Sensitivities!$C$27)^G$4</f>
        <v/>
      </c>
      <c r="H38" s="30">
        <f>(1+Sensitivities!$C$27)^H$4</f>
        <v/>
      </c>
      <c r="I38" s="30">
        <f>(1+Sensitivities!$C$27)^I$4</f>
        <v/>
      </c>
      <c r="J38" s="30">
        <f>(1+Sensitivities!$C$27)^J$4</f>
        <v/>
      </c>
      <c r="K38" s="30">
        <f>(1+Sensitivities!$C$27)^K$4</f>
        <v/>
      </c>
      <c r="L38" s="30">
        <f>(1+Sensitivities!$C$27)^L$4</f>
        <v/>
      </c>
      <c r="M38" s="30">
        <f>(1+Sensitivities!$C$27)^M$4</f>
        <v/>
      </c>
      <c r="N38" s="30">
        <f>(1+Sensitivities!$C$27)^N$4</f>
        <v/>
      </c>
      <c r="O38" s="30">
        <f>(1+Sensitivities!$C$27)^O$4</f>
        <v/>
      </c>
      <c r="P38" s="30">
        <f>(1+Sensitivities!$C$27)^P$4</f>
        <v/>
      </c>
      <c r="Q38" s="30">
        <f>(1+Sensitivities!$C$27)^Q$4</f>
        <v/>
      </c>
      <c r="R38" s="30">
        <f>(1+Sensitivities!$C$27)^R$4</f>
        <v/>
      </c>
      <c r="S38" s="30">
        <f>(1+Sensitivities!$C$27)^S$4</f>
        <v/>
      </c>
      <c r="T38" s="30">
        <f>(1+Sensitivities!$C$27)^T$4</f>
        <v/>
      </c>
      <c r="U38" s="30">
        <f>(1+Sensitivities!$C$27)^U$4</f>
        <v/>
      </c>
      <c r="V38" s="30">
        <f>(1+Sensitivities!$C$27)^V$4</f>
        <v/>
      </c>
      <c r="W38" s="30">
        <f>(1+Sensitivities!$C$27)^W$4</f>
        <v/>
      </c>
      <c r="X38" s="30">
        <f>(1+Sensitivities!$C$27)^X$4</f>
        <v/>
      </c>
      <c r="Y38" s="30">
        <f>(1+Sensitivities!$C$27)^Y$4</f>
        <v/>
      </c>
      <c r="Z38" s="30">
        <f>(1+Sensitivities!$C$27)^Z$4</f>
        <v/>
      </c>
      <c r="AA38" s="30">
        <f>(1+Sensitivities!$C$27)^AA$4</f>
        <v/>
      </c>
      <c r="AB38" s="30">
        <f>(1+Sensitivities!$C$27)^AB$4</f>
        <v/>
      </c>
      <c r="AC38" s="30">
        <f>(1+Sensitivities!$C$27)^AC$4</f>
        <v/>
      </c>
      <c r="AD38" s="30">
        <f>(1+Sensitivities!$C$27)^AD$4</f>
        <v/>
      </c>
      <c r="AE38" s="30">
        <f>(1+Sensitivities!$C$27)^AE$4</f>
        <v/>
      </c>
      <c r="AF38" s="30">
        <f>(1+Sensitivities!$C$27)^AF$4</f>
        <v/>
      </c>
      <c r="AG38" s="30">
        <f>(1+Sensitivities!$C$27)^AG$4</f>
        <v/>
      </c>
      <c r="AH38" s="30">
        <f>(1+Sensitivities!$C$27)^AH$4</f>
        <v/>
      </c>
      <c r="AI38" s="30">
        <f>(1+Sensitivities!$C$27)^AI$4</f>
        <v/>
      </c>
    </row>
    <row r="39">
      <c r="B39" s="2" t="inlineStr">
        <is>
          <t>Rate index (inflation x pass-through)</t>
        </is>
      </c>
      <c r="D39" s="30">
        <f>(1+Sensitivities!$C$27*i_index_share)^D$4</f>
        <v/>
      </c>
      <c r="E39" s="30">
        <f>(1+Sensitivities!$C$27*i_index_share)^E$4</f>
        <v/>
      </c>
      <c r="F39" s="30">
        <f>(1+Sensitivities!$C$27*i_index_share)^F$4</f>
        <v/>
      </c>
      <c r="G39" s="30">
        <f>(1+Sensitivities!$C$27*i_index_share)^G$4</f>
        <v/>
      </c>
      <c r="H39" s="30">
        <f>(1+Sensitivities!$C$27*i_index_share)^H$4</f>
        <v/>
      </c>
      <c r="I39" s="30">
        <f>(1+Sensitivities!$C$27*i_index_share)^I$4</f>
        <v/>
      </c>
      <c r="J39" s="30">
        <f>(1+Sensitivities!$C$27*i_index_share)^J$4</f>
        <v/>
      </c>
      <c r="K39" s="30">
        <f>(1+Sensitivities!$C$27*i_index_share)^K$4</f>
        <v/>
      </c>
      <c r="L39" s="30">
        <f>(1+Sensitivities!$C$27*i_index_share)^L$4</f>
        <v/>
      </c>
      <c r="M39" s="30">
        <f>(1+Sensitivities!$C$27*i_index_share)^M$4</f>
        <v/>
      </c>
      <c r="N39" s="30">
        <f>(1+Sensitivities!$C$27*i_index_share)^N$4</f>
        <v/>
      </c>
      <c r="O39" s="30">
        <f>(1+Sensitivities!$C$27*i_index_share)^O$4</f>
        <v/>
      </c>
      <c r="P39" s="30">
        <f>(1+Sensitivities!$C$27*i_index_share)^P$4</f>
        <v/>
      </c>
      <c r="Q39" s="30">
        <f>(1+Sensitivities!$C$27*i_index_share)^Q$4</f>
        <v/>
      </c>
      <c r="R39" s="30">
        <f>(1+Sensitivities!$C$27*i_index_share)^R$4</f>
        <v/>
      </c>
      <c r="S39" s="30">
        <f>(1+Sensitivities!$C$27*i_index_share)^S$4</f>
        <v/>
      </c>
      <c r="T39" s="30">
        <f>(1+Sensitivities!$C$27*i_index_share)^T$4</f>
        <v/>
      </c>
      <c r="U39" s="30">
        <f>(1+Sensitivities!$C$27*i_index_share)^U$4</f>
        <v/>
      </c>
      <c r="V39" s="30">
        <f>(1+Sensitivities!$C$27*i_index_share)^V$4</f>
        <v/>
      </c>
      <c r="W39" s="30">
        <f>(1+Sensitivities!$C$27*i_index_share)^W$4</f>
        <v/>
      </c>
      <c r="X39" s="30">
        <f>(1+Sensitivities!$C$27*i_index_share)^X$4</f>
        <v/>
      </c>
      <c r="Y39" s="30">
        <f>(1+Sensitivities!$C$27*i_index_share)^Y$4</f>
        <v/>
      </c>
      <c r="Z39" s="30">
        <f>(1+Sensitivities!$C$27*i_index_share)^Z$4</f>
        <v/>
      </c>
      <c r="AA39" s="30">
        <f>(1+Sensitivities!$C$27*i_index_share)^AA$4</f>
        <v/>
      </c>
      <c r="AB39" s="30">
        <f>(1+Sensitivities!$C$27*i_index_share)^AB$4</f>
        <v/>
      </c>
      <c r="AC39" s="30">
        <f>(1+Sensitivities!$C$27*i_index_share)^AC$4</f>
        <v/>
      </c>
      <c r="AD39" s="30">
        <f>(1+Sensitivities!$C$27*i_index_share)^AD$4</f>
        <v/>
      </c>
      <c r="AE39" s="30">
        <f>(1+Sensitivities!$C$27*i_index_share)^AE$4</f>
        <v/>
      </c>
      <c r="AF39" s="30">
        <f>(1+Sensitivities!$C$27*i_index_share)^AF$4</f>
        <v/>
      </c>
      <c r="AG39" s="30">
        <f>(1+Sensitivities!$C$27*i_index_share)^AG$4</f>
        <v/>
      </c>
      <c r="AH39" s="30">
        <f>(1+Sensitivities!$C$27*i_index_share)^AH$4</f>
        <v/>
      </c>
      <c r="AI39" s="30">
        <f>(1+Sensitivities!$C$27*i_index_share)^AI$4</f>
        <v/>
      </c>
    </row>
    <row r="40">
      <c r="B40" s="3" t="inlineStr">
        <is>
          <t>Westerhaven</t>
        </is>
      </c>
    </row>
    <row r="41">
      <c r="B41" s="2" t="inlineStr">
        <is>
          <t xml:space="preserve">  Concession in force (1/0)</t>
        </is>
      </c>
      <c r="D41" s="22">
        <f>IF(Sensitivities!$C$35=1,1,IF(D$3&lt;=i_conc_end,1,0))</f>
        <v/>
      </c>
      <c r="E41" s="22">
        <f>IF(Sensitivities!$C$35=1,1,IF(E$3&lt;=i_conc_end,1,0))</f>
        <v/>
      </c>
      <c r="F41" s="22">
        <f>IF(Sensitivities!$C$35=1,1,IF(F$3&lt;=i_conc_end,1,0))</f>
        <v/>
      </c>
      <c r="G41" s="22">
        <f>IF(Sensitivities!$C$35=1,1,IF(G$3&lt;=i_conc_end,1,0))</f>
        <v/>
      </c>
      <c r="H41" s="22">
        <f>IF(Sensitivities!$C$35=1,1,IF(H$3&lt;=i_conc_end,1,0))</f>
        <v/>
      </c>
      <c r="I41" s="22">
        <f>IF(Sensitivities!$C$35=1,1,IF(I$3&lt;=i_conc_end,1,0))</f>
        <v/>
      </c>
      <c r="J41" s="22">
        <f>IF(Sensitivities!$C$35=1,1,IF(J$3&lt;=i_conc_end,1,0))</f>
        <v/>
      </c>
      <c r="K41" s="22">
        <f>IF(Sensitivities!$C$35=1,1,IF(K$3&lt;=i_conc_end,1,0))</f>
        <v/>
      </c>
      <c r="L41" s="22">
        <f>IF(Sensitivities!$C$35=1,1,IF(L$3&lt;=i_conc_end,1,0))</f>
        <v/>
      </c>
      <c r="M41" s="22">
        <f>IF(Sensitivities!$C$35=1,1,IF(M$3&lt;=i_conc_end,1,0))</f>
        <v/>
      </c>
      <c r="N41" s="22">
        <f>IF(Sensitivities!$C$35=1,1,IF(N$3&lt;=i_conc_end,1,0))</f>
        <v/>
      </c>
      <c r="O41" s="22">
        <f>IF(Sensitivities!$C$35=1,1,IF(O$3&lt;=i_conc_end,1,0))</f>
        <v/>
      </c>
      <c r="P41" s="22">
        <f>IF(Sensitivities!$C$35=1,1,IF(P$3&lt;=i_conc_end,1,0))</f>
        <v/>
      </c>
      <c r="Q41" s="22">
        <f>IF(Sensitivities!$C$35=1,1,IF(Q$3&lt;=i_conc_end,1,0))</f>
        <v/>
      </c>
      <c r="R41" s="22">
        <f>IF(Sensitivities!$C$35=1,1,IF(R$3&lt;=i_conc_end,1,0))</f>
        <v/>
      </c>
      <c r="S41" s="22">
        <f>IF(Sensitivities!$C$35=1,1,IF(S$3&lt;=i_conc_end,1,0))</f>
        <v/>
      </c>
      <c r="T41" s="22">
        <f>IF(Sensitivities!$C$35=1,1,IF(T$3&lt;=i_conc_end,1,0))</f>
        <v/>
      </c>
      <c r="U41" s="22">
        <f>IF(Sensitivities!$C$35=1,1,IF(U$3&lt;=i_conc_end,1,0))</f>
        <v/>
      </c>
      <c r="V41" s="22">
        <f>IF(Sensitivities!$C$35=1,1,IF(V$3&lt;=i_conc_end,1,0))</f>
        <v/>
      </c>
      <c r="W41" s="22">
        <f>IF(Sensitivities!$C$35=1,1,IF(W$3&lt;=i_conc_end,1,0))</f>
        <v/>
      </c>
      <c r="X41" s="22">
        <f>IF(Sensitivities!$C$35=1,1,IF(X$3&lt;=i_conc_end,1,0))</f>
        <v/>
      </c>
      <c r="Y41" s="22">
        <f>IF(Sensitivities!$C$35=1,1,IF(Y$3&lt;=i_conc_end,1,0))</f>
        <v/>
      </c>
      <c r="Z41" s="22">
        <f>IF(Sensitivities!$C$35=1,1,IF(Z$3&lt;=i_conc_end,1,0))</f>
        <v/>
      </c>
      <c r="AA41" s="22">
        <f>IF(Sensitivities!$C$35=1,1,IF(AA$3&lt;=i_conc_end,1,0))</f>
        <v/>
      </c>
      <c r="AB41" s="22">
        <f>IF(Sensitivities!$C$35=1,1,IF(AB$3&lt;=i_conc_end,1,0))</f>
        <v/>
      </c>
      <c r="AC41" s="22">
        <f>IF(Sensitivities!$C$35=1,1,IF(AC$3&lt;=i_conc_end,1,0))</f>
        <v/>
      </c>
      <c r="AD41" s="22">
        <f>IF(Sensitivities!$C$35=1,1,IF(AD$3&lt;=i_conc_end,1,0))</f>
        <v/>
      </c>
      <c r="AE41" s="22">
        <f>IF(Sensitivities!$C$35=1,1,IF(AE$3&lt;=i_conc_end,1,0))</f>
        <v/>
      </c>
      <c r="AF41" s="22">
        <f>IF(Sensitivities!$C$35=1,1,IF(AF$3&lt;=i_conc_end,1,0))</f>
        <v/>
      </c>
      <c r="AG41" s="22">
        <f>IF(Sensitivities!$C$35=1,1,IF(AG$3&lt;=i_conc_end,1,0))</f>
        <v/>
      </c>
      <c r="AH41" s="22">
        <f>IF(Sensitivities!$C$35=1,1,IF(AH$3&lt;=i_conc_end,1,0))</f>
        <v/>
      </c>
      <c r="AI41" s="22">
        <f>IF(Sensitivities!$C$35=1,1,IF(AI$3&lt;=i_conc_end,1,0))</f>
        <v/>
      </c>
    </row>
    <row r="42">
      <c r="B42" s="2" t="inlineStr">
        <is>
          <t xml:space="preserve">  Capacity in service (million m3)</t>
        </is>
      </c>
      <c r="D42" s="24">
        <f>i_W_cap*Sensitivities!$C$36*D41</f>
        <v/>
      </c>
      <c r="E42" s="24">
        <f>i_W_cap*Sensitivities!$C$36*E41</f>
        <v/>
      </c>
      <c r="F42" s="24">
        <f>i_W_cap*Sensitivities!$C$36*F41</f>
        <v/>
      </c>
      <c r="G42" s="24">
        <f>i_W_cap*Sensitivities!$C$36*G41</f>
        <v/>
      </c>
      <c r="H42" s="24">
        <f>i_W_cap*Sensitivities!$C$36*H41</f>
        <v/>
      </c>
      <c r="I42" s="24">
        <f>i_W_cap*Sensitivities!$C$36*I41</f>
        <v/>
      </c>
      <c r="J42" s="24">
        <f>i_W_cap*Sensitivities!$C$36*J41</f>
        <v/>
      </c>
      <c r="K42" s="24">
        <f>i_W_cap*Sensitivities!$C$36*K41</f>
        <v/>
      </c>
      <c r="L42" s="24">
        <f>i_W_cap*Sensitivities!$C$36*L41</f>
        <v/>
      </c>
      <c r="M42" s="24">
        <f>i_W_cap*Sensitivities!$C$36*M41</f>
        <v/>
      </c>
      <c r="N42" s="24">
        <f>i_W_cap*Sensitivities!$C$36*N41</f>
        <v/>
      </c>
      <c r="O42" s="24">
        <f>i_W_cap*Sensitivities!$C$36*O41</f>
        <v/>
      </c>
      <c r="P42" s="24">
        <f>i_W_cap*Sensitivities!$C$36*P41</f>
        <v/>
      </c>
      <c r="Q42" s="24">
        <f>i_W_cap*Sensitivities!$C$36*Q41</f>
        <v/>
      </c>
      <c r="R42" s="24">
        <f>i_W_cap*Sensitivities!$C$36*R41</f>
        <v/>
      </c>
      <c r="S42" s="24">
        <f>i_W_cap*Sensitivities!$C$36*S41</f>
        <v/>
      </c>
      <c r="T42" s="24">
        <f>i_W_cap*Sensitivities!$C$36*T41</f>
        <v/>
      </c>
      <c r="U42" s="24">
        <f>i_W_cap*Sensitivities!$C$36*U41</f>
        <v/>
      </c>
      <c r="V42" s="24">
        <f>i_W_cap*Sensitivities!$C$36*V41</f>
        <v/>
      </c>
      <c r="W42" s="24">
        <f>i_W_cap*Sensitivities!$C$36*W41</f>
        <v/>
      </c>
      <c r="X42" s="24">
        <f>i_W_cap*Sensitivities!$C$36*X41</f>
        <v/>
      </c>
      <c r="Y42" s="24">
        <f>i_W_cap*Sensitivities!$C$36*Y41</f>
        <v/>
      </c>
      <c r="Z42" s="24">
        <f>i_W_cap*Sensitivities!$C$36*Z41</f>
        <v/>
      </c>
      <c r="AA42" s="24">
        <f>i_W_cap*Sensitivities!$C$36*AA41</f>
        <v/>
      </c>
      <c r="AB42" s="24">
        <f>i_W_cap*Sensitivities!$C$36*AB41</f>
        <v/>
      </c>
      <c r="AC42" s="24">
        <f>i_W_cap*Sensitivities!$C$36*AC41</f>
        <v/>
      </c>
      <c r="AD42" s="24">
        <f>i_W_cap*Sensitivities!$C$36*AD41</f>
        <v/>
      </c>
      <c r="AE42" s="24">
        <f>i_W_cap*Sensitivities!$C$36*AE41</f>
        <v/>
      </c>
      <c r="AF42" s="24">
        <f>i_W_cap*Sensitivities!$C$36*AF41</f>
        <v/>
      </c>
      <c r="AG42" s="24">
        <f>i_W_cap*Sensitivities!$C$36*AG41</f>
        <v/>
      </c>
      <c r="AH42" s="24">
        <f>i_W_cap*Sensitivities!$C$36*AH41</f>
        <v/>
      </c>
      <c r="AI42" s="24">
        <f>i_W_cap*Sensitivities!$C$36*AI41</f>
        <v/>
      </c>
    </row>
    <row r="43">
      <c r="B43" s="2" t="inlineStr">
        <is>
          <t xml:space="preserve">  Share on contracts signed before 2027</t>
        </is>
      </c>
      <c r="D43" s="21">
        <f>SUMIF(i_book_years,D$3,i_W_book)</f>
        <v/>
      </c>
      <c r="E43" s="21">
        <f>SUMIF(i_book_years,E$3,i_W_book)</f>
        <v/>
      </c>
      <c r="F43" s="21">
        <f>SUMIF(i_book_years,F$3,i_W_book)</f>
        <v/>
      </c>
      <c r="G43" s="21">
        <f>SUMIF(i_book_years,G$3,i_W_book)</f>
        <v/>
      </c>
      <c r="H43" s="21">
        <f>SUMIF(i_book_years,H$3,i_W_book)</f>
        <v/>
      </c>
      <c r="I43" s="21">
        <f>SUMIF(i_book_years,I$3,i_W_book)</f>
        <v/>
      </c>
      <c r="J43" s="21">
        <f>SUMIF(i_book_years,J$3,i_W_book)</f>
        <v/>
      </c>
      <c r="K43" s="21">
        <f>SUMIF(i_book_years,K$3,i_W_book)</f>
        <v/>
      </c>
      <c r="L43" s="21">
        <f>SUMIF(i_book_years,L$3,i_W_book)</f>
        <v/>
      </c>
      <c r="M43" s="21">
        <f>SUMIF(i_book_years,M$3,i_W_book)</f>
        <v/>
      </c>
      <c r="N43" s="21">
        <f>SUMIF(i_book_years,N$3,i_W_book)</f>
        <v/>
      </c>
      <c r="O43" s="21">
        <f>SUMIF(i_book_years,O$3,i_W_book)</f>
        <v/>
      </c>
      <c r="P43" s="21">
        <f>SUMIF(i_book_years,P$3,i_W_book)</f>
        <v/>
      </c>
      <c r="Q43" s="21">
        <f>SUMIF(i_book_years,Q$3,i_W_book)</f>
        <v/>
      </c>
      <c r="R43" s="21">
        <f>SUMIF(i_book_years,R$3,i_W_book)</f>
        <v/>
      </c>
      <c r="S43" s="21">
        <f>SUMIF(i_book_years,S$3,i_W_book)</f>
        <v/>
      </c>
      <c r="T43" s="21">
        <f>SUMIF(i_book_years,T$3,i_W_book)</f>
        <v/>
      </c>
      <c r="U43" s="21">
        <f>SUMIF(i_book_years,U$3,i_W_book)</f>
        <v/>
      </c>
      <c r="V43" s="21">
        <f>SUMIF(i_book_years,V$3,i_W_book)</f>
        <v/>
      </c>
      <c r="W43" s="21">
        <f>SUMIF(i_book_years,W$3,i_W_book)</f>
        <v/>
      </c>
      <c r="X43" s="21">
        <f>SUMIF(i_book_years,X$3,i_W_book)</f>
        <v/>
      </c>
      <c r="Y43" s="21">
        <f>SUMIF(i_book_years,Y$3,i_W_book)</f>
        <v/>
      </c>
      <c r="Z43" s="21">
        <f>SUMIF(i_book_years,Z$3,i_W_book)</f>
        <v/>
      </c>
      <c r="AA43" s="21">
        <f>SUMIF(i_book_years,AA$3,i_W_book)</f>
        <v/>
      </c>
      <c r="AB43" s="21">
        <f>SUMIF(i_book_years,AB$3,i_W_book)</f>
        <v/>
      </c>
      <c r="AC43" s="21">
        <f>SUMIF(i_book_years,AC$3,i_W_book)</f>
        <v/>
      </c>
      <c r="AD43" s="21">
        <f>SUMIF(i_book_years,AD$3,i_W_book)</f>
        <v/>
      </c>
      <c r="AE43" s="21">
        <f>SUMIF(i_book_years,AE$3,i_W_book)</f>
        <v/>
      </c>
      <c r="AF43" s="21">
        <f>SUMIF(i_book_years,AF$3,i_W_book)</f>
        <v/>
      </c>
      <c r="AG43" s="21">
        <f>SUMIF(i_book_years,AG$3,i_W_book)</f>
        <v/>
      </c>
      <c r="AH43" s="21">
        <f>SUMIF(i_book_years,AH$3,i_W_book)</f>
        <v/>
      </c>
      <c r="AI43" s="21">
        <f>SUMIF(i_book_years,AI$3,i_W_book)</f>
        <v/>
      </c>
    </row>
    <row r="44">
      <c r="B44" s="2" t="inlineStr">
        <is>
          <t xml:space="preserve">  Recontracting factor against current rates</t>
        </is>
      </c>
      <c r="D44" s="21">
        <f>IF(D$4=0,0,IF(Sensitivities!$C$28=1,i_W_mtm,i_W_mtm_plan)+Sensitivities!$C$34)</f>
        <v/>
      </c>
      <c r="E44" s="21">
        <f>IF(E$4=0,0,IF(Sensitivities!$C$28=1,i_W_mtm,i_W_mtm_plan)+Sensitivities!$C$34)</f>
        <v/>
      </c>
      <c r="F44" s="21">
        <f>IF(F$4=0,0,IF(Sensitivities!$C$28=1,i_W_mtm,i_W_mtm_plan)+Sensitivities!$C$34)</f>
        <v/>
      </c>
      <c r="G44" s="21">
        <f>IF(G$4=0,0,IF(Sensitivities!$C$28=1,i_W_mtm,i_W_mtm_plan)+Sensitivities!$C$34)</f>
        <v/>
      </c>
      <c r="H44" s="21">
        <f>IF(H$4=0,0,IF(Sensitivities!$C$28=1,i_W_mtm,i_W_mtm_plan)+Sensitivities!$C$34)</f>
        <v/>
      </c>
      <c r="I44" s="21">
        <f>IF(I$4=0,0,IF(Sensitivities!$C$28=1,i_W_mtm,i_W_mtm_plan)+Sensitivities!$C$34)</f>
        <v/>
      </c>
      <c r="J44" s="21">
        <f>IF(J$4=0,0,IF(Sensitivities!$C$28=1,i_W_mtm,i_W_mtm_plan)+Sensitivities!$C$34)</f>
        <v/>
      </c>
      <c r="K44" s="21">
        <f>IF(K$4=0,0,IF(Sensitivities!$C$28=1,i_W_mtm,i_W_mtm_plan)+Sensitivities!$C$34)</f>
        <v/>
      </c>
      <c r="L44" s="21">
        <f>IF(L$4=0,0,IF(Sensitivities!$C$28=1,i_W_mtm,i_W_mtm_plan)+Sensitivities!$C$34)</f>
        <v/>
      </c>
      <c r="M44" s="21">
        <f>IF(M$4=0,0,IF(Sensitivities!$C$28=1,i_W_mtm,i_W_mtm_plan)+Sensitivities!$C$34)</f>
        <v/>
      </c>
      <c r="N44" s="21">
        <f>IF(N$4=0,0,IF(Sensitivities!$C$28=1,i_W_mtm,i_W_mtm_plan)+Sensitivities!$C$34)</f>
        <v/>
      </c>
      <c r="O44" s="21">
        <f>IF(O$4=0,0,IF(Sensitivities!$C$28=1,i_W_mtm,i_W_mtm_plan)+Sensitivities!$C$34)</f>
        <v/>
      </c>
      <c r="P44" s="21">
        <f>IF(P$4=0,0,IF(Sensitivities!$C$28=1,i_W_mtm,i_W_mtm_plan)+Sensitivities!$C$34)</f>
        <v/>
      </c>
      <c r="Q44" s="21">
        <f>IF(Q$4=0,0,IF(Sensitivities!$C$28=1,i_W_mtm,i_W_mtm_plan)+Sensitivities!$C$34)</f>
        <v/>
      </c>
      <c r="R44" s="21">
        <f>IF(R$4=0,0,IF(Sensitivities!$C$28=1,i_W_mtm,i_W_mtm_plan)+Sensitivities!$C$34)</f>
        <v/>
      </c>
      <c r="S44" s="21">
        <f>IF(S$4=0,0,IF(Sensitivities!$C$28=1,i_W_mtm,i_W_mtm_plan)+Sensitivities!$C$34)</f>
        <v/>
      </c>
      <c r="T44" s="21">
        <f>IF(T$4=0,0,IF(Sensitivities!$C$28=1,i_W_mtm,i_W_mtm_plan)+Sensitivities!$C$34)</f>
        <v/>
      </c>
      <c r="U44" s="21">
        <f>IF(U$4=0,0,IF(Sensitivities!$C$28=1,i_W_mtm,i_W_mtm_plan)+Sensitivities!$C$34)</f>
        <v/>
      </c>
      <c r="V44" s="21">
        <f>IF(V$4=0,0,IF(Sensitivities!$C$28=1,i_W_mtm,i_W_mtm_plan)+Sensitivities!$C$34)</f>
        <v/>
      </c>
      <c r="W44" s="21">
        <f>IF(W$4=0,0,IF(Sensitivities!$C$28=1,i_W_mtm,i_W_mtm_plan)+Sensitivities!$C$34)</f>
        <v/>
      </c>
      <c r="X44" s="21">
        <f>IF(X$4=0,0,IF(Sensitivities!$C$28=1,i_W_mtm,i_W_mtm_plan)+Sensitivities!$C$34)</f>
        <v/>
      </c>
      <c r="Y44" s="21">
        <f>IF(Y$4=0,0,IF(Sensitivities!$C$28=1,i_W_mtm,i_W_mtm_plan)+Sensitivities!$C$34)</f>
        <v/>
      </c>
      <c r="Z44" s="21">
        <f>IF(Z$4=0,0,IF(Sensitivities!$C$28=1,i_W_mtm,i_W_mtm_plan)+Sensitivities!$C$34)</f>
        <v/>
      </c>
      <c r="AA44" s="21">
        <f>IF(AA$4=0,0,IF(Sensitivities!$C$28=1,i_W_mtm,i_W_mtm_plan)+Sensitivities!$C$34)</f>
        <v/>
      </c>
      <c r="AB44" s="21">
        <f>IF(AB$4=0,0,IF(Sensitivities!$C$28=1,i_W_mtm,i_W_mtm_plan)+Sensitivities!$C$34)</f>
        <v/>
      </c>
      <c r="AC44" s="21">
        <f>IF(AC$4=0,0,IF(Sensitivities!$C$28=1,i_W_mtm,i_W_mtm_plan)+Sensitivities!$C$34)</f>
        <v/>
      </c>
      <c r="AD44" s="21">
        <f>IF(AD$4=0,0,IF(Sensitivities!$C$28=1,i_W_mtm,i_W_mtm_plan)+Sensitivities!$C$34)</f>
        <v/>
      </c>
      <c r="AE44" s="21">
        <f>IF(AE$4=0,0,IF(Sensitivities!$C$28=1,i_W_mtm,i_W_mtm_plan)+Sensitivities!$C$34)</f>
        <v/>
      </c>
      <c r="AF44" s="21">
        <f>IF(AF$4=0,0,IF(Sensitivities!$C$28=1,i_W_mtm,i_W_mtm_plan)+Sensitivities!$C$34)</f>
        <v/>
      </c>
      <c r="AG44" s="21">
        <f>IF(AG$4=0,0,IF(Sensitivities!$C$28=1,i_W_mtm,i_W_mtm_plan)+Sensitivities!$C$34)</f>
        <v/>
      </c>
      <c r="AH44" s="21">
        <f>IF(AH$4=0,0,IF(Sensitivities!$C$28=1,i_W_mtm,i_W_mtm_plan)+Sensitivities!$C$34)</f>
        <v/>
      </c>
      <c r="AI44" s="21">
        <f>IF(AI$4=0,0,IF(Sensitivities!$C$28=1,i_W_mtm,i_W_mtm_plan)+Sensitivities!$C$34)</f>
        <v/>
      </c>
    </row>
    <row r="45">
      <c r="B45" s="2" t="inlineStr">
        <is>
          <t xml:space="preserve">  Average rate ($ per m3 per month)</t>
        </is>
      </c>
      <c r="D45" s="24">
        <f>i_W_rate*D39*(D43+(1-D43)*(1+D44))</f>
        <v/>
      </c>
      <c r="E45" s="24">
        <f>i_W_rate*E39*(E43+(1-E43)*(1+E44))</f>
        <v/>
      </c>
      <c r="F45" s="24">
        <f>i_W_rate*F39*(F43+(1-F43)*(1+F44))</f>
        <v/>
      </c>
      <c r="G45" s="24">
        <f>i_W_rate*G39*(G43+(1-G43)*(1+G44))</f>
        <v/>
      </c>
      <c r="H45" s="24">
        <f>i_W_rate*H39*(H43+(1-H43)*(1+H44))</f>
        <v/>
      </c>
      <c r="I45" s="24">
        <f>i_W_rate*I39*(I43+(1-I43)*(1+I44))</f>
        <v/>
      </c>
      <c r="J45" s="24">
        <f>i_W_rate*J39*(J43+(1-J43)*(1+J44))</f>
        <v/>
      </c>
      <c r="K45" s="24">
        <f>i_W_rate*K39*(K43+(1-K43)*(1+K44))</f>
        <v/>
      </c>
      <c r="L45" s="24">
        <f>i_W_rate*L39*(L43+(1-L43)*(1+L44))</f>
        <v/>
      </c>
      <c r="M45" s="24">
        <f>i_W_rate*M39*(M43+(1-M43)*(1+M44))</f>
        <v/>
      </c>
      <c r="N45" s="24">
        <f>i_W_rate*N39*(N43+(1-N43)*(1+N44))</f>
        <v/>
      </c>
      <c r="O45" s="24">
        <f>i_W_rate*O39*(O43+(1-O43)*(1+O44))</f>
        <v/>
      </c>
      <c r="P45" s="24">
        <f>i_W_rate*P39*(P43+(1-P43)*(1+P44))</f>
        <v/>
      </c>
      <c r="Q45" s="24">
        <f>i_W_rate*Q39*(Q43+(1-Q43)*(1+Q44))</f>
        <v/>
      </c>
      <c r="R45" s="24">
        <f>i_W_rate*R39*(R43+(1-R43)*(1+R44))</f>
        <v/>
      </c>
      <c r="S45" s="24">
        <f>i_W_rate*S39*(S43+(1-S43)*(1+S44))</f>
        <v/>
      </c>
      <c r="T45" s="24">
        <f>i_W_rate*T39*(T43+(1-T43)*(1+T44))</f>
        <v/>
      </c>
      <c r="U45" s="24">
        <f>i_W_rate*U39*(U43+(1-U43)*(1+U44))</f>
        <v/>
      </c>
      <c r="V45" s="24">
        <f>i_W_rate*V39*(V43+(1-V43)*(1+V44))</f>
        <v/>
      </c>
      <c r="W45" s="24">
        <f>i_W_rate*W39*(W43+(1-W43)*(1+W44))</f>
        <v/>
      </c>
      <c r="X45" s="24">
        <f>i_W_rate*X39*(X43+(1-X43)*(1+X44))</f>
        <v/>
      </c>
      <c r="Y45" s="24">
        <f>i_W_rate*Y39*(Y43+(1-Y43)*(1+Y44))</f>
        <v/>
      </c>
      <c r="Z45" s="24">
        <f>i_W_rate*Z39*(Z43+(1-Z43)*(1+Z44))</f>
        <v/>
      </c>
      <c r="AA45" s="24">
        <f>i_W_rate*AA39*(AA43+(1-AA43)*(1+AA44))</f>
        <v/>
      </c>
      <c r="AB45" s="24">
        <f>i_W_rate*AB39*(AB43+(1-AB43)*(1+AB44))</f>
        <v/>
      </c>
      <c r="AC45" s="24">
        <f>i_W_rate*AC39*(AC43+(1-AC43)*(1+AC44))</f>
        <v/>
      </c>
      <c r="AD45" s="24">
        <f>i_W_rate*AD39*(AD43+(1-AD43)*(1+AD44))</f>
        <v/>
      </c>
      <c r="AE45" s="24">
        <f>i_W_rate*AE39*(AE43+(1-AE43)*(1+AE44))</f>
        <v/>
      </c>
      <c r="AF45" s="24">
        <f>i_W_rate*AF39*(AF43+(1-AF43)*(1+AF44))</f>
        <v/>
      </c>
      <c r="AG45" s="24">
        <f>i_W_rate*AG39*(AG43+(1-AG43)*(1+AG44))</f>
        <v/>
      </c>
      <c r="AH45" s="24">
        <f>i_W_rate*AH39*(AH43+(1-AH43)*(1+AH44))</f>
        <v/>
      </c>
      <c r="AI45" s="24">
        <f>i_W_rate*AI39*(AI43+(1-AI43)*(1+AI44))</f>
        <v/>
      </c>
    </row>
    <row r="46">
      <c r="B46" s="2" t="inlineStr">
        <is>
          <t xml:space="preserve">  Occupancy after the transition decline and floor</t>
        </is>
      </c>
      <c r="D46" s="21">
        <f>IF(D$3&gt;i_trans_start,MAX(i_W_floor,i_W_occ-i_W_dec*(D$3-i_trans_start)),i_W_occ)</f>
        <v/>
      </c>
      <c r="E46" s="21">
        <f>IF(E$3&gt;i_trans_start,MAX(i_W_floor,i_W_occ-i_W_dec*(E$3-i_trans_start)),i_W_occ)</f>
        <v/>
      </c>
      <c r="F46" s="21">
        <f>IF(F$3&gt;i_trans_start,MAX(i_W_floor,i_W_occ-i_W_dec*(F$3-i_trans_start)),i_W_occ)</f>
        <v/>
      </c>
      <c r="G46" s="21">
        <f>IF(G$3&gt;i_trans_start,MAX(i_W_floor,i_W_occ-i_W_dec*(G$3-i_trans_start)),i_W_occ)</f>
        <v/>
      </c>
      <c r="H46" s="21">
        <f>IF(H$3&gt;i_trans_start,MAX(i_W_floor,i_W_occ-i_W_dec*(H$3-i_trans_start)),i_W_occ)</f>
        <v/>
      </c>
      <c r="I46" s="21">
        <f>IF(I$3&gt;i_trans_start,MAX(i_W_floor,i_W_occ-i_W_dec*(I$3-i_trans_start)),i_W_occ)</f>
        <v/>
      </c>
      <c r="J46" s="21">
        <f>IF(J$3&gt;i_trans_start,MAX(i_W_floor,i_W_occ-i_W_dec*(J$3-i_trans_start)),i_W_occ)</f>
        <v/>
      </c>
      <c r="K46" s="21">
        <f>IF(K$3&gt;i_trans_start,MAX(i_W_floor,i_W_occ-i_W_dec*(K$3-i_trans_start)),i_W_occ)</f>
        <v/>
      </c>
      <c r="L46" s="21">
        <f>IF(L$3&gt;i_trans_start,MAX(i_W_floor,i_W_occ-i_W_dec*(L$3-i_trans_start)),i_W_occ)</f>
        <v/>
      </c>
      <c r="M46" s="21">
        <f>IF(M$3&gt;i_trans_start,MAX(i_W_floor,i_W_occ-i_W_dec*(M$3-i_trans_start)),i_W_occ)</f>
        <v/>
      </c>
      <c r="N46" s="21">
        <f>IF(N$3&gt;i_trans_start,MAX(i_W_floor,i_W_occ-i_W_dec*(N$3-i_trans_start)),i_W_occ)</f>
        <v/>
      </c>
      <c r="O46" s="21">
        <f>IF(O$3&gt;i_trans_start,MAX(i_W_floor,i_W_occ-i_W_dec*(O$3-i_trans_start)),i_W_occ)</f>
        <v/>
      </c>
      <c r="P46" s="21">
        <f>IF(P$3&gt;i_trans_start,MAX(i_W_floor,i_W_occ-i_W_dec*(P$3-i_trans_start)),i_W_occ)</f>
        <v/>
      </c>
      <c r="Q46" s="21">
        <f>IF(Q$3&gt;i_trans_start,MAX(i_W_floor,i_W_occ-i_W_dec*(Q$3-i_trans_start)),i_W_occ)</f>
        <v/>
      </c>
      <c r="R46" s="21">
        <f>IF(R$3&gt;i_trans_start,MAX(i_W_floor,i_W_occ-i_W_dec*(R$3-i_trans_start)),i_W_occ)</f>
        <v/>
      </c>
      <c r="S46" s="21">
        <f>IF(S$3&gt;i_trans_start,MAX(i_W_floor,i_W_occ-i_W_dec*(S$3-i_trans_start)),i_W_occ)</f>
        <v/>
      </c>
      <c r="T46" s="21">
        <f>IF(T$3&gt;i_trans_start,MAX(i_W_floor,i_W_occ-i_W_dec*(T$3-i_trans_start)),i_W_occ)</f>
        <v/>
      </c>
      <c r="U46" s="21">
        <f>IF(U$3&gt;i_trans_start,MAX(i_W_floor,i_W_occ-i_W_dec*(U$3-i_trans_start)),i_W_occ)</f>
        <v/>
      </c>
      <c r="V46" s="21">
        <f>IF(V$3&gt;i_trans_start,MAX(i_W_floor,i_W_occ-i_W_dec*(V$3-i_trans_start)),i_W_occ)</f>
        <v/>
      </c>
      <c r="W46" s="21">
        <f>IF(W$3&gt;i_trans_start,MAX(i_W_floor,i_W_occ-i_W_dec*(W$3-i_trans_start)),i_W_occ)</f>
        <v/>
      </c>
      <c r="X46" s="21">
        <f>IF(X$3&gt;i_trans_start,MAX(i_W_floor,i_W_occ-i_W_dec*(X$3-i_trans_start)),i_W_occ)</f>
        <v/>
      </c>
      <c r="Y46" s="21">
        <f>IF(Y$3&gt;i_trans_start,MAX(i_W_floor,i_W_occ-i_W_dec*(Y$3-i_trans_start)),i_W_occ)</f>
        <v/>
      </c>
      <c r="Z46" s="21">
        <f>IF(Z$3&gt;i_trans_start,MAX(i_W_floor,i_W_occ-i_W_dec*(Z$3-i_trans_start)),i_W_occ)</f>
        <v/>
      </c>
      <c r="AA46" s="21">
        <f>IF(AA$3&gt;i_trans_start,MAX(i_W_floor,i_W_occ-i_W_dec*(AA$3-i_trans_start)),i_W_occ)</f>
        <v/>
      </c>
      <c r="AB46" s="21">
        <f>IF(AB$3&gt;i_trans_start,MAX(i_W_floor,i_W_occ-i_W_dec*(AB$3-i_trans_start)),i_W_occ)</f>
        <v/>
      </c>
      <c r="AC46" s="21">
        <f>IF(AC$3&gt;i_trans_start,MAX(i_W_floor,i_W_occ-i_W_dec*(AC$3-i_trans_start)),i_W_occ)</f>
        <v/>
      </c>
      <c r="AD46" s="21">
        <f>IF(AD$3&gt;i_trans_start,MAX(i_W_floor,i_W_occ-i_W_dec*(AD$3-i_trans_start)),i_W_occ)</f>
        <v/>
      </c>
      <c r="AE46" s="21">
        <f>IF(AE$3&gt;i_trans_start,MAX(i_W_floor,i_W_occ-i_W_dec*(AE$3-i_trans_start)),i_W_occ)</f>
        <v/>
      </c>
      <c r="AF46" s="21">
        <f>IF(AF$3&gt;i_trans_start,MAX(i_W_floor,i_W_occ-i_W_dec*(AF$3-i_trans_start)),i_W_occ)</f>
        <v/>
      </c>
      <c r="AG46" s="21">
        <f>IF(AG$3&gt;i_trans_start,MAX(i_W_floor,i_W_occ-i_W_dec*(AG$3-i_trans_start)),i_W_occ)</f>
        <v/>
      </c>
      <c r="AH46" s="21">
        <f>IF(AH$3&gt;i_trans_start,MAX(i_W_floor,i_W_occ-i_W_dec*(AH$3-i_trans_start)),i_W_occ)</f>
        <v/>
      </c>
      <c r="AI46" s="21">
        <f>IF(AI$3&gt;i_trans_start,MAX(i_W_floor,i_W_occ-i_W_dec*(AI$3-i_trans_start)),i_W_occ)</f>
        <v/>
      </c>
    </row>
    <row r="47">
      <c r="B47" s="2" t="inlineStr">
        <is>
          <t xml:space="preserve">  Customer loss (points)</t>
        </is>
      </c>
      <c r="D47" s="21">
        <f>Sensitivities!$C$29*SUMIF(i_dip_years,D$3,i_dip_vals)</f>
        <v/>
      </c>
      <c r="E47" s="21">
        <f>Sensitivities!$C$29*SUMIF(i_dip_years,E$3,i_dip_vals)</f>
        <v/>
      </c>
      <c r="F47" s="21">
        <f>Sensitivities!$C$29*SUMIF(i_dip_years,F$3,i_dip_vals)</f>
        <v/>
      </c>
      <c r="G47" s="21">
        <f>Sensitivities!$C$29*SUMIF(i_dip_years,G$3,i_dip_vals)</f>
        <v/>
      </c>
      <c r="H47" s="21">
        <f>Sensitivities!$C$29*SUMIF(i_dip_years,H$3,i_dip_vals)</f>
        <v/>
      </c>
      <c r="I47" s="21">
        <f>Sensitivities!$C$29*SUMIF(i_dip_years,I$3,i_dip_vals)</f>
        <v/>
      </c>
      <c r="J47" s="21">
        <f>Sensitivities!$C$29*SUMIF(i_dip_years,J$3,i_dip_vals)</f>
        <v/>
      </c>
      <c r="K47" s="21">
        <f>Sensitivities!$C$29*SUMIF(i_dip_years,K$3,i_dip_vals)</f>
        <v/>
      </c>
      <c r="L47" s="21">
        <f>Sensitivities!$C$29*SUMIF(i_dip_years,L$3,i_dip_vals)</f>
        <v/>
      </c>
      <c r="M47" s="21">
        <f>Sensitivities!$C$29*SUMIF(i_dip_years,M$3,i_dip_vals)</f>
        <v/>
      </c>
      <c r="N47" s="21">
        <f>Sensitivities!$C$29*SUMIF(i_dip_years,N$3,i_dip_vals)</f>
        <v/>
      </c>
      <c r="O47" s="21">
        <f>Sensitivities!$C$29*SUMIF(i_dip_years,O$3,i_dip_vals)</f>
        <v/>
      </c>
      <c r="P47" s="21">
        <f>Sensitivities!$C$29*SUMIF(i_dip_years,P$3,i_dip_vals)</f>
        <v/>
      </c>
      <c r="Q47" s="21">
        <f>Sensitivities!$C$29*SUMIF(i_dip_years,Q$3,i_dip_vals)</f>
        <v/>
      </c>
      <c r="R47" s="21">
        <f>Sensitivities!$C$29*SUMIF(i_dip_years,R$3,i_dip_vals)</f>
        <v/>
      </c>
      <c r="S47" s="21">
        <f>Sensitivities!$C$29*SUMIF(i_dip_years,S$3,i_dip_vals)</f>
        <v/>
      </c>
      <c r="T47" s="21">
        <f>Sensitivities!$C$29*SUMIF(i_dip_years,T$3,i_dip_vals)</f>
        <v/>
      </c>
      <c r="U47" s="21">
        <f>Sensitivities!$C$29*SUMIF(i_dip_years,U$3,i_dip_vals)</f>
        <v/>
      </c>
      <c r="V47" s="21">
        <f>Sensitivities!$C$29*SUMIF(i_dip_years,V$3,i_dip_vals)</f>
        <v/>
      </c>
      <c r="W47" s="21">
        <f>Sensitivities!$C$29*SUMIF(i_dip_years,W$3,i_dip_vals)</f>
        <v/>
      </c>
      <c r="X47" s="21">
        <f>Sensitivities!$C$29*SUMIF(i_dip_years,X$3,i_dip_vals)</f>
        <v/>
      </c>
      <c r="Y47" s="21">
        <f>Sensitivities!$C$29*SUMIF(i_dip_years,Y$3,i_dip_vals)</f>
        <v/>
      </c>
      <c r="Z47" s="21">
        <f>Sensitivities!$C$29*SUMIF(i_dip_years,Z$3,i_dip_vals)</f>
        <v/>
      </c>
      <c r="AA47" s="21">
        <f>Sensitivities!$C$29*SUMIF(i_dip_years,AA$3,i_dip_vals)</f>
        <v/>
      </c>
      <c r="AB47" s="21">
        <f>Sensitivities!$C$29*SUMIF(i_dip_years,AB$3,i_dip_vals)</f>
        <v/>
      </c>
      <c r="AC47" s="21">
        <f>Sensitivities!$C$29*SUMIF(i_dip_years,AC$3,i_dip_vals)</f>
        <v/>
      </c>
      <c r="AD47" s="21">
        <f>Sensitivities!$C$29*SUMIF(i_dip_years,AD$3,i_dip_vals)</f>
        <v/>
      </c>
      <c r="AE47" s="21">
        <f>Sensitivities!$C$29*SUMIF(i_dip_years,AE$3,i_dip_vals)</f>
        <v/>
      </c>
      <c r="AF47" s="21">
        <f>Sensitivities!$C$29*SUMIF(i_dip_years,AF$3,i_dip_vals)</f>
        <v/>
      </c>
      <c r="AG47" s="21">
        <f>Sensitivities!$C$29*SUMIF(i_dip_years,AG$3,i_dip_vals)</f>
        <v/>
      </c>
      <c r="AH47" s="21">
        <f>Sensitivities!$C$29*SUMIF(i_dip_years,AH$3,i_dip_vals)</f>
        <v/>
      </c>
      <c r="AI47" s="21">
        <f>Sensitivities!$C$29*SUMIF(i_dip_years,AI$3,i_dip_vals)</f>
        <v/>
      </c>
    </row>
    <row r="48">
      <c r="B48" s="2" t="inlineStr">
        <is>
          <t xml:space="preserve">  Occupancy (with the shift switch from 2027)</t>
        </is>
      </c>
      <c r="D48" s="21">
        <f>IF(D$4&gt;0,MIN(1,D46-D47+Sensitivities!$C$33),D46-D47)</f>
        <v/>
      </c>
      <c r="E48" s="21">
        <f>IF(E$4&gt;0,MIN(1,E46-E47+Sensitivities!$C$33),E46-E47)</f>
        <v/>
      </c>
      <c r="F48" s="21">
        <f>IF(F$4&gt;0,MIN(1,F46-F47+Sensitivities!$C$33),F46-F47)</f>
        <v/>
      </c>
      <c r="G48" s="21">
        <f>IF(G$4&gt;0,MIN(1,G46-G47+Sensitivities!$C$33),G46-G47)</f>
        <v/>
      </c>
      <c r="H48" s="21">
        <f>IF(H$4&gt;0,MIN(1,H46-H47+Sensitivities!$C$33),H46-H47)</f>
        <v/>
      </c>
      <c r="I48" s="21">
        <f>IF(I$4&gt;0,MIN(1,I46-I47+Sensitivities!$C$33),I46-I47)</f>
        <v/>
      </c>
      <c r="J48" s="21">
        <f>IF(J$4&gt;0,MIN(1,J46-J47+Sensitivities!$C$33),J46-J47)</f>
        <v/>
      </c>
      <c r="K48" s="21">
        <f>IF(K$4&gt;0,MIN(1,K46-K47+Sensitivities!$C$33),K46-K47)</f>
        <v/>
      </c>
      <c r="L48" s="21">
        <f>IF(L$4&gt;0,MIN(1,L46-L47+Sensitivities!$C$33),L46-L47)</f>
        <v/>
      </c>
      <c r="M48" s="21">
        <f>IF(M$4&gt;0,MIN(1,M46-M47+Sensitivities!$C$33),M46-M47)</f>
        <v/>
      </c>
      <c r="N48" s="21">
        <f>IF(N$4&gt;0,MIN(1,N46-N47+Sensitivities!$C$33),N46-N47)</f>
        <v/>
      </c>
      <c r="O48" s="21">
        <f>IF(O$4&gt;0,MIN(1,O46-O47+Sensitivities!$C$33),O46-O47)</f>
        <v/>
      </c>
      <c r="P48" s="21">
        <f>IF(P$4&gt;0,MIN(1,P46-P47+Sensitivities!$C$33),P46-P47)</f>
        <v/>
      </c>
      <c r="Q48" s="21">
        <f>IF(Q$4&gt;0,MIN(1,Q46-Q47+Sensitivities!$C$33),Q46-Q47)</f>
        <v/>
      </c>
      <c r="R48" s="21">
        <f>IF(R$4&gt;0,MIN(1,R46-R47+Sensitivities!$C$33),R46-R47)</f>
        <v/>
      </c>
      <c r="S48" s="21">
        <f>IF(S$4&gt;0,MIN(1,S46-S47+Sensitivities!$C$33),S46-S47)</f>
        <v/>
      </c>
      <c r="T48" s="21">
        <f>IF(T$4&gt;0,MIN(1,T46-T47+Sensitivities!$C$33),T46-T47)</f>
        <v/>
      </c>
      <c r="U48" s="21">
        <f>IF(U$4&gt;0,MIN(1,U46-U47+Sensitivities!$C$33),U46-U47)</f>
        <v/>
      </c>
      <c r="V48" s="21">
        <f>IF(V$4&gt;0,MIN(1,V46-V47+Sensitivities!$C$33),V46-V47)</f>
        <v/>
      </c>
      <c r="W48" s="21">
        <f>IF(W$4&gt;0,MIN(1,W46-W47+Sensitivities!$C$33),W46-W47)</f>
        <v/>
      </c>
      <c r="X48" s="21">
        <f>IF(X$4&gt;0,MIN(1,X46-X47+Sensitivities!$C$33),X46-X47)</f>
        <v/>
      </c>
      <c r="Y48" s="21">
        <f>IF(Y$4&gt;0,MIN(1,Y46-Y47+Sensitivities!$C$33),Y46-Y47)</f>
        <v/>
      </c>
      <c r="Z48" s="21">
        <f>IF(Z$4&gt;0,MIN(1,Z46-Z47+Sensitivities!$C$33),Z46-Z47)</f>
        <v/>
      </c>
      <c r="AA48" s="21">
        <f>IF(AA$4&gt;0,MIN(1,AA46-AA47+Sensitivities!$C$33),AA46-AA47)</f>
        <v/>
      </c>
      <c r="AB48" s="21">
        <f>IF(AB$4&gt;0,MIN(1,AB46-AB47+Sensitivities!$C$33),AB46-AB47)</f>
        <v/>
      </c>
      <c r="AC48" s="21">
        <f>IF(AC$4&gt;0,MIN(1,AC46-AC47+Sensitivities!$C$33),AC46-AC47)</f>
        <v/>
      </c>
      <c r="AD48" s="21">
        <f>IF(AD$4&gt;0,MIN(1,AD46-AD47+Sensitivities!$C$33),AD46-AD47)</f>
        <v/>
      </c>
      <c r="AE48" s="21">
        <f>IF(AE$4&gt;0,MIN(1,AE46-AE47+Sensitivities!$C$33),AE46-AE47)</f>
        <v/>
      </c>
      <c r="AF48" s="21">
        <f>IF(AF$4&gt;0,MIN(1,AF46-AF47+Sensitivities!$C$33),AF46-AF47)</f>
        <v/>
      </c>
      <c r="AG48" s="21">
        <f>IF(AG$4&gt;0,MIN(1,AG46-AG47+Sensitivities!$C$33),AG46-AG47)</f>
        <v/>
      </c>
      <c r="AH48" s="21">
        <f>IF(AH$4&gt;0,MIN(1,AH46-AH47+Sensitivities!$C$33),AH46-AH47)</f>
        <v/>
      </c>
      <c r="AI48" s="21">
        <f>IF(AI$4&gt;0,MIN(1,AI46-AI47+Sensitivities!$C$33),AI46-AI47)</f>
        <v/>
      </c>
    </row>
    <row r="49">
      <c r="B49" s="2" t="inlineStr">
        <is>
          <t xml:space="preserve">  Storage revenue</t>
        </is>
      </c>
      <c r="D49" s="19">
        <f>D42*D45*12*D48</f>
        <v/>
      </c>
      <c r="E49" s="19">
        <f>E42*E45*12*E48</f>
        <v/>
      </c>
      <c r="F49" s="19">
        <f>F42*F45*12*F48</f>
        <v/>
      </c>
      <c r="G49" s="19">
        <f>G42*G45*12*G48</f>
        <v/>
      </c>
      <c r="H49" s="19">
        <f>H42*H45*12*H48</f>
        <v/>
      </c>
      <c r="I49" s="19">
        <f>I42*I45*12*I48</f>
        <v/>
      </c>
      <c r="J49" s="19">
        <f>J42*J45*12*J48</f>
        <v/>
      </c>
      <c r="K49" s="19">
        <f>K42*K45*12*K48</f>
        <v/>
      </c>
      <c r="L49" s="19">
        <f>L42*L45*12*L48</f>
        <v/>
      </c>
      <c r="M49" s="19">
        <f>M42*M45*12*M48</f>
        <v/>
      </c>
      <c r="N49" s="19">
        <f>N42*N45*12*N48</f>
        <v/>
      </c>
      <c r="O49" s="19">
        <f>O42*O45*12*O48</f>
        <v/>
      </c>
      <c r="P49" s="19">
        <f>P42*P45*12*P48</f>
        <v/>
      </c>
      <c r="Q49" s="19">
        <f>Q42*Q45*12*Q48</f>
        <v/>
      </c>
      <c r="R49" s="19">
        <f>R42*R45*12*R48</f>
        <v/>
      </c>
      <c r="S49" s="19">
        <f>S42*S45*12*S48</f>
        <v/>
      </c>
      <c r="T49" s="19">
        <f>T42*T45*12*T48</f>
        <v/>
      </c>
      <c r="U49" s="19">
        <f>U42*U45*12*U48</f>
        <v/>
      </c>
      <c r="V49" s="19">
        <f>V42*V45*12*V48</f>
        <v/>
      </c>
      <c r="W49" s="19">
        <f>W42*W45*12*W48</f>
        <v/>
      </c>
      <c r="X49" s="19">
        <f>X42*X45*12*X48</f>
        <v/>
      </c>
      <c r="Y49" s="19">
        <f>Y42*Y45*12*Y48</f>
        <v/>
      </c>
      <c r="Z49" s="19">
        <f>Z42*Z45*12*Z48</f>
        <v/>
      </c>
      <c r="AA49" s="19">
        <f>AA42*AA45*12*AA48</f>
        <v/>
      </c>
      <c r="AB49" s="19">
        <f>AB42*AB45*12*AB48</f>
        <v/>
      </c>
      <c r="AC49" s="19">
        <f>AC42*AC45*12*AC48</f>
        <v/>
      </c>
      <c r="AD49" s="19">
        <f>AD42*AD45*12*AD48</f>
        <v/>
      </c>
      <c r="AE49" s="19">
        <f>AE42*AE45*12*AE48</f>
        <v/>
      </c>
      <c r="AF49" s="19">
        <f>AF42*AF45*12*AF48</f>
        <v/>
      </c>
      <c r="AG49" s="19">
        <f>AG42*AG45*12*AG48</f>
        <v/>
      </c>
      <c r="AH49" s="19">
        <f>AH42*AH45*12*AH48</f>
        <v/>
      </c>
      <c r="AI49" s="19">
        <f>AI42*AI45*12*AI48</f>
        <v/>
      </c>
    </row>
    <row r="50">
      <c r="B50" s="2" t="inlineStr">
        <is>
          <t xml:space="preserve">  Ancillary and throughput revenue</t>
        </is>
      </c>
      <c r="D50" s="19">
        <f>D49*i_W_anc</f>
        <v/>
      </c>
      <c r="E50" s="19">
        <f>E49*i_W_anc</f>
        <v/>
      </c>
      <c r="F50" s="19">
        <f>F49*i_W_anc</f>
        <v/>
      </c>
      <c r="G50" s="19">
        <f>G49*i_W_anc</f>
        <v/>
      </c>
      <c r="H50" s="19">
        <f>H49*i_W_anc</f>
        <v/>
      </c>
      <c r="I50" s="19">
        <f>I49*i_W_anc</f>
        <v/>
      </c>
      <c r="J50" s="19">
        <f>J49*i_W_anc</f>
        <v/>
      </c>
      <c r="K50" s="19">
        <f>K49*i_W_anc</f>
        <v/>
      </c>
      <c r="L50" s="19">
        <f>L49*i_W_anc</f>
        <v/>
      </c>
      <c r="M50" s="19">
        <f>M49*i_W_anc</f>
        <v/>
      </c>
      <c r="N50" s="19">
        <f>N49*i_W_anc</f>
        <v/>
      </c>
      <c r="O50" s="19">
        <f>O49*i_W_anc</f>
        <v/>
      </c>
      <c r="P50" s="19">
        <f>P49*i_W_anc</f>
        <v/>
      </c>
      <c r="Q50" s="19">
        <f>Q49*i_W_anc</f>
        <v/>
      </c>
      <c r="R50" s="19">
        <f>R49*i_W_anc</f>
        <v/>
      </c>
      <c r="S50" s="19">
        <f>S49*i_W_anc</f>
        <v/>
      </c>
      <c r="T50" s="19">
        <f>T49*i_W_anc</f>
        <v/>
      </c>
      <c r="U50" s="19">
        <f>U49*i_W_anc</f>
        <v/>
      </c>
      <c r="V50" s="19">
        <f>V49*i_W_anc</f>
        <v/>
      </c>
      <c r="W50" s="19">
        <f>W49*i_W_anc</f>
        <v/>
      </c>
      <c r="X50" s="19">
        <f>X49*i_W_anc</f>
        <v/>
      </c>
      <c r="Y50" s="19">
        <f>Y49*i_W_anc</f>
        <v/>
      </c>
      <c r="Z50" s="19">
        <f>Z49*i_W_anc</f>
        <v/>
      </c>
      <c r="AA50" s="19">
        <f>AA49*i_W_anc</f>
        <v/>
      </c>
      <c r="AB50" s="19">
        <f>AB49*i_W_anc</f>
        <v/>
      </c>
      <c r="AC50" s="19">
        <f>AC49*i_W_anc</f>
        <v/>
      </c>
      <c r="AD50" s="19">
        <f>AD49*i_W_anc</f>
        <v/>
      </c>
      <c r="AE50" s="19">
        <f>AE49*i_W_anc</f>
        <v/>
      </c>
      <c r="AF50" s="19">
        <f>AF49*i_W_anc</f>
        <v/>
      </c>
      <c r="AG50" s="19">
        <f>AG49*i_W_anc</f>
        <v/>
      </c>
      <c r="AH50" s="19">
        <f>AH49*i_W_anc</f>
        <v/>
      </c>
      <c r="AI50" s="19">
        <f>AI49*i_W_anc</f>
        <v/>
      </c>
    </row>
    <row r="51">
      <c r="B51" s="3" t="inlineStr">
        <is>
          <t xml:space="preserve">  Revenue</t>
        </is>
      </c>
      <c r="D51" s="31">
        <f>D49+D50</f>
        <v/>
      </c>
      <c r="E51" s="31">
        <f>E49+E50</f>
        <v/>
      </c>
      <c r="F51" s="31">
        <f>F49+F50</f>
        <v/>
      </c>
      <c r="G51" s="31">
        <f>G49+G50</f>
        <v/>
      </c>
      <c r="H51" s="31">
        <f>H49+H50</f>
        <v/>
      </c>
      <c r="I51" s="31">
        <f>I49+I50</f>
        <v/>
      </c>
      <c r="J51" s="31">
        <f>J49+J50</f>
        <v/>
      </c>
      <c r="K51" s="31">
        <f>K49+K50</f>
        <v/>
      </c>
      <c r="L51" s="31">
        <f>L49+L50</f>
        <v/>
      </c>
      <c r="M51" s="31">
        <f>M49+M50</f>
        <v/>
      </c>
      <c r="N51" s="31">
        <f>N49+N50</f>
        <v/>
      </c>
      <c r="O51" s="31">
        <f>O49+O50</f>
        <v/>
      </c>
      <c r="P51" s="31">
        <f>P49+P50</f>
        <v/>
      </c>
      <c r="Q51" s="31">
        <f>Q49+Q50</f>
        <v/>
      </c>
      <c r="R51" s="31">
        <f>R49+R50</f>
        <v/>
      </c>
      <c r="S51" s="31">
        <f>S49+S50</f>
        <v/>
      </c>
      <c r="T51" s="31">
        <f>T49+T50</f>
        <v/>
      </c>
      <c r="U51" s="31">
        <f>U49+U50</f>
        <v/>
      </c>
      <c r="V51" s="31">
        <f>V49+V50</f>
        <v/>
      </c>
      <c r="W51" s="31">
        <f>W49+W50</f>
        <v/>
      </c>
      <c r="X51" s="31">
        <f>X49+X50</f>
        <v/>
      </c>
      <c r="Y51" s="31">
        <f>Y49+Y50</f>
        <v/>
      </c>
      <c r="Z51" s="31">
        <f>Z49+Z50</f>
        <v/>
      </c>
      <c r="AA51" s="31">
        <f>AA49+AA50</f>
        <v/>
      </c>
      <c r="AB51" s="31">
        <f>AB49+AB50</f>
        <v/>
      </c>
      <c r="AC51" s="31">
        <f>AC49+AC50</f>
        <v/>
      </c>
      <c r="AD51" s="31">
        <f>AD49+AD50</f>
        <v/>
      </c>
      <c r="AE51" s="31">
        <f>AE49+AE50</f>
        <v/>
      </c>
      <c r="AF51" s="31">
        <f>AF49+AF50</f>
        <v/>
      </c>
      <c r="AG51" s="31">
        <f>AG49+AG50</f>
        <v/>
      </c>
      <c r="AH51" s="31">
        <f>AH49+AH50</f>
        <v/>
      </c>
      <c r="AI51" s="31">
        <f>AI49+AI50</f>
        <v/>
      </c>
    </row>
    <row r="52">
      <c r="B52" s="2" t="inlineStr">
        <is>
          <t xml:space="preserve">  Fixed cost</t>
        </is>
      </c>
      <c r="D52" s="19">
        <f>D42*i_W_fix*D38</f>
        <v/>
      </c>
      <c r="E52" s="19">
        <f>E42*i_W_fix*E38</f>
        <v/>
      </c>
      <c r="F52" s="19">
        <f>F42*i_W_fix*F38</f>
        <v/>
      </c>
      <c r="G52" s="19">
        <f>G42*i_W_fix*G38</f>
        <v/>
      </c>
      <c r="H52" s="19">
        <f>H42*i_W_fix*H38</f>
        <v/>
      </c>
      <c r="I52" s="19">
        <f>I42*i_W_fix*I38</f>
        <v/>
      </c>
      <c r="J52" s="19">
        <f>J42*i_W_fix*J38</f>
        <v/>
      </c>
      <c r="K52" s="19">
        <f>K42*i_W_fix*K38</f>
        <v/>
      </c>
      <c r="L52" s="19">
        <f>L42*i_W_fix*L38</f>
        <v/>
      </c>
      <c r="M52" s="19">
        <f>M42*i_W_fix*M38</f>
        <v/>
      </c>
      <c r="N52" s="19">
        <f>N42*i_W_fix*N38</f>
        <v/>
      </c>
      <c r="O52" s="19">
        <f>O42*i_W_fix*O38</f>
        <v/>
      </c>
      <c r="P52" s="19">
        <f>P42*i_W_fix*P38</f>
        <v/>
      </c>
      <c r="Q52" s="19">
        <f>Q42*i_W_fix*Q38</f>
        <v/>
      </c>
      <c r="R52" s="19">
        <f>R42*i_W_fix*R38</f>
        <v/>
      </c>
      <c r="S52" s="19">
        <f>S42*i_W_fix*S38</f>
        <v/>
      </c>
      <c r="T52" s="19">
        <f>T42*i_W_fix*T38</f>
        <v/>
      </c>
      <c r="U52" s="19">
        <f>U42*i_W_fix*U38</f>
        <v/>
      </c>
      <c r="V52" s="19">
        <f>V42*i_W_fix*V38</f>
        <v/>
      </c>
      <c r="W52" s="19">
        <f>W42*i_W_fix*W38</f>
        <v/>
      </c>
      <c r="X52" s="19">
        <f>X42*i_W_fix*X38</f>
        <v/>
      </c>
      <c r="Y52" s="19">
        <f>Y42*i_W_fix*Y38</f>
        <v/>
      </c>
      <c r="Z52" s="19">
        <f>Z42*i_W_fix*Z38</f>
        <v/>
      </c>
      <c r="AA52" s="19">
        <f>AA42*i_W_fix*AA38</f>
        <v/>
      </c>
      <c r="AB52" s="19">
        <f>AB42*i_W_fix*AB38</f>
        <v/>
      </c>
      <c r="AC52" s="19">
        <f>AC42*i_W_fix*AC38</f>
        <v/>
      </c>
      <c r="AD52" s="19">
        <f>AD42*i_W_fix*AD38</f>
        <v/>
      </c>
      <c r="AE52" s="19">
        <f>AE42*i_W_fix*AE38</f>
        <v/>
      </c>
      <c r="AF52" s="19">
        <f>AF42*i_W_fix*AF38</f>
        <v/>
      </c>
      <c r="AG52" s="19">
        <f>AG42*i_W_fix*AG38</f>
        <v/>
      </c>
      <c r="AH52" s="19">
        <f>AH42*i_W_fix*AH38</f>
        <v/>
      </c>
      <c r="AI52" s="19">
        <f>AI42*i_W_fix*AI38</f>
        <v/>
      </c>
    </row>
    <row r="53">
      <c r="B53" s="2" t="inlineStr">
        <is>
          <t xml:space="preserve">  Variable cost</t>
        </is>
      </c>
      <c r="D53" s="19">
        <f>i_W_var*D51</f>
        <v/>
      </c>
      <c r="E53" s="19">
        <f>i_W_var*E51</f>
        <v/>
      </c>
      <c r="F53" s="19">
        <f>i_W_var*F51</f>
        <v/>
      </c>
      <c r="G53" s="19">
        <f>i_W_var*G51</f>
        <v/>
      </c>
      <c r="H53" s="19">
        <f>i_W_var*H51</f>
        <v/>
      </c>
      <c r="I53" s="19">
        <f>i_W_var*I51</f>
        <v/>
      </c>
      <c r="J53" s="19">
        <f>i_W_var*J51</f>
        <v/>
      </c>
      <c r="K53" s="19">
        <f>i_W_var*K51</f>
        <v/>
      </c>
      <c r="L53" s="19">
        <f>i_W_var*L51</f>
        <v/>
      </c>
      <c r="M53" s="19">
        <f>i_W_var*M51</f>
        <v/>
      </c>
      <c r="N53" s="19">
        <f>i_W_var*N51</f>
        <v/>
      </c>
      <c r="O53" s="19">
        <f>i_W_var*O51</f>
        <v/>
      </c>
      <c r="P53" s="19">
        <f>i_W_var*P51</f>
        <v/>
      </c>
      <c r="Q53" s="19">
        <f>i_W_var*Q51</f>
        <v/>
      </c>
      <c r="R53" s="19">
        <f>i_W_var*R51</f>
        <v/>
      </c>
      <c r="S53" s="19">
        <f>i_W_var*S51</f>
        <v/>
      </c>
      <c r="T53" s="19">
        <f>i_W_var*T51</f>
        <v/>
      </c>
      <c r="U53" s="19">
        <f>i_W_var*U51</f>
        <v/>
      </c>
      <c r="V53" s="19">
        <f>i_W_var*V51</f>
        <v/>
      </c>
      <c r="W53" s="19">
        <f>i_W_var*W51</f>
        <v/>
      </c>
      <c r="X53" s="19">
        <f>i_W_var*X51</f>
        <v/>
      </c>
      <c r="Y53" s="19">
        <f>i_W_var*Y51</f>
        <v/>
      </c>
      <c r="Z53" s="19">
        <f>i_W_var*Z51</f>
        <v/>
      </c>
      <c r="AA53" s="19">
        <f>i_W_var*AA51</f>
        <v/>
      </c>
      <c r="AB53" s="19">
        <f>i_W_var*AB51</f>
        <v/>
      </c>
      <c r="AC53" s="19">
        <f>i_W_var*AC51</f>
        <v/>
      </c>
      <c r="AD53" s="19">
        <f>i_W_var*AD51</f>
        <v/>
      </c>
      <c r="AE53" s="19">
        <f>i_W_var*AE51</f>
        <v/>
      </c>
      <c r="AF53" s="19">
        <f>i_W_var*AF51</f>
        <v/>
      </c>
      <c r="AG53" s="19">
        <f>i_W_var*AG51</f>
        <v/>
      </c>
      <c r="AH53" s="19">
        <f>i_W_var*AH51</f>
        <v/>
      </c>
      <c r="AI53" s="19">
        <f>i_W_var*AI51</f>
        <v/>
      </c>
    </row>
    <row r="54">
      <c r="B54" s="2" t="inlineStr">
        <is>
          <t xml:space="preserve">  Concession fee</t>
        </is>
      </c>
      <c r="D54" s="19">
        <f>IF(AND(Sensitivities!$C$35=1,D$3&gt;i_conc_end),i_renew_fee,i_W_fee)*D51</f>
        <v/>
      </c>
      <c r="E54" s="19">
        <f>IF(AND(Sensitivities!$C$35=1,E$3&gt;i_conc_end),i_renew_fee,i_W_fee)*E51</f>
        <v/>
      </c>
      <c r="F54" s="19">
        <f>IF(AND(Sensitivities!$C$35=1,F$3&gt;i_conc_end),i_renew_fee,i_W_fee)*F51</f>
        <v/>
      </c>
      <c r="G54" s="19">
        <f>IF(AND(Sensitivities!$C$35=1,G$3&gt;i_conc_end),i_renew_fee,i_W_fee)*G51</f>
        <v/>
      </c>
      <c r="H54" s="19">
        <f>IF(AND(Sensitivities!$C$35=1,H$3&gt;i_conc_end),i_renew_fee,i_W_fee)*H51</f>
        <v/>
      </c>
      <c r="I54" s="19">
        <f>IF(AND(Sensitivities!$C$35=1,I$3&gt;i_conc_end),i_renew_fee,i_W_fee)*I51</f>
        <v/>
      </c>
      <c r="J54" s="19">
        <f>IF(AND(Sensitivities!$C$35=1,J$3&gt;i_conc_end),i_renew_fee,i_W_fee)*J51</f>
        <v/>
      </c>
      <c r="K54" s="19">
        <f>IF(AND(Sensitivities!$C$35=1,K$3&gt;i_conc_end),i_renew_fee,i_W_fee)*K51</f>
        <v/>
      </c>
      <c r="L54" s="19">
        <f>IF(AND(Sensitivities!$C$35=1,L$3&gt;i_conc_end),i_renew_fee,i_W_fee)*L51</f>
        <v/>
      </c>
      <c r="M54" s="19">
        <f>IF(AND(Sensitivities!$C$35=1,M$3&gt;i_conc_end),i_renew_fee,i_W_fee)*M51</f>
        <v/>
      </c>
      <c r="N54" s="19">
        <f>IF(AND(Sensitivities!$C$35=1,N$3&gt;i_conc_end),i_renew_fee,i_W_fee)*N51</f>
        <v/>
      </c>
      <c r="O54" s="19">
        <f>IF(AND(Sensitivities!$C$35=1,O$3&gt;i_conc_end),i_renew_fee,i_W_fee)*O51</f>
        <v/>
      </c>
      <c r="P54" s="19">
        <f>IF(AND(Sensitivities!$C$35=1,P$3&gt;i_conc_end),i_renew_fee,i_W_fee)*P51</f>
        <v/>
      </c>
      <c r="Q54" s="19">
        <f>IF(AND(Sensitivities!$C$35=1,Q$3&gt;i_conc_end),i_renew_fee,i_W_fee)*Q51</f>
        <v/>
      </c>
      <c r="R54" s="19">
        <f>IF(AND(Sensitivities!$C$35=1,R$3&gt;i_conc_end),i_renew_fee,i_W_fee)*R51</f>
        <v/>
      </c>
      <c r="S54" s="19">
        <f>IF(AND(Sensitivities!$C$35=1,S$3&gt;i_conc_end),i_renew_fee,i_W_fee)*S51</f>
        <v/>
      </c>
      <c r="T54" s="19">
        <f>IF(AND(Sensitivities!$C$35=1,T$3&gt;i_conc_end),i_renew_fee,i_W_fee)*T51</f>
        <v/>
      </c>
      <c r="U54" s="19">
        <f>IF(AND(Sensitivities!$C$35=1,U$3&gt;i_conc_end),i_renew_fee,i_W_fee)*U51</f>
        <v/>
      </c>
      <c r="V54" s="19">
        <f>IF(AND(Sensitivities!$C$35=1,V$3&gt;i_conc_end),i_renew_fee,i_W_fee)*V51</f>
        <v/>
      </c>
      <c r="W54" s="19">
        <f>IF(AND(Sensitivities!$C$35=1,W$3&gt;i_conc_end),i_renew_fee,i_W_fee)*W51</f>
        <v/>
      </c>
      <c r="X54" s="19">
        <f>IF(AND(Sensitivities!$C$35=1,X$3&gt;i_conc_end),i_renew_fee,i_W_fee)*X51</f>
        <v/>
      </c>
      <c r="Y54" s="19">
        <f>IF(AND(Sensitivities!$C$35=1,Y$3&gt;i_conc_end),i_renew_fee,i_W_fee)*Y51</f>
        <v/>
      </c>
      <c r="Z54" s="19">
        <f>IF(AND(Sensitivities!$C$35=1,Z$3&gt;i_conc_end),i_renew_fee,i_W_fee)*Z51</f>
        <v/>
      </c>
      <c r="AA54" s="19">
        <f>IF(AND(Sensitivities!$C$35=1,AA$3&gt;i_conc_end),i_renew_fee,i_W_fee)*AA51</f>
        <v/>
      </c>
      <c r="AB54" s="19">
        <f>IF(AND(Sensitivities!$C$35=1,AB$3&gt;i_conc_end),i_renew_fee,i_W_fee)*AB51</f>
        <v/>
      </c>
      <c r="AC54" s="19">
        <f>IF(AND(Sensitivities!$C$35=1,AC$3&gt;i_conc_end),i_renew_fee,i_W_fee)*AC51</f>
        <v/>
      </c>
      <c r="AD54" s="19">
        <f>IF(AND(Sensitivities!$C$35=1,AD$3&gt;i_conc_end),i_renew_fee,i_W_fee)*AD51</f>
        <v/>
      </c>
      <c r="AE54" s="19">
        <f>IF(AND(Sensitivities!$C$35=1,AE$3&gt;i_conc_end),i_renew_fee,i_W_fee)*AE51</f>
        <v/>
      </c>
      <c r="AF54" s="19">
        <f>IF(AND(Sensitivities!$C$35=1,AF$3&gt;i_conc_end),i_renew_fee,i_W_fee)*AF51</f>
        <v/>
      </c>
      <c r="AG54" s="19">
        <f>IF(AND(Sensitivities!$C$35=1,AG$3&gt;i_conc_end),i_renew_fee,i_W_fee)*AG51</f>
        <v/>
      </c>
      <c r="AH54" s="19">
        <f>IF(AND(Sensitivities!$C$35=1,AH$3&gt;i_conc_end),i_renew_fee,i_W_fee)*AH51</f>
        <v/>
      </c>
      <c r="AI54" s="19">
        <f>IF(AND(Sensitivities!$C$35=1,AI$3&gt;i_conc_end),i_renew_fee,i_W_fee)*AI51</f>
        <v/>
      </c>
    </row>
    <row r="55">
      <c r="B55" s="2" t="inlineStr">
        <is>
          <t xml:space="preserve">  Operating cost</t>
        </is>
      </c>
      <c r="D55" s="19">
        <f>D52+D53+D54</f>
        <v/>
      </c>
      <c r="E55" s="19">
        <f>E52+E53+E54</f>
        <v/>
      </c>
      <c r="F55" s="19">
        <f>F52+F53+F54</f>
        <v/>
      </c>
      <c r="G55" s="19">
        <f>G52+G53+G54</f>
        <v/>
      </c>
      <c r="H55" s="19">
        <f>H52+H53+H54</f>
        <v/>
      </c>
      <c r="I55" s="19">
        <f>I52+I53+I54</f>
        <v/>
      </c>
      <c r="J55" s="19">
        <f>J52+J53+J54</f>
        <v/>
      </c>
      <c r="K55" s="19">
        <f>K52+K53+K54</f>
        <v/>
      </c>
      <c r="L55" s="19">
        <f>L52+L53+L54</f>
        <v/>
      </c>
      <c r="M55" s="19">
        <f>M52+M53+M54</f>
        <v/>
      </c>
      <c r="N55" s="19">
        <f>N52+N53+N54</f>
        <v/>
      </c>
      <c r="O55" s="19">
        <f>O52+O53+O54</f>
        <v/>
      </c>
      <c r="P55" s="19">
        <f>P52+P53+P54</f>
        <v/>
      </c>
      <c r="Q55" s="19">
        <f>Q52+Q53+Q54</f>
        <v/>
      </c>
      <c r="R55" s="19">
        <f>R52+R53+R54</f>
        <v/>
      </c>
      <c r="S55" s="19">
        <f>S52+S53+S54</f>
        <v/>
      </c>
      <c r="T55" s="19">
        <f>T52+T53+T54</f>
        <v/>
      </c>
      <c r="U55" s="19">
        <f>U52+U53+U54</f>
        <v/>
      </c>
      <c r="V55" s="19">
        <f>V52+V53+V54</f>
        <v/>
      </c>
      <c r="W55" s="19">
        <f>W52+W53+W54</f>
        <v/>
      </c>
      <c r="X55" s="19">
        <f>X52+X53+X54</f>
        <v/>
      </c>
      <c r="Y55" s="19">
        <f>Y52+Y53+Y54</f>
        <v/>
      </c>
      <c r="Z55" s="19">
        <f>Z52+Z53+Z54</f>
        <v/>
      </c>
      <c r="AA55" s="19">
        <f>AA52+AA53+AA54</f>
        <v/>
      </c>
      <c r="AB55" s="19">
        <f>AB52+AB53+AB54</f>
        <v/>
      </c>
      <c r="AC55" s="19">
        <f>AC52+AC53+AC54</f>
        <v/>
      </c>
      <c r="AD55" s="19">
        <f>AD52+AD53+AD54</f>
        <v/>
      </c>
      <c r="AE55" s="19">
        <f>AE52+AE53+AE54</f>
        <v/>
      </c>
      <c r="AF55" s="19">
        <f>AF52+AF53+AF54</f>
        <v/>
      </c>
      <c r="AG55" s="19">
        <f>AG52+AG53+AG54</f>
        <v/>
      </c>
      <c r="AH55" s="19">
        <f>AH52+AH53+AH54</f>
        <v/>
      </c>
      <c r="AI55" s="19">
        <f>AI52+AI53+AI54</f>
        <v/>
      </c>
    </row>
    <row r="56">
      <c r="B56" s="3" t="inlineStr">
        <is>
          <t xml:space="preserve">  EBITDA</t>
        </is>
      </c>
      <c r="D56" s="31">
        <f>D51-D55</f>
        <v/>
      </c>
      <c r="E56" s="31">
        <f>E51-E55</f>
        <v/>
      </c>
      <c r="F56" s="31">
        <f>F51-F55</f>
        <v/>
      </c>
      <c r="G56" s="31">
        <f>G51-G55</f>
        <v/>
      </c>
      <c r="H56" s="31">
        <f>H51-H55</f>
        <v/>
      </c>
      <c r="I56" s="31">
        <f>I51-I55</f>
        <v/>
      </c>
      <c r="J56" s="31">
        <f>J51-J55</f>
        <v/>
      </c>
      <c r="K56" s="31">
        <f>K51-K55</f>
        <v/>
      </c>
      <c r="L56" s="31">
        <f>L51-L55</f>
        <v/>
      </c>
      <c r="M56" s="31">
        <f>M51-M55</f>
        <v/>
      </c>
      <c r="N56" s="31">
        <f>N51-N55</f>
        <v/>
      </c>
      <c r="O56" s="31">
        <f>O51-O55</f>
        <v/>
      </c>
      <c r="P56" s="31">
        <f>P51-P55</f>
        <v/>
      </c>
      <c r="Q56" s="31">
        <f>Q51-Q55</f>
        <v/>
      </c>
      <c r="R56" s="31">
        <f>R51-R55</f>
        <v/>
      </c>
      <c r="S56" s="31">
        <f>S51-S55</f>
        <v/>
      </c>
      <c r="T56" s="31">
        <f>T51-T55</f>
        <v/>
      </c>
      <c r="U56" s="31">
        <f>U51-U55</f>
        <v/>
      </c>
      <c r="V56" s="31">
        <f>V51-V55</f>
        <v/>
      </c>
      <c r="W56" s="31">
        <f>W51-W55</f>
        <v/>
      </c>
      <c r="X56" s="31">
        <f>X51-X55</f>
        <v/>
      </c>
      <c r="Y56" s="31">
        <f>Y51-Y55</f>
        <v/>
      </c>
      <c r="Z56" s="31">
        <f>Z51-Z55</f>
        <v/>
      </c>
      <c r="AA56" s="31">
        <f>AA51-AA55</f>
        <v/>
      </c>
      <c r="AB56" s="31">
        <f>AB51-AB55</f>
        <v/>
      </c>
      <c r="AC56" s="31">
        <f>AC51-AC55</f>
        <v/>
      </c>
      <c r="AD56" s="31">
        <f>AD51-AD55</f>
        <v/>
      </c>
      <c r="AE56" s="31">
        <f>AE51-AE55</f>
        <v/>
      </c>
      <c r="AF56" s="31">
        <f>AF51-AF55</f>
        <v/>
      </c>
      <c r="AG56" s="31">
        <f>AG51-AG55</f>
        <v/>
      </c>
      <c r="AH56" s="31">
        <f>AH51-AH55</f>
        <v/>
      </c>
      <c r="AI56" s="31">
        <f>AI51-AI55</f>
        <v/>
      </c>
    </row>
    <row r="57">
      <c r="B57" s="2" t="inlineStr">
        <is>
          <t xml:space="preserve">  Maintenance capex (with jetty 3)</t>
        </is>
      </c>
      <c r="D57" s="19">
        <f>D42*i_W_mc*D38+D41*Sensitivities!$C$30*SUMIF(i_jetty_years,D$3,i_jetty_vals)*D38</f>
        <v/>
      </c>
      <c r="E57" s="19">
        <f>E42*i_W_mc*E38+E41*Sensitivities!$C$30*SUMIF(i_jetty_years,E$3,i_jetty_vals)*E38</f>
        <v/>
      </c>
      <c r="F57" s="19">
        <f>F42*i_W_mc*F38+F41*Sensitivities!$C$30*SUMIF(i_jetty_years,F$3,i_jetty_vals)*F38</f>
        <v/>
      </c>
      <c r="G57" s="19">
        <f>G42*i_W_mc*G38+G41*Sensitivities!$C$30*SUMIF(i_jetty_years,G$3,i_jetty_vals)*G38</f>
        <v/>
      </c>
      <c r="H57" s="19">
        <f>H42*i_W_mc*H38+H41*Sensitivities!$C$30*SUMIF(i_jetty_years,H$3,i_jetty_vals)*H38</f>
        <v/>
      </c>
      <c r="I57" s="19">
        <f>I42*i_W_mc*I38+I41*Sensitivities!$C$30*SUMIF(i_jetty_years,I$3,i_jetty_vals)*I38</f>
        <v/>
      </c>
      <c r="J57" s="19">
        <f>J42*i_W_mc*J38+J41*Sensitivities!$C$30*SUMIF(i_jetty_years,J$3,i_jetty_vals)*J38</f>
        <v/>
      </c>
      <c r="K57" s="19">
        <f>K42*i_W_mc*K38+K41*Sensitivities!$C$30*SUMIF(i_jetty_years,K$3,i_jetty_vals)*K38</f>
        <v/>
      </c>
      <c r="L57" s="19">
        <f>L42*i_W_mc*L38+L41*Sensitivities!$C$30*SUMIF(i_jetty_years,L$3,i_jetty_vals)*L38</f>
        <v/>
      </c>
      <c r="M57" s="19">
        <f>M42*i_W_mc*M38+M41*Sensitivities!$C$30*SUMIF(i_jetty_years,M$3,i_jetty_vals)*M38</f>
        <v/>
      </c>
      <c r="N57" s="19">
        <f>N42*i_W_mc*N38+N41*Sensitivities!$C$30*SUMIF(i_jetty_years,N$3,i_jetty_vals)*N38</f>
        <v/>
      </c>
      <c r="O57" s="19">
        <f>O42*i_W_mc*O38+O41*Sensitivities!$C$30*SUMIF(i_jetty_years,O$3,i_jetty_vals)*O38</f>
        <v/>
      </c>
      <c r="P57" s="19">
        <f>P42*i_W_mc*P38+P41*Sensitivities!$C$30*SUMIF(i_jetty_years,P$3,i_jetty_vals)*P38</f>
        <v/>
      </c>
      <c r="Q57" s="19">
        <f>Q42*i_W_mc*Q38+Q41*Sensitivities!$C$30*SUMIF(i_jetty_years,Q$3,i_jetty_vals)*Q38</f>
        <v/>
      </c>
      <c r="R57" s="19">
        <f>R42*i_W_mc*R38+R41*Sensitivities!$C$30*SUMIF(i_jetty_years,R$3,i_jetty_vals)*R38</f>
        <v/>
      </c>
      <c r="S57" s="19">
        <f>S42*i_W_mc*S38+S41*Sensitivities!$C$30*SUMIF(i_jetty_years,S$3,i_jetty_vals)*S38</f>
        <v/>
      </c>
      <c r="T57" s="19">
        <f>T42*i_W_mc*T38+T41*Sensitivities!$C$30*SUMIF(i_jetty_years,T$3,i_jetty_vals)*T38</f>
        <v/>
      </c>
      <c r="U57" s="19">
        <f>U42*i_W_mc*U38+U41*Sensitivities!$C$30*SUMIF(i_jetty_years,U$3,i_jetty_vals)*U38</f>
        <v/>
      </c>
      <c r="V57" s="19">
        <f>V42*i_W_mc*V38+V41*Sensitivities!$C$30*SUMIF(i_jetty_years,V$3,i_jetty_vals)*V38</f>
        <v/>
      </c>
      <c r="W57" s="19">
        <f>W42*i_W_mc*W38+W41*Sensitivities!$C$30*SUMIF(i_jetty_years,W$3,i_jetty_vals)*W38</f>
        <v/>
      </c>
      <c r="X57" s="19">
        <f>X42*i_W_mc*X38+X41*Sensitivities!$C$30*SUMIF(i_jetty_years,X$3,i_jetty_vals)*X38</f>
        <v/>
      </c>
      <c r="Y57" s="19">
        <f>Y42*i_W_mc*Y38+Y41*Sensitivities!$C$30*SUMIF(i_jetty_years,Y$3,i_jetty_vals)*Y38</f>
        <v/>
      </c>
      <c r="Z57" s="19">
        <f>Z42*i_W_mc*Z38+Z41*Sensitivities!$C$30*SUMIF(i_jetty_years,Z$3,i_jetty_vals)*Z38</f>
        <v/>
      </c>
      <c r="AA57" s="19">
        <f>AA42*i_W_mc*AA38+AA41*Sensitivities!$C$30*SUMIF(i_jetty_years,AA$3,i_jetty_vals)*AA38</f>
        <v/>
      </c>
      <c r="AB57" s="19">
        <f>AB42*i_W_mc*AB38+AB41*Sensitivities!$C$30*SUMIF(i_jetty_years,AB$3,i_jetty_vals)*AB38</f>
        <v/>
      </c>
      <c r="AC57" s="19">
        <f>AC42*i_W_mc*AC38+AC41*Sensitivities!$C$30*SUMIF(i_jetty_years,AC$3,i_jetty_vals)*AC38</f>
        <v/>
      </c>
      <c r="AD57" s="19">
        <f>AD42*i_W_mc*AD38+AD41*Sensitivities!$C$30*SUMIF(i_jetty_years,AD$3,i_jetty_vals)*AD38</f>
        <v/>
      </c>
      <c r="AE57" s="19">
        <f>AE42*i_W_mc*AE38+AE41*Sensitivities!$C$30*SUMIF(i_jetty_years,AE$3,i_jetty_vals)*AE38</f>
        <v/>
      </c>
      <c r="AF57" s="19">
        <f>AF42*i_W_mc*AF38+AF41*Sensitivities!$C$30*SUMIF(i_jetty_years,AF$3,i_jetty_vals)*AF38</f>
        <v/>
      </c>
      <c r="AG57" s="19">
        <f>AG42*i_W_mc*AG38+AG41*Sensitivities!$C$30*SUMIF(i_jetty_years,AG$3,i_jetty_vals)*AG38</f>
        <v/>
      </c>
      <c r="AH57" s="19">
        <f>AH42*i_W_mc*AH38+AH41*Sensitivities!$C$30*SUMIF(i_jetty_years,AH$3,i_jetty_vals)*AH38</f>
        <v/>
      </c>
      <c r="AI57" s="19">
        <f>AI42*i_W_mc*AI38+AI41*Sensitivities!$C$30*SUMIF(i_jetty_years,AI$3,i_jetty_vals)*AI38</f>
        <v/>
      </c>
    </row>
    <row r="58">
      <c r="B58" s="3" t="inlineStr">
        <is>
          <t>Rhine Inland</t>
        </is>
      </c>
    </row>
    <row r="59">
      <c r="B59" s="2" t="inlineStr">
        <is>
          <t xml:space="preserve">  Capacity in service (million m3)</t>
        </is>
      </c>
      <c r="D59" s="24">
        <f>i_R_cap</f>
        <v/>
      </c>
      <c r="E59" s="24">
        <f>i_R_cap</f>
        <v/>
      </c>
      <c r="F59" s="24">
        <f>i_R_cap</f>
        <v/>
      </c>
      <c r="G59" s="24">
        <f>i_R_cap</f>
        <v/>
      </c>
      <c r="H59" s="24">
        <f>i_R_cap</f>
        <v/>
      </c>
      <c r="I59" s="24">
        <f>i_R_cap</f>
        <v/>
      </c>
      <c r="J59" s="24">
        <f>i_R_cap</f>
        <v/>
      </c>
      <c r="K59" s="24">
        <f>i_R_cap</f>
        <v/>
      </c>
      <c r="L59" s="24">
        <f>i_R_cap</f>
        <v/>
      </c>
      <c r="M59" s="24">
        <f>i_R_cap</f>
        <v/>
      </c>
      <c r="N59" s="24">
        <f>i_R_cap</f>
        <v/>
      </c>
      <c r="O59" s="24">
        <f>i_R_cap</f>
        <v/>
      </c>
      <c r="P59" s="24">
        <f>i_R_cap</f>
        <v/>
      </c>
      <c r="Q59" s="24">
        <f>i_R_cap</f>
        <v/>
      </c>
      <c r="R59" s="24">
        <f>i_R_cap</f>
        <v/>
      </c>
      <c r="S59" s="24">
        <f>i_R_cap</f>
        <v/>
      </c>
      <c r="T59" s="24">
        <f>i_R_cap</f>
        <v/>
      </c>
      <c r="U59" s="24">
        <f>i_R_cap</f>
        <v/>
      </c>
      <c r="V59" s="24">
        <f>i_R_cap</f>
        <v/>
      </c>
      <c r="W59" s="24">
        <f>i_R_cap</f>
        <v/>
      </c>
      <c r="X59" s="24">
        <f>i_R_cap</f>
        <v/>
      </c>
      <c r="Y59" s="24">
        <f>i_R_cap</f>
        <v/>
      </c>
      <c r="Z59" s="24">
        <f>i_R_cap</f>
        <v/>
      </c>
      <c r="AA59" s="24">
        <f>i_R_cap</f>
        <v/>
      </c>
      <c r="AB59" s="24">
        <f>i_R_cap</f>
        <v/>
      </c>
      <c r="AC59" s="24">
        <f>i_R_cap</f>
        <v/>
      </c>
      <c r="AD59" s="24">
        <f>i_R_cap</f>
        <v/>
      </c>
      <c r="AE59" s="24">
        <f>i_R_cap</f>
        <v/>
      </c>
      <c r="AF59" s="24">
        <f>i_R_cap</f>
        <v/>
      </c>
      <c r="AG59" s="24">
        <f>i_R_cap</f>
        <v/>
      </c>
      <c r="AH59" s="24">
        <f>i_R_cap</f>
        <v/>
      </c>
      <c r="AI59" s="24">
        <f>i_R_cap</f>
        <v/>
      </c>
    </row>
    <row r="60">
      <c r="B60" s="2" t="inlineStr">
        <is>
          <t xml:space="preserve">  Share on contracts signed before 2027</t>
        </is>
      </c>
      <c r="D60" s="21">
        <f>SUMIF(i_book_years,D$3,i_R_book)</f>
        <v/>
      </c>
      <c r="E60" s="21">
        <f>SUMIF(i_book_years,E$3,i_R_book)</f>
        <v/>
      </c>
      <c r="F60" s="21">
        <f>SUMIF(i_book_years,F$3,i_R_book)</f>
        <v/>
      </c>
      <c r="G60" s="21">
        <f>SUMIF(i_book_years,G$3,i_R_book)</f>
        <v/>
      </c>
      <c r="H60" s="21">
        <f>SUMIF(i_book_years,H$3,i_R_book)</f>
        <v/>
      </c>
      <c r="I60" s="21">
        <f>SUMIF(i_book_years,I$3,i_R_book)</f>
        <v/>
      </c>
      <c r="J60" s="21">
        <f>SUMIF(i_book_years,J$3,i_R_book)</f>
        <v/>
      </c>
      <c r="K60" s="21">
        <f>SUMIF(i_book_years,K$3,i_R_book)</f>
        <v/>
      </c>
      <c r="L60" s="21">
        <f>SUMIF(i_book_years,L$3,i_R_book)</f>
        <v/>
      </c>
      <c r="M60" s="21">
        <f>SUMIF(i_book_years,M$3,i_R_book)</f>
        <v/>
      </c>
      <c r="N60" s="21">
        <f>SUMIF(i_book_years,N$3,i_R_book)</f>
        <v/>
      </c>
      <c r="O60" s="21">
        <f>SUMIF(i_book_years,O$3,i_R_book)</f>
        <v/>
      </c>
      <c r="P60" s="21">
        <f>SUMIF(i_book_years,P$3,i_R_book)</f>
        <v/>
      </c>
      <c r="Q60" s="21">
        <f>SUMIF(i_book_years,Q$3,i_R_book)</f>
        <v/>
      </c>
      <c r="R60" s="21">
        <f>SUMIF(i_book_years,R$3,i_R_book)</f>
        <v/>
      </c>
      <c r="S60" s="21">
        <f>SUMIF(i_book_years,S$3,i_R_book)</f>
        <v/>
      </c>
      <c r="T60" s="21">
        <f>SUMIF(i_book_years,T$3,i_R_book)</f>
        <v/>
      </c>
      <c r="U60" s="21">
        <f>SUMIF(i_book_years,U$3,i_R_book)</f>
        <v/>
      </c>
      <c r="V60" s="21">
        <f>SUMIF(i_book_years,V$3,i_R_book)</f>
        <v/>
      </c>
      <c r="W60" s="21">
        <f>SUMIF(i_book_years,W$3,i_R_book)</f>
        <v/>
      </c>
      <c r="X60" s="21">
        <f>SUMIF(i_book_years,X$3,i_R_book)</f>
        <v/>
      </c>
      <c r="Y60" s="21">
        <f>SUMIF(i_book_years,Y$3,i_R_book)</f>
        <v/>
      </c>
      <c r="Z60" s="21">
        <f>SUMIF(i_book_years,Z$3,i_R_book)</f>
        <v/>
      </c>
      <c r="AA60" s="21">
        <f>SUMIF(i_book_years,AA$3,i_R_book)</f>
        <v/>
      </c>
      <c r="AB60" s="21">
        <f>SUMIF(i_book_years,AB$3,i_R_book)</f>
        <v/>
      </c>
      <c r="AC60" s="21">
        <f>SUMIF(i_book_years,AC$3,i_R_book)</f>
        <v/>
      </c>
      <c r="AD60" s="21">
        <f>SUMIF(i_book_years,AD$3,i_R_book)</f>
        <v/>
      </c>
      <c r="AE60" s="21">
        <f>SUMIF(i_book_years,AE$3,i_R_book)</f>
        <v/>
      </c>
      <c r="AF60" s="21">
        <f>SUMIF(i_book_years,AF$3,i_R_book)</f>
        <v/>
      </c>
      <c r="AG60" s="21">
        <f>SUMIF(i_book_years,AG$3,i_R_book)</f>
        <v/>
      </c>
      <c r="AH60" s="21">
        <f>SUMIF(i_book_years,AH$3,i_R_book)</f>
        <v/>
      </c>
      <c r="AI60" s="21">
        <f>SUMIF(i_book_years,AI$3,i_R_book)</f>
        <v/>
      </c>
    </row>
    <row r="61">
      <c r="B61" s="2" t="inlineStr">
        <is>
          <t xml:space="preserve">  Recontracting factor against current rates</t>
        </is>
      </c>
      <c r="D61" s="21">
        <f>IF(D$4=0,0,IF(Sensitivities!$C$28=1,i_R_mtm,i_R_mtm_plan)+Sensitivities!$C$34)</f>
        <v/>
      </c>
      <c r="E61" s="21">
        <f>IF(E$4=0,0,IF(Sensitivities!$C$28=1,i_R_mtm,i_R_mtm_plan)+Sensitivities!$C$34)</f>
        <v/>
      </c>
      <c r="F61" s="21">
        <f>IF(F$4=0,0,IF(Sensitivities!$C$28=1,i_R_mtm,i_R_mtm_plan)+Sensitivities!$C$34)</f>
        <v/>
      </c>
      <c r="G61" s="21">
        <f>IF(G$4=0,0,IF(Sensitivities!$C$28=1,i_R_mtm,i_R_mtm_plan)+Sensitivities!$C$34)</f>
        <v/>
      </c>
      <c r="H61" s="21">
        <f>IF(H$4=0,0,IF(Sensitivities!$C$28=1,i_R_mtm,i_R_mtm_plan)+Sensitivities!$C$34)</f>
        <v/>
      </c>
      <c r="I61" s="21">
        <f>IF(I$4=0,0,IF(Sensitivities!$C$28=1,i_R_mtm,i_R_mtm_plan)+Sensitivities!$C$34)</f>
        <v/>
      </c>
      <c r="J61" s="21">
        <f>IF(J$4=0,0,IF(Sensitivities!$C$28=1,i_R_mtm,i_R_mtm_plan)+Sensitivities!$C$34)</f>
        <v/>
      </c>
      <c r="K61" s="21">
        <f>IF(K$4=0,0,IF(Sensitivities!$C$28=1,i_R_mtm,i_R_mtm_plan)+Sensitivities!$C$34)</f>
        <v/>
      </c>
      <c r="L61" s="21">
        <f>IF(L$4=0,0,IF(Sensitivities!$C$28=1,i_R_mtm,i_R_mtm_plan)+Sensitivities!$C$34)</f>
        <v/>
      </c>
      <c r="M61" s="21">
        <f>IF(M$4=0,0,IF(Sensitivities!$C$28=1,i_R_mtm,i_R_mtm_plan)+Sensitivities!$C$34)</f>
        <v/>
      </c>
      <c r="N61" s="21">
        <f>IF(N$4=0,0,IF(Sensitivities!$C$28=1,i_R_mtm,i_R_mtm_plan)+Sensitivities!$C$34)</f>
        <v/>
      </c>
      <c r="O61" s="21">
        <f>IF(O$4=0,0,IF(Sensitivities!$C$28=1,i_R_mtm,i_R_mtm_plan)+Sensitivities!$C$34)</f>
        <v/>
      </c>
      <c r="P61" s="21">
        <f>IF(P$4=0,0,IF(Sensitivities!$C$28=1,i_R_mtm,i_R_mtm_plan)+Sensitivities!$C$34)</f>
        <v/>
      </c>
      <c r="Q61" s="21">
        <f>IF(Q$4=0,0,IF(Sensitivities!$C$28=1,i_R_mtm,i_R_mtm_plan)+Sensitivities!$C$34)</f>
        <v/>
      </c>
      <c r="R61" s="21">
        <f>IF(R$4=0,0,IF(Sensitivities!$C$28=1,i_R_mtm,i_R_mtm_plan)+Sensitivities!$C$34)</f>
        <v/>
      </c>
      <c r="S61" s="21">
        <f>IF(S$4=0,0,IF(Sensitivities!$C$28=1,i_R_mtm,i_R_mtm_plan)+Sensitivities!$C$34)</f>
        <v/>
      </c>
      <c r="T61" s="21">
        <f>IF(T$4=0,0,IF(Sensitivities!$C$28=1,i_R_mtm,i_R_mtm_plan)+Sensitivities!$C$34)</f>
        <v/>
      </c>
      <c r="U61" s="21">
        <f>IF(U$4=0,0,IF(Sensitivities!$C$28=1,i_R_mtm,i_R_mtm_plan)+Sensitivities!$C$34)</f>
        <v/>
      </c>
      <c r="V61" s="21">
        <f>IF(V$4=0,0,IF(Sensitivities!$C$28=1,i_R_mtm,i_R_mtm_plan)+Sensitivities!$C$34)</f>
        <v/>
      </c>
      <c r="W61" s="21">
        <f>IF(W$4=0,0,IF(Sensitivities!$C$28=1,i_R_mtm,i_R_mtm_plan)+Sensitivities!$C$34)</f>
        <v/>
      </c>
      <c r="X61" s="21">
        <f>IF(X$4=0,0,IF(Sensitivities!$C$28=1,i_R_mtm,i_R_mtm_plan)+Sensitivities!$C$34)</f>
        <v/>
      </c>
      <c r="Y61" s="21">
        <f>IF(Y$4=0,0,IF(Sensitivities!$C$28=1,i_R_mtm,i_R_mtm_plan)+Sensitivities!$C$34)</f>
        <v/>
      </c>
      <c r="Z61" s="21">
        <f>IF(Z$4=0,0,IF(Sensitivities!$C$28=1,i_R_mtm,i_R_mtm_plan)+Sensitivities!$C$34)</f>
        <v/>
      </c>
      <c r="AA61" s="21">
        <f>IF(AA$4=0,0,IF(Sensitivities!$C$28=1,i_R_mtm,i_R_mtm_plan)+Sensitivities!$C$34)</f>
        <v/>
      </c>
      <c r="AB61" s="21">
        <f>IF(AB$4=0,0,IF(Sensitivities!$C$28=1,i_R_mtm,i_R_mtm_plan)+Sensitivities!$C$34)</f>
        <v/>
      </c>
      <c r="AC61" s="21">
        <f>IF(AC$4=0,0,IF(Sensitivities!$C$28=1,i_R_mtm,i_R_mtm_plan)+Sensitivities!$C$34)</f>
        <v/>
      </c>
      <c r="AD61" s="21">
        <f>IF(AD$4=0,0,IF(Sensitivities!$C$28=1,i_R_mtm,i_R_mtm_plan)+Sensitivities!$C$34)</f>
        <v/>
      </c>
      <c r="AE61" s="21">
        <f>IF(AE$4=0,0,IF(Sensitivities!$C$28=1,i_R_mtm,i_R_mtm_plan)+Sensitivities!$C$34)</f>
        <v/>
      </c>
      <c r="AF61" s="21">
        <f>IF(AF$4=0,0,IF(Sensitivities!$C$28=1,i_R_mtm,i_R_mtm_plan)+Sensitivities!$C$34)</f>
        <v/>
      </c>
      <c r="AG61" s="21">
        <f>IF(AG$4=0,0,IF(Sensitivities!$C$28=1,i_R_mtm,i_R_mtm_plan)+Sensitivities!$C$34)</f>
        <v/>
      </c>
      <c r="AH61" s="21">
        <f>IF(AH$4=0,0,IF(Sensitivities!$C$28=1,i_R_mtm,i_R_mtm_plan)+Sensitivities!$C$34)</f>
        <v/>
      </c>
      <c r="AI61" s="21">
        <f>IF(AI$4=0,0,IF(Sensitivities!$C$28=1,i_R_mtm,i_R_mtm_plan)+Sensitivities!$C$34)</f>
        <v/>
      </c>
    </row>
    <row r="62">
      <c r="B62" s="2" t="inlineStr">
        <is>
          <t xml:space="preserve">  Average rate ($ per m3 per month)</t>
        </is>
      </c>
      <c r="D62" s="24">
        <f>i_R_rate*D39*(D60+(1-D60)*(1+D61))</f>
        <v/>
      </c>
      <c r="E62" s="24">
        <f>i_R_rate*E39*(E60+(1-E60)*(1+E61))</f>
        <v/>
      </c>
      <c r="F62" s="24">
        <f>i_R_rate*F39*(F60+(1-F60)*(1+F61))</f>
        <v/>
      </c>
      <c r="G62" s="24">
        <f>i_R_rate*G39*(G60+(1-G60)*(1+G61))</f>
        <v/>
      </c>
      <c r="H62" s="24">
        <f>i_R_rate*H39*(H60+(1-H60)*(1+H61))</f>
        <v/>
      </c>
      <c r="I62" s="24">
        <f>i_R_rate*I39*(I60+(1-I60)*(1+I61))</f>
        <v/>
      </c>
      <c r="J62" s="24">
        <f>i_R_rate*J39*(J60+(1-J60)*(1+J61))</f>
        <v/>
      </c>
      <c r="K62" s="24">
        <f>i_R_rate*K39*(K60+(1-K60)*(1+K61))</f>
        <v/>
      </c>
      <c r="L62" s="24">
        <f>i_R_rate*L39*(L60+(1-L60)*(1+L61))</f>
        <v/>
      </c>
      <c r="M62" s="24">
        <f>i_R_rate*M39*(M60+(1-M60)*(1+M61))</f>
        <v/>
      </c>
      <c r="N62" s="24">
        <f>i_R_rate*N39*(N60+(1-N60)*(1+N61))</f>
        <v/>
      </c>
      <c r="O62" s="24">
        <f>i_R_rate*O39*(O60+(1-O60)*(1+O61))</f>
        <v/>
      </c>
      <c r="P62" s="24">
        <f>i_R_rate*P39*(P60+(1-P60)*(1+P61))</f>
        <v/>
      </c>
      <c r="Q62" s="24">
        <f>i_R_rate*Q39*(Q60+(1-Q60)*(1+Q61))</f>
        <v/>
      </c>
      <c r="R62" s="24">
        <f>i_R_rate*R39*(R60+(1-R60)*(1+R61))</f>
        <v/>
      </c>
      <c r="S62" s="24">
        <f>i_R_rate*S39*(S60+(1-S60)*(1+S61))</f>
        <v/>
      </c>
      <c r="T62" s="24">
        <f>i_R_rate*T39*(T60+(1-T60)*(1+T61))</f>
        <v/>
      </c>
      <c r="U62" s="24">
        <f>i_R_rate*U39*(U60+(1-U60)*(1+U61))</f>
        <v/>
      </c>
      <c r="V62" s="24">
        <f>i_R_rate*V39*(V60+(1-V60)*(1+V61))</f>
        <v/>
      </c>
      <c r="W62" s="24">
        <f>i_R_rate*W39*(W60+(1-W60)*(1+W61))</f>
        <v/>
      </c>
      <c r="X62" s="24">
        <f>i_R_rate*X39*(X60+(1-X60)*(1+X61))</f>
        <v/>
      </c>
      <c r="Y62" s="24">
        <f>i_R_rate*Y39*(Y60+(1-Y60)*(1+Y61))</f>
        <v/>
      </c>
      <c r="Z62" s="24">
        <f>i_R_rate*Z39*(Z60+(1-Z60)*(1+Z61))</f>
        <v/>
      </c>
      <c r="AA62" s="24">
        <f>i_R_rate*AA39*(AA60+(1-AA60)*(1+AA61))</f>
        <v/>
      </c>
      <c r="AB62" s="24">
        <f>i_R_rate*AB39*(AB60+(1-AB60)*(1+AB61))</f>
        <v/>
      </c>
      <c r="AC62" s="24">
        <f>i_R_rate*AC39*(AC60+(1-AC60)*(1+AC61))</f>
        <v/>
      </c>
      <c r="AD62" s="24">
        <f>i_R_rate*AD39*(AD60+(1-AD60)*(1+AD61))</f>
        <v/>
      </c>
      <c r="AE62" s="24">
        <f>i_R_rate*AE39*(AE60+(1-AE60)*(1+AE61))</f>
        <v/>
      </c>
      <c r="AF62" s="24">
        <f>i_R_rate*AF39*(AF60+(1-AF60)*(1+AF61))</f>
        <v/>
      </c>
      <c r="AG62" s="24">
        <f>i_R_rate*AG39*(AG60+(1-AG60)*(1+AG61))</f>
        <v/>
      </c>
      <c r="AH62" s="24">
        <f>i_R_rate*AH39*(AH60+(1-AH60)*(1+AH61))</f>
        <v/>
      </c>
      <c r="AI62" s="24">
        <f>i_R_rate*AI39*(AI60+(1-AI60)*(1+AI61))</f>
        <v/>
      </c>
    </row>
    <row r="63">
      <c r="B63" s="2" t="inlineStr">
        <is>
          <t xml:space="preserve">  Occupancy after the transition decline and floor</t>
        </is>
      </c>
      <c r="D63" s="21">
        <f>IF(D$3&gt;i_trans_start,MAX(i_R_floor,i_R_occ-i_R_dec*(D$3-i_trans_start)),i_R_occ)</f>
        <v/>
      </c>
      <c r="E63" s="21">
        <f>IF(E$3&gt;i_trans_start,MAX(i_R_floor,i_R_occ-i_R_dec*(E$3-i_trans_start)),i_R_occ)</f>
        <v/>
      </c>
      <c r="F63" s="21">
        <f>IF(F$3&gt;i_trans_start,MAX(i_R_floor,i_R_occ-i_R_dec*(F$3-i_trans_start)),i_R_occ)</f>
        <v/>
      </c>
      <c r="G63" s="21">
        <f>IF(G$3&gt;i_trans_start,MAX(i_R_floor,i_R_occ-i_R_dec*(G$3-i_trans_start)),i_R_occ)</f>
        <v/>
      </c>
      <c r="H63" s="21">
        <f>IF(H$3&gt;i_trans_start,MAX(i_R_floor,i_R_occ-i_R_dec*(H$3-i_trans_start)),i_R_occ)</f>
        <v/>
      </c>
      <c r="I63" s="21">
        <f>IF(I$3&gt;i_trans_start,MAX(i_R_floor,i_R_occ-i_R_dec*(I$3-i_trans_start)),i_R_occ)</f>
        <v/>
      </c>
      <c r="J63" s="21">
        <f>IF(J$3&gt;i_trans_start,MAX(i_R_floor,i_R_occ-i_R_dec*(J$3-i_trans_start)),i_R_occ)</f>
        <v/>
      </c>
      <c r="K63" s="21">
        <f>IF(K$3&gt;i_trans_start,MAX(i_R_floor,i_R_occ-i_R_dec*(K$3-i_trans_start)),i_R_occ)</f>
        <v/>
      </c>
      <c r="L63" s="21">
        <f>IF(L$3&gt;i_trans_start,MAX(i_R_floor,i_R_occ-i_R_dec*(L$3-i_trans_start)),i_R_occ)</f>
        <v/>
      </c>
      <c r="M63" s="21">
        <f>IF(M$3&gt;i_trans_start,MAX(i_R_floor,i_R_occ-i_R_dec*(M$3-i_trans_start)),i_R_occ)</f>
        <v/>
      </c>
      <c r="N63" s="21">
        <f>IF(N$3&gt;i_trans_start,MAX(i_R_floor,i_R_occ-i_R_dec*(N$3-i_trans_start)),i_R_occ)</f>
        <v/>
      </c>
      <c r="O63" s="21">
        <f>IF(O$3&gt;i_trans_start,MAX(i_R_floor,i_R_occ-i_R_dec*(O$3-i_trans_start)),i_R_occ)</f>
        <v/>
      </c>
      <c r="P63" s="21">
        <f>IF(P$3&gt;i_trans_start,MAX(i_R_floor,i_R_occ-i_R_dec*(P$3-i_trans_start)),i_R_occ)</f>
        <v/>
      </c>
      <c r="Q63" s="21">
        <f>IF(Q$3&gt;i_trans_start,MAX(i_R_floor,i_R_occ-i_R_dec*(Q$3-i_trans_start)),i_R_occ)</f>
        <v/>
      </c>
      <c r="R63" s="21">
        <f>IF(R$3&gt;i_trans_start,MAX(i_R_floor,i_R_occ-i_R_dec*(R$3-i_trans_start)),i_R_occ)</f>
        <v/>
      </c>
      <c r="S63" s="21">
        <f>IF(S$3&gt;i_trans_start,MAX(i_R_floor,i_R_occ-i_R_dec*(S$3-i_trans_start)),i_R_occ)</f>
        <v/>
      </c>
      <c r="T63" s="21">
        <f>IF(T$3&gt;i_trans_start,MAX(i_R_floor,i_R_occ-i_R_dec*(T$3-i_trans_start)),i_R_occ)</f>
        <v/>
      </c>
      <c r="U63" s="21">
        <f>IF(U$3&gt;i_trans_start,MAX(i_R_floor,i_R_occ-i_R_dec*(U$3-i_trans_start)),i_R_occ)</f>
        <v/>
      </c>
      <c r="V63" s="21">
        <f>IF(V$3&gt;i_trans_start,MAX(i_R_floor,i_R_occ-i_R_dec*(V$3-i_trans_start)),i_R_occ)</f>
        <v/>
      </c>
      <c r="W63" s="21">
        <f>IF(W$3&gt;i_trans_start,MAX(i_R_floor,i_R_occ-i_R_dec*(W$3-i_trans_start)),i_R_occ)</f>
        <v/>
      </c>
      <c r="X63" s="21">
        <f>IF(X$3&gt;i_trans_start,MAX(i_R_floor,i_R_occ-i_R_dec*(X$3-i_trans_start)),i_R_occ)</f>
        <v/>
      </c>
      <c r="Y63" s="21">
        <f>IF(Y$3&gt;i_trans_start,MAX(i_R_floor,i_R_occ-i_R_dec*(Y$3-i_trans_start)),i_R_occ)</f>
        <v/>
      </c>
      <c r="Z63" s="21">
        <f>IF(Z$3&gt;i_trans_start,MAX(i_R_floor,i_R_occ-i_R_dec*(Z$3-i_trans_start)),i_R_occ)</f>
        <v/>
      </c>
      <c r="AA63" s="21">
        <f>IF(AA$3&gt;i_trans_start,MAX(i_R_floor,i_R_occ-i_R_dec*(AA$3-i_trans_start)),i_R_occ)</f>
        <v/>
      </c>
      <c r="AB63" s="21">
        <f>IF(AB$3&gt;i_trans_start,MAX(i_R_floor,i_R_occ-i_R_dec*(AB$3-i_trans_start)),i_R_occ)</f>
        <v/>
      </c>
      <c r="AC63" s="21">
        <f>IF(AC$3&gt;i_trans_start,MAX(i_R_floor,i_R_occ-i_R_dec*(AC$3-i_trans_start)),i_R_occ)</f>
        <v/>
      </c>
      <c r="AD63" s="21">
        <f>IF(AD$3&gt;i_trans_start,MAX(i_R_floor,i_R_occ-i_R_dec*(AD$3-i_trans_start)),i_R_occ)</f>
        <v/>
      </c>
      <c r="AE63" s="21">
        <f>IF(AE$3&gt;i_trans_start,MAX(i_R_floor,i_R_occ-i_R_dec*(AE$3-i_trans_start)),i_R_occ)</f>
        <v/>
      </c>
      <c r="AF63" s="21">
        <f>IF(AF$3&gt;i_trans_start,MAX(i_R_floor,i_R_occ-i_R_dec*(AF$3-i_trans_start)),i_R_occ)</f>
        <v/>
      </c>
      <c r="AG63" s="21">
        <f>IF(AG$3&gt;i_trans_start,MAX(i_R_floor,i_R_occ-i_R_dec*(AG$3-i_trans_start)),i_R_occ)</f>
        <v/>
      </c>
      <c r="AH63" s="21">
        <f>IF(AH$3&gt;i_trans_start,MAX(i_R_floor,i_R_occ-i_R_dec*(AH$3-i_trans_start)),i_R_occ)</f>
        <v/>
      </c>
      <c r="AI63" s="21">
        <f>IF(AI$3&gt;i_trans_start,MAX(i_R_floor,i_R_occ-i_R_dec*(AI$3-i_trans_start)),i_R_occ)</f>
        <v/>
      </c>
    </row>
    <row r="64">
      <c r="B64" s="2" t="inlineStr">
        <is>
          <t xml:space="preserve">  Occupancy (with the shift switch from 2027)</t>
        </is>
      </c>
      <c r="D64" s="21">
        <f>IF(D$4&gt;0,MIN(1,D63+Sensitivities!$C$33),D63)</f>
        <v/>
      </c>
      <c r="E64" s="21">
        <f>IF(E$4&gt;0,MIN(1,E63+Sensitivities!$C$33),E63)</f>
        <v/>
      </c>
      <c r="F64" s="21">
        <f>IF(F$4&gt;0,MIN(1,F63+Sensitivities!$C$33),F63)</f>
        <v/>
      </c>
      <c r="G64" s="21">
        <f>IF(G$4&gt;0,MIN(1,G63+Sensitivities!$C$33),G63)</f>
        <v/>
      </c>
      <c r="H64" s="21">
        <f>IF(H$4&gt;0,MIN(1,H63+Sensitivities!$C$33),H63)</f>
        <v/>
      </c>
      <c r="I64" s="21">
        <f>IF(I$4&gt;0,MIN(1,I63+Sensitivities!$C$33),I63)</f>
        <v/>
      </c>
      <c r="J64" s="21">
        <f>IF(J$4&gt;0,MIN(1,J63+Sensitivities!$C$33),J63)</f>
        <v/>
      </c>
      <c r="K64" s="21">
        <f>IF(K$4&gt;0,MIN(1,K63+Sensitivities!$C$33),K63)</f>
        <v/>
      </c>
      <c r="L64" s="21">
        <f>IF(L$4&gt;0,MIN(1,L63+Sensitivities!$C$33),L63)</f>
        <v/>
      </c>
      <c r="M64" s="21">
        <f>IF(M$4&gt;0,MIN(1,M63+Sensitivities!$C$33),M63)</f>
        <v/>
      </c>
      <c r="N64" s="21">
        <f>IF(N$4&gt;0,MIN(1,N63+Sensitivities!$C$33),N63)</f>
        <v/>
      </c>
      <c r="O64" s="21">
        <f>IF(O$4&gt;0,MIN(1,O63+Sensitivities!$C$33),O63)</f>
        <v/>
      </c>
      <c r="P64" s="21">
        <f>IF(P$4&gt;0,MIN(1,P63+Sensitivities!$C$33),P63)</f>
        <v/>
      </c>
      <c r="Q64" s="21">
        <f>IF(Q$4&gt;0,MIN(1,Q63+Sensitivities!$C$33),Q63)</f>
        <v/>
      </c>
      <c r="R64" s="21">
        <f>IF(R$4&gt;0,MIN(1,R63+Sensitivities!$C$33),R63)</f>
        <v/>
      </c>
      <c r="S64" s="21">
        <f>IF(S$4&gt;0,MIN(1,S63+Sensitivities!$C$33),S63)</f>
        <v/>
      </c>
      <c r="T64" s="21">
        <f>IF(T$4&gt;0,MIN(1,T63+Sensitivities!$C$33),T63)</f>
        <v/>
      </c>
      <c r="U64" s="21">
        <f>IF(U$4&gt;0,MIN(1,U63+Sensitivities!$C$33),U63)</f>
        <v/>
      </c>
      <c r="V64" s="21">
        <f>IF(V$4&gt;0,MIN(1,V63+Sensitivities!$C$33),V63)</f>
        <v/>
      </c>
      <c r="W64" s="21">
        <f>IF(W$4&gt;0,MIN(1,W63+Sensitivities!$C$33),W63)</f>
        <v/>
      </c>
      <c r="X64" s="21">
        <f>IF(X$4&gt;0,MIN(1,X63+Sensitivities!$C$33),X63)</f>
        <v/>
      </c>
      <c r="Y64" s="21">
        <f>IF(Y$4&gt;0,MIN(1,Y63+Sensitivities!$C$33),Y63)</f>
        <v/>
      </c>
      <c r="Z64" s="21">
        <f>IF(Z$4&gt;0,MIN(1,Z63+Sensitivities!$C$33),Z63)</f>
        <v/>
      </c>
      <c r="AA64" s="21">
        <f>IF(AA$4&gt;0,MIN(1,AA63+Sensitivities!$C$33),AA63)</f>
        <v/>
      </c>
      <c r="AB64" s="21">
        <f>IF(AB$4&gt;0,MIN(1,AB63+Sensitivities!$C$33),AB63)</f>
        <v/>
      </c>
      <c r="AC64" s="21">
        <f>IF(AC$4&gt;0,MIN(1,AC63+Sensitivities!$C$33),AC63)</f>
        <v/>
      </c>
      <c r="AD64" s="21">
        <f>IF(AD$4&gt;0,MIN(1,AD63+Sensitivities!$C$33),AD63)</f>
        <v/>
      </c>
      <c r="AE64" s="21">
        <f>IF(AE$4&gt;0,MIN(1,AE63+Sensitivities!$C$33),AE63)</f>
        <v/>
      </c>
      <c r="AF64" s="21">
        <f>IF(AF$4&gt;0,MIN(1,AF63+Sensitivities!$C$33),AF63)</f>
        <v/>
      </c>
      <c r="AG64" s="21">
        <f>IF(AG$4&gt;0,MIN(1,AG63+Sensitivities!$C$33),AG63)</f>
        <v/>
      </c>
      <c r="AH64" s="21">
        <f>IF(AH$4&gt;0,MIN(1,AH63+Sensitivities!$C$33),AH63)</f>
        <v/>
      </c>
      <c r="AI64" s="21">
        <f>IF(AI$4&gt;0,MIN(1,AI63+Sensitivities!$C$33),AI63)</f>
        <v/>
      </c>
    </row>
    <row r="65">
      <c r="B65" s="2" t="inlineStr">
        <is>
          <t xml:space="preserve">  Storage revenue</t>
        </is>
      </c>
      <c r="D65" s="19">
        <f>D59*D62*12*D64</f>
        <v/>
      </c>
      <c r="E65" s="19">
        <f>E59*E62*12*E64</f>
        <v/>
      </c>
      <c r="F65" s="19">
        <f>F59*F62*12*F64</f>
        <v/>
      </c>
      <c r="G65" s="19">
        <f>G59*G62*12*G64</f>
        <v/>
      </c>
      <c r="H65" s="19">
        <f>H59*H62*12*H64</f>
        <v/>
      </c>
      <c r="I65" s="19">
        <f>I59*I62*12*I64</f>
        <v/>
      </c>
      <c r="J65" s="19">
        <f>J59*J62*12*J64</f>
        <v/>
      </c>
      <c r="K65" s="19">
        <f>K59*K62*12*K64</f>
        <v/>
      </c>
      <c r="L65" s="19">
        <f>L59*L62*12*L64</f>
        <v/>
      </c>
      <c r="M65" s="19">
        <f>M59*M62*12*M64</f>
        <v/>
      </c>
      <c r="N65" s="19">
        <f>N59*N62*12*N64</f>
        <v/>
      </c>
      <c r="O65" s="19">
        <f>O59*O62*12*O64</f>
        <v/>
      </c>
      <c r="P65" s="19">
        <f>P59*P62*12*P64</f>
        <v/>
      </c>
      <c r="Q65" s="19">
        <f>Q59*Q62*12*Q64</f>
        <v/>
      </c>
      <c r="R65" s="19">
        <f>R59*R62*12*R64</f>
        <v/>
      </c>
      <c r="S65" s="19">
        <f>S59*S62*12*S64</f>
        <v/>
      </c>
      <c r="T65" s="19">
        <f>T59*T62*12*T64</f>
        <v/>
      </c>
      <c r="U65" s="19">
        <f>U59*U62*12*U64</f>
        <v/>
      </c>
      <c r="V65" s="19">
        <f>V59*V62*12*V64</f>
        <v/>
      </c>
      <c r="W65" s="19">
        <f>W59*W62*12*W64</f>
        <v/>
      </c>
      <c r="X65" s="19">
        <f>X59*X62*12*X64</f>
        <v/>
      </c>
      <c r="Y65" s="19">
        <f>Y59*Y62*12*Y64</f>
        <v/>
      </c>
      <c r="Z65" s="19">
        <f>Z59*Z62*12*Z64</f>
        <v/>
      </c>
      <c r="AA65" s="19">
        <f>AA59*AA62*12*AA64</f>
        <v/>
      </c>
      <c r="AB65" s="19">
        <f>AB59*AB62*12*AB64</f>
        <v/>
      </c>
      <c r="AC65" s="19">
        <f>AC59*AC62*12*AC64</f>
        <v/>
      </c>
      <c r="AD65" s="19">
        <f>AD59*AD62*12*AD64</f>
        <v/>
      </c>
      <c r="AE65" s="19">
        <f>AE59*AE62*12*AE64</f>
        <v/>
      </c>
      <c r="AF65" s="19">
        <f>AF59*AF62*12*AF64</f>
        <v/>
      </c>
      <c r="AG65" s="19">
        <f>AG59*AG62*12*AG64</f>
        <v/>
      </c>
      <c r="AH65" s="19">
        <f>AH59*AH62*12*AH64</f>
        <v/>
      </c>
      <c r="AI65" s="19">
        <f>AI59*AI62*12*AI64</f>
        <v/>
      </c>
    </row>
    <row r="66">
      <c r="B66" s="2" t="inlineStr">
        <is>
          <t xml:space="preserve">  Ancillary and throughput revenue</t>
        </is>
      </c>
      <c r="D66" s="19">
        <f>D65*i_R_anc</f>
        <v/>
      </c>
      <c r="E66" s="19">
        <f>E65*i_R_anc</f>
        <v/>
      </c>
      <c r="F66" s="19">
        <f>F65*i_R_anc</f>
        <v/>
      </c>
      <c r="G66" s="19">
        <f>G65*i_R_anc</f>
        <v/>
      </c>
      <c r="H66" s="19">
        <f>H65*i_R_anc</f>
        <v/>
      </c>
      <c r="I66" s="19">
        <f>I65*i_R_anc</f>
        <v/>
      </c>
      <c r="J66" s="19">
        <f>J65*i_R_anc</f>
        <v/>
      </c>
      <c r="K66" s="19">
        <f>K65*i_R_anc</f>
        <v/>
      </c>
      <c r="L66" s="19">
        <f>L65*i_R_anc</f>
        <v/>
      </c>
      <c r="M66" s="19">
        <f>M65*i_R_anc</f>
        <v/>
      </c>
      <c r="N66" s="19">
        <f>N65*i_R_anc</f>
        <v/>
      </c>
      <c r="O66" s="19">
        <f>O65*i_R_anc</f>
        <v/>
      </c>
      <c r="P66" s="19">
        <f>P65*i_R_anc</f>
        <v/>
      </c>
      <c r="Q66" s="19">
        <f>Q65*i_R_anc</f>
        <v/>
      </c>
      <c r="R66" s="19">
        <f>R65*i_R_anc</f>
        <v/>
      </c>
      <c r="S66" s="19">
        <f>S65*i_R_anc</f>
        <v/>
      </c>
      <c r="T66" s="19">
        <f>T65*i_R_anc</f>
        <v/>
      </c>
      <c r="U66" s="19">
        <f>U65*i_R_anc</f>
        <v/>
      </c>
      <c r="V66" s="19">
        <f>V65*i_R_anc</f>
        <v/>
      </c>
      <c r="W66" s="19">
        <f>W65*i_R_anc</f>
        <v/>
      </c>
      <c r="X66" s="19">
        <f>X65*i_R_anc</f>
        <v/>
      </c>
      <c r="Y66" s="19">
        <f>Y65*i_R_anc</f>
        <v/>
      </c>
      <c r="Z66" s="19">
        <f>Z65*i_R_anc</f>
        <v/>
      </c>
      <c r="AA66" s="19">
        <f>AA65*i_R_anc</f>
        <v/>
      </c>
      <c r="AB66" s="19">
        <f>AB65*i_R_anc</f>
        <v/>
      </c>
      <c r="AC66" s="19">
        <f>AC65*i_R_anc</f>
        <v/>
      </c>
      <c r="AD66" s="19">
        <f>AD65*i_R_anc</f>
        <v/>
      </c>
      <c r="AE66" s="19">
        <f>AE65*i_R_anc</f>
        <v/>
      </c>
      <c r="AF66" s="19">
        <f>AF65*i_R_anc</f>
        <v/>
      </c>
      <c r="AG66" s="19">
        <f>AG65*i_R_anc</f>
        <v/>
      </c>
      <c r="AH66" s="19">
        <f>AH65*i_R_anc</f>
        <v/>
      </c>
      <c r="AI66" s="19">
        <f>AI65*i_R_anc</f>
        <v/>
      </c>
    </row>
    <row r="67">
      <c r="B67" s="3" t="inlineStr">
        <is>
          <t xml:space="preserve">  Revenue</t>
        </is>
      </c>
      <c r="D67" s="31">
        <f>D65+D66</f>
        <v/>
      </c>
      <c r="E67" s="31">
        <f>E65+E66</f>
        <v/>
      </c>
      <c r="F67" s="31">
        <f>F65+F66</f>
        <v/>
      </c>
      <c r="G67" s="31">
        <f>G65+G66</f>
        <v/>
      </c>
      <c r="H67" s="31">
        <f>H65+H66</f>
        <v/>
      </c>
      <c r="I67" s="31">
        <f>I65+I66</f>
        <v/>
      </c>
      <c r="J67" s="31">
        <f>J65+J66</f>
        <v/>
      </c>
      <c r="K67" s="31">
        <f>K65+K66</f>
        <v/>
      </c>
      <c r="L67" s="31">
        <f>L65+L66</f>
        <v/>
      </c>
      <c r="M67" s="31">
        <f>M65+M66</f>
        <v/>
      </c>
      <c r="N67" s="31">
        <f>N65+N66</f>
        <v/>
      </c>
      <c r="O67" s="31">
        <f>O65+O66</f>
        <v/>
      </c>
      <c r="P67" s="31">
        <f>P65+P66</f>
        <v/>
      </c>
      <c r="Q67" s="31">
        <f>Q65+Q66</f>
        <v/>
      </c>
      <c r="R67" s="31">
        <f>R65+R66</f>
        <v/>
      </c>
      <c r="S67" s="31">
        <f>S65+S66</f>
        <v/>
      </c>
      <c r="T67" s="31">
        <f>T65+T66</f>
        <v/>
      </c>
      <c r="U67" s="31">
        <f>U65+U66</f>
        <v/>
      </c>
      <c r="V67" s="31">
        <f>V65+V66</f>
        <v/>
      </c>
      <c r="W67" s="31">
        <f>W65+W66</f>
        <v/>
      </c>
      <c r="X67" s="31">
        <f>X65+X66</f>
        <v/>
      </c>
      <c r="Y67" s="31">
        <f>Y65+Y66</f>
        <v/>
      </c>
      <c r="Z67" s="31">
        <f>Z65+Z66</f>
        <v/>
      </c>
      <c r="AA67" s="31">
        <f>AA65+AA66</f>
        <v/>
      </c>
      <c r="AB67" s="31">
        <f>AB65+AB66</f>
        <v/>
      </c>
      <c r="AC67" s="31">
        <f>AC65+AC66</f>
        <v/>
      </c>
      <c r="AD67" s="31">
        <f>AD65+AD66</f>
        <v/>
      </c>
      <c r="AE67" s="31">
        <f>AE65+AE66</f>
        <v/>
      </c>
      <c r="AF67" s="31">
        <f>AF65+AF66</f>
        <v/>
      </c>
      <c r="AG67" s="31">
        <f>AG65+AG66</f>
        <v/>
      </c>
      <c r="AH67" s="31">
        <f>AH65+AH66</f>
        <v/>
      </c>
      <c r="AI67" s="31">
        <f>AI65+AI66</f>
        <v/>
      </c>
    </row>
    <row r="68">
      <c r="B68" s="2" t="inlineStr">
        <is>
          <t xml:space="preserve">  Fixed cost</t>
        </is>
      </c>
      <c r="D68" s="19">
        <f>D59*i_R_fix*D38</f>
        <v/>
      </c>
      <c r="E68" s="19">
        <f>E59*i_R_fix*E38</f>
        <v/>
      </c>
      <c r="F68" s="19">
        <f>F59*i_R_fix*F38</f>
        <v/>
      </c>
      <c r="G68" s="19">
        <f>G59*i_R_fix*G38</f>
        <v/>
      </c>
      <c r="H68" s="19">
        <f>H59*i_R_fix*H38</f>
        <v/>
      </c>
      <c r="I68" s="19">
        <f>I59*i_R_fix*I38</f>
        <v/>
      </c>
      <c r="J68" s="19">
        <f>J59*i_R_fix*J38</f>
        <v/>
      </c>
      <c r="K68" s="19">
        <f>K59*i_R_fix*K38</f>
        <v/>
      </c>
      <c r="L68" s="19">
        <f>L59*i_R_fix*L38</f>
        <v/>
      </c>
      <c r="M68" s="19">
        <f>M59*i_R_fix*M38</f>
        <v/>
      </c>
      <c r="N68" s="19">
        <f>N59*i_R_fix*N38</f>
        <v/>
      </c>
      <c r="O68" s="19">
        <f>O59*i_R_fix*O38</f>
        <v/>
      </c>
      <c r="P68" s="19">
        <f>P59*i_R_fix*P38</f>
        <v/>
      </c>
      <c r="Q68" s="19">
        <f>Q59*i_R_fix*Q38</f>
        <v/>
      </c>
      <c r="R68" s="19">
        <f>R59*i_R_fix*R38</f>
        <v/>
      </c>
      <c r="S68" s="19">
        <f>S59*i_R_fix*S38</f>
        <v/>
      </c>
      <c r="T68" s="19">
        <f>T59*i_R_fix*T38</f>
        <v/>
      </c>
      <c r="U68" s="19">
        <f>U59*i_R_fix*U38</f>
        <v/>
      </c>
      <c r="V68" s="19">
        <f>V59*i_R_fix*V38</f>
        <v/>
      </c>
      <c r="W68" s="19">
        <f>W59*i_R_fix*W38</f>
        <v/>
      </c>
      <c r="X68" s="19">
        <f>X59*i_R_fix*X38</f>
        <v/>
      </c>
      <c r="Y68" s="19">
        <f>Y59*i_R_fix*Y38</f>
        <v/>
      </c>
      <c r="Z68" s="19">
        <f>Z59*i_R_fix*Z38</f>
        <v/>
      </c>
      <c r="AA68" s="19">
        <f>AA59*i_R_fix*AA38</f>
        <v/>
      </c>
      <c r="AB68" s="19">
        <f>AB59*i_R_fix*AB38</f>
        <v/>
      </c>
      <c r="AC68" s="19">
        <f>AC59*i_R_fix*AC38</f>
        <v/>
      </c>
      <c r="AD68" s="19">
        <f>AD59*i_R_fix*AD38</f>
        <v/>
      </c>
      <c r="AE68" s="19">
        <f>AE59*i_R_fix*AE38</f>
        <v/>
      </c>
      <c r="AF68" s="19">
        <f>AF59*i_R_fix*AF38</f>
        <v/>
      </c>
      <c r="AG68" s="19">
        <f>AG59*i_R_fix*AG38</f>
        <v/>
      </c>
      <c r="AH68" s="19">
        <f>AH59*i_R_fix*AH38</f>
        <v/>
      </c>
      <c r="AI68" s="19">
        <f>AI59*i_R_fix*AI38</f>
        <v/>
      </c>
    </row>
    <row r="69">
      <c r="B69" s="2" t="inlineStr">
        <is>
          <t xml:space="preserve">  Variable cost</t>
        </is>
      </c>
      <c r="D69" s="19">
        <f>i_R_var*D67</f>
        <v/>
      </c>
      <c r="E69" s="19">
        <f>i_R_var*E67</f>
        <v/>
      </c>
      <c r="F69" s="19">
        <f>i_R_var*F67</f>
        <v/>
      </c>
      <c r="G69" s="19">
        <f>i_R_var*G67</f>
        <v/>
      </c>
      <c r="H69" s="19">
        <f>i_R_var*H67</f>
        <v/>
      </c>
      <c r="I69" s="19">
        <f>i_R_var*I67</f>
        <v/>
      </c>
      <c r="J69" s="19">
        <f>i_R_var*J67</f>
        <v/>
      </c>
      <c r="K69" s="19">
        <f>i_R_var*K67</f>
        <v/>
      </c>
      <c r="L69" s="19">
        <f>i_R_var*L67</f>
        <v/>
      </c>
      <c r="M69" s="19">
        <f>i_R_var*M67</f>
        <v/>
      </c>
      <c r="N69" s="19">
        <f>i_R_var*N67</f>
        <v/>
      </c>
      <c r="O69" s="19">
        <f>i_R_var*O67</f>
        <v/>
      </c>
      <c r="P69" s="19">
        <f>i_R_var*P67</f>
        <v/>
      </c>
      <c r="Q69" s="19">
        <f>i_R_var*Q67</f>
        <v/>
      </c>
      <c r="R69" s="19">
        <f>i_R_var*R67</f>
        <v/>
      </c>
      <c r="S69" s="19">
        <f>i_R_var*S67</f>
        <v/>
      </c>
      <c r="T69" s="19">
        <f>i_R_var*T67</f>
        <v/>
      </c>
      <c r="U69" s="19">
        <f>i_R_var*U67</f>
        <v/>
      </c>
      <c r="V69" s="19">
        <f>i_R_var*V67</f>
        <v/>
      </c>
      <c r="W69" s="19">
        <f>i_R_var*W67</f>
        <v/>
      </c>
      <c r="X69" s="19">
        <f>i_R_var*X67</f>
        <v/>
      </c>
      <c r="Y69" s="19">
        <f>i_R_var*Y67</f>
        <v/>
      </c>
      <c r="Z69" s="19">
        <f>i_R_var*Z67</f>
        <v/>
      </c>
      <c r="AA69" s="19">
        <f>i_R_var*AA67</f>
        <v/>
      </c>
      <c r="AB69" s="19">
        <f>i_R_var*AB67</f>
        <v/>
      </c>
      <c r="AC69" s="19">
        <f>i_R_var*AC67</f>
        <v/>
      </c>
      <c r="AD69" s="19">
        <f>i_R_var*AD67</f>
        <v/>
      </c>
      <c r="AE69" s="19">
        <f>i_R_var*AE67</f>
        <v/>
      </c>
      <c r="AF69" s="19">
        <f>i_R_var*AF67</f>
        <v/>
      </c>
      <c r="AG69" s="19">
        <f>i_R_var*AG67</f>
        <v/>
      </c>
      <c r="AH69" s="19">
        <f>i_R_var*AH67</f>
        <v/>
      </c>
      <c r="AI69" s="19">
        <f>i_R_var*AI67</f>
        <v/>
      </c>
    </row>
    <row r="70">
      <c r="B70" s="2" t="inlineStr">
        <is>
          <t xml:space="preserve">  Operating cost</t>
        </is>
      </c>
      <c r="D70" s="19">
        <f>D68+D69</f>
        <v/>
      </c>
      <c r="E70" s="19">
        <f>E68+E69</f>
        <v/>
      </c>
      <c r="F70" s="19">
        <f>F68+F69</f>
        <v/>
      </c>
      <c r="G70" s="19">
        <f>G68+G69</f>
        <v/>
      </c>
      <c r="H70" s="19">
        <f>H68+H69</f>
        <v/>
      </c>
      <c r="I70" s="19">
        <f>I68+I69</f>
        <v/>
      </c>
      <c r="J70" s="19">
        <f>J68+J69</f>
        <v/>
      </c>
      <c r="K70" s="19">
        <f>K68+K69</f>
        <v/>
      </c>
      <c r="L70" s="19">
        <f>L68+L69</f>
        <v/>
      </c>
      <c r="M70" s="19">
        <f>M68+M69</f>
        <v/>
      </c>
      <c r="N70" s="19">
        <f>N68+N69</f>
        <v/>
      </c>
      <c r="O70" s="19">
        <f>O68+O69</f>
        <v/>
      </c>
      <c r="P70" s="19">
        <f>P68+P69</f>
        <v/>
      </c>
      <c r="Q70" s="19">
        <f>Q68+Q69</f>
        <v/>
      </c>
      <c r="R70" s="19">
        <f>R68+R69</f>
        <v/>
      </c>
      <c r="S70" s="19">
        <f>S68+S69</f>
        <v/>
      </c>
      <c r="T70" s="19">
        <f>T68+T69</f>
        <v/>
      </c>
      <c r="U70" s="19">
        <f>U68+U69</f>
        <v/>
      </c>
      <c r="V70" s="19">
        <f>V68+V69</f>
        <v/>
      </c>
      <c r="W70" s="19">
        <f>W68+W69</f>
        <v/>
      </c>
      <c r="X70" s="19">
        <f>X68+X69</f>
        <v/>
      </c>
      <c r="Y70" s="19">
        <f>Y68+Y69</f>
        <v/>
      </c>
      <c r="Z70" s="19">
        <f>Z68+Z69</f>
        <v/>
      </c>
      <c r="AA70" s="19">
        <f>AA68+AA69</f>
        <v/>
      </c>
      <c r="AB70" s="19">
        <f>AB68+AB69</f>
        <v/>
      </c>
      <c r="AC70" s="19">
        <f>AC68+AC69</f>
        <v/>
      </c>
      <c r="AD70" s="19">
        <f>AD68+AD69</f>
        <v/>
      </c>
      <c r="AE70" s="19">
        <f>AE68+AE69</f>
        <v/>
      </c>
      <c r="AF70" s="19">
        <f>AF68+AF69</f>
        <v/>
      </c>
      <c r="AG70" s="19">
        <f>AG68+AG69</f>
        <v/>
      </c>
      <c r="AH70" s="19">
        <f>AH68+AH69</f>
        <v/>
      </c>
      <c r="AI70" s="19">
        <f>AI68+AI69</f>
        <v/>
      </c>
    </row>
    <row r="71">
      <c r="B71" s="3" t="inlineStr">
        <is>
          <t xml:space="preserve">  EBITDA</t>
        </is>
      </c>
      <c r="D71" s="31">
        <f>D67-D70</f>
        <v/>
      </c>
      <c r="E71" s="31">
        <f>E67-E70</f>
        <v/>
      </c>
      <c r="F71" s="31">
        <f>F67-F70</f>
        <v/>
      </c>
      <c r="G71" s="31">
        <f>G67-G70</f>
        <v/>
      </c>
      <c r="H71" s="31">
        <f>H67-H70</f>
        <v/>
      </c>
      <c r="I71" s="31">
        <f>I67-I70</f>
        <v/>
      </c>
      <c r="J71" s="31">
        <f>J67-J70</f>
        <v/>
      </c>
      <c r="K71" s="31">
        <f>K67-K70</f>
        <v/>
      </c>
      <c r="L71" s="31">
        <f>L67-L70</f>
        <v/>
      </c>
      <c r="M71" s="31">
        <f>M67-M70</f>
        <v/>
      </c>
      <c r="N71" s="31">
        <f>N67-N70</f>
        <v/>
      </c>
      <c r="O71" s="31">
        <f>O67-O70</f>
        <v/>
      </c>
      <c r="P71" s="31">
        <f>P67-P70</f>
        <v/>
      </c>
      <c r="Q71" s="31">
        <f>Q67-Q70</f>
        <v/>
      </c>
      <c r="R71" s="31">
        <f>R67-R70</f>
        <v/>
      </c>
      <c r="S71" s="31">
        <f>S67-S70</f>
        <v/>
      </c>
      <c r="T71" s="31">
        <f>T67-T70</f>
        <v/>
      </c>
      <c r="U71" s="31">
        <f>U67-U70</f>
        <v/>
      </c>
      <c r="V71" s="31">
        <f>V67-V70</f>
        <v/>
      </c>
      <c r="W71" s="31">
        <f>W67-W70</f>
        <v/>
      </c>
      <c r="X71" s="31">
        <f>X67-X70</f>
        <v/>
      </c>
      <c r="Y71" s="31">
        <f>Y67-Y70</f>
        <v/>
      </c>
      <c r="Z71" s="31">
        <f>Z67-Z70</f>
        <v/>
      </c>
      <c r="AA71" s="31">
        <f>AA67-AA70</f>
        <v/>
      </c>
      <c r="AB71" s="31">
        <f>AB67-AB70</f>
        <v/>
      </c>
      <c r="AC71" s="31">
        <f>AC67-AC70</f>
        <v/>
      </c>
      <c r="AD71" s="31">
        <f>AD67-AD70</f>
        <v/>
      </c>
      <c r="AE71" s="31">
        <f>AE67-AE70</f>
        <v/>
      </c>
      <c r="AF71" s="31">
        <f>AF67-AF70</f>
        <v/>
      </c>
      <c r="AG71" s="31">
        <f>AG67-AG70</f>
        <v/>
      </c>
      <c r="AH71" s="31">
        <f>AH67-AH70</f>
        <v/>
      </c>
      <c r="AI71" s="31">
        <f>AI67-AI70</f>
        <v/>
      </c>
    </row>
    <row r="72">
      <c r="B72" s="2" t="inlineStr">
        <is>
          <t xml:space="preserve">  Maintenance capex</t>
        </is>
      </c>
      <c r="D72" s="19">
        <f>D59*i_R_mc*D38</f>
        <v/>
      </c>
      <c r="E72" s="19">
        <f>E59*i_R_mc*E38</f>
        <v/>
      </c>
      <c r="F72" s="19">
        <f>F59*i_R_mc*F38</f>
        <v/>
      </c>
      <c r="G72" s="19">
        <f>G59*i_R_mc*G38</f>
        <v/>
      </c>
      <c r="H72" s="19">
        <f>H59*i_R_mc*H38</f>
        <v/>
      </c>
      <c r="I72" s="19">
        <f>I59*i_R_mc*I38</f>
        <v/>
      </c>
      <c r="J72" s="19">
        <f>J59*i_R_mc*J38</f>
        <v/>
      </c>
      <c r="K72" s="19">
        <f>K59*i_R_mc*K38</f>
        <v/>
      </c>
      <c r="L72" s="19">
        <f>L59*i_R_mc*L38</f>
        <v/>
      </c>
      <c r="M72" s="19">
        <f>M59*i_R_mc*M38</f>
        <v/>
      </c>
      <c r="N72" s="19">
        <f>N59*i_R_mc*N38</f>
        <v/>
      </c>
      <c r="O72" s="19">
        <f>O59*i_R_mc*O38</f>
        <v/>
      </c>
      <c r="P72" s="19">
        <f>P59*i_R_mc*P38</f>
        <v/>
      </c>
      <c r="Q72" s="19">
        <f>Q59*i_R_mc*Q38</f>
        <v/>
      </c>
      <c r="R72" s="19">
        <f>R59*i_R_mc*R38</f>
        <v/>
      </c>
      <c r="S72" s="19">
        <f>S59*i_R_mc*S38</f>
        <v/>
      </c>
      <c r="T72" s="19">
        <f>T59*i_R_mc*T38</f>
        <v/>
      </c>
      <c r="U72" s="19">
        <f>U59*i_R_mc*U38</f>
        <v/>
      </c>
      <c r="V72" s="19">
        <f>V59*i_R_mc*V38</f>
        <v/>
      </c>
      <c r="W72" s="19">
        <f>W59*i_R_mc*W38</f>
        <v/>
      </c>
      <c r="X72" s="19">
        <f>X59*i_R_mc*X38</f>
        <v/>
      </c>
      <c r="Y72" s="19">
        <f>Y59*i_R_mc*Y38</f>
        <v/>
      </c>
      <c r="Z72" s="19">
        <f>Z59*i_R_mc*Z38</f>
        <v/>
      </c>
      <c r="AA72" s="19">
        <f>AA59*i_R_mc*AA38</f>
        <v/>
      </c>
      <c r="AB72" s="19">
        <f>AB59*i_R_mc*AB38</f>
        <v/>
      </c>
      <c r="AC72" s="19">
        <f>AC59*i_R_mc*AC38</f>
        <v/>
      </c>
      <c r="AD72" s="19">
        <f>AD59*i_R_mc*AD38</f>
        <v/>
      </c>
      <c r="AE72" s="19">
        <f>AE59*i_R_mc*AE38</f>
        <v/>
      </c>
      <c r="AF72" s="19">
        <f>AF59*i_R_mc*AF38</f>
        <v/>
      </c>
      <c r="AG72" s="19">
        <f>AG59*i_R_mc*AG38</f>
        <v/>
      </c>
      <c r="AH72" s="19">
        <f>AH59*i_R_mc*AH38</f>
        <v/>
      </c>
      <c r="AI72" s="19">
        <f>AI59*i_R_mc*AI38</f>
        <v/>
      </c>
    </row>
    <row r="73">
      <c r="B73" s="3" t="inlineStr">
        <is>
          <t>Thamesbridge</t>
        </is>
      </c>
    </row>
    <row r="74">
      <c r="B74" s="2" t="inlineStr">
        <is>
          <t xml:space="preserve">  Capacity in service (million m3)</t>
        </is>
      </c>
      <c r="D74" s="24">
        <f>i_T_cap</f>
        <v/>
      </c>
      <c r="E74" s="24">
        <f>i_T_cap</f>
        <v/>
      </c>
      <c r="F74" s="24">
        <f>i_T_cap</f>
        <v/>
      </c>
      <c r="G74" s="24">
        <f>i_T_cap</f>
        <v/>
      </c>
      <c r="H74" s="24">
        <f>i_T_cap</f>
        <v/>
      </c>
      <c r="I74" s="24">
        <f>i_T_cap</f>
        <v/>
      </c>
      <c r="J74" s="24">
        <f>i_T_cap</f>
        <v/>
      </c>
      <c r="K74" s="24">
        <f>i_T_cap</f>
        <v/>
      </c>
      <c r="L74" s="24">
        <f>i_T_cap</f>
        <v/>
      </c>
      <c r="M74" s="24">
        <f>i_T_cap</f>
        <v/>
      </c>
      <c r="N74" s="24">
        <f>i_T_cap</f>
        <v/>
      </c>
      <c r="O74" s="24">
        <f>i_T_cap</f>
        <v/>
      </c>
      <c r="P74" s="24">
        <f>i_T_cap</f>
        <v/>
      </c>
      <c r="Q74" s="24">
        <f>i_T_cap</f>
        <v/>
      </c>
      <c r="R74" s="24">
        <f>i_T_cap</f>
        <v/>
      </c>
      <c r="S74" s="24">
        <f>i_T_cap</f>
        <v/>
      </c>
      <c r="T74" s="24">
        <f>i_T_cap</f>
        <v/>
      </c>
      <c r="U74" s="24">
        <f>i_T_cap</f>
        <v/>
      </c>
      <c r="V74" s="24">
        <f>i_T_cap</f>
        <v/>
      </c>
      <c r="W74" s="24">
        <f>i_T_cap</f>
        <v/>
      </c>
      <c r="X74" s="24">
        <f>i_T_cap</f>
        <v/>
      </c>
      <c r="Y74" s="24">
        <f>i_T_cap</f>
        <v/>
      </c>
      <c r="Z74" s="24">
        <f>i_T_cap</f>
        <v/>
      </c>
      <c r="AA74" s="24">
        <f>i_T_cap</f>
        <v/>
      </c>
      <c r="AB74" s="24">
        <f>i_T_cap</f>
        <v/>
      </c>
      <c r="AC74" s="24">
        <f>i_T_cap</f>
        <v/>
      </c>
      <c r="AD74" s="24">
        <f>i_T_cap</f>
        <v/>
      </c>
      <c r="AE74" s="24">
        <f>i_T_cap</f>
        <v/>
      </c>
      <c r="AF74" s="24">
        <f>i_T_cap</f>
        <v/>
      </c>
      <c r="AG74" s="24">
        <f>i_T_cap</f>
        <v/>
      </c>
      <c r="AH74" s="24">
        <f>i_T_cap</f>
        <v/>
      </c>
      <c r="AI74" s="24">
        <f>i_T_cap</f>
        <v/>
      </c>
    </row>
    <row r="75">
      <c r="B75" s="2" t="inlineStr">
        <is>
          <t xml:space="preserve">  Share on contracts signed before 2027</t>
        </is>
      </c>
      <c r="D75" s="21">
        <f>SUMIF(i_book_years,D$3,i_T_book)</f>
        <v/>
      </c>
      <c r="E75" s="21">
        <f>SUMIF(i_book_years,E$3,i_T_book)</f>
        <v/>
      </c>
      <c r="F75" s="21">
        <f>SUMIF(i_book_years,F$3,i_T_book)</f>
        <v/>
      </c>
      <c r="G75" s="21">
        <f>SUMIF(i_book_years,G$3,i_T_book)</f>
        <v/>
      </c>
      <c r="H75" s="21">
        <f>SUMIF(i_book_years,H$3,i_T_book)</f>
        <v/>
      </c>
      <c r="I75" s="21">
        <f>SUMIF(i_book_years,I$3,i_T_book)</f>
        <v/>
      </c>
      <c r="J75" s="21">
        <f>SUMIF(i_book_years,J$3,i_T_book)</f>
        <v/>
      </c>
      <c r="K75" s="21">
        <f>SUMIF(i_book_years,K$3,i_T_book)</f>
        <v/>
      </c>
      <c r="L75" s="21">
        <f>SUMIF(i_book_years,L$3,i_T_book)</f>
        <v/>
      </c>
      <c r="M75" s="21">
        <f>SUMIF(i_book_years,M$3,i_T_book)</f>
        <v/>
      </c>
      <c r="N75" s="21">
        <f>SUMIF(i_book_years,N$3,i_T_book)</f>
        <v/>
      </c>
      <c r="O75" s="21">
        <f>SUMIF(i_book_years,O$3,i_T_book)</f>
        <v/>
      </c>
      <c r="P75" s="21">
        <f>SUMIF(i_book_years,P$3,i_T_book)</f>
        <v/>
      </c>
      <c r="Q75" s="21">
        <f>SUMIF(i_book_years,Q$3,i_T_book)</f>
        <v/>
      </c>
      <c r="R75" s="21">
        <f>SUMIF(i_book_years,R$3,i_T_book)</f>
        <v/>
      </c>
      <c r="S75" s="21">
        <f>SUMIF(i_book_years,S$3,i_T_book)</f>
        <v/>
      </c>
      <c r="T75" s="21">
        <f>SUMIF(i_book_years,T$3,i_T_book)</f>
        <v/>
      </c>
      <c r="U75" s="21">
        <f>SUMIF(i_book_years,U$3,i_T_book)</f>
        <v/>
      </c>
      <c r="V75" s="21">
        <f>SUMIF(i_book_years,V$3,i_T_book)</f>
        <v/>
      </c>
      <c r="W75" s="21">
        <f>SUMIF(i_book_years,W$3,i_T_book)</f>
        <v/>
      </c>
      <c r="X75" s="21">
        <f>SUMIF(i_book_years,X$3,i_T_book)</f>
        <v/>
      </c>
      <c r="Y75" s="21">
        <f>SUMIF(i_book_years,Y$3,i_T_book)</f>
        <v/>
      </c>
      <c r="Z75" s="21">
        <f>SUMIF(i_book_years,Z$3,i_T_book)</f>
        <v/>
      </c>
      <c r="AA75" s="21">
        <f>SUMIF(i_book_years,AA$3,i_T_book)</f>
        <v/>
      </c>
      <c r="AB75" s="21">
        <f>SUMIF(i_book_years,AB$3,i_T_book)</f>
        <v/>
      </c>
      <c r="AC75" s="21">
        <f>SUMIF(i_book_years,AC$3,i_T_book)</f>
        <v/>
      </c>
      <c r="AD75" s="21">
        <f>SUMIF(i_book_years,AD$3,i_T_book)</f>
        <v/>
      </c>
      <c r="AE75" s="21">
        <f>SUMIF(i_book_years,AE$3,i_T_book)</f>
        <v/>
      </c>
      <c r="AF75" s="21">
        <f>SUMIF(i_book_years,AF$3,i_T_book)</f>
        <v/>
      </c>
      <c r="AG75" s="21">
        <f>SUMIF(i_book_years,AG$3,i_T_book)</f>
        <v/>
      </c>
      <c r="AH75" s="21">
        <f>SUMIF(i_book_years,AH$3,i_T_book)</f>
        <v/>
      </c>
      <c r="AI75" s="21">
        <f>SUMIF(i_book_years,AI$3,i_T_book)</f>
        <v/>
      </c>
    </row>
    <row r="76">
      <c r="B76" s="2" t="inlineStr">
        <is>
          <t xml:space="preserve">  Recontracting factor against current rates</t>
        </is>
      </c>
      <c r="D76" s="21">
        <f>IF(D$4=0,0,IF(Sensitivities!$C$28=1,i_T_mtm,i_T_mtm_plan)+Sensitivities!$C$34)</f>
        <v/>
      </c>
      <c r="E76" s="21">
        <f>IF(E$4=0,0,IF(Sensitivities!$C$28=1,i_T_mtm,i_T_mtm_plan)+Sensitivities!$C$34)</f>
        <v/>
      </c>
      <c r="F76" s="21">
        <f>IF(F$4=0,0,IF(Sensitivities!$C$28=1,i_T_mtm,i_T_mtm_plan)+Sensitivities!$C$34)</f>
        <v/>
      </c>
      <c r="G76" s="21">
        <f>IF(G$4=0,0,IF(Sensitivities!$C$28=1,i_T_mtm,i_T_mtm_plan)+Sensitivities!$C$34)</f>
        <v/>
      </c>
      <c r="H76" s="21">
        <f>IF(H$4=0,0,IF(Sensitivities!$C$28=1,i_T_mtm,i_T_mtm_plan)+Sensitivities!$C$34)</f>
        <v/>
      </c>
      <c r="I76" s="21">
        <f>IF(I$4=0,0,IF(Sensitivities!$C$28=1,i_T_mtm,i_T_mtm_plan)+Sensitivities!$C$34)</f>
        <v/>
      </c>
      <c r="J76" s="21">
        <f>IF(J$4=0,0,IF(Sensitivities!$C$28=1,i_T_mtm,i_T_mtm_plan)+Sensitivities!$C$34)</f>
        <v/>
      </c>
      <c r="K76" s="21">
        <f>IF(K$4=0,0,IF(Sensitivities!$C$28=1,i_T_mtm,i_T_mtm_plan)+Sensitivities!$C$34)</f>
        <v/>
      </c>
      <c r="L76" s="21">
        <f>IF(L$4=0,0,IF(Sensitivities!$C$28=1,i_T_mtm,i_T_mtm_plan)+Sensitivities!$C$34)</f>
        <v/>
      </c>
      <c r="M76" s="21">
        <f>IF(M$4=0,0,IF(Sensitivities!$C$28=1,i_T_mtm,i_T_mtm_plan)+Sensitivities!$C$34)</f>
        <v/>
      </c>
      <c r="N76" s="21">
        <f>IF(N$4=0,0,IF(Sensitivities!$C$28=1,i_T_mtm,i_T_mtm_plan)+Sensitivities!$C$34)</f>
        <v/>
      </c>
      <c r="O76" s="21">
        <f>IF(O$4=0,0,IF(Sensitivities!$C$28=1,i_T_mtm,i_T_mtm_plan)+Sensitivities!$C$34)</f>
        <v/>
      </c>
      <c r="P76" s="21">
        <f>IF(P$4=0,0,IF(Sensitivities!$C$28=1,i_T_mtm,i_T_mtm_plan)+Sensitivities!$C$34)</f>
        <v/>
      </c>
      <c r="Q76" s="21">
        <f>IF(Q$4=0,0,IF(Sensitivities!$C$28=1,i_T_mtm,i_T_mtm_plan)+Sensitivities!$C$34)</f>
        <v/>
      </c>
      <c r="R76" s="21">
        <f>IF(R$4=0,0,IF(Sensitivities!$C$28=1,i_T_mtm,i_T_mtm_plan)+Sensitivities!$C$34)</f>
        <v/>
      </c>
      <c r="S76" s="21">
        <f>IF(S$4=0,0,IF(Sensitivities!$C$28=1,i_T_mtm,i_T_mtm_plan)+Sensitivities!$C$34)</f>
        <v/>
      </c>
      <c r="T76" s="21">
        <f>IF(T$4=0,0,IF(Sensitivities!$C$28=1,i_T_mtm,i_T_mtm_plan)+Sensitivities!$C$34)</f>
        <v/>
      </c>
      <c r="U76" s="21">
        <f>IF(U$4=0,0,IF(Sensitivities!$C$28=1,i_T_mtm,i_T_mtm_plan)+Sensitivities!$C$34)</f>
        <v/>
      </c>
      <c r="V76" s="21">
        <f>IF(V$4=0,0,IF(Sensitivities!$C$28=1,i_T_mtm,i_T_mtm_plan)+Sensitivities!$C$34)</f>
        <v/>
      </c>
      <c r="W76" s="21">
        <f>IF(W$4=0,0,IF(Sensitivities!$C$28=1,i_T_mtm,i_T_mtm_plan)+Sensitivities!$C$34)</f>
        <v/>
      </c>
      <c r="X76" s="21">
        <f>IF(X$4=0,0,IF(Sensitivities!$C$28=1,i_T_mtm,i_T_mtm_plan)+Sensitivities!$C$34)</f>
        <v/>
      </c>
      <c r="Y76" s="21">
        <f>IF(Y$4=0,0,IF(Sensitivities!$C$28=1,i_T_mtm,i_T_mtm_plan)+Sensitivities!$C$34)</f>
        <v/>
      </c>
      <c r="Z76" s="21">
        <f>IF(Z$4=0,0,IF(Sensitivities!$C$28=1,i_T_mtm,i_T_mtm_plan)+Sensitivities!$C$34)</f>
        <v/>
      </c>
      <c r="AA76" s="21">
        <f>IF(AA$4=0,0,IF(Sensitivities!$C$28=1,i_T_mtm,i_T_mtm_plan)+Sensitivities!$C$34)</f>
        <v/>
      </c>
      <c r="AB76" s="21">
        <f>IF(AB$4=0,0,IF(Sensitivities!$C$28=1,i_T_mtm,i_T_mtm_plan)+Sensitivities!$C$34)</f>
        <v/>
      </c>
      <c r="AC76" s="21">
        <f>IF(AC$4=0,0,IF(Sensitivities!$C$28=1,i_T_mtm,i_T_mtm_plan)+Sensitivities!$C$34)</f>
        <v/>
      </c>
      <c r="AD76" s="21">
        <f>IF(AD$4=0,0,IF(Sensitivities!$C$28=1,i_T_mtm,i_T_mtm_plan)+Sensitivities!$C$34)</f>
        <v/>
      </c>
      <c r="AE76" s="21">
        <f>IF(AE$4=0,0,IF(Sensitivities!$C$28=1,i_T_mtm,i_T_mtm_plan)+Sensitivities!$C$34)</f>
        <v/>
      </c>
      <c r="AF76" s="21">
        <f>IF(AF$4=0,0,IF(Sensitivities!$C$28=1,i_T_mtm,i_T_mtm_plan)+Sensitivities!$C$34)</f>
        <v/>
      </c>
      <c r="AG76" s="21">
        <f>IF(AG$4=0,0,IF(Sensitivities!$C$28=1,i_T_mtm,i_T_mtm_plan)+Sensitivities!$C$34)</f>
        <v/>
      </c>
      <c r="AH76" s="21">
        <f>IF(AH$4=0,0,IF(Sensitivities!$C$28=1,i_T_mtm,i_T_mtm_plan)+Sensitivities!$C$34)</f>
        <v/>
      </c>
      <c r="AI76" s="21">
        <f>IF(AI$4=0,0,IF(Sensitivities!$C$28=1,i_T_mtm,i_T_mtm_plan)+Sensitivities!$C$34)</f>
        <v/>
      </c>
    </row>
    <row r="77">
      <c r="B77" s="2" t="inlineStr">
        <is>
          <t xml:space="preserve">  Average rate ($ per m3 per month)</t>
        </is>
      </c>
      <c r="D77" s="24">
        <f>i_T_rate*D39*(D75+(1-D75)*(1+D76))</f>
        <v/>
      </c>
      <c r="E77" s="24">
        <f>i_T_rate*E39*(E75+(1-E75)*(1+E76))</f>
        <v/>
      </c>
      <c r="F77" s="24">
        <f>i_T_rate*F39*(F75+(1-F75)*(1+F76))</f>
        <v/>
      </c>
      <c r="G77" s="24">
        <f>i_T_rate*G39*(G75+(1-G75)*(1+G76))</f>
        <v/>
      </c>
      <c r="H77" s="24">
        <f>i_T_rate*H39*(H75+(1-H75)*(1+H76))</f>
        <v/>
      </c>
      <c r="I77" s="24">
        <f>i_T_rate*I39*(I75+(1-I75)*(1+I76))</f>
        <v/>
      </c>
      <c r="J77" s="24">
        <f>i_T_rate*J39*(J75+(1-J75)*(1+J76))</f>
        <v/>
      </c>
      <c r="K77" s="24">
        <f>i_T_rate*K39*(K75+(1-K75)*(1+K76))</f>
        <v/>
      </c>
      <c r="L77" s="24">
        <f>i_T_rate*L39*(L75+(1-L75)*(1+L76))</f>
        <v/>
      </c>
      <c r="M77" s="24">
        <f>i_T_rate*M39*(M75+(1-M75)*(1+M76))</f>
        <v/>
      </c>
      <c r="N77" s="24">
        <f>i_T_rate*N39*(N75+(1-N75)*(1+N76))</f>
        <v/>
      </c>
      <c r="O77" s="24">
        <f>i_T_rate*O39*(O75+(1-O75)*(1+O76))</f>
        <v/>
      </c>
      <c r="P77" s="24">
        <f>i_T_rate*P39*(P75+(1-P75)*(1+P76))</f>
        <v/>
      </c>
      <c r="Q77" s="24">
        <f>i_T_rate*Q39*(Q75+(1-Q75)*(1+Q76))</f>
        <v/>
      </c>
      <c r="R77" s="24">
        <f>i_T_rate*R39*(R75+(1-R75)*(1+R76))</f>
        <v/>
      </c>
      <c r="S77" s="24">
        <f>i_T_rate*S39*(S75+(1-S75)*(1+S76))</f>
        <v/>
      </c>
      <c r="T77" s="24">
        <f>i_T_rate*T39*(T75+(1-T75)*(1+T76))</f>
        <v/>
      </c>
      <c r="U77" s="24">
        <f>i_T_rate*U39*(U75+(1-U75)*(1+U76))</f>
        <v/>
      </c>
      <c r="V77" s="24">
        <f>i_T_rate*V39*(V75+(1-V75)*(1+V76))</f>
        <v/>
      </c>
      <c r="W77" s="24">
        <f>i_T_rate*W39*(W75+(1-W75)*(1+W76))</f>
        <v/>
      </c>
      <c r="X77" s="24">
        <f>i_T_rate*X39*(X75+(1-X75)*(1+X76))</f>
        <v/>
      </c>
      <c r="Y77" s="24">
        <f>i_T_rate*Y39*(Y75+(1-Y75)*(1+Y76))</f>
        <v/>
      </c>
      <c r="Z77" s="24">
        <f>i_T_rate*Z39*(Z75+(1-Z75)*(1+Z76))</f>
        <v/>
      </c>
      <c r="AA77" s="24">
        <f>i_T_rate*AA39*(AA75+(1-AA75)*(1+AA76))</f>
        <v/>
      </c>
      <c r="AB77" s="24">
        <f>i_T_rate*AB39*(AB75+(1-AB75)*(1+AB76))</f>
        <v/>
      </c>
      <c r="AC77" s="24">
        <f>i_T_rate*AC39*(AC75+(1-AC75)*(1+AC76))</f>
        <v/>
      </c>
      <c r="AD77" s="24">
        <f>i_T_rate*AD39*(AD75+(1-AD75)*(1+AD76))</f>
        <v/>
      </c>
      <c r="AE77" s="24">
        <f>i_T_rate*AE39*(AE75+(1-AE75)*(1+AE76))</f>
        <v/>
      </c>
      <c r="AF77" s="24">
        <f>i_T_rate*AF39*(AF75+(1-AF75)*(1+AF76))</f>
        <v/>
      </c>
      <c r="AG77" s="24">
        <f>i_T_rate*AG39*(AG75+(1-AG75)*(1+AG76))</f>
        <v/>
      </c>
      <c r="AH77" s="24">
        <f>i_T_rate*AH39*(AH75+(1-AH75)*(1+AH76))</f>
        <v/>
      </c>
      <c r="AI77" s="24">
        <f>i_T_rate*AI39*(AI75+(1-AI75)*(1+AI76))</f>
        <v/>
      </c>
    </row>
    <row r="78">
      <c r="B78" s="2" t="inlineStr">
        <is>
          <t xml:space="preserve">  Occupancy after the transition decline and floor</t>
        </is>
      </c>
      <c r="D78" s="21">
        <f>IF(D$3&gt;i_trans_start,MAX(i_T_floor,i_T_occ-i_T_dec*(D$3-i_trans_start)),i_T_occ)</f>
        <v/>
      </c>
      <c r="E78" s="21">
        <f>IF(E$3&gt;i_trans_start,MAX(i_T_floor,i_T_occ-i_T_dec*(E$3-i_trans_start)),i_T_occ)</f>
        <v/>
      </c>
      <c r="F78" s="21">
        <f>IF(F$3&gt;i_trans_start,MAX(i_T_floor,i_T_occ-i_T_dec*(F$3-i_trans_start)),i_T_occ)</f>
        <v/>
      </c>
      <c r="G78" s="21">
        <f>IF(G$3&gt;i_trans_start,MAX(i_T_floor,i_T_occ-i_T_dec*(G$3-i_trans_start)),i_T_occ)</f>
        <v/>
      </c>
      <c r="H78" s="21">
        <f>IF(H$3&gt;i_trans_start,MAX(i_T_floor,i_T_occ-i_T_dec*(H$3-i_trans_start)),i_T_occ)</f>
        <v/>
      </c>
      <c r="I78" s="21">
        <f>IF(I$3&gt;i_trans_start,MAX(i_T_floor,i_T_occ-i_T_dec*(I$3-i_trans_start)),i_T_occ)</f>
        <v/>
      </c>
      <c r="J78" s="21">
        <f>IF(J$3&gt;i_trans_start,MAX(i_T_floor,i_T_occ-i_T_dec*(J$3-i_trans_start)),i_T_occ)</f>
        <v/>
      </c>
      <c r="K78" s="21">
        <f>IF(K$3&gt;i_trans_start,MAX(i_T_floor,i_T_occ-i_T_dec*(K$3-i_trans_start)),i_T_occ)</f>
        <v/>
      </c>
      <c r="L78" s="21">
        <f>IF(L$3&gt;i_trans_start,MAX(i_T_floor,i_T_occ-i_T_dec*(L$3-i_trans_start)),i_T_occ)</f>
        <v/>
      </c>
      <c r="M78" s="21">
        <f>IF(M$3&gt;i_trans_start,MAX(i_T_floor,i_T_occ-i_T_dec*(M$3-i_trans_start)),i_T_occ)</f>
        <v/>
      </c>
      <c r="N78" s="21">
        <f>IF(N$3&gt;i_trans_start,MAX(i_T_floor,i_T_occ-i_T_dec*(N$3-i_trans_start)),i_T_occ)</f>
        <v/>
      </c>
      <c r="O78" s="21">
        <f>IF(O$3&gt;i_trans_start,MAX(i_T_floor,i_T_occ-i_T_dec*(O$3-i_trans_start)),i_T_occ)</f>
        <v/>
      </c>
      <c r="P78" s="21">
        <f>IF(P$3&gt;i_trans_start,MAX(i_T_floor,i_T_occ-i_T_dec*(P$3-i_trans_start)),i_T_occ)</f>
        <v/>
      </c>
      <c r="Q78" s="21">
        <f>IF(Q$3&gt;i_trans_start,MAX(i_T_floor,i_T_occ-i_T_dec*(Q$3-i_trans_start)),i_T_occ)</f>
        <v/>
      </c>
      <c r="R78" s="21">
        <f>IF(R$3&gt;i_trans_start,MAX(i_T_floor,i_T_occ-i_T_dec*(R$3-i_trans_start)),i_T_occ)</f>
        <v/>
      </c>
      <c r="S78" s="21">
        <f>IF(S$3&gt;i_trans_start,MAX(i_T_floor,i_T_occ-i_T_dec*(S$3-i_trans_start)),i_T_occ)</f>
        <v/>
      </c>
      <c r="T78" s="21">
        <f>IF(T$3&gt;i_trans_start,MAX(i_T_floor,i_T_occ-i_T_dec*(T$3-i_trans_start)),i_T_occ)</f>
        <v/>
      </c>
      <c r="U78" s="21">
        <f>IF(U$3&gt;i_trans_start,MAX(i_T_floor,i_T_occ-i_T_dec*(U$3-i_trans_start)),i_T_occ)</f>
        <v/>
      </c>
      <c r="V78" s="21">
        <f>IF(V$3&gt;i_trans_start,MAX(i_T_floor,i_T_occ-i_T_dec*(V$3-i_trans_start)),i_T_occ)</f>
        <v/>
      </c>
      <c r="W78" s="21">
        <f>IF(W$3&gt;i_trans_start,MAX(i_T_floor,i_T_occ-i_T_dec*(W$3-i_trans_start)),i_T_occ)</f>
        <v/>
      </c>
      <c r="X78" s="21">
        <f>IF(X$3&gt;i_trans_start,MAX(i_T_floor,i_T_occ-i_T_dec*(X$3-i_trans_start)),i_T_occ)</f>
        <v/>
      </c>
      <c r="Y78" s="21">
        <f>IF(Y$3&gt;i_trans_start,MAX(i_T_floor,i_T_occ-i_T_dec*(Y$3-i_trans_start)),i_T_occ)</f>
        <v/>
      </c>
      <c r="Z78" s="21">
        <f>IF(Z$3&gt;i_trans_start,MAX(i_T_floor,i_T_occ-i_T_dec*(Z$3-i_trans_start)),i_T_occ)</f>
        <v/>
      </c>
      <c r="AA78" s="21">
        <f>IF(AA$3&gt;i_trans_start,MAX(i_T_floor,i_T_occ-i_T_dec*(AA$3-i_trans_start)),i_T_occ)</f>
        <v/>
      </c>
      <c r="AB78" s="21">
        <f>IF(AB$3&gt;i_trans_start,MAX(i_T_floor,i_T_occ-i_T_dec*(AB$3-i_trans_start)),i_T_occ)</f>
        <v/>
      </c>
      <c r="AC78" s="21">
        <f>IF(AC$3&gt;i_trans_start,MAX(i_T_floor,i_T_occ-i_T_dec*(AC$3-i_trans_start)),i_T_occ)</f>
        <v/>
      </c>
      <c r="AD78" s="21">
        <f>IF(AD$3&gt;i_trans_start,MAX(i_T_floor,i_T_occ-i_T_dec*(AD$3-i_trans_start)),i_T_occ)</f>
        <v/>
      </c>
      <c r="AE78" s="21">
        <f>IF(AE$3&gt;i_trans_start,MAX(i_T_floor,i_T_occ-i_T_dec*(AE$3-i_trans_start)),i_T_occ)</f>
        <v/>
      </c>
      <c r="AF78" s="21">
        <f>IF(AF$3&gt;i_trans_start,MAX(i_T_floor,i_T_occ-i_T_dec*(AF$3-i_trans_start)),i_T_occ)</f>
        <v/>
      </c>
      <c r="AG78" s="21">
        <f>IF(AG$3&gt;i_trans_start,MAX(i_T_floor,i_T_occ-i_T_dec*(AG$3-i_trans_start)),i_T_occ)</f>
        <v/>
      </c>
      <c r="AH78" s="21">
        <f>IF(AH$3&gt;i_trans_start,MAX(i_T_floor,i_T_occ-i_T_dec*(AH$3-i_trans_start)),i_T_occ)</f>
        <v/>
      </c>
      <c r="AI78" s="21">
        <f>IF(AI$3&gt;i_trans_start,MAX(i_T_floor,i_T_occ-i_T_dec*(AI$3-i_trans_start)),i_T_occ)</f>
        <v/>
      </c>
    </row>
    <row r="79">
      <c r="B79" s="2" t="inlineStr">
        <is>
          <t xml:space="preserve">  Occupancy (with the shift switch from 2027)</t>
        </is>
      </c>
      <c r="D79" s="21">
        <f>IF(D$4&gt;0,MIN(1,D78+Sensitivities!$C$33),D78)</f>
        <v/>
      </c>
      <c r="E79" s="21">
        <f>IF(E$4&gt;0,MIN(1,E78+Sensitivities!$C$33),E78)</f>
        <v/>
      </c>
      <c r="F79" s="21">
        <f>IF(F$4&gt;0,MIN(1,F78+Sensitivities!$C$33),F78)</f>
        <v/>
      </c>
      <c r="G79" s="21">
        <f>IF(G$4&gt;0,MIN(1,G78+Sensitivities!$C$33),G78)</f>
        <v/>
      </c>
      <c r="H79" s="21">
        <f>IF(H$4&gt;0,MIN(1,H78+Sensitivities!$C$33),H78)</f>
        <v/>
      </c>
      <c r="I79" s="21">
        <f>IF(I$4&gt;0,MIN(1,I78+Sensitivities!$C$33),I78)</f>
        <v/>
      </c>
      <c r="J79" s="21">
        <f>IF(J$4&gt;0,MIN(1,J78+Sensitivities!$C$33),J78)</f>
        <v/>
      </c>
      <c r="K79" s="21">
        <f>IF(K$4&gt;0,MIN(1,K78+Sensitivities!$C$33),K78)</f>
        <v/>
      </c>
      <c r="L79" s="21">
        <f>IF(L$4&gt;0,MIN(1,L78+Sensitivities!$C$33),L78)</f>
        <v/>
      </c>
      <c r="M79" s="21">
        <f>IF(M$4&gt;0,MIN(1,M78+Sensitivities!$C$33),M78)</f>
        <v/>
      </c>
      <c r="N79" s="21">
        <f>IF(N$4&gt;0,MIN(1,N78+Sensitivities!$C$33),N78)</f>
        <v/>
      </c>
      <c r="O79" s="21">
        <f>IF(O$4&gt;0,MIN(1,O78+Sensitivities!$C$33),O78)</f>
        <v/>
      </c>
      <c r="P79" s="21">
        <f>IF(P$4&gt;0,MIN(1,P78+Sensitivities!$C$33),P78)</f>
        <v/>
      </c>
      <c r="Q79" s="21">
        <f>IF(Q$4&gt;0,MIN(1,Q78+Sensitivities!$C$33),Q78)</f>
        <v/>
      </c>
      <c r="R79" s="21">
        <f>IF(R$4&gt;0,MIN(1,R78+Sensitivities!$C$33),R78)</f>
        <v/>
      </c>
      <c r="S79" s="21">
        <f>IF(S$4&gt;0,MIN(1,S78+Sensitivities!$C$33),S78)</f>
        <v/>
      </c>
      <c r="T79" s="21">
        <f>IF(T$4&gt;0,MIN(1,T78+Sensitivities!$C$33),T78)</f>
        <v/>
      </c>
      <c r="U79" s="21">
        <f>IF(U$4&gt;0,MIN(1,U78+Sensitivities!$C$33),U78)</f>
        <v/>
      </c>
      <c r="V79" s="21">
        <f>IF(V$4&gt;0,MIN(1,V78+Sensitivities!$C$33),V78)</f>
        <v/>
      </c>
      <c r="W79" s="21">
        <f>IF(W$4&gt;0,MIN(1,W78+Sensitivities!$C$33),W78)</f>
        <v/>
      </c>
      <c r="X79" s="21">
        <f>IF(X$4&gt;0,MIN(1,X78+Sensitivities!$C$33),X78)</f>
        <v/>
      </c>
      <c r="Y79" s="21">
        <f>IF(Y$4&gt;0,MIN(1,Y78+Sensitivities!$C$33),Y78)</f>
        <v/>
      </c>
      <c r="Z79" s="21">
        <f>IF(Z$4&gt;0,MIN(1,Z78+Sensitivities!$C$33),Z78)</f>
        <v/>
      </c>
      <c r="AA79" s="21">
        <f>IF(AA$4&gt;0,MIN(1,AA78+Sensitivities!$C$33),AA78)</f>
        <v/>
      </c>
      <c r="AB79" s="21">
        <f>IF(AB$4&gt;0,MIN(1,AB78+Sensitivities!$C$33),AB78)</f>
        <v/>
      </c>
      <c r="AC79" s="21">
        <f>IF(AC$4&gt;0,MIN(1,AC78+Sensitivities!$C$33),AC78)</f>
        <v/>
      </c>
      <c r="AD79" s="21">
        <f>IF(AD$4&gt;0,MIN(1,AD78+Sensitivities!$C$33),AD78)</f>
        <v/>
      </c>
      <c r="AE79" s="21">
        <f>IF(AE$4&gt;0,MIN(1,AE78+Sensitivities!$C$33),AE78)</f>
        <v/>
      </c>
      <c r="AF79" s="21">
        <f>IF(AF$4&gt;0,MIN(1,AF78+Sensitivities!$C$33),AF78)</f>
        <v/>
      </c>
      <c r="AG79" s="21">
        <f>IF(AG$4&gt;0,MIN(1,AG78+Sensitivities!$C$33),AG78)</f>
        <v/>
      </c>
      <c r="AH79" s="21">
        <f>IF(AH$4&gt;0,MIN(1,AH78+Sensitivities!$C$33),AH78)</f>
        <v/>
      </c>
      <c r="AI79" s="21">
        <f>IF(AI$4&gt;0,MIN(1,AI78+Sensitivities!$C$33),AI78)</f>
        <v/>
      </c>
    </row>
    <row r="80">
      <c r="B80" s="2" t="inlineStr">
        <is>
          <t xml:space="preserve">  Storage revenue</t>
        </is>
      </c>
      <c r="D80" s="19">
        <f>D74*D77*12*D79</f>
        <v/>
      </c>
      <c r="E80" s="19">
        <f>E74*E77*12*E79</f>
        <v/>
      </c>
      <c r="F80" s="19">
        <f>F74*F77*12*F79</f>
        <v/>
      </c>
      <c r="G80" s="19">
        <f>G74*G77*12*G79</f>
        <v/>
      </c>
      <c r="H80" s="19">
        <f>H74*H77*12*H79</f>
        <v/>
      </c>
      <c r="I80" s="19">
        <f>I74*I77*12*I79</f>
        <v/>
      </c>
      <c r="J80" s="19">
        <f>J74*J77*12*J79</f>
        <v/>
      </c>
      <c r="K80" s="19">
        <f>K74*K77*12*K79</f>
        <v/>
      </c>
      <c r="L80" s="19">
        <f>L74*L77*12*L79</f>
        <v/>
      </c>
      <c r="M80" s="19">
        <f>M74*M77*12*M79</f>
        <v/>
      </c>
      <c r="N80" s="19">
        <f>N74*N77*12*N79</f>
        <v/>
      </c>
      <c r="O80" s="19">
        <f>O74*O77*12*O79</f>
        <v/>
      </c>
      <c r="P80" s="19">
        <f>P74*P77*12*P79</f>
        <v/>
      </c>
      <c r="Q80" s="19">
        <f>Q74*Q77*12*Q79</f>
        <v/>
      </c>
      <c r="R80" s="19">
        <f>R74*R77*12*R79</f>
        <v/>
      </c>
      <c r="S80" s="19">
        <f>S74*S77*12*S79</f>
        <v/>
      </c>
      <c r="T80" s="19">
        <f>T74*T77*12*T79</f>
        <v/>
      </c>
      <c r="U80" s="19">
        <f>U74*U77*12*U79</f>
        <v/>
      </c>
      <c r="V80" s="19">
        <f>V74*V77*12*V79</f>
        <v/>
      </c>
      <c r="W80" s="19">
        <f>W74*W77*12*W79</f>
        <v/>
      </c>
      <c r="X80" s="19">
        <f>X74*X77*12*X79</f>
        <v/>
      </c>
      <c r="Y80" s="19">
        <f>Y74*Y77*12*Y79</f>
        <v/>
      </c>
      <c r="Z80" s="19">
        <f>Z74*Z77*12*Z79</f>
        <v/>
      </c>
      <c r="AA80" s="19">
        <f>AA74*AA77*12*AA79</f>
        <v/>
      </c>
      <c r="AB80" s="19">
        <f>AB74*AB77*12*AB79</f>
        <v/>
      </c>
      <c r="AC80" s="19">
        <f>AC74*AC77*12*AC79</f>
        <v/>
      </c>
      <c r="AD80" s="19">
        <f>AD74*AD77*12*AD79</f>
        <v/>
      </c>
      <c r="AE80" s="19">
        <f>AE74*AE77*12*AE79</f>
        <v/>
      </c>
      <c r="AF80" s="19">
        <f>AF74*AF77*12*AF79</f>
        <v/>
      </c>
      <c r="AG80" s="19">
        <f>AG74*AG77*12*AG79</f>
        <v/>
      </c>
      <c r="AH80" s="19">
        <f>AH74*AH77*12*AH79</f>
        <v/>
      </c>
      <c r="AI80" s="19">
        <f>AI74*AI77*12*AI79</f>
        <v/>
      </c>
    </row>
    <row r="81">
      <c r="B81" s="2" t="inlineStr">
        <is>
          <t xml:space="preserve">  Ancillary and throughput revenue</t>
        </is>
      </c>
      <c r="D81" s="19">
        <f>D80*i_T_anc</f>
        <v/>
      </c>
      <c r="E81" s="19">
        <f>E80*i_T_anc</f>
        <v/>
      </c>
      <c r="F81" s="19">
        <f>F80*i_T_anc</f>
        <v/>
      </c>
      <c r="G81" s="19">
        <f>G80*i_T_anc</f>
        <v/>
      </c>
      <c r="H81" s="19">
        <f>H80*i_T_anc</f>
        <v/>
      </c>
      <c r="I81" s="19">
        <f>I80*i_T_anc</f>
        <v/>
      </c>
      <c r="J81" s="19">
        <f>J80*i_T_anc</f>
        <v/>
      </c>
      <c r="K81" s="19">
        <f>K80*i_T_anc</f>
        <v/>
      </c>
      <c r="L81" s="19">
        <f>L80*i_T_anc</f>
        <v/>
      </c>
      <c r="M81" s="19">
        <f>M80*i_T_anc</f>
        <v/>
      </c>
      <c r="N81" s="19">
        <f>N80*i_T_anc</f>
        <v/>
      </c>
      <c r="O81" s="19">
        <f>O80*i_T_anc</f>
        <v/>
      </c>
      <c r="P81" s="19">
        <f>P80*i_T_anc</f>
        <v/>
      </c>
      <c r="Q81" s="19">
        <f>Q80*i_T_anc</f>
        <v/>
      </c>
      <c r="R81" s="19">
        <f>R80*i_T_anc</f>
        <v/>
      </c>
      <c r="S81" s="19">
        <f>S80*i_T_anc</f>
        <v/>
      </c>
      <c r="T81" s="19">
        <f>T80*i_T_anc</f>
        <v/>
      </c>
      <c r="U81" s="19">
        <f>U80*i_T_anc</f>
        <v/>
      </c>
      <c r="V81" s="19">
        <f>V80*i_T_anc</f>
        <v/>
      </c>
      <c r="W81" s="19">
        <f>W80*i_T_anc</f>
        <v/>
      </c>
      <c r="X81" s="19">
        <f>X80*i_T_anc</f>
        <v/>
      </c>
      <c r="Y81" s="19">
        <f>Y80*i_T_anc</f>
        <v/>
      </c>
      <c r="Z81" s="19">
        <f>Z80*i_T_anc</f>
        <v/>
      </c>
      <c r="AA81" s="19">
        <f>AA80*i_T_anc</f>
        <v/>
      </c>
      <c r="AB81" s="19">
        <f>AB80*i_T_anc</f>
        <v/>
      </c>
      <c r="AC81" s="19">
        <f>AC80*i_T_anc</f>
        <v/>
      </c>
      <c r="AD81" s="19">
        <f>AD80*i_T_anc</f>
        <v/>
      </c>
      <c r="AE81" s="19">
        <f>AE80*i_T_anc</f>
        <v/>
      </c>
      <c r="AF81" s="19">
        <f>AF80*i_T_anc</f>
        <v/>
      </c>
      <c r="AG81" s="19">
        <f>AG80*i_T_anc</f>
        <v/>
      </c>
      <c r="AH81" s="19">
        <f>AH80*i_T_anc</f>
        <v/>
      </c>
      <c r="AI81" s="19">
        <f>AI80*i_T_anc</f>
        <v/>
      </c>
    </row>
    <row r="82">
      <c r="B82" s="3" t="inlineStr">
        <is>
          <t xml:space="preserve">  Revenue</t>
        </is>
      </c>
      <c r="D82" s="31">
        <f>D80+D81</f>
        <v/>
      </c>
      <c r="E82" s="31">
        <f>E80+E81</f>
        <v/>
      </c>
      <c r="F82" s="31">
        <f>F80+F81</f>
        <v/>
      </c>
      <c r="G82" s="31">
        <f>G80+G81</f>
        <v/>
      </c>
      <c r="H82" s="31">
        <f>H80+H81</f>
        <v/>
      </c>
      <c r="I82" s="31">
        <f>I80+I81</f>
        <v/>
      </c>
      <c r="J82" s="31">
        <f>J80+J81</f>
        <v/>
      </c>
      <c r="K82" s="31">
        <f>K80+K81</f>
        <v/>
      </c>
      <c r="L82" s="31">
        <f>L80+L81</f>
        <v/>
      </c>
      <c r="M82" s="31">
        <f>M80+M81</f>
        <v/>
      </c>
      <c r="N82" s="31">
        <f>N80+N81</f>
        <v/>
      </c>
      <c r="O82" s="31">
        <f>O80+O81</f>
        <v/>
      </c>
      <c r="P82" s="31">
        <f>P80+P81</f>
        <v/>
      </c>
      <c r="Q82" s="31">
        <f>Q80+Q81</f>
        <v/>
      </c>
      <c r="R82" s="31">
        <f>R80+R81</f>
        <v/>
      </c>
      <c r="S82" s="31">
        <f>S80+S81</f>
        <v/>
      </c>
      <c r="T82" s="31">
        <f>T80+T81</f>
        <v/>
      </c>
      <c r="U82" s="31">
        <f>U80+U81</f>
        <v/>
      </c>
      <c r="V82" s="31">
        <f>V80+V81</f>
        <v/>
      </c>
      <c r="W82" s="31">
        <f>W80+W81</f>
        <v/>
      </c>
      <c r="X82" s="31">
        <f>X80+X81</f>
        <v/>
      </c>
      <c r="Y82" s="31">
        <f>Y80+Y81</f>
        <v/>
      </c>
      <c r="Z82" s="31">
        <f>Z80+Z81</f>
        <v/>
      </c>
      <c r="AA82" s="31">
        <f>AA80+AA81</f>
        <v/>
      </c>
      <c r="AB82" s="31">
        <f>AB80+AB81</f>
        <v/>
      </c>
      <c r="AC82" s="31">
        <f>AC80+AC81</f>
        <v/>
      </c>
      <c r="AD82" s="31">
        <f>AD80+AD81</f>
        <v/>
      </c>
      <c r="AE82" s="31">
        <f>AE80+AE81</f>
        <v/>
      </c>
      <c r="AF82" s="31">
        <f>AF80+AF81</f>
        <v/>
      </c>
      <c r="AG82" s="31">
        <f>AG80+AG81</f>
        <v/>
      </c>
      <c r="AH82" s="31">
        <f>AH80+AH81</f>
        <v/>
      </c>
      <c r="AI82" s="31">
        <f>AI80+AI81</f>
        <v/>
      </c>
    </row>
    <row r="83">
      <c r="B83" s="2" t="inlineStr">
        <is>
          <t xml:space="preserve">  Fixed cost</t>
        </is>
      </c>
      <c r="D83" s="19">
        <f>D74*i_T_fix*D38</f>
        <v/>
      </c>
      <c r="E83" s="19">
        <f>E74*i_T_fix*E38</f>
        <v/>
      </c>
      <c r="F83" s="19">
        <f>F74*i_T_fix*F38</f>
        <v/>
      </c>
      <c r="G83" s="19">
        <f>G74*i_T_fix*G38</f>
        <v/>
      </c>
      <c r="H83" s="19">
        <f>H74*i_T_fix*H38</f>
        <v/>
      </c>
      <c r="I83" s="19">
        <f>I74*i_T_fix*I38</f>
        <v/>
      </c>
      <c r="J83" s="19">
        <f>J74*i_T_fix*J38</f>
        <v/>
      </c>
      <c r="K83" s="19">
        <f>K74*i_T_fix*K38</f>
        <v/>
      </c>
      <c r="L83" s="19">
        <f>L74*i_T_fix*L38</f>
        <v/>
      </c>
      <c r="M83" s="19">
        <f>M74*i_T_fix*M38</f>
        <v/>
      </c>
      <c r="N83" s="19">
        <f>N74*i_T_fix*N38</f>
        <v/>
      </c>
      <c r="O83" s="19">
        <f>O74*i_T_fix*O38</f>
        <v/>
      </c>
      <c r="P83" s="19">
        <f>P74*i_T_fix*P38</f>
        <v/>
      </c>
      <c r="Q83" s="19">
        <f>Q74*i_T_fix*Q38</f>
        <v/>
      </c>
      <c r="R83" s="19">
        <f>R74*i_T_fix*R38</f>
        <v/>
      </c>
      <c r="S83" s="19">
        <f>S74*i_T_fix*S38</f>
        <v/>
      </c>
      <c r="T83" s="19">
        <f>T74*i_T_fix*T38</f>
        <v/>
      </c>
      <c r="U83" s="19">
        <f>U74*i_T_fix*U38</f>
        <v/>
      </c>
      <c r="V83" s="19">
        <f>V74*i_T_fix*V38</f>
        <v/>
      </c>
      <c r="W83" s="19">
        <f>W74*i_T_fix*W38</f>
        <v/>
      </c>
      <c r="X83" s="19">
        <f>X74*i_T_fix*X38</f>
        <v/>
      </c>
      <c r="Y83" s="19">
        <f>Y74*i_T_fix*Y38</f>
        <v/>
      </c>
      <c r="Z83" s="19">
        <f>Z74*i_T_fix*Z38</f>
        <v/>
      </c>
      <c r="AA83" s="19">
        <f>AA74*i_T_fix*AA38</f>
        <v/>
      </c>
      <c r="AB83" s="19">
        <f>AB74*i_T_fix*AB38</f>
        <v/>
      </c>
      <c r="AC83" s="19">
        <f>AC74*i_T_fix*AC38</f>
        <v/>
      </c>
      <c r="AD83" s="19">
        <f>AD74*i_T_fix*AD38</f>
        <v/>
      </c>
      <c r="AE83" s="19">
        <f>AE74*i_T_fix*AE38</f>
        <v/>
      </c>
      <c r="AF83" s="19">
        <f>AF74*i_T_fix*AF38</f>
        <v/>
      </c>
      <c r="AG83" s="19">
        <f>AG74*i_T_fix*AG38</f>
        <v/>
      </c>
      <c r="AH83" s="19">
        <f>AH74*i_T_fix*AH38</f>
        <v/>
      </c>
      <c r="AI83" s="19">
        <f>AI74*i_T_fix*AI38</f>
        <v/>
      </c>
    </row>
    <row r="84">
      <c r="B84" s="2" t="inlineStr">
        <is>
          <t xml:space="preserve">  Variable cost</t>
        </is>
      </c>
      <c r="D84" s="19">
        <f>i_T_var*D82</f>
        <v/>
      </c>
      <c r="E84" s="19">
        <f>i_T_var*E82</f>
        <v/>
      </c>
      <c r="F84" s="19">
        <f>i_T_var*F82</f>
        <v/>
      </c>
      <c r="G84" s="19">
        <f>i_T_var*G82</f>
        <v/>
      </c>
      <c r="H84" s="19">
        <f>i_T_var*H82</f>
        <v/>
      </c>
      <c r="I84" s="19">
        <f>i_T_var*I82</f>
        <v/>
      </c>
      <c r="J84" s="19">
        <f>i_T_var*J82</f>
        <v/>
      </c>
      <c r="K84" s="19">
        <f>i_T_var*K82</f>
        <v/>
      </c>
      <c r="L84" s="19">
        <f>i_T_var*L82</f>
        <v/>
      </c>
      <c r="M84" s="19">
        <f>i_T_var*M82</f>
        <v/>
      </c>
      <c r="N84" s="19">
        <f>i_T_var*N82</f>
        <v/>
      </c>
      <c r="O84" s="19">
        <f>i_T_var*O82</f>
        <v/>
      </c>
      <c r="P84" s="19">
        <f>i_T_var*P82</f>
        <v/>
      </c>
      <c r="Q84" s="19">
        <f>i_T_var*Q82</f>
        <v/>
      </c>
      <c r="R84" s="19">
        <f>i_T_var*R82</f>
        <v/>
      </c>
      <c r="S84" s="19">
        <f>i_T_var*S82</f>
        <v/>
      </c>
      <c r="T84" s="19">
        <f>i_T_var*T82</f>
        <v/>
      </c>
      <c r="U84" s="19">
        <f>i_T_var*U82</f>
        <v/>
      </c>
      <c r="V84" s="19">
        <f>i_T_var*V82</f>
        <v/>
      </c>
      <c r="W84" s="19">
        <f>i_T_var*W82</f>
        <v/>
      </c>
      <c r="X84" s="19">
        <f>i_T_var*X82</f>
        <v/>
      </c>
      <c r="Y84" s="19">
        <f>i_T_var*Y82</f>
        <v/>
      </c>
      <c r="Z84" s="19">
        <f>i_T_var*Z82</f>
        <v/>
      </c>
      <c r="AA84" s="19">
        <f>i_T_var*AA82</f>
        <v/>
      </c>
      <c r="AB84" s="19">
        <f>i_T_var*AB82</f>
        <v/>
      </c>
      <c r="AC84" s="19">
        <f>i_T_var*AC82</f>
        <v/>
      </c>
      <c r="AD84" s="19">
        <f>i_T_var*AD82</f>
        <v/>
      </c>
      <c r="AE84" s="19">
        <f>i_T_var*AE82</f>
        <v/>
      </c>
      <c r="AF84" s="19">
        <f>i_T_var*AF82</f>
        <v/>
      </c>
      <c r="AG84" s="19">
        <f>i_T_var*AG82</f>
        <v/>
      </c>
      <c r="AH84" s="19">
        <f>i_T_var*AH82</f>
        <v/>
      </c>
      <c r="AI84" s="19">
        <f>i_T_var*AI82</f>
        <v/>
      </c>
    </row>
    <row r="85">
      <c r="B85" s="2" t="inlineStr">
        <is>
          <t xml:space="preserve">  Operating cost</t>
        </is>
      </c>
      <c r="D85" s="19">
        <f>D83+D84</f>
        <v/>
      </c>
      <c r="E85" s="19">
        <f>E83+E84</f>
        <v/>
      </c>
      <c r="F85" s="19">
        <f>F83+F84</f>
        <v/>
      </c>
      <c r="G85" s="19">
        <f>G83+G84</f>
        <v/>
      </c>
      <c r="H85" s="19">
        <f>H83+H84</f>
        <v/>
      </c>
      <c r="I85" s="19">
        <f>I83+I84</f>
        <v/>
      </c>
      <c r="J85" s="19">
        <f>J83+J84</f>
        <v/>
      </c>
      <c r="K85" s="19">
        <f>K83+K84</f>
        <v/>
      </c>
      <c r="L85" s="19">
        <f>L83+L84</f>
        <v/>
      </c>
      <c r="M85" s="19">
        <f>M83+M84</f>
        <v/>
      </c>
      <c r="N85" s="19">
        <f>N83+N84</f>
        <v/>
      </c>
      <c r="O85" s="19">
        <f>O83+O84</f>
        <v/>
      </c>
      <c r="P85" s="19">
        <f>P83+P84</f>
        <v/>
      </c>
      <c r="Q85" s="19">
        <f>Q83+Q84</f>
        <v/>
      </c>
      <c r="R85" s="19">
        <f>R83+R84</f>
        <v/>
      </c>
      <c r="S85" s="19">
        <f>S83+S84</f>
        <v/>
      </c>
      <c r="T85" s="19">
        <f>T83+T84</f>
        <v/>
      </c>
      <c r="U85" s="19">
        <f>U83+U84</f>
        <v/>
      </c>
      <c r="V85" s="19">
        <f>V83+V84</f>
        <v/>
      </c>
      <c r="W85" s="19">
        <f>W83+W84</f>
        <v/>
      </c>
      <c r="X85" s="19">
        <f>X83+X84</f>
        <v/>
      </c>
      <c r="Y85" s="19">
        <f>Y83+Y84</f>
        <v/>
      </c>
      <c r="Z85" s="19">
        <f>Z83+Z84</f>
        <v/>
      </c>
      <c r="AA85" s="19">
        <f>AA83+AA84</f>
        <v/>
      </c>
      <c r="AB85" s="19">
        <f>AB83+AB84</f>
        <v/>
      </c>
      <c r="AC85" s="19">
        <f>AC83+AC84</f>
        <v/>
      </c>
      <c r="AD85" s="19">
        <f>AD83+AD84</f>
        <v/>
      </c>
      <c r="AE85" s="19">
        <f>AE83+AE84</f>
        <v/>
      </c>
      <c r="AF85" s="19">
        <f>AF83+AF84</f>
        <v/>
      </c>
      <c r="AG85" s="19">
        <f>AG83+AG84</f>
        <v/>
      </c>
      <c r="AH85" s="19">
        <f>AH83+AH84</f>
        <v/>
      </c>
      <c r="AI85" s="19">
        <f>AI83+AI84</f>
        <v/>
      </c>
    </row>
    <row r="86">
      <c r="B86" s="3" t="inlineStr">
        <is>
          <t xml:space="preserve">  EBITDA</t>
        </is>
      </c>
      <c r="D86" s="31">
        <f>D82-D85</f>
        <v/>
      </c>
      <c r="E86" s="31">
        <f>E82-E85</f>
        <v/>
      </c>
      <c r="F86" s="31">
        <f>F82-F85</f>
        <v/>
      </c>
      <c r="G86" s="31">
        <f>G82-G85</f>
        <v/>
      </c>
      <c r="H86" s="31">
        <f>H82-H85</f>
        <v/>
      </c>
      <c r="I86" s="31">
        <f>I82-I85</f>
        <v/>
      </c>
      <c r="J86" s="31">
        <f>J82-J85</f>
        <v/>
      </c>
      <c r="K86" s="31">
        <f>K82-K85</f>
        <v/>
      </c>
      <c r="L86" s="31">
        <f>L82-L85</f>
        <v/>
      </c>
      <c r="M86" s="31">
        <f>M82-M85</f>
        <v/>
      </c>
      <c r="N86" s="31">
        <f>N82-N85</f>
        <v/>
      </c>
      <c r="O86" s="31">
        <f>O82-O85</f>
        <v/>
      </c>
      <c r="P86" s="31">
        <f>P82-P85</f>
        <v/>
      </c>
      <c r="Q86" s="31">
        <f>Q82-Q85</f>
        <v/>
      </c>
      <c r="R86" s="31">
        <f>R82-R85</f>
        <v/>
      </c>
      <c r="S86" s="31">
        <f>S82-S85</f>
        <v/>
      </c>
      <c r="T86" s="31">
        <f>T82-T85</f>
        <v/>
      </c>
      <c r="U86" s="31">
        <f>U82-U85</f>
        <v/>
      </c>
      <c r="V86" s="31">
        <f>V82-V85</f>
        <v/>
      </c>
      <c r="W86" s="31">
        <f>W82-W85</f>
        <v/>
      </c>
      <c r="X86" s="31">
        <f>X82-X85</f>
        <v/>
      </c>
      <c r="Y86" s="31">
        <f>Y82-Y85</f>
        <v/>
      </c>
      <c r="Z86" s="31">
        <f>Z82-Z85</f>
        <v/>
      </c>
      <c r="AA86" s="31">
        <f>AA82-AA85</f>
        <v/>
      </c>
      <c r="AB86" s="31">
        <f>AB82-AB85</f>
        <v/>
      </c>
      <c r="AC86" s="31">
        <f>AC82-AC85</f>
        <v/>
      </c>
      <c r="AD86" s="31">
        <f>AD82-AD85</f>
        <v/>
      </c>
      <c r="AE86" s="31">
        <f>AE82-AE85</f>
        <v/>
      </c>
      <c r="AF86" s="31">
        <f>AF82-AF85</f>
        <v/>
      </c>
      <c r="AG86" s="31">
        <f>AG82-AG85</f>
        <v/>
      </c>
      <c r="AH86" s="31">
        <f>AH82-AH85</f>
        <v/>
      </c>
      <c r="AI86" s="31">
        <f>AI82-AI85</f>
        <v/>
      </c>
    </row>
    <row r="87">
      <c r="B87" s="2" t="inlineStr">
        <is>
          <t xml:space="preserve">  Maintenance capex</t>
        </is>
      </c>
      <c r="D87" s="19">
        <f>D74*i_T_mc*D38</f>
        <v/>
      </c>
      <c r="E87" s="19">
        <f>E74*i_T_mc*E38</f>
        <v/>
      </c>
      <c r="F87" s="19">
        <f>F74*i_T_mc*F38</f>
        <v/>
      </c>
      <c r="G87" s="19">
        <f>G74*i_T_mc*G38</f>
        <v/>
      </c>
      <c r="H87" s="19">
        <f>H74*i_T_mc*H38</f>
        <v/>
      </c>
      <c r="I87" s="19">
        <f>I74*i_T_mc*I38</f>
        <v/>
      </c>
      <c r="J87" s="19">
        <f>J74*i_T_mc*J38</f>
        <v/>
      </c>
      <c r="K87" s="19">
        <f>K74*i_T_mc*K38</f>
        <v/>
      </c>
      <c r="L87" s="19">
        <f>L74*i_T_mc*L38</f>
        <v/>
      </c>
      <c r="M87" s="19">
        <f>M74*i_T_mc*M38</f>
        <v/>
      </c>
      <c r="N87" s="19">
        <f>N74*i_T_mc*N38</f>
        <v/>
      </c>
      <c r="O87" s="19">
        <f>O74*i_T_mc*O38</f>
        <v/>
      </c>
      <c r="P87" s="19">
        <f>P74*i_T_mc*P38</f>
        <v/>
      </c>
      <c r="Q87" s="19">
        <f>Q74*i_T_mc*Q38</f>
        <v/>
      </c>
      <c r="R87" s="19">
        <f>R74*i_T_mc*R38</f>
        <v/>
      </c>
      <c r="S87" s="19">
        <f>S74*i_T_mc*S38</f>
        <v/>
      </c>
      <c r="T87" s="19">
        <f>T74*i_T_mc*T38</f>
        <v/>
      </c>
      <c r="U87" s="19">
        <f>U74*i_T_mc*U38</f>
        <v/>
      </c>
      <c r="V87" s="19">
        <f>V74*i_T_mc*V38</f>
        <v/>
      </c>
      <c r="W87" s="19">
        <f>W74*i_T_mc*W38</f>
        <v/>
      </c>
      <c r="X87" s="19">
        <f>X74*i_T_mc*X38</f>
        <v/>
      </c>
      <c r="Y87" s="19">
        <f>Y74*i_T_mc*Y38</f>
        <v/>
      </c>
      <c r="Z87" s="19">
        <f>Z74*i_T_mc*Z38</f>
        <v/>
      </c>
      <c r="AA87" s="19">
        <f>AA74*i_T_mc*AA38</f>
        <v/>
      </c>
      <c r="AB87" s="19">
        <f>AB74*i_T_mc*AB38</f>
        <v/>
      </c>
      <c r="AC87" s="19">
        <f>AC74*i_T_mc*AC38</f>
        <v/>
      </c>
      <c r="AD87" s="19">
        <f>AD74*i_T_mc*AD38</f>
        <v/>
      </c>
      <c r="AE87" s="19">
        <f>AE74*i_T_mc*AE38</f>
        <v/>
      </c>
      <c r="AF87" s="19">
        <f>AF74*i_T_mc*AF38</f>
        <v/>
      </c>
      <c r="AG87" s="19">
        <f>AG74*i_T_mc*AG38</f>
        <v/>
      </c>
      <c r="AH87" s="19">
        <f>AH74*i_T_mc*AH38</f>
        <v/>
      </c>
      <c r="AI87" s="19">
        <f>AI74*i_T_mc*AI38</f>
        <v/>
      </c>
    </row>
    <row r="88">
      <c r="B88" s="3" t="inlineStr">
        <is>
          <t>Sabine Bend</t>
        </is>
      </c>
    </row>
    <row r="89">
      <c r="B89" s="2" t="inlineStr">
        <is>
          <t xml:space="preserve">  Capacity in service (million m3)</t>
        </is>
      </c>
      <c r="D89" s="24">
        <f>i_G_cap</f>
        <v/>
      </c>
      <c r="E89" s="24">
        <f>i_G_cap</f>
        <v/>
      </c>
      <c r="F89" s="24">
        <f>i_G_cap</f>
        <v/>
      </c>
      <c r="G89" s="24">
        <f>i_G_cap</f>
        <v/>
      </c>
      <c r="H89" s="24">
        <f>i_G_cap</f>
        <v/>
      </c>
      <c r="I89" s="24">
        <f>i_G_cap</f>
        <v/>
      </c>
      <c r="J89" s="24">
        <f>i_G_cap</f>
        <v/>
      </c>
      <c r="K89" s="24">
        <f>i_G_cap</f>
        <v/>
      </c>
      <c r="L89" s="24">
        <f>i_G_cap</f>
        <v/>
      </c>
      <c r="M89" s="24">
        <f>i_G_cap</f>
        <v/>
      </c>
      <c r="N89" s="24">
        <f>i_G_cap</f>
        <v/>
      </c>
      <c r="O89" s="24">
        <f>i_G_cap</f>
        <v/>
      </c>
      <c r="P89" s="24">
        <f>i_G_cap</f>
        <v/>
      </c>
      <c r="Q89" s="24">
        <f>i_G_cap</f>
        <v/>
      </c>
      <c r="R89" s="24">
        <f>i_G_cap</f>
        <v/>
      </c>
      <c r="S89" s="24">
        <f>i_G_cap</f>
        <v/>
      </c>
      <c r="T89" s="24">
        <f>i_G_cap</f>
        <v/>
      </c>
      <c r="U89" s="24">
        <f>i_G_cap</f>
        <v/>
      </c>
      <c r="V89" s="24">
        <f>i_G_cap</f>
        <v/>
      </c>
      <c r="W89" s="24">
        <f>i_G_cap</f>
        <v/>
      </c>
      <c r="X89" s="24">
        <f>i_G_cap</f>
        <v/>
      </c>
      <c r="Y89" s="24">
        <f>i_G_cap</f>
        <v/>
      </c>
      <c r="Z89" s="24">
        <f>i_G_cap</f>
        <v/>
      </c>
      <c r="AA89" s="24">
        <f>i_G_cap</f>
        <v/>
      </c>
      <c r="AB89" s="24">
        <f>i_G_cap</f>
        <v/>
      </c>
      <c r="AC89" s="24">
        <f>i_G_cap</f>
        <v/>
      </c>
      <c r="AD89" s="24">
        <f>i_G_cap</f>
        <v/>
      </c>
      <c r="AE89" s="24">
        <f>i_G_cap</f>
        <v/>
      </c>
      <c r="AF89" s="24">
        <f>i_G_cap</f>
        <v/>
      </c>
      <c r="AG89" s="24">
        <f>i_G_cap</f>
        <v/>
      </c>
      <c r="AH89" s="24">
        <f>i_G_cap</f>
        <v/>
      </c>
      <c r="AI89" s="24">
        <f>i_G_cap</f>
        <v/>
      </c>
    </row>
    <row r="90">
      <c r="B90" s="2" t="inlineStr">
        <is>
          <t xml:space="preserve">  Share on contracts signed before 2027</t>
        </is>
      </c>
      <c r="D90" s="21">
        <f>SUMIF(i_book_years,D$3,i_G_book)</f>
        <v/>
      </c>
      <c r="E90" s="21">
        <f>SUMIF(i_book_years,E$3,i_G_book)</f>
        <v/>
      </c>
      <c r="F90" s="21">
        <f>SUMIF(i_book_years,F$3,i_G_book)</f>
        <v/>
      </c>
      <c r="G90" s="21">
        <f>SUMIF(i_book_years,G$3,i_G_book)</f>
        <v/>
      </c>
      <c r="H90" s="21">
        <f>SUMIF(i_book_years,H$3,i_G_book)</f>
        <v/>
      </c>
      <c r="I90" s="21">
        <f>SUMIF(i_book_years,I$3,i_G_book)</f>
        <v/>
      </c>
      <c r="J90" s="21">
        <f>SUMIF(i_book_years,J$3,i_G_book)</f>
        <v/>
      </c>
      <c r="K90" s="21">
        <f>SUMIF(i_book_years,K$3,i_G_book)</f>
        <v/>
      </c>
      <c r="L90" s="21">
        <f>SUMIF(i_book_years,L$3,i_G_book)</f>
        <v/>
      </c>
      <c r="M90" s="21">
        <f>SUMIF(i_book_years,M$3,i_G_book)</f>
        <v/>
      </c>
      <c r="N90" s="21">
        <f>SUMIF(i_book_years,N$3,i_G_book)</f>
        <v/>
      </c>
      <c r="O90" s="21">
        <f>SUMIF(i_book_years,O$3,i_G_book)</f>
        <v/>
      </c>
      <c r="P90" s="21">
        <f>SUMIF(i_book_years,P$3,i_G_book)</f>
        <v/>
      </c>
      <c r="Q90" s="21">
        <f>SUMIF(i_book_years,Q$3,i_G_book)</f>
        <v/>
      </c>
      <c r="R90" s="21">
        <f>SUMIF(i_book_years,R$3,i_G_book)</f>
        <v/>
      </c>
      <c r="S90" s="21">
        <f>SUMIF(i_book_years,S$3,i_G_book)</f>
        <v/>
      </c>
      <c r="T90" s="21">
        <f>SUMIF(i_book_years,T$3,i_G_book)</f>
        <v/>
      </c>
      <c r="U90" s="21">
        <f>SUMIF(i_book_years,U$3,i_G_book)</f>
        <v/>
      </c>
      <c r="V90" s="21">
        <f>SUMIF(i_book_years,V$3,i_G_book)</f>
        <v/>
      </c>
      <c r="W90" s="21">
        <f>SUMIF(i_book_years,W$3,i_G_book)</f>
        <v/>
      </c>
      <c r="X90" s="21">
        <f>SUMIF(i_book_years,X$3,i_G_book)</f>
        <v/>
      </c>
      <c r="Y90" s="21">
        <f>SUMIF(i_book_years,Y$3,i_G_book)</f>
        <v/>
      </c>
      <c r="Z90" s="21">
        <f>SUMIF(i_book_years,Z$3,i_G_book)</f>
        <v/>
      </c>
      <c r="AA90" s="21">
        <f>SUMIF(i_book_years,AA$3,i_G_book)</f>
        <v/>
      </c>
      <c r="AB90" s="21">
        <f>SUMIF(i_book_years,AB$3,i_G_book)</f>
        <v/>
      </c>
      <c r="AC90" s="21">
        <f>SUMIF(i_book_years,AC$3,i_G_book)</f>
        <v/>
      </c>
      <c r="AD90" s="21">
        <f>SUMIF(i_book_years,AD$3,i_G_book)</f>
        <v/>
      </c>
      <c r="AE90" s="21">
        <f>SUMIF(i_book_years,AE$3,i_G_book)</f>
        <v/>
      </c>
      <c r="AF90" s="21">
        <f>SUMIF(i_book_years,AF$3,i_G_book)</f>
        <v/>
      </c>
      <c r="AG90" s="21">
        <f>SUMIF(i_book_years,AG$3,i_G_book)</f>
        <v/>
      </c>
      <c r="AH90" s="21">
        <f>SUMIF(i_book_years,AH$3,i_G_book)</f>
        <v/>
      </c>
      <c r="AI90" s="21">
        <f>SUMIF(i_book_years,AI$3,i_G_book)</f>
        <v/>
      </c>
    </row>
    <row r="91">
      <c r="B91" s="2" t="inlineStr">
        <is>
          <t xml:space="preserve">  Recontracting factor against current rates</t>
        </is>
      </c>
      <c r="D91" s="21">
        <f>IF(D$4=0,0,IF(Sensitivities!$C$28=1,i_G_mtm,i_G_mtm_plan)+Sensitivities!$C$34)</f>
        <v/>
      </c>
      <c r="E91" s="21">
        <f>IF(E$4=0,0,IF(Sensitivities!$C$28=1,i_G_mtm,i_G_mtm_plan)+Sensitivities!$C$34)</f>
        <v/>
      </c>
      <c r="F91" s="21">
        <f>IF(F$4=0,0,IF(Sensitivities!$C$28=1,i_G_mtm,i_G_mtm_plan)+Sensitivities!$C$34)</f>
        <v/>
      </c>
      <c r="G91" s="21">
        <f>IF(G$4=0,0,IF(Sensitivities!$C$28=1,i_G_mtm,i_G_mtm_plan)+Sensitivities!$C$34)</f>
        <v/>
      </c>
      <c r="H91" s="21">
        <f>IF(H$4=0,0,IF(Sensitivities!$C$28=1,i_G_mtm,i_G_mtm_plan)+Sensitivities!$C$34)</f>
        <v/>
      </c>
      <c r="I91" s="21">
        <f>IF(I$4=0,0,IF(Sensitivities!$C$28=1,i_G_mtm,i_G_mtm_plan)+Sensitivities!$C$34)</f>
        <v/>
      </c>
      <c r="J91" s="21">
        <f>IF(J$4=0,0,IF(Sensitivities!$C$28=1,i_G_mtm,i_G_mtm_plan)+Sensitivities!$C$34)</f>
        <v/>
      </c>
      <c r="K91" s="21">
        <f>IF(K$4=0,0,IF(Sensitivities!$C$28=1,i_G_mtm,i_G_mtm_plan)+Sensitivities!$C$34)</f>
        <v/>
      </c>
      <c r="L91" s="21">
        <f>IF(L$4=0,0,IF(Sensitivities!$C$28=1,i_G_mtm,i_G_mtm_plan)+Sensitivities!$C$34)</f>
        <v/>
      </c>
      <c r="M91" s="21">
        <f>IF(M$4=0,0,IF(Sensitivities!$C$28=1,i_G_mtm,i_G_mtm_plan)+Sensitivities!$C$34)</f>
        <v/>
      </c>
      <c r="N91" s="21">
        <f>IF(N$4=0,0,IF(Sensitivities!$C$28=1,i_G_mtm,i_G_mtm_plan)+Sensitivities!$C$34)</f>
        <v/>
      </c>
      <c r="O91" s="21">
        <f>IF(O$4=0,0,IF(Sensitivities!$C$28=1,i_G_mtm,i_G_mtm_plan)+Sensitivities!$C$34)</f>
        <v/>
      </c>
      <c r="P91" s="21">
        <f>IF(P$4=0,0,IF(Sensitivities!$C$28=1,i_G_mtm,i_G_mtm_plan)+Sensitivities!$C$34)</f>
        <v/>
      </c>
      <c r="Q91" s="21">
        <f>IF(Q$4=0,0,IF(Sensitivities!$C$28=1,i_G_mtm,i_G_mtm_plan)+Sensitivities!$C$34)</f>
        <v/>
      </c>
      <c r="R91" s="21">
        <f>IF(R$4=0,0,IF(Sensitivities!$C$28=1,i_G_mtm,i_G_mtm_plan)+Sensitivities!$C$34)</f>
        <v/>
      </c>
      <c r="S91" s="21">
        <f>IF(S$4=0,0,IF(Sensitivities!$C$28=1,i_G_mtm,i_G_mtm_plan)+Sensitivities!$C$34)</f>
        <v/>
      </c>
      <c r="T91" s="21">
        <f>IF(T$4=0,0,IF(Sensitivities!$C$28=1,i_G_mtm,i_G_mtm_plan)+Sensitivities!$C$34)</f>
        <v/>
      </c>
      <c r="U91" s="21">
        <f>IF(U$4=0,0,IF(Sensitivities!$C$28=1,i_G_mtm,i_G_mtm_plan)+Sensitivities!$C$34)</f>
        <v/>
      </c>
      <c r="V91" s="21">
        <f>IF(V$4=0,0,IF(Sensitivities!$C$28=1,i_G_mtm,i_G_mtm_plan)+Sensitivities!$C$34)</f>
        <v/>
      </c>
      <c r="W91" s="21">
        <f>IF(W$4=0,0,IF(Sensitivities!$C$28=1,i_G_mtm,i_G_mtm_plan)+Sensitivities!$C$34)</f>
        <v/>
      </c>
      <c r="X91" s="21">
        <f>IF(X$4=0,0,IF(Sensitivities!$C$28=1,i_G_mtm,i_G_mtm_plan)+Sensitivities!$C$34)</f>
        <v/>
      </c>
      <c r="Y91" s="21">
        <f>IF(Y$4=0,0,IF(Sensitivities!$C$28=1,i_G_mtm,i_G_mtm_plan)+Sensitivities!$C$34)</f>
        <v/>
      </c>
      <c r="Z91" s="21">
        <f>IF(Z$4=0,0,IF(Sensitivities!$C$28=1,i_G_mtm,i_G_mtm_plan)+Sensitivities!$C$34)</f>
        <v/>
      </c>
      <c r="AA91" s="21">
        <f>IF(AA$4=0,0,IF(Sensitivities!$C$28=1,i_G_mtm,i_G_mtm_plan)+Sensitivities!$C$34)</f>
        <v/>
      </c>
      <c r="AB91" s="21">
        <f>IF(AB$4=0,0,IF(Sensitivities!$C$28=1,i_G_mtm,i_G_mtm_plan)+Sensitivities!$C$34)</f>
        <v/>
      </c>
      <c r="AC91" s="21">
        <f>IF(AC$4=0,0,IF(Sensitivities!$C$28=1,i_G_mtm,i_G_mtm_plan)+Sensitivities!$C$34)</f>
        <v/>
      </c>
      <c r="AD91" s="21">
        <f>IF(AD$4=0,0,IF(Sensitivities!$C$28=1,i_G_mtm,i_G_mtm_plan)+Sensitivities!$C$34)</f>
        <v/>
      </c>
      <c r="AE91" s="21">
        <f>IF(AE$4=0,0,IF(Sensitivities!$C$28=1,i_G_mtm,i_G_mtm_plan)+Sensitivities!$C$34)</f>
        <v/>
      </c>
      <c r="AF91" s="21">
        <f>IF(AF$4=0,0,IF(Sensitivities!$C$28=1,i_G_mtm,i_G_mtm_plan)+Sensitivities!$C$34)</f>
        <v/>
      </c>
      <c r="AG91" s="21">
        <f>IF(AG$4=0,0,IF(Sensitivities!$C$28=1,i_G_mtm,i_G_mtm_plan)+Sensitivities!$C$34)</f>
        <v/>
      </c>
      <c r="AH91" s="21">
        <f>IF(AH$4=0,0,IF(Sensitivities!$C$28=1,i_G_mtm,i_G_mtm_plan)+Sensitivities!$C$34)</f>
        <v/>
      </c>
      <c r="AI91" s="21">
        <f>IF(AI$4=0,0,IF(Sensitivities!$C$28=1,i_G_mtm,i_G_mtm_plan)+Sensitivities!$C$34)</f>
        <v/>
      </c>
    </row>
    <row r="92">
      <c r="B92" s="2" t="inlineStr">
        <is>
          <t xml:space="preserve">  Average rate ($ per m3 per month)</t>
        </is>
      </c>
      <c r="D92" s="24">
        <f>i_G_rate*D39*(D90+(1-D90)*(1+D91))</f>
        <v/>
      </c>
      <c r="E92" s="24">
        <f>i_G_rate*E39*(E90+(1-E90)*(1+E91))</f>
        <v/>
      </c>
      <c r="F92" s="24">
        <f>i_G_rate*F39*(F90+(1-F90)*(1+F91))</f>
        <v/>
      </c>
      <c r="G92" s="24">
        <f>i_G_rate*G39*(G90+(1-G90)*(1+G91))</f>
        <v/>
      </c>
      <c r="H92" s="24">
        <f>i_G_rate*H39*(H90+(1-H90)*(1+H91))</f>
        <v/>
      </c>
      <c r="I92" s="24">
        <f>i_G_rate*I39*(I90+(1-I90)*(1+I91))</f>
        <v/>
      </c>
      <c r="J92" s="24">
        <f>i_G_rate*J39*(J90+(1-J90)*(1+J91))</f>
        <v/>
      </c>
      <c r="K92" s="24">
        <f>i_G_rate*K39*(K90+(1-K90)*(1+K91))</f>
        <v/>
      </c>
      <c r="L92" s="24">
        <f>i_G_rate*L39*(L90+(1-L90)*(1+L91))</f>
        <v/>
      </c>
      <c r="M92" s="24">
        <f>i_G_rate*M39*(M90+(1-M90)*(1+M91))</f>
        <v/>
      </c>
      <c r="N92" s="24">
        <f>i_G_rate*N39*(N90+(1-N90)*(1+N91))</f>
        <v/>
      </c>
      <c r="O92" s="24">
        <f>i_G_rate*O39*(O90+(1-O90)*(1+O91))</f>
        <v/>
      </c>
      <c r="P92" s="24">
        <f>i_G_rate*P39*(P90+(1-P90)*(1+P91))</f>
        <v/>
      </c>
      <c r="Q92" s="24">
        <f>i_G_rate*Q39*(Q90+(1-Q90)*(1+Q91))</f>
        <v/>
      </c>
      <c r="R92" s="24">
        <f>i_G_rate*R39*(R90+(1-R90)*(1+R91))</f>
        <v/>
      </c>
      <c r="S92" s="24">
        <f>i_G_rate*S39*(S90+(1-S90)*(1+S91))</f>
        <v/>
      </c>
      <c r="T92" s="24">
        <f>i_G_rate*T39*(T90+(1-T90)*(1+T91))</f>
        <v/>
      </c>
      <c r="U92" s="24">
        <f>i_G_rate*U39*(U90+(1-U90)*(1+U91))</f>
        <v/>
      </c>
      <c r="V92" s="24">
        <f>i_G_rate*V39*(V90+(1-V90)*(1+V91))</f>
        <v/>
      </c>
      <c r="W92" s="24">
        <f>i_G_rate*W39*(W90+(1-W90)*(1+W91))</f>
        <v/>
      </c>
      <c r="X92" s="24">
        <f>i_G_rate*X39*(X90+(1-X90)*(1+X91))</f>
        <v/>
      </c>
      <c r="Y92" s="24">
        <f>i_G_rate*Y39*(Y90+(1-Y90)*(1+Y91))</f>
        <v/>
      </c>
      <c r="Z92" s="24">
        <f>i_G_rate*Z39*(Z90+(1-Z90)*(1+Z91))</f>
        <v/>
      </c>
      <c r="AA92" s="24">
        <f>i_G_rate*AA39*(AA90+(1-AA90)*(1+AA91))</f>
        <v/>
      </c>
      <c r="AB92" s="24">
        <f>i_G_rate*AB39*(AB90+(1-AB90)*(1+AB91))</f>
        <v/>
      </c>
      <c r="AC92" s="24">
        <f>i_G_rate*AC39*(AC90+(1-AC90)*(1+AC91))</f>
        <v/>
      </c>
      <c r="AD92" s="24">
        <f>i_G_rate*AD39*(AD90+(1-AD90)*(1+AD91))</f>
        <v/>
      </c>
      <c r="AE92" s="24">
        <f>i_G_rate*AE39*(AE90+(1-AE90)*(1+AE91))</f>
        <v/>
      </c>
      <c r="AF92" s="24">
        <f>i_G_rate*AF39*(AF90+(1-AF90)*(1+AF91))</f>
        <v/>
      </c>
      <c r="AG92" s="24">
        <f>i_G_rate*AG39*(AG90+(1-AG90)*(1+AG91))</f>
        <v/>
      </c>
      <c r="AH92" s="24">
        <f>i_G_rate*AH39*(AH90+(1-AH90)*(1+AH91))</f>
        <v/>
      </c>
      <c r="AI92" s="24">
        <f>i_G_rate*AI39*(AI90+(1-AI90)*(1+AI91))</f>
        <v/>
      </c>
    </row>
    <row r="93">
      <c r="B93" s="2" t="inlineStr">
        <is>
          <t xml:space="preserve">  Occupancy after the transition decline and floor</t>
        </is>
      </c>
      <c r="D93" s="21">
        <f>IF(D$3&gt;i_trans_start,MAX(i_G_floor,i_G_occ-i_G_dec*(D$3-i_trans_start)),i_G_occ)</f>
        <v/>
      </c>
      <c r="E93" s="21">
        <f>IF(E$3&gt;i_trans_start,MAX(i_G_floor,i_G_occ-i_G_dec*(E$3-i_trans_start)),i_G_occ)</f>
        <v/>
      </c>
      <c r="F93" s="21">
        <f>IF(F$3&gt;i_trans_start,MAX(i_G_floor,i_G_occ-i_G_dec*(F$3-i_trans_start)),i_G_occ)</f>
        <v/>
      </c>
      <c r="G93" s="21">
        <f>IF(G$3&gt;i_trans_start,MAX(i_G_floor,i_G_occ-i_G_dec*(G$3-i_trans_start)),i_G_occ)</f>
        <v/>
      </c>
      <c r="H93" s="21">
        <f>IF(H$3&gt;i_trans_start,MAX(i_G_floor,i_G_occ-i_G_dec*(H$3-i_trans_start)),i_G_occ)</f>
        <v/>
      </c>
      <c r="I93" s="21">
        <f>IF(I$3&gt;i_trans_start,MAX(i_G_floor,i_G_occ-i_G_dec*(I$3-i_trans_start)),i_G_occ)</f>
        <v/>
      </c>
      <c r="J93" s="21">
        <f>IF(J$3&gt;i_trans_start,MAX(i_G_floor,i_G_occ-i_G_dec*(J$3-i_trans_start)),i_G_occ)</f>
        <v/>
      </c>
      <c r="K93" s="21">
        <f>IF(K$3&gt;i_trans_start,MAX(i_G_floor,i_G_occ-i_G_dec*(K$3-i_trans_start)),i_G_occ)</f>
        <v/>
      </c>
      <c r="L93" s="21">
        <f>IF(L$3&gt;i_trans_start,MAX(i_G_floor,i_G_occ-i_G_dec*(L$3-i_trans_start)),i_G_occ)</f>
        <v/>
      </c>
      <c r="M93" s="21">
        <f>IF(M$3&gt;i_trans_start,MAX(i_G_floor,i_G_occ-i_G_dec*(M$3-i_trans_start)),i_G_occ)</f>
        <v/>
      </c>
      <c r="N93" s="21">
        <f>IF(N$3&gt;i_trans_start,MAX(i_G_floor,i_G_occ-i_G_dec*(N$3-i_trans_start)),i_G_occ)</f>
        <v/>
      </c>
      <c r="O93" s="21">
        <f>IF(O$3&gt;i_trans_start,MAX(i_G_floor,i_G_occ-i_G_dec*(O$3-i_trans_start)),i_G_occ)</f>
        <v/>
      </c>
      <c r="P93" s="21">
        <f>IF(P$3&gt;i_trans_start,MAX(i_G_floor,i_G_occ-i_G_dec*(P$3-i_trans_start)),i_G_occ)</f>
        <v/>
      </c>
      <c r="Q93" s="21">
        <f>IF(Q$3&gt;i_trans_start,MAX(i_G_floor,i_G_occ-i_G_dec*(Q$3-i_trans_start)),i_G_occ)</f>
        <v/>
      </c>
      <c r="R93" s="21">
        <f>IF(R$3&gt;i_trans_start,MAX(i_G_floor,i_G_occ-i_G_dec*(R$3-i_trans_start)),i_G_occ)</f>
        <v/>
      </c>
      <c r="S93" s="21">
        <f>IF(S$3&gt;i_trans_start,MAX(i_G_floor,i_G_occ-i_G_dec*(S$3-i_trans_start)),i_G_occ)</f>
        <v/>
      </c>
      <c r="T93" s="21">
        <f>IF(T$3&gt;i_trans_start,MAX(i_G_floor,i_G_occ-i_G_dec*(T$3-i_trans_start)),i_G_occ)</f>
        <v/>
      </c>
      <c r="U93" s="21">
        <f>IF(U$3&gt;i_trans_start,MAX(i_G_floor,i_G_occ-i_G_dec*(U$3-i_trans_start)),i_G_occ)</f>
        <v/>
      </c>
      <c r="V93" s="21">
        <f>IF(V$3&gt;i_trans_start,MAX(i_G_floor,i_G_occ-i_G_dec*(V$3-i_trans_start)),i_G_occ)</f>
        <v/>
      </c>
      <c r="W93" s="21">
        <f>IF(W$3&gt;i_trans_start,MAX(i_G_floor,i_G_occ-i_G_dec*(W$3-i_trans_start)),i_G_occ)</f>
        <v/>
      </c>
      <c r="X93" s="21">
        <f>IF(X$3&gt;i_trans_start,MAX(i_G_floor,i_G_occ-i_G_dec*(X$3-i_trans_start)),i_G_occ)</f>
        <v/>
      </c>
      <c r="Y93" s="21">
        <f>IF(Y$3&gt;i_trans_start,MAX(i_G_floor,i_G_occ-i_G_dec*(Y$3-i_trans_start)),i_G_occ)</f>
        <v/>
      </c>
      <c r="Z93" s="21">
        <f>IF(Z$3&gt;i_trans_start,MAX(i_G_floor,i_G_occ-i_G_dec*(Z$3-i_trans_start)),i_G_occ)</f>
        <v/>
      </c>
      <c r="AA93" s="21">
        <f>IF(AA$3&gt;i_trans_start,MAX(i_G_floor,i_G_occ-i_G_dec*(AA$3-i_trans_start)),i_G_occ)</f>
        <v/>
      </c>
      <c r="AB93" s="21">
        <f>IF(AB$3&gt;i_trans_start,MAX(i_G_floor,i_G_occ-i_G_dec*(AB$3-i_trans_start)),i_G_occ)</f>
        <v/>
      </c>
      <c r="AC93" s="21">
        <f>IF(AC$3&gt;i_trans_start,MAX(i_G_floor,i_G_occ-i_G_dec*(AC$3-i_trans_start)),i_G_occ)</f>
        <v/>
      </c>
      <c r="AD93" s="21">
        <f>IF(AD$3&gt;i_trans_start,MAX(i_G_floor,i_G_occ-i_G_dec*(AD$3-i_trans_start)),i_G_occ)</f>
        <v/>
      </c>
      <c r="AE93" s="21">
        <f>IF(AE$3&gt;i_trans_start,MAX(i_G_floor,i_G_occ-i_G_dec*(AE$3-i_trans_start)),i_G_occ)</f>
        <v/>
      </c>
      <c r="AF93" s="21">
        <f>IF(AF$3&gt;i_trans_start,MAX(i_G_floor,i_G_occ-i_G_dec*(AF$3-i_trans_start)),i_G_occ)</f>
        <v/>
      </c>
      <c r="AG93" s="21">
        <f>IF(AG$3&gt;i_trans_start,MAX(i_G_floor,i_G_occ-i_G_dec*(AG$3-i_trans_start)),i_G_occ)</f>
        <v/>
      </c>
      <c r="AH93" s="21">
        <f>IF(AH$3&gt;i_trans_start,MAX(i_G_floor,i_G_occ-i_G_dec*(AH$3-i_trans_start)),i_G_occ)</f>
        <v/>
      </c>
      <c r="AI93" s="21">
        <f>IF(AI$3&gt;i_trans_start,MAX(i_G_floor,i_G_occ-i_G_dec*(AI$3-i_trans_start)),i_G_occ)</f>
        <v/>
      </c>
    </row>
    <row r="94">
      <c r="B94" s="2" t="inlineStr">
        <is>
          <t xml:space="preserve">  Occupancy (with the shift switch from 2027)</t>
        </is>
      </c>
      <c r="D94" s="21">
        <f>IF(D$4&gt;0,MIN(1,D93+Sensitivities!$C$33),D93)</f>
        <v/>
      </c>
      <c r="E94" s="21">
        <f>IF(E$4&gt;0,MIN(1,E93+Sensitivities!$C$33),E93)</f>
        <v/>
      </c>
      <c r="F94" s="21">
        <f>IF(F$4&gt;0,MIN(1,F93+Sensitivities!$C$33),F93)</f>
        <v/>
      </c>
      <c r="G94" s="21">
        <f>IF(G$4&gt;0,MIN(1,G93+Sensitivities!$C$33),G93)</f>
        <v/>
      </c>
      <c r="H94" s="21">
        <f>IF(H$4&gt;0,MIN(1,H93+Sensitivities!$C$33),H93)</f>
        <v/>
      </c>
      <c r="I94" s="21">
        <f>IF(I$4&gt;0,MIN(1,I93+Sensitivities!$C$33),I93)</f>
        <v/>
      </c>
      <c r="J94" s="21">
        <f>IF(J$4&gt;0,MIN(1,J93+Sensitivities!$C$33),J93)</f>
        <v/>
      </c>
      <c r="K94" s="21">
        <f>IF(K$4&gt;0,MIN(1,K93+Sensitivities!$C$33),K93)</f>
        <v/>
      </c>
      <c r="L94" s="21">
        <f>IF(L$4&gt;0,MIN(1,L93+Sensitivities!$C$33),L93)</f>
        <v/>
      </c>
      <c r="M94" s="21">
        <f>IF(M$4&gt;0,MIN(1,M93+Sensitivities!$C$33),M93)</f>
        <v/>
      </c>
      <c r="N94" s="21">
        <f>IF(N$4&gt;0,MIN(1,N93+Sensitivities!$C$33),N93)</f>
        <v/>
      </c>
      <c r="O94" s="21">
        <f>IF(O$4&gt;0,MIN(1,O93+Sensitivities!$C$33),O93)</f>
        <v/>
      </c>
      <c r="P94" s="21">
        <f>IF(P$4&gt;0,MIN(1,P93+Sensitivities!$C$33),P93)</f>
        <v/>
      </c>
      <c r="Q94" s="21">
        <f>IF(Q$4&gt;0,MIN(1,Q93+Sensitivities!$C$33),Q93)</f>
        <v/>
      </c>
      <c r="R94" s="21">
        <f>IF(R$4&gt;0,MIN(1,R93+Sensitivities!$C$33),R93)</f>
        <v/>
      </c>
      <c r="S94" s="21">
        <f>IF(S$4&gt;0,MIN(1,S93+Sensitivities!$C$33),S93)</f>
        <v/>
      </c>
      <c r="T94" s="21">
        <f>IF(T$4&gt;0,MIN(1,T93+Sensitivities!$C$33),T93)</f>
        <v/>
      </c>
      <c r="U94" s="21">
        <f>IF(U$4&gt;0,MIN(1,U93+Sensitivities!$C$33),U93)</f>
        <v/>
      </c>
      <c r="V94" s="21">
        <f>IF(V$4&gt;0,MIN(1,V93+Sensitivities!$C$33),V93)</f>
        <v/>
      </c>
      <c r="W94" s="21">
        <f>IF(W$4&gt;0,MIN(1,W93+Sensitivities!$C$33),W93)</f>
        <v/>
      </c>
      <c r="X94" s="21">
        <f>IF(X$4&gt;0,MIN(1,X93+Sensitivities!$C$33),X93)</f>
        <v/>
      </c>
      <c r="Y94" s="21">
        <f>IF(Y$4&gt;0,MIN(1,Y93+Sensitivities!$C$33),Y93)</f>
        <v/>
      </c>
      <c r="Z94" s="21">
        <f>IF(Z$4&gt;0,MIN(1,Z93+Sensitivities!$C$33),Z93)</f>
        <v/>
      </c>
      <c r="AA94" s="21">
        <f>IF(AA$4&gt;0,MIN(1,AA93+Sensitivities!$C$33),AA93)</f>
        <v/>
      </c>
      <c r="AB94" s="21">
        <f>IF(AB$4&gt;0,MIN(1,AB93+Sensitivities!$C$33),AB93)</f>
        <v/>
      </c>
      <c r="AC94" s="21">
        <f>IF(AC$4&gt;0,MIN(1,AC93+Sensitivities!$C$33),AC93)</f>
        <v/>
      </c>
      <c r="AD94" s="21">
        <f>IF(AD$4&gt;0,MIN(1,AD93+Sensitivities!$C$33),AD93)</f>
        <v/>
      </c>
      <c r="AE94" s="21">
        <f>IF(AE$4&gt;0,MIN(1,AE93+Sensitivities!$C$33),AE93)</f>
        <v/>
      </c>
      <c r="AF94" s="21">
        <f>IF(AF$4&gt;0,MIN(1,AF93+Sensitivities!$C$33),AF93)</f>
        <v/>
      </c>
      <c r="AG94" s="21">
        <f>IF(AG$4&gt;0,MIN(1,AG93+Sensitivities!$C$33),AG93)</f>
        <v/>
      </c>
      <c r="AH94" s="21">
        <f>IF(AH$4&gt;0,MIN(1,AH93+Sensitivities!$C$33),AH93)</f>
        <v/>
      </c>
      <c r="AI94" s="21">
        <f>IF(AI$4&gt;0,MIN(1,AI93+Sensitivities!$C$33),AI93)</f>
        <v/>
      </c>
    </row>
    <row r="95">
      <c r="B95" s="2" t="inlineStr">
        <is>
          <t xml:space="preserve">  Storage revenue</t>
        </is>
      </c>
      <c r="D95" s="19">
        <f>D89*D92*12*D94</f>
        <v/>
      </c>
      <c r="E95" s="19">
        <f>E89*E92*12*E94</f>
        <v/>
      </c>
      <c r="F95" s="19">
        <f>F89*F92*12*F94</f>
        <v/>
      </c>
      <c r="G95" s="19">
        <f>G89*G92*12*G94</f>
        <v/>
      </c>
      <c r="H95" s="19">
        <f>H89*H92*12*H94</f>
        <v/>
      </c>
      <c r="I95" s="19">
        <f>I89*I92*12*I94</f>
        <v/>
      </c>
      <c r="J95" s="19">
        <f>J89*J92*12*J94</f>
        <v/>
      </c>
      <c r="K95" s="19">
        <f>K89*K92*12*K94</f>
        <v/>
      </c>
      <c r="L95" s="19">
        <f>L89*L92*12*L94</f>
        <v/>
      </c>
      <c r="M95" s="19">
        <f>M89*M92*12*M94</f>
        <v/>
      </c>
      <c r="N95" s="19">
        <f>N89*N92*12*N94</f>
        <v/>
      </c>
      <c r="O95" s="19">
        <f>O89*O92*12*O94</f>
        <v/>
      </c>
      <c r="P95" s="19">
        <f>P89*P92*12*P94</f>
        <v/>
      </c>
      <c r="Q95" s="19">
        <f>Q89*Q92*12*Q94</f>
        <v/>
      </c>
      <c r="R95" s="19">
        <f>R89*R92*12*R94</f>
        <v/>
      </c>
      <c r="S95" s="19">
        <f>S89*S92*12*S94</f>
        <v/>
      </c>
      <c r="T95" s="19">
        <f>T89*T92*12*T94</f>
        <v/>
      </c>
      <c r="U95" s="19">
        <f>U89*U92*12*U94</f>
        <v/>
      </c>
      <c r="V95" s="19">
        <f>V89*V92*12*V94</f>
        <v/>
      </c>
      <c r="W95" s="19">
        <f>W89*W92*12*W94</f>
        <v/>
      </c>
      <c r="X95" s="19">
        <f>X89*X92*12*X94</f>
        <v/>
      </c>
      <c r="Y95" s="19">
        <f>Y89*Y92*12*Y94</f>
        <v/>
      </c>
      <c r="Z95" s="19">
        <f>Z89*Z92*12*Z94</f>
        <v/>
      </c>
      <c r="AA95" s="19">
        <f>AA89*AA92*12*AA94</f>
        <v/>
      </c>
      <c r="AB95" s="19">
        <f>AB89*AB92*12*AB94</f>
        <v/>
      </c>
      <c r="AC95" s="19">
        <f>AC89*AC92*12*AC94</f>
        <v/>
      </c>
      <c r="AD95" s="19">
        <f>AD89*AD92*12*AD94</f>
        <v/>
      </c>
      <c r="AE95" s="19">
        <f>AE89*AE92*12*AE94</f>
        <v/>
      </c>
      <c r="AF95" s="19">
        <f>AF89*AF92*12*AF94</f>
        <v/>
      </c>
      <c r="AG95" s="19">
        <f>AG89*AG92*12*AG94</f>
        <v/>
      </c>
      <c r="AH95" s="19">
        <f>AH89*AH92*12*AH94</f>
        <v/>
      </c>
      <c r="AI95" s="19">
        <f>AI89*AI92*12*AI94</f>
        <v/>
      </c>
    </row>
    <row r="96">
      <c r="B96" s="2" t="inlineStr">
        <is>
          <t xml:space="preserve">  Ancillary and throughput revenue</t>
        </is>
      </c>
      <c r="D96" s="19">
        <f>D95*i_G_anc</f>
        <v/>
      </c>
      <c r="E96" s="19">
        <f>E95*i_G_anc</f>
        <v/>
      </c>
      <c r="F96" s="19">
        <f>F95*i_G_anc</f>
        <v/>
      </c>
      <c r="G96" s="19">
        <f>G95*i_G_anc</f>
        <v/>
      </c>
      <c r="H96" s="19">
        <f>H95*i_G_anc</f>
        <v/>
      </c>
      <c r="I96" s="19">
        <f>I95*i_G_anc</f>
        <v/>
      </c>
      <c r="J96" s="19">
        <f>J95*i_G_anc</f>
        <v/>
      </c>
      <c r="K96" s="19">
        <f>K95*i_G_anc</f>
        <v/>
      </c>
      <c r="L96" s="19">
        <f>L95*i_G_anc</f>
        <v/>
      </c>
      <c r="M96" s="19">
        <f>M95*i_G_anc</f>
        <v/>
      </c>
      <c r="N96" s="19">
        <f>N95*i_G_anc</f>
        <v/>
      </c>
      <c r="O96" s="19">
        <f>O95*i_G_anc</f>
        <v/>
      </c>
      <c r="P96" s="19">
        <f>P95*i_G_anc</f>
        <v/>
      </c>
      <c r="Q96" s="19">
        <f>Q95*i_G_anc</f>
        <v/>
      </c>
      <c r="R96" s="19">
        <f>R95*i_G_anc</f>
        <v/>
      </c>
      <c r="S96" s="19">
        <f>S95*i_G_anc</f>
        <v/>
      </c>
      <c r="T96" s="19">
        <f>T95*i_G_anc</f>
        <v/>
      </c>
      <c r="U96" s="19">
        <f>U95*i_G_anc</f>
        <v/>
      </c>
      <c r="V96" s="19">
        <f>V95*i_G_anc</f>
        <v/>
      </c>
      <c r="W96" s="19">
        <f>W95*i_G_anc</f>
        <v/>
      </c>
      <c r="X96" s="19">
        <f>X95*i_G_anc</f>
        <v/>
      </c>
      <c r="Y96" s="19">
        <f>Y95*i_G_anc</f>
        <v/>
      </c>
      <c r="Z96" s="19">
        <f>Z95*i_G_anc</f>
        <v/>
      </c>
      <c r="AA96" s="19">
        <f>AA95*i_G_anc</f>
        <v/>
      </c>
      <c r="AB96" s="19">
        <f>AB95*i_G_anc</f>
        <v/>
      </c>
      <c r="AC96" s="19">
        <f>AC95*i_G_anc</f>
        <v/>
      </c>
      <c r="AD96" s="19">
        <f>AD95*i_G_anc</f>
        <v/>
      </c>
      <c r="AE96" s="19">
        <f>AE95*i_G_anc</f>
        <v/>
      </c>
      <c r="AF96" s="19">
        <f>AF95*i_G_anc</f>
        <v/>
      </c>
      <c r="AG96" s="19">
        <f>AG95*i_G_anc</f>
        <v/>
      </c>
      <c r="AH96" s="19">
        <f>AH95*i_G_anc</f>
        <v/>
      </c>
      <c r="AI96" s="19">
        <f>AI95*i_G_anc</f>
        <v/>
      </c>
    </row>
    <row r="97">
      <c r="B97" s="3" t="inlineStr">
        <is>
          <t xml:space="preserve">  Revenue</t>
        </is>
      </c>
      <c r="D97" s="31">
        <f>D95+D96</f>
        <v/>
      </c>
      <c r="E97" s="31">
        <f>E95+E96</f>
        <v/>
      </c>
      <c r="F97" s="31">
        <f>F95+F96</f>
        <v/>
      </c>
      <c r="G97" s="31">
        <f>G95+G96</f>
        <v/>
      </c>
      <c r="H97" s="31">
        <f>H95+H96</f>
        <v/>
      </c>
      <c r="I97" s="31">
        <f>I95+I96</f>
        <v/>
      </c>
      <c r="J97" s="31">
        <f>J95+J96</f>
        <v/>
      </c>
      <c r="K97" s="31">
        <f>K95+K96</f>
        <v/>
      </c>
      <c r="L97" s="31">
        <f>L95+L96</f>
        <v/>
      </c>
      <c r="M97" s="31">
        <f>M95+M96</f>
        <v/>
      </c>
      <c r="N97" s="31">
        <f>N95+N96</f>
        <v/>
      </c>
      <c r="O97" s="31">
        <f>O95+O96</f>
        <v/>
      </c>
      <c r="P97" s="31">
        <f>P95+P96</f>
        <v/>
      </c>
      <c r="Q97" s="31">
        <f>Q95+Q96</f>
        <v/>
      </c>
      <c r="R97" s="31">
        <f>R95+R96</f>
        <v/>
      </c>
      <c r="S97" s="31">
        <f>S95+S96</f>
        <v/>
      </c>
      <c r="T97" s="31">
        <f>T95+T96</f>
        <v/>
      </c>
      <c r="U97" s="31">
        <f>U95+U96</f>
        <v/>
      </c>
      <c r="V97" s="31">
        <f>V95+V96</f>
        <v/>
      </c>
      <c r="W97" s="31">
        <f>W95+W96</f>
        <v/>
      </c>
      <c r="X97" s="31">
        <f>X95+X96</f>
        <v/>
      </c>
      <c r="Y97" s="31">
        <f>Y95+Y96</f>
        <v/>
      </c>
      <c r="Z97" s="31">
        <f>Z95+Z96</f>
        <v/>
      </c>
      <c r="AA97" s="31">
        <f>AA95+AA96</f>
        <v/>
      </c>
      <c r="AB97" s="31">
        <f>AB95+AB96</f>
        <v/>
      </c>
      <c r="AC97" s="31">
        <f>AC95+AC96</f>
        <v/>
      </c>
      <c r="AD97" s="31">
        <f>AD95+AD96</f>
        <v/>
      </c>
      <c r="AE97" s="31">
        <f>AE95+AE96</f>
        <v/>
      </c>
      <c r="AF97" s="31">
        <f>AF95+AF96</f>
        <v/>
      </c>
      <c r="AG97" s="31">
        <f>AG95+AG96</f>
        <v/>
      </c>
      <c r="AH97" s="31">
        <f>AH95+AH96</f>
        <v/>
      </c>
      <c r="AI97" s="31">
        <f>AI95+AI96</f>
        <v/>
      </c>
    </row>
    <row r="98">
      <c r="B98" s="2" t="inlineStr">
        <is>
          <t xml:space="preserve">  Fixed cost</t>
        </is>
      </c>
      <c r="D98" s="19">
        <f>D89*i_G_fix*D38</f>
        <v/>
      </c>
      <c r="E98" s="19">
        <f>E89*i_G_fix*E38</f>
        <v/>
      </c>
      <c r="F98" s="19">
        <f>F89*i_G_fix*F38</f>
        <v/>
      </c>
      <c r="G98" s="19">
        <f>G89*i_G_fix*G38</f>
        <v/>
      </c>
      <c r="H98" s="19">
        <f>H89*i_G_fix*H38</f>
        <v/>
      </c>
      <c r="I98" s="19">
        <f>I89*i_G_fix*I38</f>
        <v/>
      </c>
      <c r="J98" s="19">
        <f>J89*i_G_fix*J38</f>
        <v/>
      </c>
      <c r="K98" s="19">
        <f>K89*i_G_fix*K38</f>
        <v/>
      </c>
      <c r="L98" s="19">
        <f>L89*i_G_fix*L38</f>
        <v/>
      </c>
      <c r="M98" s="19">
        <f>M89*i_G_fix*M38</f>
        <v/>
      </c>
      <c r="N98" s="19">
        <f>N89*i_G_fix*N38</f>
        <v/>
      </c>
      <c r="O98" s="19">
        <f>O89*i_G_fix*O38</f>
        <v/>
      </c>
      <c r="P98" s="19">
        <f>P89*i_G_fix*P38</f>
        <v/>
      </c>
      <c r="Q98" s="19">
        <f>Q89*i_G_fix*Q38</f>
        <v/>
      </c>
      <c r="R98" s="19">
        <f>R89*i_G_fix*R38</f>
        <v/>
      </c>
      <c r="S98" s="19">
        <f>S89*i_G_fix*S38</f>
        <v/>
      </c>
      <c r="T98" s="19">
        <f>T89*i_G_fix*T38</f>
        <v/>
      </c>
      <c r="U98" s="19">
        <f>U89*i_G_fix*U38</f>
        <v/>
      </c>
      <c r="V98" s="19">
        <f>V89*i_G_fix*V38</f>
        <v/>
      </c>
      <c r="W98" s="19">
        <f>W89*i_G_fix*W38</f>
        <v/>
      </c>
      <c r="X98" s="19">
        <f>X89*i_G_fix*X38</f>
        <v/>
      </c>
      <c r="Y98" s="19">
        <f>Y89*i_G_fix*Y38</f>
        <v/>
      </c>
      <c r="Z98" s="19">
        <f>Z89*i_G_fix*Z38</f>
        <v/>
      </c>
      <c r="AA98" s="19">
        <f>AA89*i_G_fix*AA38</f>
        <v/>
      </c>
      <c r="AB98" s="19">
        <f>AB89*i_G_fix*AB38</f>
        <v/>
      </c>
      <c r="AC98" s="19">
        <f>AC89*i_G_fix*AC38</f>
        <v/>
      </c>
      <c r="AD98" s="19">
        <f>AD89*i_G_fix*AD38</f>
        <v/>
      </c>
      <c r="AE98" s="19">
        <f>AE89*i_G_fix*AE38</f>
        <v/>
      </c>
      <c r="AF98" s="19">
        <f>AF89*i_G_fix*AF38</f>
        <v/>
      </c>
      <c r="AG98" s="19">
        <f>AG89*i_G_fix*AG38</f>
        <v/>
      </c>
      <c r="AH98" s="19">
        <f>AH89*i_G_fix*AH38</f>
        <v/>
      </c>
      <c r="AI98" s="19">
        <f>AI89*i_G_fix*AI38</f>
        <v/>
      </c>
    </row>
    <row r="99">
      <c r="B99" s="2" t="inlineStr">
        <is>
          <t xml:space="preserve">  Variable cost</t>
        </is>
      </c>
      <c r="D99" s="19">
        <f>i_G_var*D97</f>
        <v/>
      </c>
      <c r="E99" s="19">
        <f>i_G_var*E97</f>
        <v/>
      </c>
      <c r="F99" s="19">
        <f>i_G_var*F97</f>
        <v/>
      </c>
      <c r="G99" s="19">
        <f>i_G_var*G97</f>
        <v/>
      </c>
      <c r="H99" s="19">
        <f>i_G_var*H97</f>
        <v/>
      </c>
      <c r="I99" s="19">
        <f>i_G_var*I97</f>
        <v/>
      </c>
      <c r="J99" s="19">
        <f>i_G_var*J97</f>
        <v/>
      </c>
      <c r="K99" s="19">
        <f>i_G_var*K97</f>
        <v/>
      </c>
      <c r="L99" s="19">
        <f>i_G_var*L97</f>
        <v/>
      </c>
      <c r="M99" s="19">
        <f>i_G_var*M97</f>
        <v/>
      </c>
      <c r="N99" s="19">
        <f>i_G_var*N97</f>
        <v/>
      </c>
      <c r="O99" s="19">
        <f>i_G_var*O97</f>
        <v/>
      </c>
      <c r="P99" s="19">
        <f>i_G_var*P97</f>
        <v/>
      </c>
      <c r="Q99" s="19">
        <f>i_G_var*Q97</f>
        <v/>
      </c>
      <c r="R99" s="19">
        <f>i_G_var*R97</f>
        <v/>
      </c>
      <c r="S99" s="19">
        <f>i_G_var*S97</f>
        <v/>
      </c>
      <c r="T99" s="19">
        <f>i_G_var*T97</f>
        <v/>
      </c>
      <c r="U99" s="19">
        <f>i_G_var*U97</f>
        <v/>
      </c>
      <c r="V99" s="19">
        <f>i_G_var*V97</f>
        <v/>
      </c>
      <c r="W99" s="19">
        <f>i_G_var*W97</f>
        <v/>
      </c>
      <c r="X99" s="19">
        <f>i_G_var*X97</f>
        <v/>
      </c>
      <c r="Y99" s="19">
        <f>i_G_var*Y97</f>
        <v/>
      </c>
      <c r="Z99" s="19">
        <f>i_G_var*Z97</f>
        <v/>
      </c>
      <c r="AA99" s="19">
        <f>i_G_var*AA97</f>
        <v/>
      </c>
      <c r="AB99" s="19">
        <f>i_G_var*AB97</f>
        <v/>
      </c>
      <c r="AC99" s="19">
        <f>i_G_var*AC97</f>
        <v/>
      </c>
      <c r="AD99" s="19">
        <f>i_G_var*AD97</f>
        <v/>
      </c>
      <c r="AE99" s="19">
        <f>i_G_var*AE97</f>
        <v/>
      </c>
      <c r="AF99" s="19">
        <f>i_G_var*AF97</f>
        <v/>
      </c>
      <c r="AG99" s="19">
        <f>i_G_var*AG97</f>
        <v/>
      </c>
      <c r="AH99" s="19">
        <f>i_G_var*AH97</f>
        <v/>
      </c>
      <c r="AI99" s="19">
        <f>i_G_var*AI97</f>
        <v/>
      </c>
    </row>
    <row r="100">
      <c r="B100" s="2" t="inlineStr">
        <is>
          <t xml:space="preserve">  Extra windstorm insurance</t>
        </is>
      </c>
      <c r="D100" s="19">
        <f>IF(D$4&gt;0,Sensitivities!$C$31*i_g_ins*D38,0)</f>
        <v/>
      </c>
      <c r="E100" s="19">
        <f>IF(E$4&gt;0,Sensitivities!$C$31*i_g_ins*E38,0)</f>
        <v/>
      </c>
      <c r="F100" s="19">
        <f>IF(F$4&gt;0,Sensitivities!$C$31*i_g_ins*F38,0)</f>
        <v/>
      </c>
      <c r="G100" s="19">
        <f>IF(G$4&gt;0,Sensitivities!$C$31*i_g_ins*G38,0)</f>
        <v/>
      </c>
      <c r="H100" s="19">
        <f>IF(H$4&gt;0,Sensitivities!$C$31*i_g_ins*H38,0)</f>
        <v/>
      </c>
      <c r="I100" s="19">
        <f>IF(I$4&gt;0,Sensitivities!$C$31*i_g_ins*I38,0)</f>
        <v/>
      </c>
      <c r="J100" s="19">
        <f>IF(J$4&gt;0,Sensitivities!$C$31*i_g_ins*J38,0)</f>
        <v/>
      </c>
      <c r="K100" s="19">
        <f>IF(K$4&gt;0,Sensitivities!$C$31*i_g_ins*K38,0)</f>
        <v/>
      </c>
      <c r="L100" s="19">
        <f>IF(L$4&gt;0,Sensitivities!$C$31*i_g_ins*L38,0)</f>
        <v/>
      </c>
      <c r="M100" s="19">
        <f>IF(M$4&gt;0,Sensitivities!$C$31*i_g_ins*M38,0)</f>
        <v/>
      </c>
      <c r="N100" s="19">
        <f>IF(N$4&gt;0,Sensitivities!$C$31*i_g_ins*N38,0)</f>
        <v/>
      </c>
      <c r="O100" s="19">
        <f>IF(O$4&gt;0,Sensitivities!$C$31*i_g_ins*O38,0)</f>
        <v/>
      </c>
      <c r="P100" s="19">
        <f>IF(P$4&gt;0,Sensitivities!$C$31*i_g_ins*P38,0)</f>
        <v/>
      </c>
      <c r="Q100" s="19">
        <f>IF(Q$4&gt;0,Sensitivities!$C$31*i_g_ins*Q38,0)</f>
        <v/>
      </c>
      <c r="R100" s="19">
        <f>IF(R$4&gt;0,Sensitivities!$C$31*i_g_ins*R38,0)</f>
        <v/>
      </c>
      <c r="S100" s="19">
        <f>IF(S$4&gt;0,Sensitivities!$C$31*i_g_ins*S38,0)</f>
        <v/>
      </c>
      <c r="T100" s="19">
        <f>IF(T$4&gt;0,Sensitivities!$C$31*i_g_ins*T38,0)</f>
        <v/>
      </c>
      <c r="U100" s="19">
        <f>IF(U$4&gt;0,Sensitivities!$C$31*i_g_ins*U38,0)</f>
        <v/>
      </c>
      <c r="V100" s="19">
        <f>IF(V$4&gt;0,Sensitivities!$C$31*i_g_ins*V38,0)</f>
        <v/>
      </c>
      <c r="W100" s="19">
        <f>IF(W$4&gt;0,Sensitivities!$C$31*i_g_ins*W38,0)</f>
        <v/>
      </c>
      <c r="X100" s="19">
        <f>IF(X$4&gt;0,Sensitivities!$C$31*i_g_ins*X38,0)</f>
        <v/>
      </c>
      <c r="Y100" s="19">
        <f>IF(Y$4&gt;0,Sensitivities!$C$31*i_g_ins*Y38,0)</f>
        <v/>
      </c>
      <c r="Z100" s="19">
        <f>IF(Z$4&gt;0,Sensitivities!$C$31*i_g_ins*Z38,0)</f>
        <v/>
      </c>
      <c r="AA100" s="19">
        <f>IF(AA$4&gt;0,Sensitivities!$C$31*i_g_ins*AA38,0)</f>
        <v/>
      </c>
      <c r="AB100" s="19">
        <f>IF(AB$4&gt;0,Sensitivities!$C$31*i_g_ins*AB38,0)</f>
        <v/>
      </c>
      <c r="AC100" s="19">
        <f>IF(AC$4&gt;0,Sensitivities!$C$31*i_g_ins*AC38,0)</f>
        <v/>
      </c>
      <c r="AD100" s="19">
        <f>IF(AD$4&gt;0,Sensitivities!$C$31*i_g_ins*AD38,0)</f>
        <v/>
      </c>
      <c r="AE100" s="19">
        <f>IF(AE$4&gt;0,Sensitivities!$C$31*i_g_ins*AE38,0)</f>
        <v/>
      </c>
      <c r="AF100" s="19">
        <f>IF(AF$4&gt;0,Sensitivities!$C$31*i_g_ins*AF38,0)</f>
        <v/>
      </c>
      <c r="AG100" s="19">
        <f>IF(AG$4&gt;0,Sensitivities!$C$31*i_g_ins*AG38,0)</f>
        <v/>
      </c>
      <c r="AH100" s="19">
        <f>IF(AH$4&gt;0,Sensitivities!$C$31*i_g_ins*AH38,0)</f>
        <v/>
      </c>
      <c r="AI100" s="19">
        <f>IF(AI$4&gt;0,Sensitivities!$C$31*i_g_ins*AI38,0)</f>
        <v/>
      </c>
    </row>
    <row r="101">
      <c r="B101" s="2" t="inlineStr">
        <is>
          <t xml:space="preserve">  Operating cost</t>
        </is>
      </c>
      <c r="D101" s="19">
        <f>D98+D99+D100</f>
        <v/>
      </c>
      <c r="E101" s="19">
        <f>E98+E99+E100</f>
        <v/>
      </c>
      <c r="F101" s="19">
        <f>F98+F99+F100</f>
        <v/>
      </c>
      <c r="G101" s="19">
        <f>G98+G99+G100</f>
        <v/>
      </c>
      <c r="H101" s="19">
        <f>H98+H99+H100</f>
        <v/>
      </c>
      <c r="I101" s="19">
        <f>I98+I99+I100</f>
        <v/>
      </c>
      <c r="J101" s="19">
        <f>J98+J99+J100</f>
        <v/>
      </c>
      <c r="K101" s="19">
        <f>K98+K99+K100</f>
        <v/>
      </c>
      <c r="L101" s="19">
        <f>L98+L99+L100</f>
        <v/>
      </c>
      <c r="M101" s="19">
        <f>M98+M99+M100</f>
        <v/>
      </c>
      <c r="N101" s="19">
        <f>N98+N99+N100</f>
        <v/>
      </c>
      <c r="O101" s="19">
        <f>O98+O99+O100</f>
        <v/>
      </c>
      <c r="P101" s="19">
        <f>P98+P99+P100</f>
        <v/>
      </c>
      <c r="Q101" s="19">
        <f>Q98+Q99+Q100</f>
        <v/>
      </c>
      <c r="R101" s="19">
        <f>R98+R99+R100</f>
        <v/>
      </c>
      <c r="S101" s="19">
        <f>S98+S99+S100</f>
        <v/>
      </c>
      <c r="T101" s="19">
        <f>T98+T99+T100</f>
        <v/>
      </c>
      <c r="U101" s="19">
        <f>U98+U99+U100</f>
        <v/>
      </c>
      <c r="V101" s="19">
        <f>V98+V99+V100</f>
        <v/>
      </c>
      <c r="W101" s="19">
        <f>W98+W99+W100</f>
        <v/>
      </c>
      <c r="X101" s="19">
        <f>X98+X99+X100</f>
        <v/>
      </c>
      <c r="Y101" s="19">
        <f>Y98+Y99+Y100</f>
        <v/>
      </c>
      <c r="Z101" s="19">
        <f>Z98+Z99+Z100</f>
        <v/>
      </c>
      <c r="AA101" s="19">
        <f>AA98+AA99+AA100</f>
        <v/>
      </c>
      <c r="AB101" s="19">
        <f>AB98+AB99+AB100</f>
        <v/>
      </c>
      <c r="AC101" s="19">
        <f>AC98+AC99+AC100</f>
        <v/>
      </c>
      <c r="AD101" s="19">
        <f>AD98+AD99+AD100</f>
        <v/>
      </c>
      <c r="AE101" s="19">
        <f>AE98+AE99+AE100</f>
        <v/>
      </c>
      <c r="AF101" s="19">
        <f>AF98+AF99+AF100</f>
        <v/>
      </c>
      <c r="AG101" s="19">
        <f>AG98+AG99+AG100</f>
        <v/>
      </c>
      <c r="AH101" s="19">
        <f>AH98+AH99+AH100</f>
        <v/>
      </c>
      <c r="AI101" s="19">
        <f>AI98+AI99+AI100</f>
        <v/>
      </c>
    </row>
    <row r="102">
      <c r="B102" s="3" t="inlineStr">
        <is>
          <t xml:space="preserve">  EBITDA</t>
        </is>
      </c>
      <c r="D102" s="31">
        <f>D97-D101</f>
        <v/>
      </c>
      <c r="E102" s="31">
        <f>E97-E101</f>
        <v/>
      </c>
      <c r="F102" s="31">
        <f>F97-F101</f>
        <v/>
      </c>
      <c r="G102" s="31">
        <f>G97-G101</f>
        <v/>
      </c>
      <c r="H102" s="31">
        <f>H97-H101</f>
        <v/>
      </c>
      <c r="I102" s="31">
        <f>I97-I101</f>
        <v/>
      </c>
      <c r="J102" s="31">
        <f>J97-J101</f>
        <v/>
      </c>
      <c r="K102" s="31">
        <f>K97-K101</f>
        <v/>
      </c>
      <c r="L102" s="31">
        <f>L97-L101</f>
        <v/>
      </c>
      <c r="M102" s="31">
        <f>M97-M101</f>
        <v/>
      </c>
      <c r="N102" s="31">
        <f>N97-N101</f>
        <v/>
      </c>
      <c r="O102" s="31">
        <f>O97-O101</f>
        <v/>
      </c>
      <c r="P102" s="31">
        <f>P97-P101</f>
        <v/>
      </c>
      <c r="Q102" s="31">
        <f>Q97-Q101</f>
        <v/>
      </c>
      <c r="R102" s="31">
        <f>R97-R101</f>
        <v/>
      </c>
      <c r="S102" s="31">
        <f>S97-S101</f>
        <v/>
      </c>
      <c r="T102" s="31">
        <f>T97-T101</f>
        <v/>
      </c>
      <c r="U102" s="31">
        <f>U97-U101</f>
        <v/>
      </c>
      <c r="V102" s="31">
        <f>V97-V101</f>
        <v/>
      </c>
      <c r="W102" s="31">
        <f>W97-W101</f>
        <v/>
      </c>
      <c r="X102" s="31">
        <f>X97-X101</f>
        <v/>
      </c>
      <c r="Y102" s="31">
        <f>Y97-Y101</f>
        <v/>
      </c>
      <c r="Z102" s="31">
        <f>Z97-Z101</f>
        <v/>
      </c>
      <c r="AA102" s="31">
        <f>AA97-AA101</f>
        <v/>
      </c>
      <c r="AB102" s="31">
        <f>AB97-AB101</f>
        <v/>
      </c>
      <c r="AC102" s="31">
        <f>AC97-AC101</f>
        <v/>
      </c>
      <c r="AD102" s="31">
        <f>AD97-AD101</f>
        <v/>
      </c>
      <c r="AE102" s="31">
        <f>AE97-AE101</f>
        <v/>
      </c>
      <c r="AF102" s="31">
        <f>AF97-AF101</f>
        <v/>
      </c>
      <c r="AG102" s="31">
        <f>AG97-AG101</f>
        <v/>
      </c>
      <c r="AH102" s="31">
        <f>AH97-AH101</f>
        <v/>
      </c>
      <c r="AI102" s="31">
        <f>AI97-AI101</f>
        <v/>
      </c>
    </row>
    <row r="103">
      <c r="B103" s="2" t="inlineStr">
        <is>
          <t xml:space="preserve">  Maintenance capex</t>
        </is>
      </c>
      <c r="D103" s="19">
        <f>D89*i_G_mc*D38</f>
        <v/>
      </c>
      <c r="E103" s="19">
        <f>E89*i_G_mc*E38</f>
        <v/>
      </c>
      <c r="F103" s="19">
        <f>F89*i_G_mc*F38</f>
        <v/>
      </c>
      <c r="G103" s="19">
        <f>G89*i_G_mc*G38</f>
        <v/>
      </c>
      <c r="H103" s="19">
        <f>H89*i_G_mc*H38</f>
        <v/>
      </c>
      <c r="I103" s="19">
        <f>I89*i_G_mc*I38</f>
        <v/>
      </c>
      <c r="J103" s="19">
        <f>J89*i_G_mc*J38</f>
        <v/>
      </c>
      <c r="K103" s="19">
        <f>K89*i_G_mc*K38</f>
        <v/>
      </c>
      <c r="L103" s="19">
        <f>L89*i_G_mc*L38</f>
        <v/>
      </c>
      <c r="M103" s="19">
        <f>M89*i_G_mc*M38</f>
        <v/>
      </c>
      <c r="N103" s="19">
        <f>N89*i_G_mc*N38</f>
        <v/>
      </c>
      <c r="O103" s="19">
        <f>O89*i_G_mc*O38</f>
        <v/>
      </c>
      <c r="P103" s="19">
        <f>P89*i_G_mc*P38</f>
        <v/>
      </c>
      <c r="Q103" s="19">
        <f>Q89*i_G_mc*Q38</f>
        <v/>
      </c>
      <c r="R103" s="19">
        <f>R89*i_G_mc*R38</f>
        <v/>
      </c>
      <c r="S103" s="19">
        <f>S89*i_G_mc*S38</f>
        <v/>
      </c>
      <c r="T103" s="19">
        <f>T89*i_G_mc*T38</f>
        <v/>
      </c>
      <c r="U103" s="19">
        <f>U89*i_G_mc*U38</f>
        <v/>
      </c>
      <c r="V103" s="19">
        <f>V89*i_G_mc*V38</f>
        <v/>
      </c>
      <c r="W103" s="19">
        <f>W89*i_G_mc*W38</f>
        <v/>
      </c>
      <c r="X103" s="19">
        <f>X89*i_G_mc*X38</f>
        <v/>
      </c>
      <c r="Y103" s="19">
        <f>Y89*i_G_mc*Y38</f>
        <v/>
      </c>
      <c r="Z103" s="19">
        <f>Z89*i_G_mc*Z38</f>
        <v/>
      </c>
      <c r="AA103" s="19">
        <f>AA89*i_G_mc*AA38</f>
        <v/>
      </c>
      <c r="AB103" s="19">
        <f>AB89*i_G_mc*AB38</f>
        <v/>
      </c>
      <c r="AC103" s="19">
        <f>AC89*i_G_mc*AC38</f>
        <v/>
      </c>
      <c r="AD103" s="19">
        <f>AD89*i_G_mc*AD38</f>
        <v/>
      </c>
      <c r="AE103" s="19">
        <f>AE89*i_G_mc*AE38</f>
        <v/>
      </c>
      <c r="AF103" s="19">
        <f>AF89*i_G_mc*AF38</f>
        <v/>
      </c>
      <c r="AG103" s="19">
        <f>AG89*i_G_mc*AG38</f>
        <v/>
      </c>
      <c r="AH103" s="19">
        <f>AH89*i_G_mc*AH38</f>
        <v/>
      </c>
      <c r="AI103" s="19">
        <f>AI89*i_G_mc*AI38</f>
        <v/>
      </c>
    </row>
    <row r="104">
      <c r="B104" s="3" t="inlineStr">
        <is>
          <t>Sabine Bend expansion (renewable fuels)</t>
        </is>
      </c>
    </row>
    <row r="105">
      <c r="B105" s="2" t="inlineStr">
        <is>
          <t xml:space="preserve">  Growth capex</t>
        </is>
      </c>
      <c r="D105" s="19">
        <f>Sensitivities!$C$32*SUMIF(i_exp_capex_years,D$3,i_exp_capex_vals)*D38</f>
        <v/>
      </c>
      <c r="E105" s="19">
        <f>Sensitivities!$C$32*SUMIF(i_exp_capex_years,E$3,i_exp_capex_vals)*E38</f>
        <v/>
      </c>
      <c r="F105" s="19">
        <f>Sensitivities!$C$32*SUMIF(i_exp_capex_years,F$3,i_exp_capex_vals)*F38</f>
        <v/>
      </c>
      <c r="G105" s="19">
        <f>Sensitivities!$C$32*SUMIF(i_exp_capex_years,G$3,i_exp_capex_vals)*G38</f>
        <v/>
      </c>
      <c r="H105" s="19">
        <f>Sensitivities!$C$32*SUMIF(i_exp_capex_years,H$3,i_exp_capex_vals)*H38</f>
        <v/>
      </c>
      <c r="I105" s="19">
        <f>Sensitivities!$C$32*SUMIF(i_exp_capex_years,I$3,i_exp_capex_vals)*I38</f>
        <v/>
      </c>
      <c r="J105" s="19">
        <f>Sensitivities!$C$32*SUMIF(i_exp_capex_years,J$3,i_exp_capex_vals)*J38</f>
        <v/>
      </c>
      <c r="K105" s="19">
        <f>Sensitivities!$C$32*SUMIF(i_exp_capex_years,K$3,i_exp_capex_vals)*K38</f>
        <v/>
      </c>
      <c r="L105" s="19">
        <f>Sensitivities!$C$32*SUMIF(i_exp_capex_years,L$3,i_exp_capex_vals)*L38</f>
        <v/>
      </c>
      <c r="M105" s="19">
        <f>Sensitivities!$C$32*SUMIF(i_exp_capex_years,M$3,i_exp_capex_vals)*M38</f>
        <v/>
      </c>
      <c r="N105" s="19">
        <f>Sensitivities!$C$32*SUMIF(i_exp_capex_years,N$3,i_exp_capex_vals)*N38</f>
        <v/>
      </c>
      <c r="O105" s="19">
        <f>Sensitivities!$C$32*SUMIF(i_exp_capex_years,O$3,i_exp_capex_vals)*O38</f>
        <v/>
      </c>
      <c r="P105" s="19">
        <f>Sensitivities!$C$32*SUMIF(i_exp_capex_years,P$3,i_exp_capex_vals)*P38</f>
        <v/>
      </c>
      <c r="Q105" s="19">
        <f>Sensitivities!$C$32*SUMIF(i_exp_capex_years,Q$3,i_exp_capex_vals)*Q38</f>
        <v/>
      </c>
      <c r="R105" s="19">
        <f>Sensitivities!$C$32*SUMIF(i_exp_capex_years,R$3,i_exp_capex_vals)*R38</f>
        <v/>
      </c>
      <c r="S105" s="19">
        <f>Sensitivities!$C$32*SUMIF(i_exp_capex_years,S$3,i_exp_capex_vals)*S38</f>
        <v/>
      </c>
      <c r="T105" s="19">
        <f>Sensitivities!$C$32*SUMIF(i_exp_capex_years,T$3,i_exp_capex_vals)*T38</f>
        <v/>
      </c>
      <c r="U105" s="19">
        <f>Sensitivities!$C$32*SUMIF(i_exp_capex_years,U$3,i_exp_capex_vals)*U38</f>
        <v/>
      </c>
      <c r="V105" s="19">
        <f>Sensitivities!$C$32*SUMIF(i_exp_capex_years,V$3,i_exp_capex_vals)*V38</f>
        <v/>
      </c>
      <c r="W105" s="19">
        <f>Sensitivities!$C$32*SUMIF(i_exp_capex_years,W$3,i_exp_capex_vals)*W38</f>
        <v/>
      </c>
      <c r="X105" s="19">
        <f>Sensitivities!$C$32*SUMIF(i_exp_capex_years,X$3,i_exp_capex_vals)*X38</f>
        <v/>
      </c>
      <c r="Y105" s="19">
        <f>Sensitivities!$C$32*SUMIF(i_exp_capex_years,Y$3,i_exp_capex_vals)*Y38</f>
        <v/>
      </c>
      <c r="Z105" s="19">
        <f>Sensitivities!$C$32*SUMIF(i_exp_capex_years,Z$3,i_exp_capex_vals)*Z38</f>
        <v/>
      </c>
      <c r="AA105" s="19">
        <f>Sensitivities!$C$32*SUMIF(i_exp_capex_years,AA$3,i_exp_capex_vals)*AA38</f>
        <v/>
      </c>
      <c r="AB105" s="19">
        <f>Sensitivities!$C$32*SUMIF(i_exp_capex_years,AB$3,i_exp_capex_vals)*AB38</f>
        <v/>
      </c>
      <c r="AC105" s="19">
        <f>Sensitivities!$C$32*SUMIF(i_exp_capex_years,AC$3,i_exp_capex_vals)*AC38</f>
        <v/>
      </c>
      <c r="AD105" s="19">
        <f>Sensitivities!$C$32*SUMIF(i_exp_capex_years,AD$3,i_exp_capex_vals)*AD38</f>
        <v/>
      </c>
      <c r="AE105" s="19">
        <f>Sensitivities!$C$32*SUMIF(i_exp_capex_years,AE$3,i_exp_capex_vals)*AE38</f>
        <v/>
      </c>
      <c r="AF105" s="19">
        <f>Sensitivities!$C$32*SUMIF(i_exp_capex_years,AF$3,i_exp_capex_vals)*AF38</f>
        <v/>
      </c>
      <c r="AG105" s="19">
        <f>Sensitivities!$C$32*SUMIF(i_exp_capex_years,AG$3,i_exp_capex_vals)*AG38</f>
        <v/>
      </c>
      <c r="AH105" s="19">
        <f>Sensitivities!$C$32*SUMIF(i_exp_capex_years,AH$3,i_exp_capex_vals)*AH38</f>
        <v/>
      </c>
      <c r="AI105" s="19">
        <f>Sensitivities!$C$32*SUMIF(i_exp_capex_years,AI$3,i_exp_capex_vals)*AI38</f>
        <v/>
      </c>
    </row>
    <row r="106">
      <c r="B106" s="2" t="inlineStr">
        <is>
          <t xml:space="preserve">  Operating (1/0)</t>
        </is>
      </c>
      <c r="D106" s="22">
        <f>IF(D$3&gt;=i_exp_start,Sensitivities!$C$32,0)</f>
        <v/>
      </c>
      <c r="E106" s="22">
        <f>IF(E$3&gt;=i_exp_start,Sensitivities!$C$32,0)</f>
        <v/>
      </c>
      <c r="F106" s="22">
        <f>IF(F$3&gt;=i_exp_start,Sensitivities!$C$32,0)</f>
        <v/>
      </c>
      <c r="G106" s="22">
        <f>IF(G$3&gt;=i_exp_start,Sensitivities!$C$32,0)</f>
        <v/>
      </c>
      <c r="H106" s="22">
        <f>IF(H$3&gt;=i_exp_start,Sensitivities!$C$32,0)</f>
        <v/>
      </c>
      <c r="I106" s="22">
        <f>IF(I$3&gt;=i_exp_start,Sensitivities!$C$32,0)</f>
        <v/>
      </c>
      <c r="J106" s="22">
        <f>IF(J$3&gt;=i_exp_start,Sensitivities!$C$32,0)</f>
        <v/>
      </c>
      <c r="K106" s="22">
        <f>IF(K$3&gt;=i_exp_start,Sensitivities!$C$32,0)</f>
        <v/>
      </c>
      <c r="L106" s="22">
        <f>IF(L$3&gt;=i_exp_start,Sensitivities!$C$32,0)</f>
        <v/>
      </c>
      <c r="M106" s="22">
        <f>IF(M$3&gt;=i_exp_start,Sensitivities!$C$32,0)</f>
        <v/>
      </c>
      <c r="N106" s="22">
        <f>IF(N$3&gt;=i_exp_start,Sensitivities!$C$32,0)</f>
        <v/>
      </c>
      <c r="O106" s="22">
        <f>IF(O$3&gt;=i_exp_start,Sensitivities!$C$32,0)</f>
        <v/>
      </c>
      <c r="P106" s="22">
        <f>IF(P$3&gt;=i_exp_start,Sensitivities!$C$32,0)</f>
        <v/>
      </c>
      <c r="Q106" s="22">
        <f>IF(Q$3&gt;=i_exp_start,Sensitivities!$C$32,0)</f>
        <v/>
      </c>
      <c r="R106" s="22">
        <f>IF(R$3&gt;=i_exp_start,Sensitivities!$C$32,0)</f>
        <v/>
      </c>
      <c r="S106" s="22">
        <f>IF(S$3&gt;=i_exp_start,Sensitivities!$C$32,0)</f>
        <v/>
      </c>
      <c r="T106" s="22">
        <f>IF(T$3&gt;=i_exp_start,Sensitivities!$C$32,0)</f>
        <v/>
      </c>
      <c r="U106" s="22">
        <f>IF(U$3&gt;=i_exp_start,Sensitivities!$C$32,0)</f>
        <v/>
      </c>
      <c r="V106" s="22">
        <f>IF(V$3&gt;=i_exp_start,Sensitivities!$C$32,0)</f>
        <v/>
      </c>
      <c r="W106" s="22">
        <f>IF(W$3&gt;=i_exp_start,Sensitivities!$C$32,0)</f>
        <v/>
      </c>
      <c r="X106" s="22">
        <f>IF(X$3&gt;=i_exp_start,Sensitivities!$C$32,0)</f>
        <v/>
      </c>
      <c r="Y106" s="22">
        <f>IF(Y$3&gt;=i_exp_start,Sensitivities!$C$32,0)</f>
        <v/>
      </c>
      <c r="Z106" s="22">
        <f>IF(Z$3&gt;=i_exp_start,Sensitivities!$C$32,0)</f>
        <v/>
      </c>
      <c r="AA106" s="22">
        <f>IF(AA$3&gt;=i_exp_start,Sensitivities!$C$32,0)</f>
        <v/>
      </c>
      <c r="AB106" s="22">
        <f>IF(AB$3&gt;=i_exp_start,Sensitivities!$C$32,0)</f>
        <v/>
      </c>
      <c r="AC106" s="22">
        <f>IF(AC$3&gt;=i_exp_start,Sensitivities!$C$32,0)</f>
        <v/>
      </c>
      <c r="AD106" s="22">
        <f>IF(AD$3&gt;=i_exp_start,Sensitivities!$C$32,0)</f>
        <v/>
      </c>
      <c r="AE106" s="22">
        <f>IF(AE$3&gt;=i_exp_start,Sensitivities!$C$32,0)</f>
        <v/>
      </c>
      <c r="AF106" s="22">
        <f>IF(AF$3&gt;=i_exp_start,Sensitivities!$C$32,0)</f>
        <v/>
      </c>
      <c r="AG106" s="22">
        <f>IF(AG$3&gt;=i_exp_start,Sensitivities!$C$32,0)</f>
        <v/>
      </c>
      <c r="AH106" s="22">
        <f>IF(AH$3&gt;=i_exp_start,Sensitivities!$C$32,0)</f>
        <v/>
      </c>
      <c r="AI106" s="22">
        <f>IF(AI$3&gt;=i_exp_start,Sensitivities!$C$32,0)</f>
        <v/>
      </c>
    </row>
    <row r="107">
      <c r="B107" s="2" t="inlineStr">
        <is>
          <t xml:space="preserve">  Under the anchor contract (1/0)</t>
        </is>
      </c>
      <c r="D107" s="22">
        <f>IF(D$3&lt;i_exp_start+i_exp_years,1,0)</f>
        <v/>
      </c>
      <c r="E107" s="22">
        <f>IF(E$3&lt;i_exp_start+i_exp_years,1,0)</f>
        <v/>
      </c>
      <c r="F107" s="22">
        <f>IF(F$3&lt;i_exp_start+i_exp_years,1,0)</f>
        <v/>
      </c>
      <c r="G107" s="22">
        <f>IF(G$3&lt;i_exp_start+i_exp_years,1,0)</f>
        <v/>
      </c>
      <c r="H107" s="22">
        <f>IF(H$3&lt;i_exp_start+i_exp_years,1,0)</f>
        <v/>
      </c>
      <c r="I107" s="22">
        <f>IF(I$3&lt;i_exp_start+i_exp_years,1,0)</f>
        <v/>
      </c>
      <c r="J107" s="22">
        <f>IF(J$3&lt;i_exp_start+i_exp_years,1,0)</f>
        <v/>
      </c>
      <c r="K107" s="22">
        <f>IF(K$3&lt;i_exp_start+i_exp_years,1,0)</f>
        <v/>
      </c>
      <c r="L107" s="22">
        <f>IF(L$3&lt;i_exp_start+i_exp_years,1,0)</f>
        <v/>
      </c>
      <c r="M107" s="22">
        <f>IF(M$3&lt;i_exp_start+i_exp_years,1,0)</f>
        <v/>
      </c>
      <c r="N107" s="22">
        <f>IF(N$3&lt;i_exp_start+i_exp_years,1,0)</f>
        <v/>
      </c>
      <c r="O107" s="22">
        <f>IF(O$3&lt;i_exp_start+i_exp_years,1,0)</f>
        <v/>
      </c>
      <c r="P107" s="22">
        <f>IF(P$3&lt;i_exp_start+i_exp_years,1,0)</f>
        <v/>
      </c>
      <c r="Q107" s="22">
        <f>IF(Q$3&lt;i_exp_start+i_exp_years,1,0)</f>
        <v/>
      </c>
      <c r="R107" s="22">
        <f>IF(R$3&lt;i_exp_start+i_exp_years,1,0)</f>
        <v/>
      </c>
      <c r="S107" s="22">
        <f>IF(S$3&lt;i_exp_start+i_exp_years,1,0)</f>
        <v/>
      </c>
      <c r="T107" s="22">
        <f>IF(T$3&lt;i_exp_start+i_exp_years,1,0)</f>
        <v/>
      </c>
      <c r="U107" s="22">
        <f>IF(U$3&lt;i_exp_start+i_exp_years,1,0)</f>
        <v/>
      </c>
      <c r="V107" s="22">
        <f>IF(V$3&lt;i_exp_start+i_exp_years,1,0)</f>
        <v/>
      </c>
      <c r="W107" s="22">
        <f>IF(W$3&lt;i_exp_start+i_exp_years,1,0)</f>
        <v/>
      </c>
      <c r="X107" s="22">
        <f>IF(X$3&lt;i_exp_start+i_exp_years,1,0)</f>
        <v/>
      </c>
      <c r="Y107" s="22">
        <f>IF(Y$3&lt;i_exp_start+i_exp_years,1,0)</f>
        <v/>
      </c>
      <c r="Z107" s="22">
        <f>IF(Z$3&lt;i_exp_start+i_exp_years,1,0)</f>
        <v/>
      </c>
      <c r="AA107" s="22">
        <f>IF(AA$3&lt;i_exp_start+i_exp_years,1,0)</f>
        <v/>
      </c>
      <c r="AB107" s="22">
        <f>IF(AB$3&lt;i_exp_start+i_exp_years,1,0)</f>
        <v/>
      </c>
      <c r="AC107" s="22">
        <f>IF(AC$3&lt;i_exp_start+i_exp_years,1,0)</f>
        <v/>
      </c>
      <c r="AD107" s="22">
        <f>IF(AD$3&lt;i_exp_start+i_exp_years,1,0)</f>
        <v/>
      </c>
      <c r="AE107" s="22">
        <f>IF(AE$3&lt;i_exp_start+i_exp_years,1,0)</f>
        <v/>
      </c>
      <c r="AF107" s="22">
        <f>IF(AF$3&lt;i_exp_start+i_exp_years,1,0)</f>
        <v/>
      </c>
      <c r="AG107" s="22">
        <f>IF(AG$3&lt;i_exp_start+i_exp_years,1,0)</f>
        <v/>
      </c>
      <c r="AH107" s="22">
        <f>IF(AH$3&lt;i_exp_start+i_exp_years,1,0)</f>
        <v/>
      </c>
      <c r="AI107" s="22">
        <f>IF(AI$3&lt;i_exp_start+i_exp_years,1,0)</f>
        <v/>
      </c>
    </row>
    <row r="108">
      <c r="B108" s="2" t="inlineStr">
        <is>
          <t xml:space="preserve">  Rate ($ per m3 per month)</t>
        </is>
      </c>
      <c r="D108" s="24">
        <f>i_exp_rate*D39*IF(D107=1,1,1+i_exp_mtm)</f>
        <v/>
      </c>
      <c r="E108" s="24">
        <f>i_exp_rate*E39*IF(E107=1,1,1+i_exp_mtm)</f>
        <v/>
      </c>
      <c r="F108" s="24">
        <f>i_exp_rate*F39*IF(F107=1,1,1+i_exp_mtm)</f>
        <v/>
      </c>
      <c r="G108" s="24">
        <f>i_exp_rate*G39*IF(G107=1,1,1+i_exp_mtm)</f>
        <v/>
      </c>
      <c r="H108" s="24">
        <f>i_exp_rate*H39*IF(H107=1,1,1+i_exp_mtm)</f>
        <v/>
      </c>
      <c r="I108" s="24">
        <f>i_exp_rate*I39*IF(I107=1,1,1+i_exp_mtm)</f>
        <v/>
      </c>
      <c r="J108" s="24">
        <f>i_exp_rate*J39*IF(J107=1,1,1+i_exp_mtm)</f>
        <v/>
      </c>
      <c r="K108" s="24">
        <f>i_exp_rate*K39*IF(K107=1,1,1+i_exp_mtm)</f>
        <v/>
      </c>
      <c r="L108" s="24">
        <f>i_exp_rate*L39*IF(L107=1,1,1+i_exp_mtm)</f>
        <v/>
      </c>
      <c r="M108" s="24">
        <f>i_exp_rate*M39*IF(M107=1,1,1+i_exp_mtm)</f>
        <v/>
      </c>
      <c r="N108" s="24">
        <f>i_exp_rate*N39*IF(N107=1,1,1+i_exp_mtm)</f>
        <v/>
      </c>
      <c r="O108" s="24">
        <f>i_exp_rate*O39*IF(O107=1,1,1+i_exp_mtm)</f>
        <v/>
      </c>
      <c r="P108" s="24">
        <f>i_exp_rate*P39*IF(P107=1,1,1+i_exp_mtm)</f>
        <v/>
      </c>
      <c r="Q108" s="24">
        <f>i_exp_rate*Q39*IF(Q107=1,1,1+i_exp_mtm)</f>
        <v/>
      </c>
      <c r="R108" s="24">
        <f>i_exp_rate*R39*IF(R107=1,1,1+i_exp_mtm)</f>
        <v/>
      </c>
      <c r="S108" s="24">
        <f>i_exp_rate*S39*IF(S107=1,1,1+i_exp_mtm)</f>
        <v/>
      </c>
      <c r="T108" s="24">
        <f>i_exp_rate*T39*IF(T107=1,1,1+i_exp_mtm)</f>
        <v/>
      </c>
      <c r="U108" s="24">
        <f>i_exp_rate*U39*IF(U107=1,1,1+i_exp_mtm)</f>
        <v/>
      </c>
      <c r="V108" s="24">
        <f>i_exp_rate*V39*IF(V107=1,1,1+i_exp_mtm)</f>
        <v/>
      </c>
      <c r="W108" s="24">
        <f>i_exp_rate*W39*IF(W107=1,1,1+i_exp_mtm)</f>
        <v/>
      </c>
      <c r="X108" s="24">
        <f>i_exp_rate*X39*IF(X107=1,1,1+i_exp_mtm)</f>
        <v/>
      </c>
      <c r="Y108" s="24">
        <f>i_exp_rate*Y39*IF(Y107=1,1,1+i_exp_mtm)</f>
        <v/>
      </c>
      <c r="Z108" s="24">
        <f>i_exp_rate*Z39*IF(Z107=1,1,1+i_exp_mtm)</f>
        <v/>
      </c>
      <c r="AA108" s="24">
        <f>i_exp_rate*AA39*IF(AA107=1,1,1+i_exp_mtm)</f>
        <v/>
      </c>
      <c r="AB108" s="24">
        <f>i_exp_rate*AB39*IF(AB107=1,1,1+i_exp_mtm)</f>
        <v/>
      </c>
      <c r="AC108" s="24">
        <f>i_exp_rate*AC39*IF(AC107=1,1,1+i_exp_mtm)</f>
        <v/>
      </c>
      <c r="AD108" s="24">
        <f>i_exp_rate*AD39*IF(AD107=1,1,1+i_exp_mtm)</f>
        <v/>
      </c>
      <c r="AE108" s="24">
        <f>i_exp_rate*AE39*IF(AE107=1,1,1+i_exp_mtm)</f>
        <v/>
      </c>
      <c r="AF108" s="24">
        <f>i_exp_rate*AF39*IF(AF107=1,1,1+i_exp_mtm)</f>
        <v/>
      </c>
      <c r="AG108" s="24">
        <f>i_exp_rate*AG39*IF(AG107=1,1,1+i_exp_mtm)</f>
        <v/>
      </c>
      <c r="AH108" s="24">
        <f>i_exp_rate*AH39*IF(AH107=1,1,1+i_exp_mtm)</f>
        <v/>
      </c>
      <c r="AI108" s="24">
        <f>i_exp_rate*AI39*IF(AI107=1,1,1+i_exp_mtm)</f>
        <v/>
      </c>
    </row>
    <row r="109">
      <c r="B109" s="2" t="inlineStr">
        <is>
          <t xml:space="preserve">  Occupancy</t>
        </is>
      </c>
      <c r="D109" s="21">
        <f>IF(D107=1,i_exp_occ_c,i_exp_occ_m)</f>
        <v/>
      </c>
      <c r="E109" s="21">
        <f>IF(E107=1,i_exp_occ_c,i_exp_occ_m)</f>
        <v/>
      </c>
      <c r="F109" s="21">
        <f>IF(F107=1,i_exp_occ_c,i_exp_occ_m)</f>
        <v/>
      </c>
      <c r="G109" s="21">
        <f>IF(G107=1,i_exp_occ_c,i_exp_occ_m)</f>
        <v/>
      </c>
      <c r="H109" s="21">
        <f>IF(H107=1,i_exp_occ_c,i_exp_occ_m)</f>
        <v/>
      </c>
      <c r="I109" s="21">
        <f>IF(I107=1,i_exp_occ_c,i_exp_occ_m)</f>
        <v/>
      </c>
      <c r="J109" s="21">
        <f>IF(J107=1,i_exp_occ_c,i_exp_occ_m)</f>
        <v/>
      </c>
      <c r="K109" s="21">
        <f>IF(K107=1,i_exp_occ_c,i_exp_occ_m)</f>
        <v/>
      </c>
      <c r="L109" s="21">
        <f>IF(L107=1,i_exp_occ_c,i_exp_occ_m)</f>
        <v/>
      </c>
      <c r="M109" s="21">
        <f>IF(M107=1,i_exp_occ_c,i_exp_occ_m)</f>
        <v/>
      </c>
      <c r="N109" s="21">
        <f>IF(N107=1,i_exp_occ_c,i_exp_occ_m)</f>
        <v/>
      </c>
      <c r="O109" s="21">
        <f>IF(O107=1,i_exp_occ_c,i_exp_occ_m)</f>
        <v/>
      </c>
      <c r="P109" s="21">
        <f>IF(P107=1,i_exp_occ_c,i_exp_occ_m)</f>
        <v/>
      </c>
      <c r="Q109" s="21">
        <f>IF(Q107=1,i_exp_occ_c,i_exp_occ_m)</f>
        <v/>
      </c>
      <c r="R109" s="21">
        <f>IF(R107=1,i_exp_occ_c,i_exp_occ_m)</f>
        <v/>
      </c>
      <c r="S109" s="21">
        <f>IF(S107=1,i_exp_occ_c,i_exp_occ_m)</f>
        <v/>
      </c>
      <c r="T109" s="21">
        <f>IF(T107=1,i_exp_occ_c,i_exp_occ_m)</f>
        <v/>
      </c>
      <c r="U109" s="21">
        <f>IF(U107=1,i_exp_occ_c,i_exp_occ_m)</f>
        <v/>
      </c>
      <c r="V109" s="21">
        <f>IF(V107=1,i_exp_occ_c,i_exp_occ_m)</f>
        <v/>
      </c>
      <c r="W109" s="21">
        <f>IF(W107=1,i_exp_occ_c,i_exp_occ_m)</f>
        <v/>
      </c>
      <c r="X109" s="21">
        <f>IF(X107=1,i_exp_occ_c,i_exp_occ_m)</f>
        <v/>
      </c>
      <c r="Y109" s="21">
        <f>IF(Y107=1,i_exp_occ_c,i_exp_occ_m)</f>
        <v/>
      </c>
      <c r="Z109" s="21">
        <f>IF(Z107=1,i_exp_occ_c,i_exp_occ_m)</f>
        <v/>
      </c>
      <c r="AA109" s="21">
        <f>IF(AA107=1,i_exp_occ_c,i_exp_occ_m)</f>
        <v/>
      </c>
      <c r="AB109" s="21">
        <f>IF(AB107=1,i_exp_occ_c,i_exp_occ_m)</f>
        <v/>
      </c>
      <c r="AC109" s="21">
        <f>IF(AC107=1,i_exp_occ_c,i_exp_occ_m)</f>
        <v/>
      </c>
      <c r="AD109" s="21">
        <f>IF(AD107=1,i_exp_occ_c,i_exp_occ_m)</f>
        <v/>
      </c>
      <c r="AE109" s="21">
        <f>IF(AE107=1,i_exp_occ_c,i_exp_occ_m)</f>
        <v/>
      </c>
      <c r="AF109" s="21">
        <f>IF(AF107=1,i_exp_occ_c,i_exp_occ_m)</f>
        <v/>
      </c>
      <c r="AG109" s="21">
        <f>IF(AG107=1,i_exp_occ_c,i_exp_occ_m)</f>
        <v/>
      </c>
      <c r="AH109" s="21">
        <f>IF(AH107=1,i_exp_occ_c,i_exp_occ_m)</f>
        <v/>
      </c>
      <c r="AI109" s="21">
        <f>IF(AI107=1,i_exp_occ_c,i_exp_occ_m)</f>
        <v/>
      </c>
    </row>
    <row r="110">
      <c r="B110" s="2" t="inlineStr">
        <is>
          <t xml:space="preserve">  Storage revenue</t>
        </is>
      </c>
      <c r="D110" s="19">
        <f>D106*i_exp_cap*D108*12*D109</f>
        <v/>
      </c>
      <c r="E110" s="19">
        <f>E106*i_exp_cap*E108*12*E109</f>
        <v/>
      </c>
      <c r="F110" s="19">
        <f>F106*i_exp_cap*F108*12*F109</f>
        <v/>
      </c>
      <c r="G110" s="19">
        <f>G106*i_exp_cap*G108*12*G109</f>
        <v/>
      </c>
      <c r="H110" s="19">
        <f>H106*i_exp_cap*H108*12*H109</f>
        <v/>
      </c>
      <c r="I110" s="19">
        <f>I106*i_exp_cap*I108*12*I109</f>
        <v/>
      </c>
      <c r="J110" s="19">
        <f>J106*i_exp_cap*J108*12*J109</f>
        <v/>
      </c>
      <c r="K110" s="19">
        <f>K106*i_exp_cap*K108*12*K109</f>
        <v/>
      </c>
      <c r="L110" s="19">
        <f>L106*i_exp_cap*L108*12*L109</f>
        <v/>
      </c>
      <c r="M110" s="19">
        <f>M106*i_exp_cap*M108*12*M109</f>
        <v/>
      </c>
      <c r="N110" s="19">
        <f>N106*i_exp_cap*N108*12*N109</f>
        <v/>
      </c>
      <c r="O110" s="19">
        <f>O106*i_exp_cap*O108*12*O109</f>
        <v/>
      </c>
      <c r="P110" s="19">
        <f>P106*i_exp_cap*P108*12*P109</f>
        <v/>
      </c>
      <c r="Q110" s="19">
        <f>Q106*i_exp_cap*Q108*12*Q109</f>
        <v/>
      </c>
      <c r="R110" s="19">
        <f>R106*i_exp_cap*R108*12*R109</f>
        <v/>
      </c>
      <c r="S110" s="19">
        <f>S106*i_exp_cap*S108*12*S109</f>
        <v/>
      </c>
      <c r="T110" s="19">
        <f>T106*i_exp_cap*T108*12*T109</f>
        <v/>
      </c>
      <c r="U110" s="19">
        <f>U106*i_exp_cap*U108*12*U109</f>
        <v/>
      </c>
      <c r="V110" s="19">
        <f>V106*i_exp_cap*V108*12*V109</f>
        <v/>
      </c>
      <c r="W110" s="19">
        <f>W106*i_exp_cap*W108*12*W109</f>
        <v/>
      </c>
      <c r="X110" s="19">
        <f>X106*i_exp_cap*X108*12*X109</f>
        <v/>
      </c>
      <c r="Y110" s="19">
        <f>Y106*i_exp_cap*Y108*12*Y109</f>
        <v/>
      </c>
      <c r="Z110" s="19">
        <f>Z106*i_exp_cap*Z108*12*Z109</f>
        <v/>
      </c>
      <c r="AA110" s="19">
        <f>AA106*i_exp_cap*AA108*12*AA109</f>
        <v/>
      </c>
      <c r="AB110" s="19">
        <f>AB106*i_exp_cap*AB108*12*AB109</f>
        <v/>
      </c>
      <c r="AC110" s="19">
        <f>AC106*i_exp_cap*AC108*12*AC109</f>
        <v/>
      </c>
      <c r="AD110" s="19">
        <f>AD106*i_exp_cap*AD108*12*AD109</f>
        <v/>
      </c>
      <c r="AE110" s="19">
        <f>AE106*i_exp_cap*AE108*12*AE109</f>
        <v/>
      </c>
      <c r="AF110" s="19">
        <f>AF106*i_exp_cap*AF108*12*AF109</f>
        <v/>
      </c>
      <c r="AG110" s="19">
        <f>AG106*i_exp_cap*AG108*12*AG109</f>
        <v/>
      </c>
      <c r="AH110" s="19">
        <f>AH106*i_exp_cap*AH108*12*AH109</f>
        <v/>
      </c>
      <c r="AI110" s="19">
        <f>AI106*i_exp_cap*AI108*12*AI109</f>
        <v/>
      </c>
    </row>
    <row r="111">
      <c r="B111" s="3" t="inlineStr">
        <is>
          <t xml:space="preserve">  Revenue</t>
        </is>
      </c>
      <c r="D111" s="31">
        <f>D110*(1+i_exp_anc)</f>
        <v/>
      </c>
      <c r="E111" s="31">
        <f>E110*(1+i_exp_anc)</f>
        <v/>
      </c>
      <c r="F111" s="31">
        <f>F110*(1+i_exp_anc)</f>
        <v/>
      </c>
      <c r="G111" s="31">
        <f>G110*(1+i_exp_anc)</f>
        <v/>
      </c>
      <c r="H111" s="31">
        <f>H110*(1+i_exp_anc)</f>
        <v/>
      </c>
      <c r="I111" s="31">
        <f>I110*(1+i_exp_anc)</f>
        <v/>
      </c>
      <c r="J111" s="31">
        <f>J110*(1+i_exp_anc)</f>
        <v/>
      </c>
      <c r="K111" s="31">
        <f>K110*(1+i_exp_anc)</f>
        <v/>
      </c>
      <c r="L111" s="31">
        <f>L110*(1+i_exp_anc)</f>
        <v/>
      </c>
      <c r="M111" s="31">
        <f>M110*(1+i_exp_anc)</f>
        <v/>
      </c>
      <c r="N111" s="31">
        <f>N110*(1+i_exp_anc)</f>
        <v/>
      </c>
      <c r="O111" s="31">
        <f>O110*(1+i_exp_anc)</f>
        <v/>
      </c>
      <c r="P111" s="31">
        <f>P110*(1+i_exp_anc)</f>
        <v/>
      </c>
      <c r="Q111" s="31">
        <f>Q110*(1+i_exp_anc)</f>
        <v/>
      </c>
      <c r="R111" s="31">
        <f>R110*(1+i_exp_anc)</f>
        <v/>
      </c>
      <c r="S111" s="31">
        <f>S110*(1+i_exp_anc)</f>
        <v/>
      </c>
      <c r="T111" s="31">
        <f>T110*(1+i_exp_anc)</f>
        <v/>
      </c>
      <c r="U111" s="31">
        <f>U110*(1+i_exp_anc)</f>
        <v/>
      </c>
      <c r="V111" s="31">
        <f>V110*(1+i_exp_anc)</f>
        <v/>
      </c>
      <c r="W111" s="31">
        <f>W110*(1+i_exp_anc)</f>
        <v/>
      </c>
      <c r="X111" s="31">
        <f>X110*(1+i_exp_anc)</f>
        <v/>
      </c>
      <c r="Y111" s="31">
        <f>Y110*(1+i_exp_anc)</f>
        <v/>
      </c>
      <c r="Z111" s="31">
        <f>Z110*(1+i_exp_anc)</f>
        <v/>
      </c>
      <c r="AA111" s="31">
        <f>AA110*(1+i_exp_anc)</f>
        <v/>
      </c>
      <c r="AB111" s="31">
        <f>AB110*(1+i_exp_anc)</f>
        <v/>
      </c>
      <c r="AC111" s="31">
        <f>AC110*(1+i_exp_anc)</f>
        <v/>
      </c>
      <c r="AD111" s="31">
        <f>AD110*(1+i_exp_anc)</f>
        <v/>
      </c>
      <c r="AE111" s="31">
        <f>AE110*(1+i_exp_anc)</f>
        <v/>
      </c>
      <c r="AF111" s="31">
        <f>AF110*(1+i_exp_anc)</f>
        <v/>
      </c>
      <c r="AG111" s="31">
        <f>AG110*(1+i_exp_anc)</f>
        <v/>
      </c>
      <c r="AH111" s="31">
        <f>AH110*(1+i_exp_anc)</f>
        <v/>
      </c>
      <c r="AI111" s="31">
        <f>AI110*(1+i_exp_anc)</f>
        <v/>
      </c>
    </row>
    <row r="112">
      <c r="B112" s="2" t="inlineStr">
        <is>
          <t xml:space="preserve">  Operating cost</t>
        </is>
      </c>
      <c r="D112" s="19">
        <f>D106*i_exp_fix*i_exp_cap*D38+i_exp_var*D111</f>
        <v/>
      </c>
      <c r="E112" s="19">
        <f>E106*i_exp_fix*i_exp_cap*E38+i_exp_var*E111</f>
        <v/>
      </c>
      <c r="F112" s="19">
        <f>F106*i_exp_fix*i_exp_cap*F38+i_exp_var*F111</f>
        <v/>
      </c>
      <c r="G112" s="19">
        <f>G106*i_exp_fix*i_exp_cap*G38+i_exp_var*G111</f>
        <v/>
      </c>
      <c r="H112" s="19">
        <f>H106*i_exp_fix*i_exp_cap*H38+i_exp_var*H111</f>
        <v/>
      </c>
      <c r="I112" s="19">
        <f>I106*i_exp_fix*i_exp_cap*I38+i_exp_var*I111</f>
        <v/>
      </c>
      <c r="J112" s="19">
        <f>J106*i_exp_fix*i_exp_cap*J38+i_exp_var*J111</f>
        <v/>
      </c>
      <c r="K112" s="19">
        <f>K106*i_exp_fix*i_exp_cap*K38+i_exp_var*K111</f>
        <v/>
      </c>
      <c r="L112" s="19">
        <f>L106*i_exp_fix*i_exp_cap*L38+i_exp_var*L111</f>
        <v/>
      </c>
      <c r="M112" s="19">
        <f>M106*i_exp_fix*i_exp_cap*M38+i_exp_var*M111</f>
        <v/>
      </c>
      <c r="N112" s="19">
        <f>N106*i_exp_fix*i_exp_cap*N38+i_exp_var*N111</f>
        <v/>
      </c>
      <c r="O112" s="19">
        <f>O106*i_exp_fix*i_exp_cap*O38+i_exp_var*O111</f>
        <v/>
      </c>
      <c r="P112" s="19">
        <f>P106*i_exp_fix*i_exp_cap*P38+i_exp_var*P111</f>
        <v/>
      </c>
      <c r="Q112" s="19">
        <f>Q106*i_exp_fix*i_exp_cap*Q38+i_exp_var*Q111</f>
        <v/>
      </c>
      <c r="R112" s="19">
        <f>R106*i_exp_fix*i_exp_cap*R38+i_exp_var*R111</f>
        <v/>
      </c>
      <c r="S112" s="19">
        <f>S106*i_exp_fix*i_exp_cap*S38+i_exp_var*S111</f>
        <v/>
      </c>
      <c r="T112" s="19">
        <f>T106*i_exp_fix*i_exp_cap*T38+i_exp_var*T111</f>
        <v/>
      </c>
      <c r="U112" s="19">
        <f>U106*i_exp_fix*i_exp_cap*U38+i_exp_var*U111</f>
        <v/>
      </c>
      <c r="V112" s="19">
        <f>V106*i_exp_fix*i_exp_cap*V38+i_exp_var*V111</f>
        <v/>
      </c>
      <c r="W112" s="19">
        <f>W106*i_exp_fix*i_exp_cap*W38+i_exp_var*W111</f>
        <v/>
      </c>
      <c r="X112" s="19">
        <f>X106*i_exp_fix*i_exp_cap*X38+i_exp_var*X111</f>
        <v/>
      </c>
      <c r="Y112" s="19">
        <f>Y106*i_exp_fix*i_exp_cap*Y38+i_exp_var*Y111</f>
        <v/>
      </c>
      <c r="Z112" s="19">
        <f>Z106*i_exp_fix*i_exp_cap*Z38+i_exp_var*Z111</f>
        <v/>
      </c>
      <c r="AA112" s="19">
        <f>AA106*i_exp_fix*i_exp_cap*AA38+i_exp_var*AA111</f>
        <v/>
      </c>
      <c r="AB112" s="19">
        <f>AB106*i_exp_fix*i_exp_cap*AB38+i_exp_var*AB111</f>
        <v/>
      </c>
      <c r="AC112" s="19">
        <f>AC106*i_exp_fix*i_exp_cap*AC38+i_exp_var*AC111</f>
        <v/>
      </c>
      <c r="AD112" s="19">
        <f>AD106*i_exp_fix*i_exp_cap*AD38+i_exp_var*AD111</f>
        <v/>
      </c>
      <c r="AE112" s="19">
        <f>AE106*i_exp_fix*i_exp_cap*AE38+i_exp_var*AE111</f>
        <v/>
      </c>
      <c r="AF112" s="19">
        <f>AF106*i_exp_fix*i_exp_cap*AF38+i_exp_var*AF111</f>
        <v/>
      </c>
      <c r="AG112" s="19">
        <f>AG106*i_exp_fix*i_exp_cap*AG38+i_exp_var*AG111</f>
        <v/>
      </c>
      <c r="AH112" s="19">
        <f>AH106*i_exp_fix*i_exp_cap*AH38+i_exp_var*AH111</f>
        <v/>
      </c>
      <c r="AI112" s="19">
        <f>AI106*i_exp_fix*i_exp_cap*AI38+i_exp_var*AI111</f>
        <v/>
      </c>
    </row>
    <row r="113">
      <c r="B113" s="3" t="inlineStr">
        <is>
          <t xml:space="preserve">  EBITDA</t>
        </is>
      </c>
      <c r="D113" s="31">
        <f>D111-D112</f>
        <v/>
      </c>
      <c r="E113" s="31">
        <f>E111-E112</f>
        <v/>
      </c>
      <c r="F113" s="31">
        <f>F111-F112</f>
        <v/>
      </c>
      <c r="G113" s="31">
        <f>G111-G112</f>
        <v/>
      </c>
      <c r="H113" s="31">
        <f>H111-H112</f>
        <v/>
      </c>
      <c r="I113" s="31">
        <f>I111-I112</f>
        <v/>
      </c>
      <c r="J113" s="31">
        <f>J111-J112</f>
        <v/>
      </c>
      <c r="K113" s="31">
        <f>K111-K112</f>
        <v/>
      </c>
      <c r="L113" s="31">
        <f>L111-L112</f>
        <v/>
      </c>
      <c r="M113" s="31">
        <f>M111-M112</f>
        <v/>
      </c>
      <c r="N113" s="31">
        <f>N111-N112</f>
        <v/>
      </c>
      <c r="O113" s="31">
        <f>O111-O112</f>
        <v/>
      </c>
      <c r="P113" s="31">
        <f>P111-P112</f>
        <v/>
      </c>
      <c r="Q113" s="31">
        <f>Q111-Q112</f>
        <v/>
      </c>
      <c r="R113" s="31">
        <f>R111-R112</f>
        <v/>
      </c>
      <c r="S113" s="31">
        <f>S111-S112</f>
        <v/>
      </c>
      <c r="T113" s="31">
        <f>T111-T112</f>
        <v/>
      </c>
      <c r="U113" s="31">
        <f>U111-U112</f>
        <v/>
      </c>
      <c r="V113" s="31">
        <f>V111-V112</f>
        <v/>
      </c>
      <c r="W113" s="31">
        <f>W111-W112</f>
        <v/>
      </c>
      <c r="X113" s="31">
        <f>X111-X112</f>
        <v/>
      </c>
      <c r="Y113" s="31">
        <f>Y111-Y112</f>
        <v/>
      </c>
      <c r="Z113" s="31">
        <f>Z111-Z112</f>
        <v/>
      </c>
      <c r="AA113" s="31">
        <f>AA111-AA112</f>
        <v/>
      </c>
      <c r="AB113" s="31">
        <f>AB111-AB112</f>
        <v/>
      </c>
      <c r="AC113" s="31">
        <f>AC111-AC112</f>
        <v/>
      </c>
      <c r="AD113" s="31">
        <f>AD111-AD112</f>
        <v/>
      </c>
      <c r="AE113" s="31">
        <f>AE111-AE112</f>
        <v/>
      </c>
      <c r="AF113" s="31">
        <f>AF111-AF112</f>
        <v/>
      </c>
      <c r="AG113" s="31">
        <f>AG111-AG112</f>
        <v/>
      </c>
      <c r="AH113" s="31">
        <f>AH111-AH112</f>
        <v/>
      </c>
      <c r="AI113" s="31">
        <f>AI111-AI112</f>
        <v/>
      </c>
    </row>
    <row r="114">
      <c r="B114" s="2" t="inlineStr">
        <is>
          <t xml:space="preserve">  Maintenance capex</t>
        </is>
      </c>
      <c r="D114" s="19">
        <f>D106*i_exp_mc*i_exp_cap*D38</f>
        <v/>
      </c>
      <c r="E114" s="19">
        <f>E106*i_exp_mc*i_exp_cap*E38</f>
        <v/>
      </c>
      <c r="F114" s="19">
        <f>F106*i_exp_mc*i_exp_cap*F38</f>
        <v/>
      </c>
      <c r="G114" s="19">
        <f>G106*i_exp_mc*i_exp_cap*G38</f>
        <v/>
      </c>
      <c r="H114" s="19">
        <f>H106*i_exp_mc*i_exp_cap*H38</f>
        <v/>
      </c>
      <c r="I114" s="19">
        <f>I106*i_exp_mc*i_exp_cap*I38</f>
        <v/>
      </c>
      <c r="J114" s="19">
        <f>J106*i_exp_mc*i_exp_cap*J38</f>
        <v/>
      </c>
      <c r="K114" s="19">
        <f>K106*i_exp_mc*i_exp_cap*K38</f>
        <v/>
      </c>
      <c r="L114" s="19">
        <f>L106*i_exp_mc*i_exp_cap*L38</f>
        <v/>
      </c>
      <c r="M114" s="19">
        <f>M106*i_exp_mc*i_exp_cap*M38</f>
        <v/>
      </c>
      <c r="N114" s="19">
        <f>N106*i_exp_mc*i_exp_cap*N38</f>
        <v/>
      </c>
      <c r="O114" s="19">
        <f>O106*i_exp_mc*i_exp_cap*O38</f>
        <v/>
      </c>
      <c r="P114" s="19">
        <f>P106*i_exp_mc*i_exp_cap*P38</f>
        <v/>
      </c>
      <c r="Q114" s="19">
        <f>Q106*i_exp_mc*i_exp_cap*Q38</f>
        <v/>
      </c>
      <c r="R114" s="19">
        <f>R106*i_exp_mc*i_exp_cap*R38</f>
        <v/>
      </c>
      <c r="S114" s="19">
        <f>S106*i_exp_mc*i_exp_cap*S38</f>
        <v/>
      </c>
      <c r="T114" s="19">
        <f>T106*i_exp_mc*i_exp_cap*T38</f>
        <v/>
      </c>
      <c r="U114" s="19">
        <f>U106*i_exp_mc*i_exp_cap*U38</f>
        <v/>
      </c>
      <c r="V114" s="19">
        <f>V106*i_exp_mc*i_exp_cap*V38</f>
        <v/>
      </c>
      <c r="W114" s="19">
        <f>W106*i_exp_mc*i_exp_cap*W38</f>
        <v/>
      </c>
      <c r="X114" s="19">
        <f>X106*i_exp_mc*i_exp_cap*X38</f>
        <v/>
      </c>
      <c r="Y114" s="19">
        <f>Y106*i_exp_mc*i_exp_cap*Y38</f>
        <v/>
      </c>
      <c r="Z114" s="19">
        <f>Z106*i_exp_mc*i_exp_cap*Z38</f>
        <v/>
      </c>
      <c r="AA114" s="19">
        <f>AA106*i_exp_mc*i_exp_cap*AA38</f>
        <v/>
      </c>
      <c r="AB114" s="19">
        <f>AB106*i_exp_mc*i_exp_cap*AB38</f>
        <v/>
      </c>
      <c r="AC114" s="19">
        <f>AC106*i_exp_mc*i_exp_cap*AC38</f>
        <v/>
      </c>
      <c r="AD114" s="19">
        <f>AD106*i_exp_mc*i_exp_cap*AD38</f>
        <v/>
      </c>
      <c r="AE114" s="19">
        <f>AE106*i_exp_mc*i_exp_cap*AE38</f>
        <v/>
      </c>
      <c r="AF114" s="19">
        <f>AF106*i_exp_mc*i_exp_cap*AF38</f>
        <v/>
      </c>
      <c r="AG114" s="19">
        <f>AG106*i_exp_mc*i_exp_cap*AG38</f>
        <v/>
      </c>
      <c r="AH114" s="19">
        <f>AH106*i_exp_mc*i_exp_cap*AH38</f>
        <v/>
      </c>
      <c r="AI114" s="19">
        <f>AI106*i_exp_mc*i_exp_cap*AI38</f>
        <v/>
      </c>
    </row>
    <row r="116">
      <c r="B116" s="5" t="inlineStr">
        <is>
          <t>Consolidated</t>
        </is>
      </c>
    </row>
    <row r="117">
      <c r="B117" s="2" t="inlineStr">
        <is>
          <t>Revenue</t>
        </is>
      </c>
      <c r="D117" s="19">
        <f>D51+D67+D82+D97+D111</f>
        <v/>
      </c>
      <c r="E117" s="19">
        <f>E51+E67+E82+E97+E111</f>
        <v/>
      </c>
      <c r="F117" s="19">
        <f>F51+F67+F82+F97+F111</f>
        <v/>
      </c>
      <c r="G117" s="19">
        <f>G51+G67+G82+G97+G111</f>
        <v/>
      </c>
      <c r="H117" s="19">
        <f>H51+H67+H82+H97+H111</f>
        <v/>
      </c>
      <c r="I117" s="19">
        <f>I51+I67+I82+I97+I111</f>
        <v/>
      </c>
      <c r="J117" s="19">
        <f>J51+J67+J82+J97+J111</f>
        <v/>
      </c>
      <c r="K117" s="19">
        <f>K51+K67+K82+K97+K111</f>
        <v/>
      </c>
      <c r="L117" s="19">
        <f>L51+L67+L82+L97+L111</f>
        <v/>
      </c>
      <c r="M117" s="19">
        <f>M51+M67+M82+M97+M111</f>
        <v/>
      </c>
      <c r="N117" s="19">
        <f>N51+N67+N82+N97+N111</f>
        <v/>
      </c>
      <c r="O117" s="19">
        <f>O51+O67+O82+O97+O111</f>
        <v/>
      </c>
      <c r="P117" s="19">
        <f>P51+P67+P82+P97+P111</f>
        <v/>
      </c>
      <c r="Q117" s="19">
        <f>Q51+Q67+Q82+Q97+Q111</f>
        <v/>
      </c>
      <c r="R117" s="19">
        <f>R51+R67+R82+R97+R111</f>
        <v/>
      </c>
      <c r="S117" s="19">
        <f>S51+S67+S82+S97+S111</f>
        <v/>
      </c>
      <c r="T117" s="19">
        <f>T51+T67+T82+T97+T111</f>
        <v/>
      </c>
      <c r="U117" s="19">
        <f>U51+U67+U82+U97+U111</f>
        <v/>
      </c>
      <c r="V117" s="19">
        <f>V51+V67+V82+V97+V111</f>
        <v/>
      </c>
      <c r="W117" s="19">
        <f>W51+W67+W82+W97+W111</f>
        <v/>
      </c>
      <c r="X117" s="19">
        <f>X51+X67+X82+X97+X111</f>
        <v/>
      </c>
      <c r="Y117" s="19">
        <f>Y51+Y67+Y82+Y97+Y111</f>
        <v/>
      </c>
      <c r="Z117" s="19">
        <f>Z51+Z67+Z82+Z97+Z111</f>
        <v/>
      </c>
      <c r="AA117" s="19">
        <f>AA51+AA67+AA82+AA97+AA111</f>
        <v/>
      </c>
      <c r="AB117" s="19">
        <f>AB51+AB67+AB82+AB97+AB111</f>
        <v/>
      </c>
      <c r="AC117" s="19">
        <f>AC51+AC67+AC82+AC97+AC111</f>
        <v/>
      </c>
      <c r="AD117" s="19">
        <f>AD51+AD67+AD82+AD97+AD111</f>
        <v/>
      </c>
      <c r="AE117" s="19">
        <f>AE51+AE67+AE82+AE97+AE111</f>
        <v/>
      </c>
      <c r="AF117" s="19">
        <f>AF51+AF67+AF82+AF97+AF111</f>
        <v/>
      </c>
      <c r="AG117" s="19">
        <f>AG51+AG67+AG82+AG97+AG111</f>
        <v/>
      </c>
      <c r="AH117" s="19">
        <f>AH51+AH67+AH82+AH97+AH111</f>
        <v/>
      </c>
      <c r="AI117" s="19">
        <f>AI51+AI67+AI82+AI97+AI111</f>
        <v/>
      </c>
    </row>
    <row r="118">
      <c r="B118" s="2" t="inlineStr">
        <is>
          <t>Business unit EBITDA (with the expansion)</t>
        </is>
      </c>
      <c r="D118" s="19">
        <f>D56+D71+D86+D102+D113</f>
        <v/>
      </c>
      <c r="E118" s="19">
        <f>E56+E71+E86+E102+E113</f>
        <v/>
      </c>
      <c r="F118" s="19">
        <f>F56+F71+F86+F102+F113</f>
        <v/>
      </c>
      <c r="G118" s="19">
        <f>G56+G71+G86+G102+G113</f>
        <v/>
      </c>
      <c r="H118" s="19">
        <f>H56+H71+H86+H102+H113</f>
        <v/>
      </c>
      <c r="I118" s="19">
        <f>I56+I71+I86+I102+I113</f>
        <v/>
      </c>
      <c r="J118" s="19">
        <f>J56+J71+J86+J102+J113</f>
        <v/>
      </c>
      <c r="K118" s="19">
        <f>K56+K71+K86+K102+K113</f>
        <v/>
      </c>
      <c r="L118" s="19">
        <f>L56+L71+L86+L102+L113</f>
        <v/>
      </c>
      <c r="M118" s="19">
        <f>M56+M71+M86+M102+M113</f>
        <v/>
      </c>
      <c r="N118" s="19">
        <f>N56+N71+N86+N102+N113</f>
        <v/>
      </c>
      <c r="O118" s="19">
        <f>O56+O71+O86+O102+O113</f>
        <v/>
      </c>
      <c r="P118" s="19">
        <f>P56+P71+P86+P102+P113</f>
        <v/>
      </c>
      <c r="Q118" s="19">
        <f>Q56+Q71+Q86+Q102+Q113</f>
        <v/>
      </c>
      <c r="R118" s="19">
        <f>R56+R71+R86+R102+R113</f>
        <v/>
      </c>
      <c r="S118" s="19">
        <f>S56+S71+S86+S102+S113</f>
        <v/>
      </c>
      <c r="T118" s="19">
        <f>T56+T71+T86+T102+T113</f>
        <v/>
      </c>
      <c r="U118" s="19">
        <f>U56+U71+U86+U102+U113</f>
        <v/>
      </c>
      <c r="V118" s="19">
        <f>V56+V71+V86+V102+V113</f>
        <v/>
      </c>
      <c r="W118" s="19">
        <f>W56+W71+W86+W102+W113</f>
        <v/>
      </c>
      <c r="X118" s="19">
        <f>X56+X71+X86+X102+X113</f>
        <v/>
      </c>
      <c r="Y118" s="19">
        <f>Y56+Y71+Y86+Y102+Y113</f>
        <v/>
      </c>
      <c r="Z118" s="19">
        <f>Z56+Z71+Z86+Z102+Z113</f>
        <v/>
      </c>
      <c r="AA118" s="19">
        <f>AA56+AA71+AA86+AA102+AA113</f>
        <v/>
      </c>
      <c r="AB118" s="19">
        <f>AB56+AB71+AB86+AB102+AB113</f>
        <v/>
      </c>
      <c r="AC118" s="19">
        <f>AC56+AC71+AC86+AC102+AC113</f>
        <v/>
      </c>
      <c r="AD118" s="19">
        <f>AD56+AD71+AD86+AD102+AD113</f>
        <v/>
      </c>
      <c r="AE118" s="19">
        <f>AE56+AE71+AE86+AE102+AE113</f>
        <v/>
      </c>
      <c r="AF118" s="19">
        <f>AF56+AF71+AF86+AF102+AF113</f>
        <v/>
      </c>
      <c r="AG118" s="19">
        <f>AG56+AG71+AG86+AG102+AG113</f>
        <v/>
      </c>
      <c r="AH118" s="19">
        <f>AH56+AH71+AH86+AH102+AH113</f>
        <v/>
      </c>
      <c r="AI118" s="19">
        <f>AI56+AI71+AI86+AI102+AI113</f>
        <v/>
      </c>
    </row>
    <row r="119">
      <c r="B119" s="2" t="inlineStr">
        <is>
          <t>Corporate costs</t>
        </is>
      </c>
      <c r="D119" s="19">
        <f>i_corp*D38*IF(OR(Sensitivities!$C$35=1,D$3&lt;=i_conc_end),1,i_corp_after_w)+IF(D$3&gt;=i_mitig_start,Sensitivities!$C$37*D38,0)</f>
        <v/>
      </c>
      <c r="E119" s="19">
        <f>i_corp*E38*IF(OR(Sensitivities!$C$35=1,E$3&lt;=i_conc_end),1,i_corp_after_w)+IF(E$3&gt;=i_mitig_start,Sensitivities!$C$37*E38,0)</f>
        <v/>
      </c>
      <c r="F119" s="19">
        <f>i_corp*F38*IF(OR(Sensitivities!$C$35=1,F$3&lt;=i_conc_end),1,i_corp_after_w)+IF(F$3&gt;=i_mitig_start,Sensitivities!$C$37*F38,0)</f>
        <v/>
      </c>
      <c r="G119" s="19">
        <f>i_corp*G38*IF(OR(Sensitivities!$C$35=1,G$3&lt;=i_conc_end),1,i_corp_after_w)+IF(G$3&gt;=i_mitig_start,Sensitivities!$C$37*G38,0)</f>
        <v/>
      </c>
      <c r="H119" s="19">
        <f>i_corp*H38*IF(OR(Sensitivities!$C$35=1,H$3&lt;=i_conc_end),1,i_corp_after_w)+IF(H$3&gt;=i_mitig_start,Sensitivities!$C$37*H38,0)</f>
        <v/>
      </c>
      <c r="I119" s="19">
        <f>i_corp*I38*IF(OR(Sensitivities!$C$35=1,I$3&lt;=i_conc_end),1,i_corp_after_w)+IF(I$3&gt;=i_mitig_start,Sensitivities!$C$37*I38,0)</f>
        <v/>
      </c>
      <c r="J119" s="19">
        <f>i_corp*J38*IF(OR(Sensitivities!$C$35=1,J$3&lt;=i_conc_end),1,i_corp_after_w)+IF(J$3&gt;=i_mitig_start,Sensitivities!$C$37*J38,0)</f>
        <v/>
      </c>
      <c r="K119" s="19">
        <f>i_corp*K38*IF(OR(Sensitivities!$C$35=1,K$3&lt;=i_conc_end),1,i_corp_after_w)+IF(K$3&gt;=i_mitig_start,Sensitivities!$C$37*K38,0)</f>
        <v/>
      </c>
      <c r="L119" s="19">
        <f>i_corp*L38*IF(OR(Sensitivities!$C$35=1,L$3&lt;=i_conc_end),1,i_corp_after_w)+IF(L$3&gt;=i_mitig_start,Sensitivities!$C$37*L38,0)</f>
        <v/>
      </c>
      <c r="M119" s="19">
        <f>i_corp*M38*IF(OR(Sensitivities!$C$35=1,M$3&lt;=i_conc_end),1,i_corp_after_w)+IF(M$3&gt;=i_mitig_start,Sensitivities!$C$37*M38,0)</f>
        <v/>
      </c>
      <c r="N119" s="19">
        <f>i_corp*N38*IF(OR(Sensitivities!$C$35=1,N$3&lt;=i_conc_end),1,i_corp_after_w)+IF(N$3&gt;=i_mitig_start,Sensitivities!$C$37*N38,0)</f>
        <v/>
      </c>
      <c r="O119" s="19">
        <f>i_corp*O38*IF(OR(Sensitivities!$C$35=1,O$3&lt;=i_conc_end),1,i_corp_after_w)+IF(O$3&gt;=i_mitig_start,Sensitivities!$C$37*O38,0)</f>
        <v/>
      </c>
      <c r="P119" s="19">
        <f>i_corp*P38*IF(OR(Sensitivities!$C$35=1,P$3&lt;=i_conc_end),1,i_corp_after_w)+IF(P$3&gt;=i_mitig_start,Sensitivities!$C$37*P38,0)</f>
        <v/>
      </c>
      <c r="Q119" s="19">
        <f>i_corp*Q38*IF(OR(Sensitivities!$C$35=1,Q$3&lt;=i_conc_end),1,i_corp_after_w)+IF(Q$3&gt;=i_mitig_start,Sensitivities!$C$37*Q38,0)</f>
        <v/>
      </c>
      <c r="R119" s="19">
        <f>i_corp*R38*IF(OR(Sensitivities!$C$35=1,R$3&lt;=i_conc_end),1,i_corp_after_w)+IF(R$3&gt;=i_mitig_start,Sensitivities!$C$37*R38,0)</f>
        <v/>
      </c>
      <c r="S119" s="19">
        <f>i_corp*S38*IF(OR(Sensitivities!$C$35=1,S$3&lt;=i_conc_end),1,i_corp_after_w)+IF(S$3&gt;=i_mitig_start,Sensitivities!$C$37*S38,0)</f>
        <v/>
      </c>
      <c r="T119" s="19">
        <f>i_corp*T38*IF(OR(Sensitivities!$C$35=1,T$3&lt;=i_conc_end),1,i_corp_after_w)+IF(T$3&gt;=i_mitig_start,Sensitivities!$C$37*T38,0)</f>
        <v/>
      </c>
      <c r="U119" s="19">
        <f>i_corp*U38*IF(OR(Sensitivities!$C$35=1,U$3&lt;=i_conc_end),1,i_corp_after_w)+IF(U$3&gt;=i_mitig_start,Sensitivities!$C$37*U38,0)</f>
        <v/>
      </c>
      <c r="V119" s="19">
        <f>i_corp*V38*IF(OR(Sensitivities!$C$35=1,V$3&lt;=i_conc_end),1,i_corp_after_w)+IF(V$3&gt;=i_mitig_start,Sensitivities!$C$37*V38,0)</f>
        <v/>
      </c>
      <c r="W119" s="19">
        <f>i_corp*W38*IF(OR(Sensitivities!$C$35=1,W$3&lt;=i_conc_end),1,i_corp_after_w)+IF(W$3&gt;=i_mitig_start,Sensitivities!$C$37*W38,0)</f>
        <v/>
      </c>
      <c r="X119" s="19">
        <f>i_corp*X38*IF(OR(Sensitivities!$C$35=1,X$3&lt;=i_conc_end),1,i_corp_after_w)+IF(X$3&gt;=i_mitig_start,Sensitivities!$C$37*X38,0)</f>
        <v/>
      </c>
      <c r="Y119" s="19">
        <f>i_corp*Y38*IF(OR(Sensitivities!$C$35=1,Y$3&lt;=i_conc_end),1,i_corp_after_w)+IF(Y$3&gt;=i_mitig_start,Sensitivities!$C$37*Y38,0)</f>
        <v/>
      </c>
      <c r="Z119" s="19">
        <f>i_corp*Z38*IF(OR(Sensitivities!$C$35=1,Z$3&lt;=i_conc_end),1,i_corp_after_w)+IF(Z$3&gt;=i_mitig_start,Sensitivities!$C$37*Z38,0)</f>
        <v/>
      </c>
      <c r="AA119" s="19">
        <f>i_corp*AA38*IF(OR(Sensitivities!$C$35=1,AA$3&lt;=i_conc_end),1,i_corp_after_w)+IF(AA$3&gt;=i_mitig_start,Sensitivities!$C$37*AA38,0)</f>
        <v/>
      </c>
      <c r="AB119" s="19">
        <f>i_corp*AB38*IF(OR(Sensitivities!$C$35=1,AB$3&lt;=i_conc_end),1,i_corp_after_w)+IF(AB$3&gt;=i_mitig_start,Sensitivities!$C$37*AB38,0)</f>
        <v/>
      </c>
      <c r="AC119" s="19">
        <f>i_corp*AC38*IF(OR(Sensitivities!$C$35=1,AC$3&lt;=i_conc_end),1,i_corp_after_w)+IF(AC$3&gt;=i_mitig_start,Sensitivities!$C$37*AC38,0)</f>
        <v/>
      </c>
      <c r="AD119" s="19">
        <f>i_corp*AD38*IF(OR(Sensitivities!$C$35=1,AD$3&lt;=i_conc_end),1,i_corp_after_w)+IF(AD$3&gt;=i_mitig_start,Sensitivities!$C$37*AD38,0)</f>
        <v/>
      </c>
      <c r="AE119" s="19">
        <f>i_corp*AE38*IF(OR(Sensitivities!$C$35=1,AE$3&lt;=i_conc_end),1,i_corp_after_w)+IF(AE$3&gt;=i_mitig_start,Sensitivities!$C$37*AE38,0)</f>
        <v/>
      </c>
      <c r="AF119" s="19">
        <f>i_corp*AF38*IF(OR(Sensitivities!$C$35=1,AF$3&lt;=i_conc_end),1,i_corp_after_w)+IF(AF$3&gt;=i_mitig_start,Sensitivities!$C$37*AF38,0)</f>
        <v/>
      </c>
      <c r="AG119" s="19">
        <f>i_corp*AG38*IF(OR(Sensitivities!$C$35=1,AG$3&lt;=i_conc_end),1,i_corp_after_w)+IF(AG$3&gt;=i_mitig_start,Sensitivities!$C$37*AG38,0)</f>
        <v/>
      </c>
      <c r="AH119" s="19">
        <f>i_corp*AH38*IF(OR(Sensitivities!$C$35=1,AH$3&lt;=i_conc_end),1,i_corp_after_w)+IF(AH$3&gt;=i_mitig_start,Sensitivities!$C$37*AH38,0)</f>
        <v/>
      </c>
      <c r="AI119" s="19">
        <f>i_corp*AI38*IF(OR(Sensitivities!$C$35=1,AI$3&lt;=i_conc_end),1,i_corp_after_w)+IF(AI$3&gt;=i_mitig_start,Sensitivities!$C$37*AI38,0)</f>
        <v/>
      </c>
    </row>
    <row r="120">
      <c r="B120" s="3" t="inlineStr">
        <is>
          <t>EBITDA</t>
        </is>
      </c>
      <c r="D120" s="31">
        <f>D118-D119</f>
        <v/>
      </c>
      <c r="E120" s="31">
        <f>E118-E119</f>
        <v/>
      </c>
      <c r="F120" s="31">
        <f>F118-F119</f>
        <v/>
      </c>
      <c r="G120" s="31">
        <f>G118-G119</f>
        <v/>
      </c>
      <c r="H120" s="31">
        <f>H118-H119</f>
        <v/>
      </c>
      <c r="I120" s="31">
        <f>I118-I119</f>
        <v/>
      </c>
      <c r="J120" s="31">
        <f>J118-J119</f>
        <v/>
      </c>
      <c r="K120" s="31">
        <f>K118-K119</f>
        <v/>
      </c>
      <c r="L120" s="31">
        <f>L118-L119</f>
        <v/>
      </c>
      <c r="M120" s="31">
        <f>M118-M119</f>
        <v/>
      </c>
      <c r="N120" s="31">
        <f>N118-N119</f>
        <v/>
      </c>
      <c r="O120" s="31">
        <f>O118-O119</f>
        <v/>
      </c>
      <c r="P120" s="31">
        <f>P118-P119</f>
        <v/>
      </c>
      <c r="Q120" s="31">
        <f>Q118-Q119</f>
        <v/>
      </c>
      <c r="R120" s="31">
        <f>R118-R119</f>
        <v/>
      </c>
      <c r="S120" s="31">
        <f>S118-S119</f>
        <v/>
      </c>
      <c r="T120" s="31">
        <f>T118-T119</f>
        <v/>
      </c>
      <c r="U120" s="31">
        <f>U118-U119</f>
        <v/>
      </c>
      <c r="V120" s="31">
        <f>V118-V119</f>
        <v/>
      </c>
      <c r="W120" s="31">
        <f>W118-W119</f>
        <v/>
      </c>
      <c r="X120" s="31">
        <f>X118-X119</f>
        <v/>
      </c>
      <c r="Y120" s="31">
        <f>Y118-Y119</f>
        <v/>
      </c>
      <c r="Z120" s="31">
        <f>Z118-Z119</f>
        <v/>
      </c>
      <c r="AA120" s="31">
        <f>AA118-AA119</f>
        <v/>
      </c>
      <c r="AB120" s="31">
        <f>AB118-AB119</f>
        <v/>
      </c>
      <c r="AC120" s="31">
        <f>AC118-AC119</f>
        <v/>
      </c>
      <c r="AD120" s="31">
        <f>AD118-AD119</f>
        <v/>
      </c>
      <c r="AE120" s="31">
        <f>AE118-AE119</f>
        <v/>
      </c>
      <c r="AF120" s="31">
        <f>AF118-AF119</f>
        <v/>
      </c>
      <c r="AG120" s="31">
        <f>AG118-AG119</f>
        <v/>
      </c>
      <c r="AH120" s="31">
        <f>AH118-AH119</f>
        <v/>
      </c>
      <c r="AI120" s="31">
        <f>AI118-AI119</f>
        <v/>
      </c>
    </row>
    <row r="121">
      <c r="B121" s="2" t="inlineStr">
        <is>
          <t>Maintenance capex</t>
        </is>
      </c>
      <c r="D121" s="19">
        <f>D57+D72+D87+D103+D114</f>
        <v/>
      </c>
      <c r="E121" s="19">
        <f>E57+E72+E87+E103+E114</f>
        <v/>
      </c>
      <c r="F121" s="19">
        <f>F57+F72+F87+F103+F114</f>
        <v/>
      </c>
      <c r="G121" s="19">
        <f>G57+G72+G87+G103+G114</f>
        <v/>
      </c>
      <c r="H121" s="19">
        <f>H57+H72+H87+H103+H114</f>
        <v/>
      </c>
      <c r="I121" s="19">
        <f>I57+I72+I87+I103+I114</f>
        <v/>
      </c>
      <c r="J121" s="19">
        <f>J57+J72+J87+J103+J114</f>
        <v/>
      </c>
      <c r="K121" s="19">
        <f>K57+K72+K87+K103+K114</f>
        <v/>
      </c>
      <c r="L121" s="19">
        <f>L57+L72+L87+L103+L114</f>
        <v/>
      </c>
      <c r="M121" s="19">
        <f>M57+M72+M87+M103+M114</f>
        <v/>
      </c>
      <c r="N121" s="19">
        <f>N57+N72+N87+N103+N114</f>
        <v/>
      </c>
      <c r="O121" s="19">
        <f>O57+O72+O87+O103+O114</f>
        <v/>
      </c>
      <c r="P121" s="19">
        <f>P57+P72+P87+P103+P114</f>
        <v/>
      </c>
      <c r="Q121" s="19">
        <f>Q57+Q72+Q87+Q103+Q114</f>
        <v/>
      </c>
      <c r="R121" s="19">
        <f>R57+R72+R87+R103+R114</f>
        <v/>
      </c>
      <c r="S121" s="19">
        <f>S57+S72+S87+S103+S114</f>
        <v/>
      </c>
      <c r="T121" s="19">
        <f>T57+T72+T87+T103+T114</f>
        <v/>
      </c>
      <c r="U121" s="19">
        <f>U57+U72+U87+U103+U114</f>
        <v/>
      </c>
      <c r="V121" s="19">
        <f>V57+V72+V87+V103+V114</f>
        <v/>
      </c>
      <c r="W121" s="19">
        <f>W57+W72+W87+W103+W114</f>
        <v/>
      </c>
      <c r="X121" s="19">
        <f>X57+X72+X87+X103+X114</f>
        <v/>
      </c>
      <c r="Y121" s="19">
        <f>Y57+Y72+Y87+Y103+Y114</f>
        <v/>
      </c>
      <c r="Z121" s="19">
        <f>Z57+Z72+Z87+Z103+Z114</f>
        <v/>
      </c>
      <c r="AA121" s="19">
        <f>AA57+AA72+AA87+AA103+AA114</f>
        <v/>
      </c>
      <c r="AB121" s="19">
        <f>AB57+AB72+AB87+AB103+AB114</f>
        <v/>
      </c>
      <c r="AC121" s="19">
        <f>AC57+AC72+AC87+AC103+AC114</f>
        <v/>
      </c>
      <c r="AD121" s="19">
        <f>AD57+AD72+AD87+AD103+AD114</f>
        <v/>
      </c>
      <c r="AE121" s="19">
        <f>AE57+AE72+AE87+AE103+AE114</f>
        <v/>
      </c>
      <c r="AF121" s="19">
        <f>AF57+AF72+AF87+AF103+AF114</f>
        <v/>
      </c>
      <c r="AG121" s="19">
        <f>AG57+AG72+AG87+AG103+AG114</f>
        <v/>
      </c>
      <c r="AH121" s="19">
        <f>AH57+AH72+AH87+AH103+AH114</f>
        <v/>
      </c>
      <c r="AI121" s="19">
        <f>AI57+AI72+AI87+AI103+AI114</f>
        <v/>
      </c>
    </row>
    <row r="122">
      <c r="B122" s="2" t="inlineStr">
        <is>
          <t>Growth capex</t>
        </is>
      </c>
      <c r="D122" s="19">
        <f>D105</f>
        <v/>
      </c>
      <c r="E122" s="19">
        <f>E105</f>
        <v/>
      </c>
      <c r="F122" s="19">
        <f>F105</f>
        <v/>
      </c>
      <c r="G122" s="19">
        <f>G105</f>
        <v/>
      </c>
      <c r="H122" s="19">
        <f>H105</f>
        <v/>
      </c>
      <c r="I122" s="19">
        <f>I105</f>
        <v/>
      </c>
      <c r="J122" s="19">
        <f>J105</f>
        <v/>
      </c>
      <c r="K122" s="19">
        <f>K105</f>
        <v/>
      </c>
      <c r="L122" s="19">
        <f>L105</f>
        <v/>
      </c>
      <c r="M122" s="19">
        <f>M105</f>
        <v/>
      </c>
      <c r="N122" s="19">
        <f>N105</f>
        <v/>
      </c>
      <c r="O122" s="19">
        <f>O105</f>
        <v/>
      </c>
      <c r="P122" s="19">
        <f>P105</f>
        <v/>
      </c>
      <c r="Q122" s="19">
        <f>Q105</f>
        <v/>
      </c>
      <c r="R122" s="19">
        <f>R105</f>
        <v/>
      </c>
      <c r="S122" s="19">
        <f>S105</f>
        <v/>
      </c>
      <c r="T122" s="19">
        <f>T105</f>
        <v/>
      </c>
      <c r="U122" s="19">
        <f>U105</f>
        <v/>
      </c>
      <c r="V122" s="19">
        <f>V105</f>
        <v/>
      </c>
      <c r="W122" s="19">
        <f>W105</f>
        <v/>
      </c>
      <c r="X122" s="19">
        <f>X105</f>
        <v/>
      </c>
      <c r="Y122" s="19">
        <f>Y105</f>
        <v/>
      </c>
      <c r="Z122" s="19">
        <f>Z105</f>
        <v/>
      </c>
      <c r="AA122" s="19">
        <f>AA105</f>
        <v/>
      </c>
      <c r="AB122" s="19">
        <f>AB105</f>
        <v/>
      </c>
      <c r="AC122" s="19">
        <f>AC105</f>
        <v/>
      </c>
      <c r="AD122" s="19">
        <f>AD105</f>
        <v/>
      </c>
      <c r="AE122" s="19">
        <f>AE105</f>
        <v/>
      </c>
      <c r="AF122" s="19">
        <f>AF105</f>
        <v/>
      </c>
      <c r="AG122" s="19">
        <f>AG105</f>
        <v/>
      </c>
      <c r="AH122" s="19">
        <f>AH105</f>
        <v/>
      </c>
      <c r="AI122" s="19">
        <f>AI105</f>
        <v/>
      </c>
    </row>
    <row r="123">
      <c r="B123" s="2" t="inlineStr">
        <is>
          <t>Tax depreciation</t>
        </is>
      </c>
      <c r="D123" s="19">
        <f>D121+IF(D$3&lt;=i_tax_dep_end,i_tax_dep_extra,0)</f>
        <v/>
      </c>
      <c r="E123" s="19">
        <f>E121+IF(E$3&lt;=i_tax_dep_end,i_tax_dep_extra,0)</f>
        <v/>
      </c>
      <c r="F123" s="19">
        <f>F121+IF(F$3&lt;=i_tax_dep_end,i_tax_dep_extra,0)</f>
        <v/>
      </c>
      <c r="G123" s="19">
        <f>G121+IF(G$3&lt;=i_tax_dep_end,i_tax_dep_extra,0)</f>
        <v/>
      </c>
      <c r="H123" s="19">
        <f>H121+IF(H$3&lt;=i_tax_dep_end,i_tax_dep_extra,0)</f>
        <v/>
      </c>
      <c r="I123" s="19">
        <f>I121+IF(I$3&lt;=i_tax_dep_end,i_tax_dep_extra,0)</f>
        <v/>
      </c>
      <c r="J123" s="19">
        <f>J121+IF(J$3&lt;=i_tax_dep_end,i_tax_dep_extra,0)</f>
        <v/>
      </c>
      <c r="K123" s="19">
        <f>K121+IF(K$3&lt;=i_tax_dep_end,i_tax_dep_extra,0)</f>
        <v/>
      </c>
      <c r="L123" s="19">
        <f>L121+IF(L$3&lt;=i_tax_dep_end,i_tax_dep_extra,0)</f>
        <v/>
      </c>
      <c r="M123" s="19">
        <f>M121+IF(M$3&lt;=i_tax_dep_end,i_tax_dep_extra,0)</f>
        <v/>
      </c>
      <c r="N123" s="19">
        <f>N121+IF(N$3&lt;=i_tax_dep_end,i_tax_dep_extra,0)</f>
        <v/>
      </c>
      <c r="O123" s="19">
        <f>O121+IF(O$3&lt;=i_tax_dep_end,i_tax_dep_extra,0)</f>
        <v/>
      </c>
      <c r="P123" s="19">
        <f>P121+IF(P$3&lt;=i_tax_dep_end,i_tax_dep_extra,0)</f>
        <v/>
      </c>
      <c r="Q123" s="19">
        <f>Q121+IF(Q$3&lt;=i_tax_dep_end,i_tax_dep_extra,0)</f>
        <v/>
      </c>
      <c r="R123" s="19">
        <f>R121+IF(R$3&lt;=i_tax_dep_end,i_tax_dep_extra,0)</f>
        <v/>
      </c>
      <c r="S123" s="19">
        <f>S121+IF(S$3&lt;=i_tax_dep_end,i_tax_dep_extra,0)</f>
        <v/>
      </c>
      <c r="T123" s="19">
        <f>T121+IF(T$3&lt;=i_tax_dep_end,i_tax_dep_extra,0)</f>
        <v/>
      </c>
      <c r="U123" s="19">
        <f>U121+IF(U$3&lt;=i_tax_dep_end,i_tax_dep_extra,0)</f>
        <v/>
      </c>
      <c r="V123" s="19">
        <f>V121+IF(V$3&lt;=i_tax_dep_end,i_tax_dep_extra,0)</f>
        <v/>
      </c>
      <c r="W123" s="19">
        <f>W121+IF(W$3&lt;=i_tax_dep_end,i_tax_dep_extra,0)</f>
        <v/>
      </c>
      <c r="X123" s="19">
        <f>X121+IF(X$3&lt;=i_tax_dep_end,i_tax_dep_extra,0)</f>
        <v/>
      </c>
      <c r="Y123" s="19">
        <f>Y121+IF(Y$3&lt;=i_tax_dep_end,i_tax_dep_extra,0)</f>
        <v/>
      </c>
      <c r="Z123" s="19">
        <f>Z121+IF(Z$3&lt;=i_tax_dep_end,i_tax_dep_extra,0)</f>
        <v/>
      </c>
      <c r="AA123" s="19">
        <f>AA121+IF(AA$3&lt;=i_tax_dep_end,i_tax_dep_extra,0)</f>
        <v/>
      </c>
      <c r="AB123" s="19">
        <f>AB121+IF(AB$3&lt;=i_tax_dep_end,i_tax_dep_extra,0)</f>
        <v/>
      </c>
      <c r="AC123" s="19">
        <f>AC121+IF(AC$3&lt;=i_tax_dep_end,i_tax_dep_extra,0)</f>
        <v/>
      </c>
      <c r="AD123" s="19">
        <f>AD121+IF(AD$3&lt;=i_tax_dep_end,i_tax_dep_extra,0)</f>
        <v/>
      </c>
      <c r="AE123" s="19">
        <f>AE121+IF(AE$3&lt;=i_tax_dep_end,i_tax_dep_extra,0)</f>
        <v/>
      </c>
      <c r="AF123" s="19">
        <f>AF121+IF(AF$3&lt;=i_tax_dep_end,i_tax_dep_extra,0)</f>
        <v/>
      </c>
      <c r="AG123" s="19">
        <f>AG121+IF(AG$3&lt;=i_tax_dep_end,i_tax_dep_extra,0)</f>
        <v/>
      </c>
      <c r="AH123" s="19">
        <f>AH121+IF(AH$3&lt;=i_tax_dep_end,i_tax_dep_extra,0)</f>
        <v/>
      </c>
      <c r="AI123" s="19">
        <f>AI121+IF(AI$3&lt;=i_tax_dep_end,i_tax_dep_extra,0)</f>
        <v/>
      </c>
    </row>
    <row r="124">
      <c r="B124" s="2" t="inlineStr">
        <is>
          <t>Unlevered cash tax</t>
        </is>
      </c>
      <c r="D124" s="19">
        <f>i_tax*MAX(0,D120-D123)</f>
        <v/>
      </c>
      <c r="E124" s="19">
        <f>i_tax*MAX(0,E120-E123)</f>
        <v/>
      </c>
      <c r="F124" s="19">
        <f>i_tax*MAX(0,F120-F123)</f>
        <v/>
      </c>
      <c r="G124" s="19">
        <f>i_tax*MAX(0,G120-G123)</f>
        <v/>
      </c>
      <c r="H124" s="19">
        <f>i_tax*MAX(0,H120-H123)</f>
        <v/>
      </c>
      <c r="I124" s="19">
        <f>i_tax*MAX(0,I120-I123)</f>
        <v/>
      </c>
      <c r="J124" s="19">
        <f>i_tax*MAX(0,J120-J123)</f>
        <v/>
      </c>
      <c r="K124" s="19">
        <f>i_tax*MAX(0,K120-K123)</f>
        <v/>
      </c>
      <c r="L124" s="19">
        <f>i_tax*MAX(0,L120-L123)</f>
        <v/>
      </c>
      <c r="M124" s="19">
        <f>i_tax*MAX(0,M120-M123)</f>
        <v/>
      </c>
      <c r="N124" s="19">
        <f>i_tax*MAX(0,N120-N123)</f>
        <v/>
      </c>
      <c r="O124" s="19">
        <f>i_tax*MAX(0,O120-O123)</f>
        <v/>
      </c>
      <c r="P124" s="19">
        <f>i_tax*MAX(0,P120-P123)</f>
        <v/>
      </c>
      <c r="Q124" s="19">
        <f>i_tax*MAX(0,Q120-Q123)</f>
        <v/>
      </c>
      <c r="R124" s="19">
        <f>i_tax*MAX(0,R120-R123)</f>
        <v/>
      </c>
      <c r="S124" s="19">
        <f>i_tax*MAX(0,S120-S123)</f>
        <v/>
      </c>
      <c r="T124" s="19">
        <f>i_tax*MAX(0,T120-T123)</f>
        <v/>
      </c>
      <c r="U124" s="19">
        <f>i_tax*MAX(0,U120-U123)</f>
        <v/>
      </c>
      <c r="V124" s="19">
        <f>i_tax*MAX(0,V120-V123)</f>
        <v/>
      </c>
      <c r="W124" s="19">
        <f>i_tax*MAX(0,W120-W123)</f>
        <v/>
      </c>
      <c r="X124" s="19">
        <f>i_tax*MAX(0,X120-X123)</f>
        <v/>
      </c>
      <c r="Y124" s="19">
        <f>i_tax*MAX(0,Y120-Y123)</f>
        <v/>
      </c>
      <c r="Z124" s="19">
        <f>i_tax*MAX(0,Z120-Z123)</f>
        <v/>
      </c>
      <c r="AA124" s="19">
        <f>i_tax*MAX(0,AA120-AA123)</f>
        <v/>
      </c>
      <c r="AB124" s="19">
        <f>i_tax*MAX(0,AB120-AB123)</f>
        <v/>
      </c>
      <c r="AC124" s="19">
        <f>i_tax*MAX(0,AC120-AC123)</f>
        <v/>
      </c>
      <c r="AD124" s="19">
        <f>i_tax*MAX(0,AD120-AD123)</f>
        <v/>
      </c>
      <c r="AE124" s="19">
        <f>i_tax*MAX(0,AE120-AE123)</f>
        <v/>
      </c>
      <c r="AF124" s="19">
        <f>i_tax*MAX(0,AF120-AF123)</f>
        <v/>
      </c>
      <c r="AG124" s="19">
        <f>i_tax*MAX(0,AG120-AG123)</f>
        <v/>
      </c>
      <c r="AH124" s="19">
        <f>i_tax*MAX(0,AH120-AH123)</f>
        <v/>
      </c>
      <c r="AI124" s="19">
        <f>i_tax*MAX(0,AI120-AI123)</f>
        <v/>
      </c>
    </row>
    <row r="125">
      <c r="B125" s="2" t="inlineStr">
        <is>
          <t>Westerhaven handback works</t>
        </is>
      </c>
      <c r="D125" s="19">
        <f>IF(AND(Sensitivities!$C$35=0,D$3=i_conc_end),i_handback*D38,0)</f>
        <v/>
      </c>
      <c r="E125" s="19">
        <f>IF(AND(Sensitivities!$C$35=0,E$3=i_conc_end),i_handback*E38,0)</f>
        <v/>
      </c>
      <c r="F125" s="19">
        <f>IF(AND(Sensitivities!$C$35=0,F$3=i_conc_end),i_handback*F38,0)</f>
        <v/>
      </c>
      <c r="G125" s="19">
        <f>IF(AND(Sensitivities!$C$35=0,G$3=i_conc_end),i_handback*G38,0)</f>
        <v/>
      </c>
      <c r="H125" s="19">
        <f>IF(AND(Sensitivities!$C$35=0,H$3=i_conc_end),i_handback*H38,0)</f>
        <v/>
      </c>
      <c r="I125" s="19">
        <f>IF(AND(Sensitivities!$C$35=0,I$3=i_conc_end),i_handback*I38,0)</f>
        <v/>
      </c>
      <c r="J125" s="19">
        <f>IF(AND(Sensitivities!$C$35=0,J$3=i_conc_end),i_handback*J38,0)</f>
        <v/>
      </c>
      <c r="K125" s="19">
        <f>IF(AND(Sensitivities!$C$35=0,K$3=i_conc_end),i_handback*K38,0)</f>
        <v/>
      </c>
      <c r="L125" s="19">
        <f>IF(AND(Sensitivities!$C$35=0,L$3=i_conc_end),i_handback*L38,0)</f>
        <v/>
      </c>
      <c r="M125" s="19">
        <f>IF(AND(Sensitivities!$C$35=0,M$3=i_conc_end),i_handback*M38,0)</f>
        <v/>
      </c>
      <c r="N125" s="19">
        <f>IF(AND(Sensitivities!$C$35=0,N$3=i_conc_end),i_handback*N38,0)</f>
        <v/>
      </c>
      <c r="O125" s="19">
        <f>IF(AND(Sensitivities!$C$35=0,O$3=i_conc_end),i_handback*O38,0)</f>
        <v/>
      </c>
      <c r="P125" s="19">
        <f>IF(AND(Sensitivities!$C$35=0,P$3=i_conc_end),i_handback*P38,0)</f>
        <v/>
      </c>
      <c r="Q125" s="19">
        <f>IF(AND(Sensitivities!$C$35=0,Q$3=i_conc_end),i_handback*Q38,0)</f>
        <v/>
      </c>
      <c r="R125" s="19">
        <f>IF(AND(Sensitivities!$C$35=0,R$3=i_conc_end),i_handback*R38,0)</f>
        <v/>
      </c>
      <c r="S125" s="19">
        <f>IF(AND(Sensitivities!$C$35=0,S$3=i_conc_end),i_handback*S38,0)</f>
        <v/>
      </c>
      <c r="T125" s="19">
        <f>IF(AND(Sensitivities!$C$35=0,T$3=i_conc_end),i_handback*T38,0)</f>
        <v/>
      </c>
      <c r="U125" s="19">
        <f>IF(AND(Sensitivities!$C$35=0,U$3=i_conc_end),i_handback*U38,0)</f>
        <v/>
      </c>
      <c r="V125" s="19">
        <f>IF(AND(Sensitivities!$C$35=0,V$3=i_conc_end),i_handback*V38,0)</f>
        <v/>
      </c>
      <c r="W125" s="19">
        <f>IF(AND(Sensitivities!$C$35=0,W$3=i_conc_end),i_handback*W38,0)</f>
        <v/>
      </c>
      <c r="X125" s="19">
        <f>IF(AND(Sensitivities!$C$35=0,X$3=i_conc_end),i_handback*X38,0)</f>
        <v/>
      </c>
      <c r="Y125" s="19">
        <f>IF(AND(Sensitivities!$C$35=0,Y$3=i_conc_end),i_handback*Y38,0)</f>
        <v/>
      </c>
      <c r="Z125" s="19">
        <f>IF(AND(Sensitivities!$C$35=0,Z$3=i_conc_end),i_handback*Z38,0)</f>
        <v/>
      </c>
      <c r="AA125" s="19">
        <f>IF(AND(Sensitivities!$C$35=0,AA$3=i_conc_end),i_handback*AA38,0)</f>
        <v/>
      </c>
      <c r="AB125" s="19">
        <f>IF(AND(Sensitivities!$C$35=0,AB$3=i_conc_end),i_handback*AB38,0)</f>
        <v/>
      </c>
      <c r="AC125" s="19">
        <f>IF(AND(Sensitivities!$C$35=0,AC$3=i_conc_end),i_handback*AC38,0)</f>
        <v/>
      </c>
      <c r="AD125" s="19">
        <f>IF(AND(Sensitivities!$C$35=0,AD$3=i_conc_end),i_handback*AD38,0)</f>
        <v/>
      </c>
      <c r="AE125" s="19">
        <f>IF(AND(Sensitivities!$C$35=0,AE$3=i_conc_end),i_handback*AE38,0)</f>
        <v/>
      </c>
      <c r="AF125" s="19">
        <f>IF(AND(Sensitivities!$C$35=0,AF$3=i_conc_end),i_handback*AF38,0)</f>
        <v/>
      </c>
      <c r="AG125" s="19">
        <f>IF(AND(Sensitivities!$C$35=0,AG$3=i_conc_end),i_handback*AG38,0)</f>
        <v/>
      </c>
      <c r="AH125" s="19">
        <f>IF(AND(Sensitivities!$C$35=0,AH$3=i_conc_end),i_handback*AH38,0)</f>
        <v/>
      </c>
      <c r="AI125" s="19">
        <f>IF(AND(Sensitivities!$C$35=0,AI$3=i_conc_end),i_handback*AI38,0)</f>
        <v/>
      </c>
    </row>
    <row r="126">
      <c r="B126" s="3" t="inlineStr">
        <is>
          <t>Free cash flow (unlevered)</t>
        </is>
      </c>
      <c r="D126" s="31">
        <f>D120-D121-D122-D124-D125</f>
        <v/>
      </c>
      <c r="E126" s="31">
        <f>E120-E121-E122-E124-E125</f>
        <v/>
      </c>
      <c r="F126" s="31">
        <f>F120-F121-F122-F124-F125</f>
        <v/>
      </c>
      <c r="G126" s="31">
        <f>G120-G121-G122-G124-G125</f>
        <v/>
      </c>
      <c r="H126" s="31">
        <f>H120-H121-H122-H124-H125</f>
        <v/>
      </c>
      <c r="I126" s="31">
        <f>I120-I121-I122-I124-I125</f>
        <v/>
      </c>
      <c r="J126" s="31">
        <f>J120-J121-J122-J124-J125</f>
        <v/>
      </c>
      <c r="K126" s="31">
        <f>K120-K121-K122-K124-K125</f>
        <v/>
      </c>
      <c r="L126" s="31">
        <f>L120-L121-L122-L124-L125</f>
        <v/>
      </c>
      <c r="M126" s="31">
        <f>M120-M121-M122-M124-M125</f>
        <v/>
      </c>
      <c r="N126" s="31">
        <f>N120-N121-N122-N124-N125</f>
        <v/>
      </c>
      <c r="O126" s="31">
        <f>O120-O121-O122-O124-O125</f>
        <v/>
      </c>
      <c r="P126" s="31">
        <f>P120-P121-P122-P124-P125</f>
        <v/>
      </c>
      <c r="Q126" s="31">
        <f>Q120-Q121-Q122-Q124-Q125</f>
        <v/>
      </c>
      <c r="R126" s="31">
        <f>R120-R121-R122-R124-R125</f>
        <v/>
      </c>
      <c r="S126" s="31">
        <f>S120-S121-S122-S124-S125</f>
        <v/>
      </c>
      <c r="T126" s="31">
        <f>T120-T121-T122-T124-T125</f>
        <v/>
      </c>
      <c r="U126" s="31">
        <f>U120-U121-U122-U124-U125</f>
        <v/>
      </c>
      <c r="V126" s="31">
        <f>V120-V121-V122-V124-V125</f>
        <v/>
      </c>
      <c r="W126" s="31">
        <f>W120-W121-W122-W124-W125</f>
        <v/>
      </c>
      <c r="X126" s="31">
        <f>X120-X121-X122-X124-X125</f>
        <v/>
      </c>
      <c r="Y126" s="31">
        <f>Y120-Y121-Y122-Y124-Y125</f>
        <v/>
      </c>
      <c r="Z126" s="31">
        <f>Z120-Z121-Z122-Z124-Z125</f>
        <v/>
      </c>
      <c r="AA126" s="31">
        <f>AA120-AA121-AA122-AA124-AA125</f>
        <v/>
      </c>
      <c r="AB126" s="31">
        <f>AB120-AB121-AB122-AB124-AB125</f>
        <v/>
      </c>
      <c r="AC126" s="31">
        <f>AC120-AC121-AC122-AC124-AC125</f>
        <v/>
      </c>
      <c r="AD126" s="31">
        <f>AD120-AD121-AD122-AD124-AD125</f>
        <v/>
      </c>
      <c r="AE126" s="31">
        <f>AE120-AE121-AE122-AE124-AE125</f>
        <v/>
      </c>
      <c r="AF126" s="31">
        <f>AF120-AF121-AF122-AF124-AF125</f>
        <v/>
      </c>
      <c r="AG126" s="31">
        <f>AG120-AG121-AG122-AG124-AG125</f>
        <v/>
      </c>
      <c r="AH126" s="31">
        <f>AH120-AH121-AH122-AH124-AH125</f>
        <v/>
      </c>
      <c r="AI126" s="31">
        <f>AI120-AI121-AI122-AI124-AI125</f>
        <v/>
      </c>
    </row>
    <row r="127">
      <c r="B127" s="2" t="inlineStr">
        <is>
          <t>Present value at the discount rate (2027 to 2056)</t>
        </is>
      </c>
      <c r="D127" s="19">
        <f>IF(AND(D$3&gt;i_base_year,D$3&lt;=i_last),D126/(1+i_r)^D$4,0)</f>
        <v/>
      </c>
      <c r="E127" s="19">
        <f>IF(AND(E$3&gt;i_base_year,E$3&lt;=i_last),E126/(1+i_r)^E$4,0)</f>
        <v/>
      </c>
      <c r="F127" s="19">
        <f>IF(AND(F$3&gt;i_base_year,F$3&lt;=i_last),F126/(1+i_r)^F$4,0)</f>
        <v/>
      </c>
      <c r="G127" s="19">
        <f>IF(AND(G$3&gt;i_base_year,G$3&lt;=i_last),G126/(1+i_r)^G$4,0)</f>
        <v/>
      </c>
      <c r="H127" s="19">
        <f>IF(AND(H$3&gt;i_base_year,H$3&lt;=i_last),H126/(1+i_r)^H$4,0)</f>
        <v/>
      </c>
      <c r="I127" s="19">
        <f>IF(AND(I$3&gt;i_base_year,I$3&lt;=i_last),I126/(1+i_r)^I$4,0)</f>
        <v/>
      </c>
      <c r="J127" s="19">
        <f>IF(AND(J$3&gt;i_base_year,J$3&lt;=i_last),J126/(1+i_r)^J$4,0)</f>
        <v/>
      </c>
      <c r="K127" s="19">
        <f>IF(AND(K$3&gt;i_base_year,K$3&lt;=i_last),K126/(1+i_r)^K$4,0)</f>
        <v/>
      </c>
      <c r="L127" s="19">
        <f>IF(AND(L$3&gt;i_base_year,L$3&lt;=i_last),L126/(1+i_r)^L$4,0)</f>
        <v/>
      </c>
      <c r="M127" s="19">
        <f>IF(AND(M$3&gt;i_base_year,M$3&lt;=i_last),M126/(1+i_r)^M$4,0)</f>
        <v/>
      </c>
      <c r="N127" s="19">
        <f>IF(AND(N$3&gt;i_base_year,N$3&lt;=i_last),N126/(1+i_r)^N$4,0)</f>
        <v/>
      </c>
      <c r="O127" s="19">
        <f>IF(AND(O$3&gt;i_base_year,O$3&lt;=i_last),O126/(1+i_r)^O$4,0)</f>
        <v/>
      </c>
      <c r="P127" s="19">
        <f>IF(AND(P$3&gt;i_base_year,P$3&lt;=i_last),P126/(1+i_r)^P$4,0)</f>
        <v/>
      </c>
      <c r="Q127" s="19">
        <f>IF(AND(Q$3&gt;i_base_year,Q$3&lt;=i_last),Q126/(1+i_r)^Q$4,0)</f>
        <v/>
      </c>
      <c r="R127" s="19">
        <f>IF(AND(R$3&gt;i_base_year,R$3&lt;=i_last),R126/(1+i_r)^R$4,0)</f>
        <v/>
      </c>
      <c r="S127" s="19">
        <f>IF(AND(S$3&gt;i_base_year,S$3&lt;=i_last),S126/(1+i_r)^S$4,0)</f>
        <v/>
      </c>
      <c r="T127" s="19">
        <f>IF(AND(T$3&gt;i_base_year,T$3&lt;=i_last),T126/(1+i_r)^T$4,0)</f>
        <v/>
      </c>
      <c r="U127" s="19">
        <f>IF(AND(U$3&gt;i_base_year,U$3&lt;=i_last),U126/(1+i_r)^U$4,0)</f>
        <v/>
      </c>
      <c r="V127" s="19">
        <f>IF(AND(V$3&gt;i_base_year,V$3&lt;=i_last),V126/(1+i_r)^V$4,0)</f>
        <v/>
      </c>
      <c r="W127" s="19">
        <f>IF(AND(W$3&gt;i_base_year,W$3&lt;=i_last),W126/(1+i_r)^W$4,0)</f>
        <v/>
      </c>
      <c r="X127" s="19">
        <f>IF(AND(X$3&gt;i_base_year,X$3&lt;=i_last),X126/(1+i_r)^X$4,0)</f>
        <v/>
      </c>
      <c r="Y127" s="19">
        <f>IF(AND(Y$3&gt;i_base_year,Y$3&lt;=i_last),Y126/(1+i_r)^Y$4,0)</f>
        <v/>
      </c>
      <c r="Z127" s="19">
        <f>IF(AND(Z$3&gt;i_base_year,Z$3&lt;=i_last),Z126/(1+i_r)^Z$4,0)</f>
        <v/>
      </c>
      <c r="AA127" s="19">
        <f>IF(AND(AA$3&gt;i_base_year,AA$3&lt;=i_last),AA126/(1+i_r)^AA$4,0)</f>
        <v/>
      </c>
      <c r="AB127" s="19">
        <f>IF(AND(AB$3&gt;i_base_year,AB$3&lt;=i_last),AB126/(1+i_r)^AB$4,0)</f>
        <v/>
      </c>
      <c r="AC127" s="19">
        <f>IF(AND(AC$3&gt;i_base_year,AC$3&lt;=i_last),AC126/(1+i_r)^AC$4,0)</f>
        <v/>
      </c>
      <c r="AD127" s="19">
        <f>IF(AND(AD$3&gt;i_base_year,AD$3&lt;=i_last),AD126/(1+i_r)^AD$4,0)</f>
        <v/>
      </c>
      <c r="AE127" s="19">
        <f>IF(AND(AE$3&gt;i_base_year,AE$3&lt;=i_last),AE126/(1+i_r)^AE$4,0)</f>
        <v/>
      </c>
      <c r="AF127" s="19">
        <f>IF(AND(AF$3&gt;i_base_year,AF$3&lt;=i_last),AF126/(1+i_r)^AF$4,0)</f>
        <v/>
      </c>
      <c r="AG127" s="19">
        <f>IF(AND(AG$3&gt;i_base_year,AG$3&lt;=i_last),AG126/(1+i_r)^AG$4,0)</f>
        <v/>
      </c>
      <c r="AH127" s="19">
        <f>IF(AND(AH$3&gt;i_base_year,AH$3&lt;=i_last),AH126/(1+i_r)^AH$4,0)</f>
        <v/>
      </c>
      <c r="AI127" s="19">
        <f>IF(AND(AI$3&gt;i_base_year,AI$3&lt;=i_last),AI126/(1+i_r)^AI$4,0)</f>
        <v/>
      </c>
    </row>
    <row r="128">
      <c r="B128" s="2" t="inlineStr">
        <is>
          <t>Present value of 2027 to 2056 free cash flow</t>
        </is>
      </c>
      <c r="C128" s="19">
        <f>SUM(D127:AI127)</f>
        <v/>
      </c>
    </row>
    <row r="129">
      <c r="B129" s="2" t="inlineStr">
        <is>
          <t>Terminal value at the end of 2056 (on 2057 free cash flow)</t>
        </is>
      </c>
      <c r="C129" s="19">
        <f>AI126/(i_r-i_g)</f>
        <v/>
      </c>
    </row>
    <row r="130">
      <c r="B130" s="2" t="inlineStr">
        <is>
          <t>Present value of the terminal value</t>
        </is>
      </c>
      <c r="C130" s="19">
        <f>C129/(1+i_r)^(i_last-i_base_year)</f>
        <v/>
      </c>
    </row>
    <row r="131">
      <c r="B131" s="3" t="inlineStr">
        <is>
          <t>Enterprise value at 31 December 2026</t>
        </is>
      </c>
      <c r="C131" s="31">
        <f>C128+C130</f>
        <v/>
      </c>
    </row>
    <row r="134">
      <c r="B134" s="5" t="inlineStr">
        <is>
          <t>Platform case: Inflation 1.5%</t>
        </is>
      </c>
    </row>
    <row r="135">
      <c r="B135" s="4" t="inlineStr">
        <is>
          <t>Inflation</t>
        </is>
      </c>
      <c r="C135" s="27">
        <f>Inputs!$N$219</f>
        <v/>
      </c>
    </row>
    <row r="136">
      <c r="B136" s="4" t="inlineStr">
        <is>
          <t>Buyer's recontracting rates (1) or seller's plan rates (0)</t>
        </is>
      </c>
      <c r="C136" s="26">
        <f>Inputs!$N$220</f>
        <v/>
      </c>
    </row>
    <row r="137">
      <c r="B137" s="4" t="inlineStr">
        <is>
          <t>Largest Westerhaven customer leaves (1/0)</t>
        </is>
      </c>
      <c r="C137" s="26">
        <f>Inputs!$N$221</f>
        <v/>
      </c>
    </row>
    <row r="138">
      <c r="B138" s="4" t="inlineStr">
        <is>
          <t>Jetty 3 refurbishment (1/0)</t>
        </is>
      </c>
      <c r="C138" s="26">
        <f>Inputs!$N$222</f>
        <v/>
      </c>
    </row>
    <row r="139">
      <c r="B139" s="4" t="inlineStr">
        <is>
          <t>Sabine Bend extra insurance (1/0)</t>
        </is>
      </c>
      <c r="C139" s="26">
        <f>Inputs!$N$223</f>
        <v/>
      </c>
    </row>
    <row r="140">
      <c r="B140" s="4" t="inlineStr">
        <is>
          <t>Expansion built (1/0)</t>
        </is>
      </c>
      <c r="C140" s="26">
        <f>Inputs!$N$224</f>
        <v/>
      </c>
    </row>
    <row r="141">
      <c r="B141" s="4" t="inlineStr">
        <is>
          <t>Occupancy shift from 2027</t>
        </is>
      </c>
      <c r="C141" s="27">
        <f>Inputs!$N$225</f>
        <v/>
      </c>
    </row>
    <row r="142">
      <c r="B142" s="4" t="inlineStr">
        <is>
          <t>Recontracting shift</t>
        </is>
      </c>
      <c r="C142" s="27">
        <f>Inputs!$N$226</f>
        <v/>
      </c>
    </row>
    <row r="143">
      <c r="B143" s="4" t="inlineStr">
        <is>
          <t>Concession renewed (1/0)</t>
        </is>
      </c>
      <c r="C143" s="26">
        <f>Inputs!$N$227</f>
        <v/>
      </c>
    </row>
    <row r="144">
      <c r="B144" s="4" t="inlineStr">
        <is>
          <t>Westerhaven capacity multiplier</t>
        </is>
      </c>
      <c r="C144" s="28">
        <f>Inputs!$N$228</f>
        <v/>
      </c>
    </row>
    <row r="145">
      <c r="B145" s="4" t="inlineStr">
        <is>
          <t>Extra yearly cost from 2028 ($m, 2026 dollars)</t>
        </is>
      </c>
      <c r="C145" s="29">
        <f>Inputs!$N$229</f>
        <v/>
      </c>
    </row>
    <row r="146">
      <c r="B146" s="2" t="inlineStr">
        <is>
          <t>Cost index (inflation)</t>
        </is>
      </c>
      <c r="D146" s="30">
        <f>(1+Sensitivities!$C$135)^D$4</f>
        <v/>
      </c>
      <c r="E146" s="30">
        <f>(1+Sensitivities!$C$135)^E$4</f>
        <v/>
      </c>
      <c r="F146" s="30">
        <f>(1+Sensitivities!$C$135)^F$4</f>
        <v/>
      </c>
      <c r="G146" s="30">
        <f>(1+Sensitivities!$C$135)^G$4</f>
        <v/>
      </c>
      <c r="H146" s="30">
        <f>(1+Sensitivities!$C$135)^H$4</f>
        <v/>
      </c>
      <c r="I146" s="30">
        <f>(1+Sensitivities!$C$135)^I$4</f>
        <v/>
      </c>
      <c r="J146" s="30">
        <f>(1+Sensitivities!$C$135)^J$4</f>
        <v/>
      </c>
      <c r="K146" s="30">
        <f>(1+Sensitivities!$C$135)^K$4</f>
        <v/>
      </c>
      <c r="L146" s="30">
        <f>(1+Sensitivities!$C$135)^L$4</f>
        <v/>
      </c>
      <c r="M146" s="30">
        <f>(1+Sensitivities!$C$135)^M$4</f>
        <v/>
      </c>
      <c r="N146" s="30">
        <f>(1+Sensitivities!$C$135)^N$4</f>
        <v/>
      </c>
      <c r="O146" s="30">
        <f>(1+Sensitivities!$C$135)^O$4</f>
        <v/>
      </c>
      <c r="P146" s="30">
        <f>(1+Sensitivities!$C$135)^P$4</f>
        <v/>
      </c>
      <c r="Q146" s="30">
        <f>(1+Sensitivities!$C$135)^Q$4</f>
        <v/>
      </c>
      <c r="R146" s="30">
        <f>(1+Sensitivities!$C$135)^R$4</f>
        <v/>
      </c>
      <c r="S146" s="30">
        <f>(1+Sensitivities!$C$135)^S$4</f>
        <v/>
      </c>
      <c r="T146" s="30">
        <f>(1+Sensitivities!$C$135)^T$4</f>
        <v/>
      </c>
      <c r="U146" s="30">
        <f>(1+Sensitivities!$C$135)^U$4</f>
        <v/>
      </c>
      <c r="V146" s="30">
        <f>(1+Sensitivities!$C$135)^V$4</f>
        <v/>
      </c>
      <c r="W146" s="30">
        <f>(1+Sensitivities!$C$135)^W$4</f>
        <v/>
      </c>
      <c r="X146" s="30">
        <f>(1+Sensitivities!$C$135)^X$4</f>
        <v/>
      </c>
      <c r="Y146" s="30">
        <f>(1+Sensitivities!$C$135)^Y$4</f>
        <v/>
      </c>
      <c r="Z146" s="30">
        <f>(1+Sensitivities!$C$135)^Z$4</f>
        <v/>
      </c>
      <c r="AA146" s="30">
        <f>(1+Sensitivities!$C$135)^AA$4</f>
        <v/>
      </c>
      <c r="AB146" s="30">
        <f>(1+Sensitivities!$C$135)^AB$4</f>
        <v/>
      </c>
      <c r="AC146" s="30">
        <f>(1+Sensitivities!$C$135)^AC$4</f>
        <v/>
      </c>
      <c r="AD146" s="30">
        <f>(1+Sensitivities!$C$135)^AD$4</f>
        <v/>
      </c>
      <c r="AE146" s="30">
        <f>(1+Sensitivities!$C$135)^AE$4</f>
        <v/>
      </c>
      <c r="AF146" s="30">
        <f>(1+Sensitivities!$C$135)^AF$4</f>
        <v/>
      </c>
      <c r="AG146" s="30">
        <f>(1+Sensitivities!$C$135)^AG$4</f>
        <v/>
      </c>
      <c r="AH146" s="30">
        <f>(1+Sensitivities!$C$135)^AH$4</f>
        <v/>
      </c>
      <c r="AI146" s="30">
        <f>(1+Sensitivities!$C$135)^AI$4</f>
        <v/>
      </c>
    </row>
    <row r="147">
      <c r="B147" s="2" t="inlineStr">
        <is>
          <t>Rate index (inflation x pass-through)</t>
        </is>
      </c>
      <c r="D147" s="30">
        <f>(1+Sensitivities!$C$135*i_index_share)^D$4</f>
        <v/>
      </c>
      <c r="E147" s="30">
        <f>(1+Sensitivities!$C$135*i_index_share)^E$4</f>
        <v/>
      </c>
      <c r="F147" s="30">
        <f>(1+Sensitivities!$C$135*i_index_share)^F$4</f>
        <v/>
      </c>
      <c r="G147" s="30">
        <f>(1+Sensitivities!$C$135*i_index_share)^G$4</f>
        <v/>
      </c>
      <c r="H147" s="30">
        <f>(1+Sensitivities!$C$135*i_index_share)^H$4</f>
        <v/>
      </c>
      <c r="I147" s="30">
        <f>(1+Sensitivities!$C$135*i_index_share)^I$4</f>
        <v/>
      </c>
      <c r="J147" s="30">
        <f>(1+Sensitivities!$C$135*i_index_share)^J$4</f>
        <v/>
      </c>
      <c r="K147" s="30">
        <f>(1+Sensitivities!$C$135*i_index_share)^K$4</f>
        <v/>
      </c>
      <c r="L147" s="30">
        <f>(1+Sensitivities!$C$135*i_index_share)^L$4</f>
        <v/>
      </c>
      <c r="M147" s="30">
        <f>(1+Sensitivities!$C$135*i_index_share)^M$4</f>
        <v/>
      </c>
      <c r="N147" s="30">
        <f>(1+Sensitivities!$C$135*i_index_share)^N$4</f>
        <v/>
      </c>
      <c r="O147" s="30">
        <f>(1+Sensitivities!$C$135*i_index_share)^O$4</f>
        <v/>
      </c>
      <c r="P147" s="30">
        <f>(1+Sensitivities!$C$135*i_index_share)^P$4</f>
        <v/>
      </c>
      <c r="Q147" s="30">
        <f>(1+Sensitivities!$C$135*i_index_share)^Q$4</f>
        <v/>
      </c>
      <c r="R147" s="30">
        <f>(1+Sensitivities!$C$135*i_index_share)^R$4</f>
        <v/>
      </c>
      <c r="S147" s="30">
        <f>(1+Sensitivities!$C$135*i_index_share)^S$4</f>
        <v/>
      </c>
      <c r="T147" s="30">
        <f>(1+Sensitivities!$C$135*i_index_share)^T$4</f>
        <v/>
      </c>
      <c r="U147" s="30">
        <f>(1+Sensitivities!$C$135*i_index_share)^U$4</f>
        <v/>
      </c>
      <c r="V147" s="30">
        <f>(1+Sensitivities!$C$135*i_index_share)^V$4</f>
        <v/>
      </c>
      <c r="W147" s="30">
        <f>(1+Sensitivities!$C$135*i_index_share)^W$4</f>
        <v/>
      </c>
      <c r="X147" s="30">
        <f>(1+Sensitivities!$C$135*i_index_share)^X$4</f>
        <v/>
      </c>
      <c r="Y147" s="30">
        <f>(1+Sensitivities!$C$135*i_index_share)^Y$4</f>
        <v/>
      </c>
      <c r="Z147" s="30">
        <f>(1+Sensitivities!$C$135*i_index_share)^Z$4</f>
        <v/>
      </c>
      <c r="AA147" s="30">
        <f>(1+Sensitivities!$C$135*i_index_share)^AA$4</f>
        <v/>
      </c>
      <c r="AB147" s="30">
        <f>(1+Sensitivities!$C$135*i_index_share)^AB$4</f>
        <v/>
      </c>
      <c r="AC147" s="30">
        <f>(1+Sensitivities!$C$135*i_index_share)^AC$4</f>
        <v/>
      </c>
      <c r="AD147" s="30">
        <f>(1+Sensitivities!$C$135*i_index_share)^AD$4</f>
        <v/>
      </c>
      <c r="AE147" s="30">
        <f>(1+Sensitivities!$C$135*i_index_share)^AE$4</f>
        <v/>
      </c>
      <c r="AF147" s="30">
        <f>(1+Sensitivities!$C$135*i_index_share)^AF$4</f>
        <v/>
      </c>
      <c r="AG147" s="30">
        <f>(1+Sensitivities!$C$135*i_index_share)^AG$4</f>
        <v/>
      </c>
      <c r="AH147" s="30">
        <f>(1+Sensitivities!$C$135*i_index_share)^AH$4</f>
        <v/>
      </c>
      <c r="AI147" s="30">
        <f>(1+Sensitivities!$C$135*i_index_share)^AI$4</f>
        <v/>
      </c>
    </row>
    <row r="148">
      <c r="B148" s="3" t="inlineStr">
        <is>
          <t>Westerhaven</t>
        </is>
      </c>
    </row>
    <row r="149">
      <c r="B149" s="2" t="inlineStr">
        <is>
          <t xml:space="preserve">  Concession in force (1/0)</t>
        </is>
      </c>
      <c r="D149" s="22">
        <f>IF(Sensitivities!$C$143=1,1,IF(D$3&lt;=i_conc_end,1,0))</f>
        <v/>
      </c>
      <c r="E149" s="22">
        <f>IF(Sensitivities!$C$143=1,1,IF(E$3&lt;=i_conc_end,1,0))</f>
        <v/>
      </c>
      <c r="F149" s="22">
        <f>IF(Sensitivities!$C$143=1,1,IF(F$3&lt;=i_conc_end,1,0))</f>
        <v/>
      </c>
      <c r="G149" s="22">
        <f>IF(Sensitivities!$C$143=1,1,IF(G$3&lt;=i_conc_end,1,0))</f>
        <v/>
      </c>
      <c r="H149" s="22">
        <f>IF(Sensitivities!$C$143=1,1,IF(H$3&lt;=i_conc_end,1,0))</f>
        <v/>
      </c>
      <c r="I149" s="22">
        <f>IF(Sensitivities!$C$143=1,1,IF(I$3&lt;=i_conc_end,1,0))</f>
        <v/>
      </c>
      <c r="J149" s="22">
        <f>IF(Sensitivities!$C$143=1,1,IF(J$3&lt;=i_conc_end,1,0))</f>
        <v/>
      </c>
      <c r="K149" s="22">
        <f>IF(Sensitivities!$C$143=1,1,IF(K$3&lt;=i_conc_end,1,0))</f>
        <v/>
      </c>
      <c r="L149" s="22">
        <f>IF(Sensitivities!$C$143=1,1,IF(L$3&lt;=i_conc_end,1,0))</f>
        <v/>
      </c>
      <c r="M149" s="22">
        <f>IF(Sensitivities!$C$143=1,1,IF(M$3&lt;=i_conc_end,1,0))</f>
        <v/>
      </c>
      <c r="N149" s="22">
        <f>IF(Sensitivities!$C$143=1,1,IF(N$3&lt;=i_conc_end,1,0))</f>
        <v/>
      </c>
      <c r="O149" s="22">
        <f>IF(Sensitivities!$C$143=1,1,IF(O$3&lt;=i_conc_end,1,0))</f>
        <v/>
      </c>
      <c r="P149" s="22">
        <f>IF(Sensitivities!$C$143=1,1,IF(P$3&lt;=i_conc_end,1,0))</f>
        <v/>
      </c>
      <c r="Q149" s="22">
        <f>IF(Sensitivities!$C$143=1,1,IF(Q$3&lt;=i_conc_end,1,0))</f>
        <v/>
      </c>
      <c r="R149" s="22">
        <f>IF(Sensitivities!$C$143=1,1,IF(R$3&lt;=i_conc_end,1,0))</f>
        <v/>
      </c>
      <c r="S149" s="22">
        <f>IF(Sensitivities!$C$143=1,1,IF(S$3&lt;=i_conc_end,1,0))</f>
        <v/>
      </c>
      <c r="T149" s="22">
        <f>IF(Sensitivities!$C$143=1,1,IF(T$3&lt;=i_conc_end,1,0))</f>
        <v/>
      </c>
      <c r="U149" s="22">
        <f>IF(Sensitivities!$C$143=1,1,IF(U$3&lt;=i_conc_end,1,0))</f>
        <v/>
      </c>
      <c r="V149" s="22">
        <f>IF(Sensitivities!$C$143=1,1,IF(V$3&lt;=i_conc_end,1,0))</f>
        <v/>
      </c>
      <c r="W149" s="22">
        <f>IF(Sensitivities!$C$143=1,1,IF(W$3&lt;=i_conc_end,1,0))</f>
        <v/>
      </c>
      <c r="X149" s="22">
        <f>IF(Sensitivities!$C$143=1,1,IF(X$3&lt;=i_conc_end,1,0))</f>
        <v/>
      </c>
      <c r="Y149" s="22">
        <f>IF(Sensitivities!$C$143=1,1,IF(Y$3&lt;=i_conc_end,1,0))</f>
        <v/>
      </c>
      <c r="Z149" s="22">
        <f>IF(Sensitivities!$C$143=1,1,IF(Z$3&lt;=i_conc_end,1,0))</f>
        <v/>
      </c>
      <c r="AA149" s="22">
        <f>IF(Sensitivities!$C$143=1,1,IF(AA$3&lt;=i_conc_end,1,0))</f>
        <v/>
      </c>
      <c r="AB149" s="22">
        <f>IF(Sensitivities!$C$143=1,1,IF(AB$3&lt;=i_conc_end,1,0))</f>
        <v/>
      </c>
      <c r="AC149" s="22">
        <f>IF(Sensitivities!$C$143=1,1,IF(AC$3&lt;=i_conc_end,1,0))</f>
        <v/>
      </c>
      <c r="AD149" s="22">
        <f>IF(Sensitivities!$C$143=1,1,IF(AD$3&lt;=i_conc_end,1,0))</f>
        <v/>
      </c>
      <c r="AE149" s="22">
        <f>IF(Sensitivities!$C$143=1,1,IF(AE$3&lt;=i_conc_end,1,0))</f>
        <v/>
      </c>
      <c r="AF149" s="22">
        <f>IF(Sensitivities!$C$143=1,1,IF(AF$3&lt;=i_conc_end,1,0))</f>
        <v/>
      </c>
      <c r="AG149" s="22">
        <f>IF(Sensitivities!$C$143=1,1,IF(AG$3&lt;=i_conc_end,1,0))</f>
        <v/>
      </c>
      <c r="AH149" s="22">
        <f>IF(Sensitivities!$C$143=1,1,IF(AH$3&lt;=i_conc_end,1,0))</f>
        <v/>
      </c>
      <c r="AI149" s="22">
        <f>IF(Sensitivities!$C$143=1,1,IF(AI$3&lt;=i_conc_end,1,0))</f>
        <v/>
      </c>
    </row>
    <row r="150">
      <c r="B150" s="2" t="inlineStr">
        <is>
          <t xml:space="preserve">  Capacity in service (million m3)</t>
        </is>
      </c>
      <c r="D150" s="24">
        <f>i_W_cap*Sensitivities!$C$144*D149</f>
        <v/>
      </c>
      <c r="E150" s="24">
        <f>i_W_cap*Sensitivities!$C$144*E149</f>
        <v/>
      </c>
      <c r="F150" s="24">
        <f>i_W_cap*Sensitivities!$C$144*F149</f>
        <v/>
      </c>
      <c r="G150" s="24">
        <f>i_W_cap*Sensitivities!$C$144*G149</f>
        <v/>
      </c>
      <c r="H150" s="24">
        <f>i_W_cap*Sensitivities!$C$144*H149</f>
        <v/>
      </c>
      <c r="I150" s="24">
        <f>i_W_cap*Sensitivities!$C$144*I149</f>
        <v/>
      </c>
      <c r="J150" s="24">
        <f>i_W_cap*Sensitivities!$C$144*J149</f>
        <v/>
      </c>
      <c r="K150" s="24">
        <f>i_W_cap*Sensitivities!$C$144*K149</f>
        <v/>
      </c>
      <c r="L150" s="24">
        <f>i_W_cap*Sensitivities!$C$144*L149</f>
        <v/>
      </c>
      <c r="M150" s="24">
        <f>i_W_cap*Sensitivities!$C$144*M149</f>
        <v/>
      </c>
      <c r="N150" s="24">
        <f>i_W_cap*Sensitivities!$C$144*N149</f>
        <v/>
      </c>
      <c r="O150" s="24">
        <f>i_W_cap*Sensitivities!$C$144*O149</f>
        <v/>
      </c>
      <c r="P150" s="24">
        <f>i_W_cap*Sensitivities!$C$144*P149</f>
        <v/>
      </c>
      <c r="Q150" s="24">
        <f>i_W_cap*Sensitivities!$C$144*Q149</f>
        <v/>
      </c>
      <c r="R150" s="24">
        <f>i_W_cap*Sensitivities!$C$144*R149</f>
        <v/>
      </c>
      <c r="S150" s="24">
        <f>i_W_cap*Sensitivities!$C$144*S149</f>
        <v/>
      </c>
      <c r="T150" s="24">
        <f>i_W_cap*Sensitivities!$C$144*T149</f>
        <v/>
      </c>
      <c r="U150" s="24">
        <f>i_W_cap*Sensitivities!$C$144*U149</f>
        <v/>
      </c>
      <c r="V150" s="24">
        <f>i_W_cap*Sensitivities!$C$144*V149</f>
        <v/>
      </c>
      <c r="W150" s="24">
        <f>i_W_cap*Sensitivities!$C$144*W149</f>
        <v/>
      </c>
      <c r="X150" s="24">
        <f>i_W_cap*Sensitivities!$C$144*X149</f>
        <v/>
      </c>
      <c r="Y150" s="24">
        <f>i_W_cap*Sensitivities!$C$144*Y149</f>
        <v/>
      </c>
      <c r="Z150" s="24">
        <f>i_W_cap*Sensitivities!$C$144*Z149</f>
        <v/>
      </c>
      <c r="AA150" s="24">
        <f>i_W_cap*Sensitivities!$C$144*AA149</f>
        <v/>
      </c>
      <c r="AB150" s="24">
        <f>i_W_cap*Sensitivities!$C$144*AB149</f>
        <v/>
      </c>
      <c r="AC150" s="24">
        <f>i_W_cap*Sensitivities!$C$144*AC149</f>
        <v/>
      </c>
      <c r="AD150" s="24">
        <f>i_W_cap*Sensitivities!$C$144*AD149</f>
        <v/>
      </c>
      <c r="AE150" s="24">
        <f>i_W_cap*Sensitivities!$C$144*AE149</f>
        <v/>
      </c>
      <c r="AF150" s="24">
        <f>i_W_cap*Sensitivities!$C$144*AF149</f>
        <v/>
      </c>
      <c r="AG150" s="24">
        <f>i_W_cap*Sensitivities!$C$144*AG149</f>
        <v/>
      </c>
      <c r="AH150" s="24">
        <f>i_W_cap*Sensitivities!$C$144*AH149</f>
        <v/>
      </c>
      <c r="AI150" s="24">
        <f>i_W_cap*Sensitivities!$C$144*AI149</f>
        <v/>
      </c>
    </row>
    <row r="151">
      <c r="B151" s="2" t="inlineStr">
        <is>
          <t xml:space="preserve">  Share on contracts signed before 2027</t>
        </is>
      </c>
      <c r="D151" s="21">
        <f>SUMIF(i_book_years,D$3,i_W_book)</f>
        <v/>
      </c>
      <c r="E151" s="21">
        <f>SUMIF(i_book_years,E$3,i_W_book)</f>
        <v/>
      </c>
      <c r="F151" s="21">
        <f>SUMIF(i_book_years,F$3,i_W_book)</f>
        <v/>
      </c>
      <c r="G151" s="21">
        <f>SUMIF(i_book_years,G$3,i_W_book)</f>
        <v/>
      </c>
      <c r="H151" s="21">
        <f>SUMIF(i_book_years,H$3,i_W_book)</f>
        <v/>
      </c>
      <c r="I151" s="21">
        <f>SUMIF(i_book_years,I$3,i_W_book)</f>
        <v/>
      </c>
      <c r="J151" s="21">
        <f>SUMIF(i_book_years,J$3,i_W_book)</f>
        <v/>
      </c>
      <c r="K151" s="21">
        <f>SUMIF(i_book_years,K$3,i_W_book)</f>
        <v/>
      </c>
      <c r="L151" s="21">
        <f>SUMIF(i_book_years,L$3,i_W_book)</f>
        <v/>
      </c>
      <c r="M151" s="21">
        <f>SUMIF(i_book_years,M$3,i_W_book)</f>
        <v/>
      </c>
      <c r="N151" s="21">
        <f>SUMIF(i_book_years,N$3,i_W_book)</f>
        <v/>
      </c>
      <c r="O151" s="21">
        <f>SUMIF(i_book_years,O$3,i_W_book)</f>
        <v/>
      </c>
      <c r="P151" s="21">
        <f>SUMIF(i_book_years,P$3,i_W_book)</f>
        <v/>
      </c>
      <c r="Q151" s="21">
        <f>SUMIF(i_book_years,Q$3,i_W_book)</f>
        <v/>
      </c>
      <c r="R151" s="21">
        <f>SUMIF(i_book_years,R$3,i_W_book)</f>
        <v/>
      </c>
      <c r="S151" s="21">
        <f>SUMIF(i_book_years,S$3,i_W_book)</f>
        <v/>
      </c>
      <c r="T151" s="21">
        <f>SUMIF(i_book_years,T$3,i_W_book)</f>
        <v/>
      </c>
      <c r="U151" s="21">
        <f>SUMIF(i_book_years,U$3,i_W_book)</f>
        <v/>
      </c>
      <c r="V151" s="21">
        <f>SUMIF(i_book_years,V$3,i_W_book)</f>
        <v/>
      </c>
      <c r="W151" s="21">
        <f>SUMIF(i_book_years,W$3,i_W_book)</f>
        <v/>
      </c>
      <c r="X151" s="21">
        <f>SUMIF(i_book_years,X$3,i_W_book)</f>
        <v/>
      </c>
      <c r="Y151" s="21">
        <f>SUMIF(i_book_years,Y$3,i_W_book)</f>
        <v/>
      </c>
      <c r="Z151" s="21">
        <f>SUMIF(i_book_years,Z$3,i_W_book)</f>
        <v/>
      </c>
      <c r="AA151" s="21">
        <f>SUMIF(i_book_years,AA$3,i_W_book)</f>
        <v/>
      </c>
      <c r="AB151" s="21">
        <f>SUMIF(i_book_years,AB$3,i_W_book)</f>
        <v/>
      </c>
      <c r="AC151" s="21">
        <f>SUMIF(i_book_years,AC$3,i_W_book)</f>
        <v/>
      </c>
      <c r="AD151" s="21">
        <f>SUMIF(i_book_years,AD$3,i_W_book)</f>
        <v/>
      </c>
      <c r="AE151" s="21">
        <f>SUMIF(i_book_years,AE$3,i_W_book)</f>
        <v/>
      </c>
      <c r="AF151" s="21">
        <f>SUMIF(i_book_years,AF$3,i_W_book)</f>
        <v/>
      </c>
      <c r="AG151" s="21">
        <f>SUMIF(i_book_years,AG$3,i_W_book)</f>
        <v/>
      </c>
      <c r="AH151" s="21">
        <f>SUMIF(i_book_years,AH$3,i_W_book)</f>
        <v/>
      </c>
      <c r="AI151" s="21">
        <f>SUMIF(i_book_years,AI$3,i_W_book)</f>
        <v/>
      </c>
    </row>
    <row r="152">
      <c r="B152" s="2" t="inlineStr">
        <is>
          <t xml:space="preserve">  Recontracting factor against current rates</t>
        </is>
      </c>
      <c r="D152" s="21">
        <f>IF(D$4=0,0,IF(Sensitivities!$C$136=1,i_W_mtm,i_W_mtm_plan)+Sensitivities!$C$142)</f>
        <v/>
      </c>
      <c r="E152" s="21">
        <f>IF(E$4=0,0,IF(Sensitivities!$C$136=1,i_W_mtm,i_W_mtm_plan)+Sensitivities!$C$142)</f>
        <v/>
      </c>
      <c r="F152" s="21">
        <f>IF(F$4=0,0,IF(Sensitivities!$C$136=1,i_W_mtm,i_W_mtm_plan)+Sensitivities!$C$142)</f>
        <v/>
      </c>
      <c r="G152" s="21">
        <f>IF(G$4=0,0,IF(Sensitivities!$C$136=1,i_W_mtm,i_W_mtm_plan)+Sensitivities!$C$142)</f>
        <v/>
      </c>
      <c r="H152" s="21">
        <f>IF(H$4=0,0,IF(Sensitivities!$C$136=1,i_W_mtm,i_W_mtm_plan)+Sensitivities!$C$142)</f>
        <v/>
      </c>
      <c r="I152" s="21">
        <f>IF(I$4=0,0,IF(Sensitivities!$C$136=1,i_W_mtm,i_W_mtm_plan)+Sensitivities!$C$142)</f>
        <v/>
      </c>
      <c r="J152" s="21">
        <f>IF(J$4=0,0,IF(Sensitivities!$C$136=1,i_W_mtm,i_W_mtm_plan)+Sensitivities!$C$142)</f>
        <v/>
      </c>
      <c r="K152" s="21">
        <f>IF(K$4=0,0,IF(Sensitivities!$C$136=1,i_W_mtm,i_W_mtm_plan)+Sensitivities!$C$142)</f>
        <v/>
      </c>
      <c r="L152" s="21">
        <f>IF(L$4=0,0,IF(Sensitivities!$C$136=1,i_W_mtm,i_W_mtm_plan)+Sensitivities!$C$142)</f>
        <v/>
      </c>
      <c r="M152" s="21">
        <f>IF(M$4=0,0,IF(Sensitivities!$C$136=1,i_W_mtm,i_W_mtm_plan)+Sensitivities!$C$142)</f>
        <v/>
      </c>
      <c r="N152" s="21">
        <f>IF(N$4=0,0,IF(Sensitivities!$C$136=1,i_W_mtm,i_W_mtm_plan)+Sensitivities!$C$142)</f>
        <v/>
      </c>
      <c r="O152" s="21">
        <f>IF(O$4=0,0,IF(Sensitivities!$C$136=1,i_W_mtm,i_W_mtm_plan)+Sensitivities!$C$142)</f>
        <v/>
      </c>
      <c r="P152" s="21">
        <f>IF(P$4=0,0,IF(Sensitivities!$C$136=1,i_W_mtm,i_W_mtm_plan)+Sensitivities!$C$142)</f>
        <v/>
      </c>
      <c r="Q152" s="21">
        <f>IF(Q$4=0,0,IF(Sensitivities!$C$136=1,i_W_mtm,i_W_mtm_plan)+Sensitivities!$C$142)</f>
        <v/>
      </c>
      <c r="R152" s="21">
        <f>IF(R$4=0,0,IF(Sensitivities!$C$136=1,i_W_mtm,i_W_mtm_plan)+Sensitivities!$C$142)</f>
        <v/>
      </c>
      <c r="S152" s="21">
        <f>IF(S$4=0,0,IF(Sensitivities!$C$136=1,i_W_mtm,i_W_mtm_plan)+Sensitivities!$C$142)</f>
        <v/>
      </c>
      <c r="T152" s="21">
        <f>IF(T$4=0,0,IF(Sensitivities!$C$136=1,i_W_mtm,i_W_mtm_plan)+Sensitivities!$C$142)</f>
        <v/>
      </c>
      <c r="U152" s="21">
        <f>IF(U$4=0,0,IF(Sensitivities!$C$136=1,i_W_mtm,i_W_mtm_plan)+Sensitivities!$C$142)</f>
        <v/>
      </c>
      <c r="V152" s="21">
        <f>IF(V$4=0,0,IF(Sensitivities!$C$136=1,i_W_mtm,i_W_mtm_plan)+Sensitivities!$C$142)</f>
        <v/>
      </c>
      <c r="W152" s="21">
        <f>IF(W$4=0,0,IF(Sensitivities!$C$136=1,i_W_mtm,i_W_mtm_plan)+Sensitivities!$C$142)</f>
        <v/>
      </c>
      <c r="X152" s="21">
        <f>IF(X$4=0,0,IF(Sensitivities!$C$136=1,i_W_mtm,i_W_mtm_plan)+Sensitivities!$C$142)</f>
        <v/>
      </c>
      <c r="Y152" s="21">
        <f>IF(Y$4=0,0,IF(Sensitivities!$C$136=1,i_W_mtm,i_W_mtm_plan)+Sensitivities!$C$142)</f>
        <v/>
      </c>
      <c r="Z152" s="21">
        <f>IF(Z$4=0,0,IF(Sensitivities!$C$136=1,i_W_mtm,i_W_mtm_plan)+Sensitivities!$C$142)</f>
        <v/>
      </c>
      <c r="AA152" s="21">
        <f>IF(AA$4=0,0,IF(Sensitivities!$C$136=1,i_W_mtm,i_W_mtm_plan)+Sensitivities!$C$142)</f>
        <v/>
      </c>
      <c r="AB152" s="21">
        <f>IF(AB$4=0,0,IF(Sensitivities!$C$136=1,i_W_mtm,i_W_mtm_plan)+Sensitivities!$C$142)</f>
        <v/>
      </c>
      <c r="AC152" s="21">
        <f>IF(AC$4=0,0,IF(Sensitivities!$C$136=1,i_W_mtm,i_W_mtm_plan)+Sensitivities!$C$142)</f>
        <v/>
      </c>
      <c r="AD152" s="21">
        <f>IF(AD$4=0,0,IF(Sensitivities!$C$136=1,i_W_mtm,i_W_mtm_plan)+Sensitivities!$C$142)</f>
        <v/>
      </c>
      <c r="AE152" s="21">
        <f>IF(AE$4=0,0,IF(Sensitivities!$C$136=1,i_W_mtm,i_W_mtm_plan)+Sensitivities!$C$142)</f>
        <v/>
      </c>
      <c r="AF152" s="21">
        <f>IF(AF$4=0,0,IF(Sensitivities!$C$136=1,i_W_mtm,i_W_mtm_plan)+Sensitivities!$C$142)</f>
        <v/>
      </c>
      <c r="AG152" s="21">
        <f>IF(AG$4=0,0,IF(Sensitivities!$C$136=1,i_W_mtm,i_W_mtm_plan)+Sensitivities!$C$142)</f>
        <v/>
      </c>
      <c r="AH152" s="21">
        <f>IF(AH$4=0,0,IF(Sensitivities!$C$136=1,i_W_mtm,i_W_mtm_plan)+Sensitivities!$C$142)</f>
        <v/>
      </c>
      <c r="AI152" s="21">
        <f>IF(AI$4=0,0,IF(Sensitivities!$C$136=1,i_W_mtm,i_W_mtm_plan)+Sensitivities!$C$142)</f>
        <v/>
      </c>
    </row>
    <row r="153">
      <c r="B153" s="2" t="inlineStr">
        <is>
          <t xml:space="preserve">  Average rate ($ per m3 per month)</t>
        </is>
      </c>
      <c r="D153" s="24">
        <f>i_W_rate*D147*(D151+(1-D151)*(1+D152))</f>
        <v/>
      </c>
      <c r="E153" s="24">
        <f>i_W_rate*E147*(E151+(1-E151)*(1+E152))</f>
        <v/>
      </c>
      <c r="F153" s="24">
        <f>i_W_rate*F147*(F151+(1-F151)*(1+F152))</f>
        <v/>
      </c>
      <c r="G153" s="24">
        <f>i_W_rate*G147*(G151+(1-G151)*(1+G152))</f>
        <v/>
      </c>
      <c r="H153" s="24">
        <f>i_W_rate*H147*(H151+(1-H151)*(1+H152))</f>
        <v/>
      </c>
      <c r="I153" s="24">
        <f>i_W_rate*I147*(I151+(1-I151)*(1+I152))</f>
        <v/>
      </c>
      <c r="J153" s="24">
        <f>i_W_rate*J147*(J151+(1-J151)*(1+J152))</f>
        <v/>
      </c>
      <c r="K153" s="24">
        <f>i_W_rate*K147*(K151+(1-K151)*(1+K152))</f>
        <v/>
      </c>
      <c r="L153" s="24">
        <f>i_W_rate*L147*(L151+(1-L151)*(1+L152))</f>
        <v/>
      </c>
      <c r="M153" s="24">
        <f>i_W_rate*M147*(M151+(1-M151)*(1+M152))</f>
        <v/>
      </c>
      <c r="N153" s="24">
        <f>i_W_rate*N147*(N151+(1-N151)*(1+N152))</f>
        <v/>
      </c>
      <c r="O153" s="24">
        <f>i_W_rate*O147*(O151+(1-O151)*(1+O152))</f>
        <v/>
      </c>
      <c r="P153" s="24">
        <f>i_W_rate*P147*(P151+(1-P151)*(1+P152))</f>
        <v/>
      </c>
      <c r="Q153" s="24">
        <f>i_W_rate*Q147*(Q151+(1-Q151)*(1+Q152))</f>
        <v/>
      </c>
      <c r="R153" s="24">
        <f>i_W_rate*R147*(R151+(1-R151)*(1+R152))</f>
        <v/>
      </c>
      <c r="S153" s="24">
        <f>i_W_rate*S147*(S151+(1-S151)*(1+S152))</f>
        <v/>
      </c>
      <c r="T153" s="24">
        <f>i_W_rate*T147*(T151+(1-T151)*(1+T152))</f>
        <v/>
      </c>
      <c r="U153" s="24">
        <f>i_W_rate*U147*(U151+(1-U151)*(1+U152))</f>
        <v/>
      </c>
      <c r="V153" s="24">
        <f>i_W_rate*V147*(V151+(1-V151)*(1+V152))</f>
        <v/>
      </c>
      <c r="W153" s="24">
        <f>i_W_rate*W147*(W151+(1-W151)*(1+W152))</f>
        <v/>
      </c>
      <c r="X153" s="24">
        <f>i_W_rate*X147*(X151+(1-X151)*(1+X152))</f>
        <v/>
      </c>
      <c r="Y153" s="24">
        <f>i_W_rate*Y147*(Y151+(1-Y151)*(1+Y152))</f>
        <v/>
      </c>
      <c r="Z153" s="24">
        <f>i_W_rate*Z147*(Z151+(1-Z151)*(1+Z152))</f>
        <v/>
      </c>
      <c r="AA153" s="24">
        <f>i_W_rate*AA147*(AA151+(1-AA151)*(1+AA152))</f>
        <v/>
      </c>
      <c r="AB153" s="24">
        <f>i_W_rate*AB147*(AB151+(1-AB151)*(1+AB152))</f>
        <v/>
      </c>
      <c r="AC153" s="24">
        <f>i_W_rate*AC147*(AC151+(1-AC151)*(1+AC152))</f>
        <v/>
      </c>
      <c r="AD153" s="24">
        <f>i_W_rate*AD147*(AD151+(1-AD151)*(1+AD152))</f>
        <v/>
      </c>
      <c r="AE153" s="24">
        <f>i_W_rate*AE147*(AE151+(1-AE151)*(1+AE152))</f>
        <v/>
      </c>
      <c r="AF153" s="24">
        <f>i_W_rate*AF147*(AF151+(1-AF151)*(1+AF152))</f>
        <v/>
      </c>
      <c r="AG153" s="24">
        <f>i_W_rate*AG147*(AG151+(1-AG151)*(1+AG152))</f>
        <v/>
      </c>
      <c r="AH153" s="24">
        <f>i_W_rate*AH147*(AH151+(1-AH151)*(1+AH152))</f>
        <v/>
      </c>
      <c r="AI153" s="24">
        <f>i_W_rate*AI147*(AI151+(1-AI151)*(1+AI152))</f>
        <v/>
      </c>
    </row>
    <row r="154">
      <c r="B154" s="2" t="inlineStr">
        <is>
          <t xml:space="preserve">  Occupancy after the transition decline and floor</t>
        </is>
      </c>
      <c r="D154" s="21">
        <f>IF(D$3&gt;i_trans_start,MAX(i_W_floor,i_W_occ-i_W_dec*(D$3-i_trans_start)),i_W_occ)</f>
        <v/>
      </c>
      <c r="E154" s="21">
        <f>IF(E$3&gt;i_trans_start,MAX(i_W_floor,i_W_occ-i_W_dec*(E$3-i_trans_start)),i_W_occ)</f>
        <v/>
      </c>
      <c r="F154" s="21">
        <f>IF(F$3&gt;i_trans_start,MAX(i_W_floor,i_W_occ-i_W_dec*(F$3-i_trans_start)),i_W_occ)</f>
        <v/>
      </c>
      <c r="G154" s="21">
        <f>IF(G$3&gt;i_trans_start,MAX(i_W_floor,i_W_occ-i_W_dec*(G$3-i_trans_start)),i_W_occ)</f>
        <v/>
      </c>
      <c r="H154" s="21">
        <f>IF(H$3&gt;i_trans_start,MAX(i_W_floor,i_W_occ-i_W_dec*(H$3-i_trans_start)),i_W_occ)</f>
        <v/>
      </c>
      <c r="I154" s="21">
        <f>IF(I$3&gt;i_trans_start,MAX(i_W_floor,i_W_occ-i_W_dec*(I$3-i_trans_start)),i_W_occ)</f>
        <v/>
      </c>
      <c r="J154" s="21">
        <f>IF(J$3&gt;i_trans_start,MAX(i_W_floor,i_W_occ-i_W_dec*(J$3-i_trans_start)),i_W_occ)</f>
        <v/>
      </c>
      <c r="K154" s="21">
        <f>IF(K$3&gt;i_trans_start,MAX(i_W_floor,i_W_occ-i_W_dec*(K$3-i_trans_start)),i_W_occ)</f>
        <v/>
      </c>
      <c r="L154" s="21">
        <f>IF(L$3&gt;i_trans_start,MAX(i_W_floor,i_W_occ-i_W_dec*(L$3-i_trans_start)),i_W_occ)</f>
        <v/>
      </c>
      <c r="M154" s="21">
        <f>IF(M$3&gt;i_trans_start,MAX(i_W_floor,i_W_occ-i_W_dec*(M$3-i_trans_start)),i_W_occ)</f>
        <v/>
      </c>
      <c r="N154" s="21">
        <f>IF(N$3&gt;i_trans_start,MAX(i_W_floor,i_W_occ-i_W_dec*(N$3-i_trans_start)),i_W_occ)</f>
        <v/>
      </c>
      <c r="O154" s="21">
        <f>IF(O$3&gt;i_trans_start,MAX(i_W_floor,i_W_occ-i_W_dec*(O$3-i_trans_start)),i_W_occ)</f>
        <v/>
      </c>
      <c r="P154" s="21">
        <f>IF(P$3&gt;i_trans_start,MAX(i_W_floor,i_W_occ-i_W_dec*(P$3-i_trans_start)),i_W_occ)</f>
        <v/>
      </c>
      <c r="Q154" s="21">
        <f>IF(Q$3&gt;i_trans_start,MAX(i_W_floor,i_W_occ-i_W_dec*(Q$3-i_trans_start)),i_W_occ)</f>
        <v/>
      </c>
      <c r="R154" s="21">
        <f>IF(R$3&gt;i_trans_start,MAX(i_W_floor,i_W_occ-i_W_dec*(R$3-i_trans_start)),i_W_occ)</f>
        <v/>
      </c>
      <c r="S154" s="21">
        <f>IF(S$3&gt;i_trans_start,MAX(i_W_floor,i_W_occ-i_W_dec*(S$3-i_trans_start)),i_W_occ)</f>
        <v/>
      </c>
      <c r="T154" s="21">
        <f>IF(T$3&gt;i_trans_start,MAX(i_W_floor,i_W_occ-i_W_dec*(T$3-i_trans_start)),i_W_occ)</f>
        <v/>
      </c>
      <c r="U154" s="21">
        <f>IF(U$3&gt;i_trans_start,MAX(i_W_floor,i_W_occ-i_W_dec*(U$3-i_trans_start)),i_W_occ)</f>
        <v/>
      </c>
      <c r="V154" s="21">
        <f>IF(V$3&gt;i_trans_start,MAX(i_W_floor,i_W_occ-i_W_dec*(V$3-i_trans_start)),i_W_occ)</f>
        <v/>
      </c>
      <c r="W154" s="21">
        <f>IF(W$3&gt;i_trans_start,MAX(i_W_floor,i_W_occ-i_W_dec*(W$3-i_trans_start)),i_W_occ)</f>
        <v/>
      </c>
      <c r="X154" s="21">
        <f>IF(X$3&gt;i_trans_start,MAX(i_W_floor,i_W_occ-i_W_dec*(X$3-i_trans_start)),i_W_occ)</f>
        <v/>
      </c>
      <c r="Y154" s="21">
        <f>IF(Y$3&gt;i_trans_start,MAX(i_W_floor,i_W_occ-i_W_dec*(Y$3-i_trans_start)),i_W_occ)</f>
        <v/>
      </c>
      <c r="Z154" s="21">
        <f>IF(Z$3&gt;i_trans_start,MAX(i_W_floor,i_W_occ-i_W_dec*(Z$3-i_trans_start)),i_W_occ)</f>
        <v/>
      </c>
      <c r="AA154" s="21">
        <f>IF(AA$3&gt;i_trans_start,MAX(i_W_floor,i_W_occ-i_W_dec*(AA$3-i_trans_start)),i_W_occ)</f>
        <v/>
      </c>
      <c r="AB154" s="21">
        <f>IF(AB$3&gt;i_trans_start,MAX(i_W_floor,i_W_occ-i_W_dec*(AB$3-i_trans_start)),i_W_occ)</f>
        <v/>
      </c>
      <c r="AC154" s="21">
        <f>IF(AC$3&gt;i_trans_start,MAX(i_W_floor,i_W_occ-i_W_dec*(AC$3-i_trans_start)),i_W_occ)</f>
        <v/>
      </c>
      <c r="AD154" s="21">
        <f>IF(AD$3&gt;i_trans_start,MAX(i_W_floor,i_W_occ-i_W_dec*(AD$3-i_trans_start)),i_W_occ)</f>
        <v/>
      </c>
      <c r="AE154" s="21">
        <f>IF(AE$3&gt;i_trans_start,MAX(i_W_floor,i_W_occ-i_W_dec*(AE$3-i_trans_start)),i_W_occ)</f>
        <v/>
      </c>
      <c r="AF154" s="21">
        <f>IF(AF$3&gt;i_trans_start,MAX(i_W_floor,i_W_occ-i_W_dec*(AF$3-i_trans_start)),i_W_occ)</f>
        <v/>
      </c>
      <c r="AG154" s="21">
        <f>IF(AG$3&gt;i_trans_start,MAX(i_W_floor,i_W_occ-i_W_dec*(AG$3-i_trans_start)),i_W_occ)</f>
        <v/>
      </c>
      <c r="AH154" s="21">
        <f>IF(AH$3&gt;i_trans_start,MAX(i_W_floor,i_W_occ-i_W_dec*(AH$3-i_trans_start)),i_W_occ)</f>
        <v/>
      </c>
      <c r="AI154" s="21">
        <f>IF(AI$3&gt;i_trans_start,MAX(i_W_floor,i_W_occ-i_W_dec*(AI$3-i_trans_start)),i_W_occ)</f>
        <v/>
      </c>
    </row>
    <row r="155">
      <c r="B155" s="2" t="inlineStr">
        <is>
          <t xml:space="preserve">  Customer loss (points)</t>
        </is>
      </c>
      <c r="D155" s="21">
        <f>Sensitivities!$C$137*SUMIF(i_dip_years,D$3,i_dip_vals)</f>
        <v/>
      </c>
      <c r="E155" s="21">
        <f>Sensitivities!$C$137*SUMIF(i_dip_years,E$3,i_dip_vals)</f>
        <v/>
      </c>
      <c r="F155" s="21">
        <f>Sensitivities!$C$137*SUMIF(i_dip_years,F$3,i_dip_vals)</f>
        <v/>
      </c>
      <c r="G155" s="21">
        <f>Sensitivities!$C$137*SUMIF(i_dip_years,G$3,i_dip_vals)</f>
        <v/>
      </c>
      <c r="H155" s="21">
        <f>Sensitivities!$C$137*SUMIF(i_dip_years,H$3,i_dip_vals)</f>
        <v/>
      </c>
      <c r="I155" s="21">
        <f>Sensitivities!$C$137*SUMIF(i_dip_years,I$3,i_dip_vals)</f>
        <v/>
      </c>
      <c r="J155" s="21">
        <f>Sensitivities!$C$137*SUMIF(i_dip_years,J$3,i_dip_vals)</f>
        <v/>
      </c>
      <c r="K155" s="21">
        <f>Sensitivities!$C$137*SUMIF(i_dip_years,K$3,i_dip_vals)</f>
        <v/>
      </c>
      <c r="L155" s="21">
        <f>Sensitivities!$C$137*SUMIF(i_dip_years,L$3,i_dip_vals)</f>
        <v/>
      </c>
      <c r="M155" s="21">
        <f>Sensitivities!$C$137*SUMIF(i_dip_years,M$3,i_dip_vals)</f>
        <v/>
      </c>
      <c r="N155" s="21">
        <f>Sensitivities!$C$137*SUMIF(i_dip_years,N$3,i_dip_vals)</f>
        <v/>
      </c>
      <c r="O155" s="21">
        <f>Sensitivities!$C$137*SUMIF(i_dip_years,O$3,i_dip_vals)</f>
        <v/>
      </c>
      <c r="P155" s="21">
        <f>Sensitivities!$C$137*SUMIF(i_dip_years,P$3,i_dip_vals)</f>
        <v/>
      </c>
      <c r="Q155" s="21">
        <f>Sensitivities!$C$137*SUMIF(i_dip_years,Q$3,i_dip_vals)</f>
        <v/>
      </c>
      <c r="R155" s="21">
        <f>Sensitivities!$C$137*SUMIF(i_dip_years,R$3,i_dip_vals)</f>
        <v/>
      </c>
      <c r="S155" s="21">
        <f>Sensitivities!$C$137*SUMIF(i_dip_years,S$3,i_dip_vals)</f>
        <v/>
      </c>
      <c r="T155" s="21">
        <f>Sensitivities!$C$137*SUMIF(i_dip_years,T$3,i_dip_vals)</f>
        <v/>
      </c>
      <c r="U155" s="21">
        <f>Sensitivities!$C$137*SUMIF(i_dip_years,U$3,i_dip_vals)</f>
        <v/>
      </c>
      <c r="V155" s="21">
        <f>Sensitivities!$C$137*SUMIF(i_dip_years,V$3,i_dip_vals)</f>
        <v/>
      </c>
      <c r="W155" s="21">
        <f>Sensitivities!$C$137*SUMIF(i_dip_years,W$3,i_dip_vals)</f>
        <v/>
      </c>
      <c r="X155" s="21">
        <f>Sensitivities!$C$137*SUMIF(i_dip_years,X$3,i_dip_vals)</f>
        <v/>
      </c>
      <c r="Y155" s="21">
        <f>Sensitivities!$C$137*SUMIF(i_dip_years,Y$3,i_dip_vals)</f>
        <v/>
      </c>
      <c r="Z155" s="21">
        <f>Sensitivities!$C$137*SUMIF(i_dip_years,Z$3,i_dip_vals)</f>
        <v/>
      </c>
      <c r="AA155" s="21">
        <f>Sensitivities!$C$137*SUMIF(i_dip_years,AA$3,i_dip_vals)</f>
        <v/>
      </c>
      <c r="AB155" s="21">
        <f>Sensitivities!$C$137*SUMIF(i_dip_years,AB$3,i_dip_vals)</f>
        <v/>
      </c>
      <c r="AC155" s="21">
        <f>Sensitivities!$C$137*SUMIF(i_dip_years,AC$3,i_dip_vals)</f>
        <v/>
      </c>
      <c r="AD155" s="21">
        <f>Sensitivities!$C$137*SUMIF(i_dip_years,AD$3,i_dip_vals)</f>
        <v/>
      </c>
      <c r="AE155" s="21">
        <f>Sensitivities!$C$137*SUMIF(i_dip_years,AE$3,i_dip_vals)</f>
        <v/>
      </c>
      <c r="AF155" s="21">
        <f>Sensitivities!$C$137*SUMIF(i_dip_years,AF$3,i_dip_vals)</f>
        <v/>
      </c>
      <c r="AG155" s="21">
        <f>Sensitivities!$C$137*SUMIF(i_dip_years,AG$3,i_dip_vals)</f>
        <v/>
      </c>
      <c r="AH155" s="21">
        <f>Sensitivities!$C$137*SUMIF(i_dip_years,AH$3,i_dip_vals)</f>
        <v/>
      </c>
      <c r="AI155" s="21">
        <f>Sensitivities!$C$137*SUMIF(i_dip_years,AI$3,i_dip_vals)</f>
        <v/>
      </c>
    </row>
    <row r="156">
      <c r="B156" s="2" t="inlineStr">
        <is>
          <t xml:space="preserve">  Occupancy (with the shift switch from 2027)</t>
        </is>
      </c>
      <c r="D156" s="21">
        <f>IF(D$4&gt;0,MIN(1,D154-D155+Sensitivities!$C$141),D154-D155)</f>
        <v/>
      </c>
      <c r="E156" s="21">
        <f>IF(E$4&gt;0,MIN(1,E154-E155+Sensitivities!$C$141),E154-E155)</f>
        <v/>
      </c>
      <c r="F156" s="21">
        <f>IF(F$4&gt;0,MIN(1,F154-F155+Sensitivities!$C$141),F154-F155)</f>
        <v/>
      </c>
      <c r="G156" s="21">
        <f>IF(G$4&gt;0,MIN(1,G154-G155+Sensitivities!$C$141),G154-G155)</f>
        <v/>
      </c>
      <c r="H156" s="21">
        <f>IF(H$4&gt;0,MIN(1,H154-H155+Sensitivities!$C$141),H154-H155)</f>
        <v/>
      </c>
      <c r="I156" s="21">
        <f>IF(I$4&gt;0,MIN(1,I154-I155+Sensitivities!$C$141),I154-I155)</f>
        <v/>
      </c>
      <c r="J156" s="21">
        <f>IF(J$4&gt;0,MIN(1,J154-J155+Sensitivities!$C$141),J154-J155)</f>
        <v/>
      </c>
      <c r="K156" s="21">
        <f>IF(K$4&gt;0,MIN(1,K154-K155+Sensitivities!$C$141),K154-K155)</f>
        <v/>
      </c>
      <c r="L156" s="21">
        <f>IF(L$4&gt;0,MIN(1,L154-L155+Sensitivities!$C$141),L154-L155)</f>
        <v/>
      </c>
      <c r="M156" s="21">
        <f>IF(M$4&gt;0,MIN(1,M154-M155+Sensitivities!$C$141),M154-M155)</f>
        <v/>
      </c>
      <c r="N156" s="21">
        <f>IF(N$4&gt;0,MIN(1,N154-N155+Sensitivities!$C$141),N154-N155)</f>
        <v/>
      </c>
      <c r="O156" s="21">
        <f>IF(O$4&gt;0,MIN(1,O154-O155+Sensitivities!$C$141),O154-O155)</f>
        <v/>
      </c>
      <c r="P156" s="21">
        <f>IF(P$4&gt;0,MIN(1,P154-P155+Sensitivities!$C$141),P154-P155)</f>
        <v/>
      </c>
      <c r="Q156" s="21">
        <f>IF(Q$4&gt;0,MIN(1,Q154-Q155+Sensitivities!$C$141),Q154-Q155)</f>
        <v/>
      </c>
      <c r="R156" s="21">
        <f>IF(R$4&gt;0,MIN(1,R154-R155+Sensitivities!$C$141),R154-R155)</f>
        <v/>
      </c>
      <c r="S156" s="21">
        <f>IF(S$4&gt;0,MIN(1,S154-S155+Sensitivities!$C$141),S154-S155)</f>
        <v/>
      </c>
      <c r="T156" s="21">
        <f>IF(T$4&gt;0,MIN(1,T154-T155+Sensitivities!$C$141),T154-T155)</f>
        <v/>
      </c>
      <c r="U156" s="21">
        <f>IF(U$4&gt;0,MIN(1,U154-U155+Sensitivities!$C$141),U154-U155)</f>
        <v/>
      </c>
      <c r="V156" s="21">
        <f>IF(V$4&gt;0,MIN(1,V154-V155+Sensitivities!$C$141),V154-V155)</f>
        <v/>
      </c>
      <c r="W156" s="21">
        <f>IF(W$4&gt;0,MIN(1,W154-W155+Sensitivities!$C$141),W154-W155)</f>
        <v/>
      </c>
      <c r="X156" s="21">
        <f>IF(X$4&gt;0,MIN(1,X154-X155+Sensitivities!$C$141),X154-X155)</f>
        <v/>
      </c>
      <c r="Y156" s="21">
        <f>IF(Y$4&gt;0,MIN(1,Y154-Y155+Sensitivities!$C$141),Y154-Y155)</f>
        <v/>
      </c>
      <c r="Z156" s="21">
        <f>IF(Z$4&gt;0,MIN(1,Z154-Z155+Sensitivities!$C$141),Z154-Z155)</f>
        <v/>
      </c>
      <c r="AA156" s="21">
        <f>IF(AA$4&gt;0,MIN(1,AA154-AA155+Sensitivities!$C$141),AA154-AA155)</f>
        <v/>
      </c>
      <c r="AB156" s="21">
        <f>IF(AB$4&gt;0,MIN(1,AB154-AB155+Sensitivities!$C$141),AB154-AB155)</f>
        <v/>
      </c>
      <c r="AC156" s="21">
        <f>IF(AC$4&gt;0,MIN(1,AC154-AC155+Sensitivities!$C$141),AC154-AC155)</f>
        <v/>
      </c>
      <c r="AD156" s="21">
        <f>IF(AD$4&gt;0,MIN(1,AD154-AD155+Sensitivities!$C$141),AD154-AD155)</f>
        <v/>
      </c>
      <c r="AE156" s="21">
        <f>IF(AE$4&gt;0,MIN(1,AE154-AE155+Sensitivities!$C$141),AE154-AE155)</f>
        <v/>
      </c>
      <c r="AF156" s="21">
        <f>IF(AF$4&gt;0,MIN(1,AF154-AF155+Sensitivities!$C$141),AF154-AF155)</f>
        <v/>
      </c>
      <c r="AG156" s="21">
        <f>IF(AG$4&gt;0,MIN(1,AG154-AG155+Sensitivities!$C$141),AG154-AG155)</f>
        <v/>
      </c>
      <c r="AH156" s="21">
        <f>IF(AH$4&gt;0,MIN(1,AH154-AH155+Sensitivities!$C$141),AH154-AH155)</f>
        <v/>
      </c>
      <c r="AI156" s="21">
        <f>IF(AI$4&gt;0,MIN(1,AI154-AI155+Sensitivities!$C$141),AI154-AI155)</f>
        <v/>
      </c>
    </row>
    <row r="157">
      <c r="B157" s="2" t="inlineStr">
        <is>
          <t xml:space="preserve">  Storage revenue</t>
        </is>
      </c>
      <c r="D157" s="19">
        <f>D150*D153*12*D156</f>
        <v/>
      </c>
      <c r="E157" s="19">
        <f>E150*E153*12*E156</f>
        <v/>
      </c>
      <c r="F157" s="19">
        <f>F150*F153*12*F156</f>
        <v/>
      </c>
      <c r="G157" s="19">
        <f>G150*G153*12*G156</f>
        <v/>
      </c>
      <c r="H157" s="19">
        <f>H150*H153*12*H156</f>
        <v/>
      </c>
      <c r="I157" s="19">
        <f>I150*I153*12*I156</f>
        <v/>
      </c>
      <c r="J157" s="19">
        <f>J150*J153*12*J156</f>
        <v/>
      </c>
      <c r="K157" s="19">
        <f>K150*K153*12*K156</f>
        <v/>
      </c>
      <c r="L157" s="19">
        <f>L150*L153*12*L156</f>
        <v/>
      </c>
      <c r="M157" s="19">
        <f>M150*M153*12*M156</f>
        <v/>
      </c>
      <c r="N157" s="19">
        <f>N150*N153*12*N156</f>
        <v/>
      </c>
      <c r="O157" s="19">
        <f>O150*O153*12*O156</f>
        <v/>
      </c>
      <c r="P157" s="19">
        <f>P150*P153*12*P156</f>
        <v/>
      </c>
      <c r="Q157" s="19">
        <f>Q150*Q153*12*Q156</f>
        <v/>
      </c>
      <c r="R157" s="19">
        <f>R150*R153*12*R156</f>
        <v/>
      </c>
      <c r="S157" s="19">
        <f>S150*S153*12*S156</f>
        <v/>
      </c>
      <c r="T157" s="19">
        <f>T150*T153*12*T156</f>
        <v/>
      </c>
      <c r="U157" s="19">
        <f>U150*U153*12*U156</f>
        <v/>
      </c>
      <c r="V157" s="19">
        <f>V150*V153*12*V156</f>
        <v/>
      </c>
      <c r="W157" s="19">
        <f>W150*W153*12*W156</f>
        <v/>
      </c>
      <c r="X157" s="19">
        <f>X150*X153*12*X156</f>
        <v/>
      </c>
      <c r="Y157" s="19">
        <f>Y150*Y153*12*Y156</f>
        <v/>
      </c>
      <c r="Z157" s="19">
        <f>Z150*Z153*12*Z156</f>
        <v/>
      </c>
      <c r="AA157" s="19">
        <f>AA150*AA153*12*AA156</f>
        <v/>
      </c>
      <c r="AB157" s="19">
        <f>AB150*AB153*12*AB156</f>
        <v/>
      </c>
      <c r="AC157" s="19">
        <f>AC150*AC153*12*AC156</f>
        <v/>
      </c>
      <c r="AD157" s="19">
        <f>AD150*AD153*12*AD156</f>
        <v/>
      </c>
      <c r="AE157" s="19">
        <f>AE150*AE153*12*AE156</f>
        <v/>
      </c>
      <c r="AF157" s="19">
        <f>AF150*AF153*12*AF156</f>
        <v/>
      </c>
      <c r="AG157" s="19">
        <f>AG150*AG153*12*AG156</f>
        <v/>
      </c>
      <c r="AH157" s="19">
        <f>AH150*AH153*12*AH156</f>
        <v/>
      </c>
      <c r="AI157" s="19">
        <f>AI150*AI153*12*AI156</f>
        <v/>
      </c>
    </row>
    <row r="158">
      <c r="B158" s="2" t="inlineStr">
        <is>
          <t xml:space="preserve">  Ancillary and throughput revenue</t>
        </is>
      </c>
      <c r="D158" s="19">
        <f>D157*i_W_anc</f>
        <v/>
      </c>
      <c r="E158" s="19">
        <f>E157*i_W_anc</f>
        <v/>
      </c>
      <c r="F158" s="19">
        <f>F157*i_W_anc</f>
        <v/>
      </c>
      <c r="G158" s="19">
        <f>G157*i_W_anc</f>
        <v/>
      </c>
      <c r="H158" s="19">
        <f>H157*i_W_anc</f>
        <v/>
      </c>
      <c r="I158" s="19">
        <f>I157*i_W_anc</f>
        <v/>
      </c>
      <c r="J158" s="19">
        <f>J157*i_W_anc</f>
        <v/>
      </c>
      <c r="K158" s="19">
        <f>K157*i_W_anc</f>
        <v/>
      </c>
      <c r="L158" s="19">
        <f>L157*i_W_anc</f>
        <v/>
      </c>
      <c r="M158" s="19">
        <f>M157*i_W_anc</f>
        <v/>
      </c>
      <c r="N158" s="19">
        <f>N157*i_W_anc</f>
        <v/>
      </c>
      <c r="O158" s="19">
        <f>O157*i_W_anc</f>
        <v/>
      </c>
      <c r="P158" s="19">
        <f>P157*i_W_anc</f>
        <v/>
      </c>
      <c r="Q158" s="19">
        <f>Q157*i_W_anc</f>
        <v/>
      </c>
      <c r="R158" s="19">
        <f>R157*i_W_anc</f>
        <v/>
      </c>
      <c r="S158" s="19">
        <f>S157*i_W_anc</f>
        <v/>
      </c>
      <c r="T158" s="19">
        <f>T157*i_W_anc</f>
        <v/>
      </c>
      <c r="U158" s="19">
        <f>U157*i_W_anc</f>
        <v/>
      </c>
      <c r="V158" s="19">
        <f>V157*i_W_anc</f>
        <v/>
      </c>
      <c r="W158" s="19">
        <f>W157*i_W_anc</f>
        <v/>
      </c>
      <c r="X158" s="19">
        <f>X157*i_W_anc</f>
        <v/>
      </c>
      <c r="Y158" s="19">
        <f>Y157*i_W_anc</f>
        <v/>
      </c>
      <c r="Z158" s="19">
        <f>Z157*i_W_anc</f>
        <v/>
      </c>
      <c r="AA158" s="19">
        <f>AA157*i_W_anc</f>
        <v/>
      </c>
      <c r="AB158" s="19">
        <f>AB157*i_W_anc</f>
        <v/>
      </c>
      <c r="AC158" s="19">
        <f>AC157*i_W_anc</f>
        <v/>
      </c>
      <c r="AD158" s="19">
        <f>AD157*i_W_anc</f>
        <v/>
      </c>
      <c r="AE158" s="19">
        <f>AE157*i_W_anc</f>
        <v/>
      </c>
      <c r="AF158" s="19">
        <f>AF157*i_W_anc</f>
        <v/>
      </c>
      <c r="AG158" s="19">
        <f>AG157*i_W_anc</f>
        <v/>
      </c>
      <c r="AH158" s="19">
        <f>AH157*i_W_anc</f>
        <v/>
      </c>
      <c r="AI158" s="19">
        <f>AI157*i_W_anc</f>
        <v/>
      </c>
    </row>
    <row r="159">
      <c r="B159" s="3" t="inlineStr">
        <is>
          <t xml:space="preserve">  Revenue</t>
        </is>
      </c>
      <c r="D159" s="31">
        <f>D157+D158</f>
        <v/>
      </c>
      <c r="E159" s="31">
        <f>E157+E158</f>
        <v/>
      </c>
      <c r="F159" s="31">
        <f>F157+F158</f>
        <v/>
      </c>
      <c r="G159" s="31">
        <f>G157+G158</f>
        <v/>
      </c>
      <c r="H159" s="31">
        <f>H157+H158</f>
        <v/>
      </c>
      <c r="I159" s="31">
        <f>I157+I158</f>
        <v/>
      </c>
      <c r="J159" s="31">
        <f>J157+J158</f>
        <v/>
      </c>
      <c r="K159" s="31">
        <f>K157+K158</f>
        <v/>
      </c>
      <c r="L159" s="31">
        <f>L157+L158</f>
        <v/>
      </c>
      <c r="M159" s="31">
        <f>M157+M158</f>
        <v/>
      </c>
      <c r="N159" s="31">
        <f>N157+N158</f>
        <v/>
      </c>
      <c r="O159" s="31">
        <f>O157+O158</f>
        <v/>
      </c>
      <c r="P159" s="31">
        <f>P157+P158</f>
        <v/>
      </c>
      <c r="Q159" s="31">
        <f>Q157+Q158</f>
        <v/>
      </c>
      <c r="R159" s="31">
        <f>R157+R158</f>
        <v/>
      </c>
      <c r="S159" s="31">
        <f>S157+S158</f>
        <v/>
      </c>
      <c r="T159" s="31">
        <f>T157+T158</f>
        <v/>
      </c>
      <c r="U159" s="31">
        <f>U157+U158</f>
        <v/>
      </c>
      <c r="V159" s="31">
        <f>V157+V158</f>
        <v/>
      </c>
      <c r="W159" s="31">
        <f>W157+W158</f>
        <v/>
      </c>
      <c r="X159" s="31">
        <f>X157+X158</f>
        <v/>
      </c>
      <c r="Y159" s="31">
        <f>Y157+Y158</f>
        <v/>
      </c>
      <c r="Z159" s="31">
        <f>Z157+Z158</f>
        <v/>
      </c>
      <c r="AA159" s="31">
        <f>AA157+AA158</f>
        <v/>
      </c>
      <c r="AB159" s="31">
        <f>AB157+AB158</f>
        <v/>
      </c>
      <c r="AC159" s="31">
        <f>AC157+AC158</f>
        <v/>
      </c>
      <c r="AD159" s="31">
        <f>AD157+AD158</f>
        <v/>
      </c>
      <c r="AE159" s="31">
        <f>AE157+AE158</f>
        <v/>
      </c>
      <c r="AF159" s="31">
        <f>AF157+AF158</f>
        <v/>
      </c>
      <c r="AG159" s="31">
        <f>AG157+AG158</f>
        <v/>
      </c>
      <c r="AH159" s="31">
        <f>AH157+AH158</f>
        <v/>
      </c>
      <c r="AI159" s="31">
        <f>AI157+AI158</f>
        <v/>
      </c>
    </row>
    <row r="160">
      <c r="B160" s="2" t="inlineStr">
        <is>
          <t xml:space="preserve">  Fixed cost</t>
        </is>
      </c>
      <c r="D160" s="19">
        <f>D150*i_W_fix*D146</f>
        <v/>
      </c>
      <c r="E160" s="19">
        <f>E150*i_W_fix*E146</f>
        <v/>
      </c>
      <c r="F160" s="19">
        <f>F150*i_W_fix*F146</f>
        <v/>
      </c>
      <c r="G160" s="19">
        <f>G150*i_W_fix*G146</f>
        <v/>
      </c>
      <c r="H160" s="19">
        <f>H150*i_W_fix*H146</f>
        <v/>
      </c>
      <c r="I160" s="19">
        <f>I150*i_W_fix*I146</f>
        <v/>
      </c>
      <c r="J160" s="19">
        <f>J150*i_W_fix*J146</f>
        <v/>
      </c>
      <c r="K160" s="19">
        <f>K150*i_W_fix*K146</f>
        <v/>
      </c>
      <c r="L160" s="19">
        <f>L150*i_W_fix*L146</f>
        <v/>
      </c>
      <c r="M160" s="19">
        <f>M150*i_W_fix*M146</f>
        <v/>
      </c>
      <c r="N160" s="19">
        <f>N150*i_W_fix*N146</f>
        <v/>
      </c>
      <c r="O160" s="19">
        <f>O150*i_W_fix*O146</f>
        <v/>
      </c>
      <c r="P160" s="19">
        <f>P150*i_W_fix*P146</f>
        <v/>
      </c>
      <c r="Q160" s="19">
        <f>Q150*i_W_fix*Q146</f>
        <v/>
      </c>
      <c r="R160" s="19">
        <f>R150*i_W_fix*R146</f>
        <v/>
      </c>
      <c r="S160" s="19">
        <f>S150*i_W_fix*S146</f>
        <v/>
      </c>
      <c r="T160" s="19">
        <f>T150*i_W_fix*T146</f>
        <v/>
      </c>
      <c r="U160" s="19">
        <f>U150*i_W_fix*U146</f>
        <v/>
      </c>
      <c r="V160" s="19">
        <f>V150*i_W_fix*V146</f>
        <v/>
      </c>
      <c r="W160" s="19">
        <f>W150*i_W_fix*W146</f>
        <v/>
      </c>
      <c r="X160" s="19">
        <f>X150*i_W_fix*X146</f>
        <v/>
      </c>
      <c r="Y160" s="19">
        <f>Y150*i_W_fix*Y146</f>
        <v/>
      </c>
      <c r="Z160" s="19">
        <f>Z150*i_W_fix*Z146</f>
        <v/>
      </c>
      <c r="AA160" s="19">
        <f>AA150*i_W_fix*AA146</f>
        <v/>
      </c>
      <c r="AB160" s="19">
        <f>AB150*i_W_fix*AB146</f>
        <v/>
      </c>
      <c r="AC160" s="19">
        <f>AC150*i_W_fix*AC146</f>
        <v/>
      </c>
      <c r="AD160" s="19">
        <f>AD150*i_W_fix*AD146</f>
        <v/>
      </c>
      <c r="AE160" s="19">
        <f>AE150*i_W_fix*AE146</f>
        <v/>
      </c>
      <c r="AF160" s="19">
        <f>AF150*i_W_fix*AF146</f>
        <v/>
      </c>
      <c r="AG160" s="19">
        <f>AG150*i_W_fix*AG146</f>
        <v/>
      </c>
      <c r="AH160" s="19">
        <f>AH150*i_W_fix*AH146</f>
        <v/>
      </c>
      <c r="AI160" s="19">
        <f>AI150*i_W_fix*AI146</f>
        <v/>
      </c>
    </row>
    <row r="161">
      <c r="B161" s="2" t="inlineStr">
        <is>
          <t xml:space="preserve">  Variable cost</t>
        </is>
      </c>
      <c r="D161" s="19">
        <f>i_W_var*D159</f>
        <v/>
      </c>
      <c r="E161" s="19">
        <f>i_W_var*E159</f>
        <v/>
      </c>
      <c r="F161" s="19">
        <f>i_W_var*F159</f>
        <v/>
      </c>
      <c r="G161" s="19">
        <f>i_W_var*G159</f>
        <v/>
      </c>
      <c r="H161" s="19">
        <f>i_W_var*H159</f>
        <v/>
      </c>
      <c r="I161" s="19">
        <f>i_W_var*I159</f>
        <v/>
      </c>
      <c r="J161" s="19">
        <f>i_W_var*J159</f>
        <v/>
      </c>
      <c r="K161" s="19">
        <f>i_W_var*K159</f>
        <v/>
      </c>
      <c r="L161" s="19">
        <f>i_W_var*L159</f>
        <v/>
      </c>
      <c r="M161" s="19">
        <f>i_W_var*M159</f>
        <v/>
      </c>
      <c r="N161" s="19">
        <f>i_W_var*N159</f>
        <v/>
      </c>
      <c r="O161" s="19">
        <f>i_W_var*O159</f>
        <v/>
      </c>
      <c r="P161" s="19">
        <f>i_W_var*P159</f>
        <v/>
      </c>
      <c r="Q161" s="19">
        <f>i_W_var*Q159</f>
        <v/>
      </c>
      <c r="R161" s="19">
        <f>i_W_var*R159</f>
        <v/>
      </c>
      <c r="S161" s="19">
        <f>i_W_var*S159</f>
        <v/>
      </c>
      <c r="T161" s="19">
        <f>i_W_var*T159</f>
        <v/>
      </c>
      <c r="U161" s="19">
        <f>i_W_var*U159</f>
        <v/>
      </c>
      <c r="V161" s="19">
        <f>i_W_var*V159</f>
        <v/>
      </c>
      <c r="W161" s="19">
        <f>i_W_var*W159</f>
        <v/>
      </c>
      <c r="X161" s="19">
        <f>i_W_var*X159</f>
        <v/>
      </c>
      <c r="Y161" s="19">
        <f>i_W_var*Y159</f>
        <v/>
      </c>
      <c r="Z161" s="19">
        <f>i_W_var*Z159</f>
        <v/>
      </c>
      <c r="AA161" s="19">
        <f>i_W_var*AA159</f>
        <v/>
      </c>
      <c r="AB161" s="19">
        <f>i_W_var*AB159</f>
        <v/>
      </c>
      <c r="AC161" s="19">
        <f>i_W_var*AC159</f>
        <v/>
      </c>
      <c r="AD161" s="19">
        <f>i_W_var*AD159</f>
        <v/>
      </c>
      <c r="AE161" s="19">
        <f>i_W_var*AE159</f>
        <v/>
      </c>
      <c r="AF161" s="19">
        <f>i_W_var*AF159</f>
        <v/>
      </c>
      <c r="AG161" s="19">
        <f>i_W_var*AG159</f>
        <v/>
      </c>
      <c r="AH161" s="19">
        <f>i_W_var*AH159</f>
        <v/>
      </c>
      <c r="AI161" s="19">
        <f>i_W_var*AI159</f>
        <v/>
      </c>
    </row>
    <row r="162">
      <c r="B162" s="2" t="inlineStr">
        <is>
          <t xml:space="preserve">  Concession fee</t>
        </is>
      </c>
      <c r="D162" s="19">
        <f>IF(AND(Sensitivities!$C$143=1,D$3&gt;i_conc_end),i_renew_fee,i_W_fee)*D159</f>
        <v/>
      </c>
      <c r="E162" s="19">
        <f>IF(AND(Sensitivities!$C$143=1,E$3&gt;i_conc_end),i_renew_fee,i_W_fee)*E159</f>
        <v/>
      </c>
      <c r="F162" s="19">
        <f>IF(AND(Sensitivities!$C$143=1,F$3&gt;i_conc_end),i_renew_fee,i_W_fee)*F159</f>
        <v/>
      </c>
      <c r="G162" s="19">
        <f>IF(AND(Sensitivities!$C$143=1,G$3&gt;i_conc_end),i_renew_fee,i_W_fee)*G159</f>
        <v/>
      </c>
      <c r="H162" s="19">
        <f>IF(AND(Sensitivities!$C$143=1,H$3&gt;i_conc_end),i_renew_fee,i_W_fee)*H159</f>
        <v/>
      </c>
      <c r="I162" s="19">
        <f>IF(AND(Sensitivities!$C$143=1,I$3&gt;i_conc_end),i_renew_fee,i_W_fee)*I159</f>
        <v/>
      </c>
      <c r="J162" s="19">
        <f>IF(AND(Sensitivities!$C$143=1,J$3&gt;i_conc_end),i_renew_fee,i_W_fee)*J159</f>
        <v/>
      </c>
      <c r="K162" s="19">
        <f>IF(AND(Sensitivities!$C$143=1,K$3&gt;i_conc_end),i_renew_fee,i_W_fee)*K159</f>
        <v/>
      </c>
      <c r="L162" s="19">
        <f>IF(AND(Sensitivities!$C$143=1,L$3&gt;i_conc_end),i_renew_fee,i_W_fee)*L159</f>
        <v/>
      </c>
      <c r="M162" s="19">
        <f>IF(AND(Sensitivities!$C$143=1,M$3&gt;i_conc_end),i_renew_fee,i_W_fee)*M159</f>
        <v/>
      </c>
      <c r="N162" s="19">
        <f>IF(AND(Sensitivities!$C$143=1,N$3&gt;i_conc_end),i_renew_fee,i_W_fee)*N159</f>
        <v/>
      </c>
      <c r="O162" s="19">
        <f>IF(AND(Sensitivities!$C$143=1,O$3&gt;i_conc_end),i_renew_fee,i_W_fee)*O159</f>
        <v/>
      </c>
      <c r="P162" s="19">
        <f>IF(AND(Sensitivities!$C$143=1,P$3&gt;i_conc_end),i_renew_fee,i_W_fee)*P159</f>
        <v/>
      </c>
      <c r="Q162" s="19">
        <f>IF(AND(Sensitivities!$C$143=1,Q$3&gt;i_conc_end),i_renew_fee,i_W_fee)*Q159</f>
        <v/>
      </c>
      <c r="R162" s="19">
        <f>IF(AND(Sensitivities!$C$143=1,R$3&gt;i_conc_end),i_renew_fee,i_W_fee)*R159</f>
        <v/>
      </c>
      <c r="S162" s="19">
        <f>IF(AND(Sensitivities!$C$143=1,S$3&gt;i_conc_end),i_renew_fee,i_W_fee)*S159</f>
        <v/>
      </c>
      <c r="T162" s="19">
        <f>IF(AND(Sensitivities!$C$143=1,T$3&gt;i_conc_end),i_renew_fee,i_W_fee)*T159</f>
        <v/>
      </c>
      <c r="U162" s="19">
        <f>IF(AND(Sensitivities!$C$143=1,U$3&gt;i_conc_end),i_renew_fee,i_W_fee)*U159</f>
        <v/>
      </c>
      <c r="V162" s="19">
        <f>IF(AND(Sensitivities!$C$143=1,V$3&gt;i_conc_end),i_renew_fee,i_W_fee)*V159</f>
        <v/>
      </c>
      <c r="W162" s="19">
        <f>IF(AND(Sensitivities!$C$143=1,W$3&gt;i_conc_end),i_renew_fee,i_W_fee)*W159</f>
        <v/>
      </c>
      <c r="X162" s="19">
        <f>IF(AND(Sensitivities!$C$143=1,X$3&gt;i_conc_end),i_renew_fee,i_W_fee)*X159</f>
        <v/>
      </c>
      <c r="Y162" s="19">
        <f>IF(AND(Sensitivities!$C$143=1,Y$3&gt;i_conc_end),i_renew_fee,i_W_fee)*Y159</f>
        <v/>
      </c>
      <c r="Z162" s="19">
        <f>IF(AND(Sensitivities!$C$143=1,Z$3&gt;i_conc_end),i_renew_fee,i_W_fee)*Z159</f>
        <v/>
      </c>
      <c r="AA162" s="19">
        <f>IF(AND(Sensitivities!$C$143=1,AA$3&gt;i_conc_end),i_renew_fee,i_W_fee)*AA159</f>
        <v/>
      </c>
      <c r="AB162" s="19">
        <f>IF(AND(Sensitivities!$C$143=1,AB$3&gt;i_conc_end),i_renew_fee,i_W_fee)*AB159</f>
        <v/>
      </c>
      <c r="AC162" s="19">
        <f>IF(AND(Sensitivities!$C$143=1,AC$3&gt;i_conc_end),i_renew_fee,i_W_fee)*AC159</f>
        <v/>
      </c>
      <c r="AD162" s="19">
        <f>IF(AND(Sensitivities!$C$143=1,AD$3&gt;i_conc_end),i_renew_fee,i_W_fee)*AD159</f>
        <v/>
      </c>
      <c r="AE162" s="19">
        <f>IF(AND(Sensitivities!$C$143=1,AE$3&gt;i_conc_end),i_renew_fee,i_W_fee)*AE159</f>
        <v/>
      </c>
      <c r="AF162" s="19">
        <f>IF(AND(Sensitivities!$C$143=1,AF$3&gt;i_conc_end),i_renew_fee,i_W_fee)*AF159</f>
        <v/>
      </c>
      <c r="AG162" s="19">
        <f>IF(AND(Sensitivities!$C$143=1,AG$3&gt;i_conc_end),i_renew_fee,i_W_fee)*AG159</f>
        <v/>
      </c>
      <c r="AH162" s="19">
        <f>IF(AND(Sensitivities!$C$143=1,AH$3&gt;i_conc_end),i_renew_fee,i_W_fee)*AH159</f>
        <v/>
      </c>
      <c r="AI162" s="19">
        <f>IF(AND(Sensitivities!$C$143=1,AI$3&gt;i_conc_end),i_renew_fee,i_W_fee)*AI159</f>
        <v/>
      </c>
    </row>
    <row r="163">
      <c r="B163" s="2" t="inlineStr">
        <is>
          <t xml:space="preserve">  Operating cost</t>
        </is>
      </c>
      <c r="D163" s="19">
        <f>D160+D161+D162</f>
        <v/>
      </c>
      <c r="E163" s="19">
        <f>E160+E161+E162</f>
        <v/>
      </c>
      <c r="F163" s="19">
        <f>F160+F161+F162</f>
        <v/>
      </c>
      <c r="G163" s="19">
        <f>G160+G161+G162</f>
        <v/>
      </c>
      <c r="H163" s="19">
        <f>H160+H161+H162</f>
        <v/>
      </c>
      <c r="I163" s="19">
        <f>I160+I161+I162</f>
        <v/>
      </c>
      <c r="J163" s="19">
        <f>J160+J161+J162</f>
        <v/>
      </c>
      <c r="K163" s="19">
        <f>K160+K161+K162</f>
        <v/>
      </c>
      <c r="L163" s="19">
        <f>L160+L161+L162</f>
        <v/>
      </c>
      <c r="M163" s="19">
        <f>M160+M161+M162</f>
        <v/>
      </c>
      <c r="N163" s="19">
        <f>N160+N161+N162</f>
        <v/>
      </c>
      <c r="O163" s="19">
        <f>O160+O161+O162</f>
        <v/>
      </c>
      <c r="P163" s="19">
        <f>P160+P161+P162</f>
        <v/>
      </c>
      <c r="Q163" s="19">
        <f>Q160+Q161+Q162</f>
        <v/>
      </c>
      <c r="R163" s="19">
        <f>R160+R161+R162</f>
        <v/>
      </c>
      <c r="S163" s="19">
        <f>S160+S161+S162</f>
        <v/>
      </c>
      <c r="T163" s="19">
        <f>T160+T161+T162</f>
        <v/>
      </c>
      <c r="U163" s="19">
        <f>U160+U161+U162</f>
        <v/>
      </c>
      <c r="V163" s="19">
        <f>V160+V161+V162</f>
        <v/>
      </c>
      <c r="W163" s="19">
        <f>W160+W161+W162</f>
        <v/>
      </c>
      <c r="X163" s="19">
        <f>X160+X161+X162</f>
        <v/>
      </c>
      <c r="Y163" s="19">
        <f>Y160+Y161+Y162</f>
        <v/>
      </c>
      <c r="Z163" s="19">
        <f>Z160+Z161+Z162</f>
        <v/>
      </c>
      <c r="AA163" s="19">
        <f>AA160+AA161+AA162</f>
        <v/>
      </c>
      <c r="AB163" s="19">
        <f>AB160+AB161+AB162</f>
        <v/>
      </c>
      <c r="AC163" s="19">
        <f>AC160+AC161+AC162</f>
        <v/>
      </c>
      <c r="AD163" s="19">
        <f>AD160+AD161+AD162</f>
        <v/>
      </c>
      <c r="AE163" s="19">
        <f>AE160+AE161+AE162</f>
        <v/>
      </c>
      <c r="AF163" s="19">
        <f>AF160+AF161+AF162</f>
        <v/>
      </c>
      <c r="AG163" s="19">
        <f>AG160+AG161+AG162</f>
        <v/>
      </c>
      <c r="AH163" s="19">
        <f>AH160+AH161+AH162</f>
        <v/>
      </c>
      <c r="AI163" s="19">
        <f>AI160+AI161+AI162</f>
        <v/>
      </c>
    </row>
    <row r="164">
      <c r="B164" s="3" t="inlineStr">
        <is>
          <t xml:space="preserve">  EBITDA</t>
        </is>
      </c>
      <c r="D164" s="31">
        <f>D159-D163</f>
        <v/>
      </c>
      <c r="E164" s="31">
        <f>E159-E163</f>
        <v/>
      </c>
      <c r="F164" s="31">
        <f>F159-F163</f>
        <v/>
      </c>
      <c r="G164" s="31">
        <f>G159-G163</f>
        <v/>
      </c>
      <c r="H164" s="31">
        <f>H159-H163</f>
        <v/>
      </c>
      <c r="I164" s="31">
        <f>I159-I163</f>
        <v/>
      </c>
      <c r="J164" s="31">
        <f>J159-J163</f>
        <v/>
      </c>
      <c r="K164" s="31">
        <f>K159-K163</f>
        <v/>
      </c>
      <c r="L164" s="31">
        <f>L159-L163</f>
        <v/>
      </c>
      <c r="M164" s="31">
        <f>M159-M163</f>
        <v/>
      </c>
      <c r="N164" s="31">
        <f>N159-N163</f>
        <v/>
      </c>
      <c r="O164" s="31">
        <f>O159-O163</f>
        <v/>
      </c>
      <c r="P164" s="31">
        <f>P159-P163</f>
        <v/>
      </c>
      <c r="Q164" s="31">
        <f>Q159-Q163</f>
        <v/>
      </c>
      <c r="R164" s="31">
        <f>R159-R163</f>
        <v/>
      </c>
      <c r="S164" s="31">
        <f>S159-S163</f>
        <v/>
      </c>
      <c r="T164" s="31">
        <f>T159-T163</f>
        <v/>
      </c>
      <c r="U164" s="31">
        <f>U159-U163</f>
        <v/>
      </c>
      <c r="V164" s="31">
        <f>V159-V163</f>
        <v/>
      </c>
      <c r="W164" s="31">
        <f>W159-W163</f>
        <v/>
      </c>
      <c r="X164" s="31">
        <f>X159-X163</f>
        <v/>
      </c>
      <c r="Y164" s="31">
        <f>Y159-Y163</f>
        <v/>
      </c>
      <c r="Z164" s="31">
        <f>Z159-Z163</f>
        <v/>
      </c>
      <c r="AA164" s="31">
        <f>AA159-AA163</f>
        <v/>
      </c>
      <c r="AB164" s="31">
        <f>AB159-AB163</f>
        <v/>
      </c>
      <c r="AC164" s="31">
        <f>AC159-AC163</f>
        <v/>
      </c>
      <c r="AD164" s="31">
        <f>AD159-AD163</f>
        <v/>
      </c>
      <c r="AE164" s="31">
        <f>AE159-AE163</f>
        <v/>
      </c>
      <c r="AF164" s="31">
        <f>AF159-AF163</f>
        <v/>
      </c>
      <c r="AG164" s="31">
        <f>AG159-AG163</f>
        <v/>
      </c>
      <c r="AH164" s="31">
        <f>AH159-AH163</f>
        <v/>
      </c>
      <c r="AI164" s="31">
        <f>AI159-AI163</f>
        <v/>
      </c>
    </row>
    <row r="165">
      <c r="B165" s="2" t="inlineStr">
        <is>
          <t xml:space="preserve">  Maintenance capex (with jetty 3)</t>
        </is>
      </c>
      <c r="D165" s="19">
        <f>D150*i_W_mc*D146+D149*Sensitivities!$C$138*SUMIF(i_jetty_years,D$3,i_jetty_vals)*D146</f>
        <v/>
      </c>
      <c r="E165" s="19">
        <f>E150*i_W_mc*E146+E149*Sensitivities!$C$138*SUMIF(i_jetty_years,E$3,i_jetty_vals)*E146</f>
        <v/>
      </c>
      <c r="F165" s="19">
        <f>F150*i_W_mc*F146+F149*Sensitivities!$C$138*SUMIF(i_jetty_years,F$3,i_jetty_vals)*F146</f>
        <v/>
      </c>
      <c r="G165" s="19">
        <f>G150*i_W_mc*G146+G149*Sensitivities!$C$138*SUMIF(i_jetty_years,G$3,i_jetty_vals)*G146</f>
        <v/>
      </c>
      <c r="H165" s="19">
        <f>H150*i_W_mc*H146+H149*Sensitivities!$C$138*SUMIF(i_jetty_years,H$3,i_jetty_vals)*H146</f>
        <v/>
      </c>
      <c r="I165" s="19">
        <f>I150*i_W_mc*I146+I149*Sensitivities!$C$138*SUMIF(i_jetty_years,I$3,i_jetty_vals)*I146</f>
        <v/>
      </c>
      <c r="J165" s="19">
        <f>J150*i_W_mc*J146+J149*Sensitivities!$C$138*SUMIF(i_jetty_years,J$3,i_jetty_vals)*J146</f>
        <v/>
      </c>
      <c r="K165" s="19">
        <f>K150*i_W_mc*K146+K149*Sensitivities!$C$138*SUMIF(i_jetty_years,K$3,i_jetty_vals)*K146</f>
        <v/>
      </c>
      <c r="L165" s="19">
        <f>L150*i_W_mc*L146+L149*Sensitivities!$C$138*SUMIF(i_jetty_years,L$3,i_jetty_vals)*L146</f>
        <v/>
      </c>
      <c r="M165" s="19">
        <f>M150*i_W_mc*M146+M149*Sensitivities!$C$138*SUMIF(i_jetty_years,M$3,i_jetty_vals)*M146</f>
        <v/>
      </c>
      <c r="N165" s="19">
        <f>N150*i_W_mc*N146+N149*Sensitivities!$C$138*SUMIF(i_jetty_years,N$3,i_jetty_vals)*N146</f>
        <v/>
      </c>
      <c r="O165" s="19">
        <f>O150*i_W_mc*O146+O149*Sensitivities!$C$138*SUMIF(i_jetty_years,O$3,i_jetty_vals)*O146</f>
        <v/>
      </c>
      <c r="P165" s="19">
        <f>P150*i_W_mc*P146+P149*Sensitivities!$C$138*SUMIF(i_jetty_years,P$3,i_jetty_vals)*P146</f>
        <v/>
      </c>
      <c r="Q165" s="19">
        <f>Q150*i_W_mc*Q146+Q149*Sensitivities!$C$138*SUMIF(i_jetty_years,Q$3,i_jetty_vals)*Q146</f>
        <v/>
      </c>
      <c r="R165" s="19">
        <f>R150*i_W_mc*R146+R149*Sensitivities!$C$138*SUMIF(i_jetty_years,R$3,i_jetty_vals)*R146</f>
        <v/>
      </c>
      <c r="S165" s="19">
        <f>S150*i_W_mc*S146+S149*Sensitivities!$C$138*SUMIF(i_jetty_years,S$3,i_jetty_vals)*S146</f>
        <v/>
      </c>
      <c r="T165" s="19">
        <f>T150*i_W_mc*T146+T149*Sensitivities!$C$138*SUMIF(i_jetty_years,T$3,i_jetty_vals)*T146</f>
        <v/>
      </c>
      <c r="U165" s="19">
        <f>U150*i_W_mc*U146+U149*Sensitivities!$C$138*SUMIF(i_jetty_years,U$3,i_jetty_vals)*U146</f>
        <v/>
      </c>
      <c r="V165" s="19">
        <f>V150*i_W_mc*V146+V149*Sensitivities!$C$138*SUMIF(i_jetty_years,V$3,i_jetty_vals)*V146</f>
        <v/>
      </c>
      <c r="W165" s="19">
        <f>W150*i_W_mc*W146+W149*Sensitivities!$C$138*SUMIF(i_jetty_years,W$3,i_jetty_vals)*W146</f>
        <v/>
      </c>
      <c r="X165" s="19">
        <f>X150*i_W_mc*X146+X149*Sensitivities!$C$138*SUMIF(i_jetty_years,X$3,i_jetty_vals)*X146</f>
        <v/>
      </c>
      <c r="Y165" s="19">
        <f>Y150*i_W_mc*Y146+Y149*Sensitivities!$C$138*SUMIF(i_jetty_years,Y$3,i_jetty_vals)*Y146</f>
        <v/>
      </c>
      <c r="Z165" s="19">
        <f>Z150*i_W_mc*Z146+Z149*Sensitivities!$C$138*SUMIF(i_jetty_years,Z$3,i_jetty_vals)*Z146</f>
        <v/>
      </c>
      <c r="AA165" s="19">
        <f>AA150*i_W_mc*AA146+AA149*Sensitivities!$C$138*SUMIF(i_jetty_years,AA$3,i_jetty_vals)*AA146</f>
        <v/>
      </c>
      <c r="AB165" s="19">
        <f>AB150*i_W_mc*AB146+AB149*Sensitivities!$C$138*SUMIF(i_jetty_years,AB$3,i_jetty_vals)*AB146</f>
        <v/>
      </c>
      <c r="AC165" s="19">
        <f>AC150*i_W_mc*AC146+AC149*Sensitivities!$C$138*SUMIF(i_jetty_years,AC$3,i_jetty_vals)*AC146</f>
        <v/>
      </c>
      <c r="AD165" s="19">
        <f>AD150*i_W_mc*AD146+AD149*Sensitivities!$C$138*SUMIF(i_jetty_years,AD$3,i_jetty_vals)*AD146</f>
        <v/>
      </c>
      <c r="AE165" s="19">
        <f>AE150*i_W_mc*AE146+AE149*Sensitivities!$C$138*SUMIF(i_jetty_years,AE$3,i_jetty_vals)*AE146</f>
        <v/>
      </c>
      <c r="AF165" s="19">
        <f>AF150*i_W_mc*AF146+AF149*Sensitivities!$C$138*SUMIF(i_jetty_years,AF$3,i_jetty_vals)*AF146</f>
        <v/>
      </c>
      <c r="AG165" s="19">
        <f>AG150*i_W_mc*AG146+AG149*Sensitivities!$C$138*SUMIF(i_jetty_years,AG$3,i_jetty_vals)*AG146</f>
        <v/>
      </c>
      <c r="AH165" s="19">
        <f>AH150*i_W_mc*AH146+AH149*Sensitivities!$C$138*SUMIF(i_jetty_years,AH$3,i_jetty_vals)*AH146</f>
        <v/>
      </c>
      <c r="AI165" s="19">
        <f>AI150*i_W_mc*AI146+AI149*Sensitivities!$C$138*SUMIF(i_jetty_years,AI$3,i_jetty_vals)*AI146</f>
        <v/>
      </c>
    </row>
    <row r="166">
      <c r="B166" s="3" t="inlineStr">
        <is>
          <t>Rhine Inland</t>
        </is>
      </c>
    </row>
    <row r="167">
      <c r="B167" s="2" t="inlineStr">
        <is>
          <t xml:space="preserve">  Capacity in service (million m3)</t>
        </is>
      </c>
      <c r="D167" s="24">
        <f>i_R_cap</f>
        <v/>
      </c>
      <c r="E167" s="24">
        <f>i_R_cap</f>
        <v/>
      </c>
      <c r="F167" s="24">
        <f>i_R_cap</f>
        <v/>
      </c>
      <c r="G167" s="24">
        <f>i_R_cap</f>
        <v/>
      </c>
      <c r="H167" s="24">
        <f>i_R_cap</f>
        <v/>
      </c>
      <c r="I167" s="24">
        <f>i_R_cap</f>
        <v/>
      </c>
      <c r="J167" s="24">
        <f>i_R_cap</f>
        <v/>
      </c>
      <c r="K167" s="24">
        <f>i_R_cap</f>
        <v/>
      </c>
      <c r="L167" s="24">
        <f>i_R_cap</f>
        <v/>
      </c>
      <c r="M167" s="24">
        <f>i_R_cap</f>
        <v/>
      </c>
      <c r="N167" s="24">
        <f>i_R_cap</f>
        <v/>
      </c>
      <c r="O167" s="24">
        <f>i_R_cap</f>
        <v/>
      </c>
      <c r="P167" s="24">
        <f>i_R_cap</f>
        <v/>
      </c>
      <c r="Q167" s="24">
        <f>i_R_cap</f>
        <v/>
      </c>
      <c r="R167" s="24">
        <f>i_R_cap</f>
        <v/>
      </c>
      <c r="S167" s="24">
        <f>i_R_cap</f>
        <v/>
      </c>
      <c r="T167" s="24">
        <f>i_R_cap</f>
        <v/>
      </c>
      <c r="U167" s="24">
        <f>i_R_cap</f>
        <v/>
      </c>
      <c r="V167" s="24">
        <f>i_R_cap</f>
        <v/>
      </c>
      <c r="W167" s="24">
        <f>i_R_cap</f>
        <v/>
      </c>
      <c r="X167" s="24">
        <f>i_R_cap</f>
        <v/>
      </c>
      <c r="Y167" s="24">
        <f>i_R_cap</f>
        <v/>
      </c>
      <c r="Z167" s="24">
        <f>i_R_cap</f>
        <v/>
      </c>
      <c r="AA167" s="24">
        <f>i_R_cap</f>
        <v/>
      </c>
      <c r="AB167" s="24">
        <f>i_R_cap</f>
        <v/>
      </c>
      <c r="AC167" s="24">
        <f>i_R_cap</f>
        <v/>
      </c>
      <c r="AD167" s="24">
        <f>i_R_cap</f>
        <v/>
      </c>
      <c r="AE167" s="24">
        <f>i_R_cap</f>
        <v/>
      </c>
      <c r="AF167" s="24">
        <f>i_R_cap</f>
        <v/>
      </c>
      <c r="AG167" s="24">
        <f>i_R_cap</f>
        <v/>
      </c>
      <c r="AH167" s="24">
        <f>i_R_cap</f>
        <v/>
      </c>
      <c r="AI167" s="24">
        <f>i_R_cap</f>
        <v/>
      </c>
    </row>
    <row r="168">
      <c r="B168" s="2" t="inlineStr">
        <is>
          <t xml:space="preserve">  Share on contracts signed before 2027</t>
        </is>
      </c>
      <c r="D168" s="21">
        <f>SUMIF(i_book_years,D$3,i_R_book)</f>
        <v/>
      </c>
      <c r="E168" s="21">
        <f>SUMIF(i_book_years,E$3,i_R_book)</f>
        <v/>
      </c>
      <c r="F168" s="21">
        <f>SUMIF(i_book_years,F$3,i_R_book)</f>
        <v/>
      </c>
      <c r="G168" s="21">
        <f>SUMIF(i_book_years,G$3,i_R_book)</f>
        <v/>
      </c>
      <c r="H168" s="21">
        <f>SUMIF(i_book_years,H$3,i_R_book)</f>
        <v/>
      </c>
      <c r="I168" s="21">
        <f>SUMIF(i_book_years,I$3,i_R_book)</f>
        <v/>
      </c>
      <c r="J168" s="21">
        <f>SUMIF(i_book_years,J$3,i_R_book)</f>
        <v/>
      </c>
      <c r="K168" s="21">
        <f>SUMIF(i_book_years,K$3,i_R_book)</f>
        <v/>
      </c>
      <c r="L168" s="21">
        <f>SUMIF(i_book_years,L$3,i_R_book)</f>
        <v/>
      </c>
      <c r="M168" s="21">
        <f>SUMIF(i_book_years,M$3,i_R_book)</f>
        <v/>
      </c>
      <c r="N168" s="21">
        <f>SUMIF(i_book_years,N$3,i_R_book)</f>
        <v/>
      </c>
      <c r="O168" s="21">
        <f>SUMIF(i_book_years,O$3,i_R_book)</f>
        <v/>
      </c>
      <c r="P168" s="21">
        <f>SUMIF(i_book_years,P$3,i_R_book)</f>
        <v/>
      </c>
      <c r="Q168" s="21">
        <f>SUMIF(i_book_years,Q$3,i_R_book)</f>
        <v/>
      </c>
      <c r="R168" s="21">
        <f>SUMIF(i_book_years,R$3,i_R_book)</f>
        <v/>
      </c>
      <c r="S168" s="21">
        <f>SUMIF(i_book_years,S$3,i_R_book)</f>
        <v/>
      </c>
      <c r="T168" s="21">
        <f>SUMIF(i_book_years,T$3,i_R_book)</f>
        <v/>
      </c>
      <c r="U168" s="21">
        <f>SUMIF(i_book_years,U$3,i_R_book)</f>
        <v/>
      </c>
      <c r="V168" s="21">
        <f>SUMIF(i_book_years,V$3,i_R_book)</f>
        <v/>
      </c>
      <c r="W168" s="21">
        <f>SUMIF(i_book_years,W$3,i_R_book)</f>
        <v/>
      </c>
      <c r="X168" s="21">
        <f>SUMIF(i_book_years,X$3,i_R_book)</f>
        <v/>
      </c>
      <c r="Y168" s="21">
        <f>SUMIF(i_book_years,Y$3,i_R_book)</f>
        <v/>
      </c>
      <c r="Z168" s="21">
        <f>SUMIF(i_book_years,Z$3,i_R_book)</f>
        <v/>
      </c>
      <c r="AA168" s="21">
        <f>SUMIF(i_book_years,AA$3,i_R_book)</f>
        <v/>
      </c>
      <c r="AB168" s="21">
        <f>SUMIF(i_book_years,AB$3,i_R_book)</f>
        <v/>
      </c>
      <c r="AC168" s="21">
        <f>SUMIF(i_book_years,AC$3,i_R_book)</f>
        <v/>
      </c>
      <c r="AD168" s="21">
        <f>SUMIF(i_book_years,AD$3,i_R_book)</f>
        <v/>
      </c>
      <c r="AE168" s="21">
        <f>SUMIF(i_book_years,AE$3,i_R_book)</f>
        <v/>
      </c>
      <c r="AF168" s="21">
        <f>SUMIF(i_book_years,AF$3,i_R_book)</f>
        <v/>
      </c>
      <c r="AG168" s="21">
        <f>SUMIF(i_book_years,AG$3,i_R_book)</f>
        <v/>
      </c>
      <c r="AH168" s="21">
        <f>SUMIF(i_book_years,AH$3,i_R_book)</f>
        <v/>
      </c>
      <c r="AI168" s="21">
        <f>SUMIF(i_book_years,AI$3,i_R_book)</f>
        <v/>
      </c>
    </row>
    <row r="169">
      <c r="B169" s="2" t="inlineStr">
        <is>
          <t xml:space="preserve">  Recontracting factor against current rates</t>
        </is>
      </c>
      <c r="D169" s="21">
        <f>IF(D$4=0,0,IF(Sensitivities!$C$136=1,i_R_mtm,i_R_mtm_plan)+Sensitivities!$C$142)</f>
        <v/>
      </c>
      <c r="E169" s="21">
        <f>IF(E$4=0,0,IF(Sensitivities!$C$136=1,i_R_mtm,i_R_mtm_plan)+Sensitivities!$C$142)</f>
        <v/>
      </c>
      <c r="F169" s="21">
        <f>IF(F$4=0,0,IF(Sensitivities!$C$136=1,i_R_mtm,i_R_mtm_plan)+Sensitivities!$C$142)</f>
        <v/>
      </c>
      <c r="G169" s="21">
        <f>IF(G$4=0,0,IF(Sensitivities!$C$136=1,i_R_mtm,i_R_mtm_plan)+Sensitivities!$C$142)</f>
        <v/>
      </c>
      <c r="H169" s="21">
        <f>IF(H$4=0,0,IF(Sensitivities!$C$136=1,i_R_mtm,i_R_mtm_plan)+Sensitivities!$C$142)</f>
        <v/>
      </c>
      <c r="I169" s="21">
        <f>IF(I$4=0,0,IF(Sensitivities!$C$136=1,i_R_mtm,i_R_mtm_plan)+Sensitivities!$C$142)</f>
        <v/>
      </c>
      <c r="J169" s="21">
        <f>IF(J$4=0,0,IF(Sensitivities!$C$136=1,i_R_mtm,i_R_mtm_plan)+Sensitivities!$C$142)</f>
        <v/>
      </c>
      <c r="K169" s="21">
        <f>IF(K$4=0,0,IF(Sensitivities!$C$136=1,i_R_mtm,i_R_mtm_plan)+Sensitivities!$C$142)</f>
        <v/>
      </c>
      <c r="L169" s="21">
        <f>IF(L$4=0,0,IF(Sensitivities!$C$136=1,i_R_mtm,i_R_mtm_plan)+Sensitivities!$C$142)</f>
        <v/>
      </c>
      <c r="M169" s="21">
        <f>IF(M$4=0,0,IF(Sensitivities!$C$136=1,i_R_mtm,i_R_mtm_plan)+Sensitivities!$C$142)</f>
        <v/>
      </c>
      <c r="N169" s="21">
        <f>IF(N$4=0,0,IF(Sensitivities!$C$136=1,i_R_mtm,i_R_mtm_plan)+Sensitivities!$C$142)</f>
        <v/>
      </c>
      <c r="O169" s="21">
        <f>IF(O$4=0,0,IF(Sensitivities!$C$136=1,i_R_mtm,i_R_mtm_plan)+Sensitivities!$C$142)</f>
        <v/>
      </c>
      <c r="P169" s="21">
        <f>IF(P$4=0,0,IF(Sensitivities!$C$136=1,i_R_mtm,i_R_mtm_plan)+Sensitivities!$C$142)</f>
        <v/>
      </c>
      <c r="Q169" s="21">
        <f>IF(Q$4=0,0,IF(Sensitivities!$C$136=1,i_R_mtm,i_R_mtm_plan)+Sensitivities!$C$142)</f>
        <v/>
      </c>
      <c r="R169" s="21">
        <f>IF(R$4=0,0,IF(Sensitivities!$C$136=1,i_R_mtm,i_R_mtm_plan)+Sensitivities!$C$142)</f>
        <v/>
      </c>
      <c r="S169" s="21">
        <f>IF(S$4=0,0,IF(Sensitivities!$C$136=1,i_R_mtm,i_R_mtm_plan)+Sensitivities!$C$142)</f>
        <v/>
      </c>
      <c r="T169" s="21">
        <f>IF(T$4=0,0,IF(Sensitivities!$C$136=1,i_R_mtm,i_R_mtm_plan)+Sensitivities!$C$142)</f>
        <v/>
      </c>
      <c r="U169" s="21">
        <f>IF(U$4=0,0,IF(Sensitivities!$C$136=1,i_R_mtm,i_R_mtm_plan)+Sensitivities!$C$142)</f>
        <v/>
      </c>
      <c r="V169" s="21">
        <f>IF(V$4=0,0,IF(Sensitivities!$C$136=1,i_R_mtm,i_R_mtm_plan)+Sensitivities!$C$142)</f>
        <v/>
      </c>
      <c r="W169" s="21">
        <f>IF(W$4=0,0,IF(Sensitivities!$C$136=1,i_R_mtm,i_R_mtm_plan)+Sensitivities!$C$142)</f>
        <v/>
      </c>
      <c r="X169" s="21">
        <f>IF(X$4=0,0,IF(Sensitivities!$C$136=1,i_R_mtm,i_R_mtm_plan)+Sensitivities!$C$142)</f>
        <v/>
      </c>
      <c r="Y169" s="21">
        <f>IF(Y$4=0,0,IF(Sensitivities!$C$136=1,i_R_mtm,i_R_mtm_plan)+Sensitivities!$C$142)</f>
        <v/>
      </c>
      <c r="Z169" s="21">
        <f>IF(Z$4=0,0,IF(Sensitivities!$C$136=1,i_R_mtm,i_R_mtm_plan)+Sensitivities!$C$142)</f>
        <v/>
      </c>
      <c r="AA169" s="21">
        <f>IF(AA$4=0,0,IF(Sensitivities!$C$136=1,i_R_mtm,i_R_mtm_plan)+Sensitivities!$C$142)</f>
        <v/>
      </c>
      <c r="AB169" s="21">
        <f>IF(AB$4=0,0,IF(Sensitivities!$C$136=1,i_R_mtm,i_R_mtm_plan)+Sensitivities!$C$142)</f>
        <v/>
      </c>
      <c r="AC169" s="21">
        <f>IF(AC$4=0,0,IF(Sensitivities!$C$136=1,i_R_mtm,i_R_mtm_plan)+Sensitivities!$C$142)</f>
        <v/>
      </c>
      <c r="AD169" s="21">
        <f>IF(AD$4=0,0,IF(Sensitivities!$C$136=1,i_R_mtm,i_R_mtm_plan)+Sensitivities!$C$142)</f>
        <v/>
      </c>
      <c r="AE169" s="21">
        <f>IF(AE$4=0,0,IF(Sensitivities!$C$136=1,i_R_mtm,i_R_mtm_plan)+Sensitivities!$C$142)</f>
        <v/>
      </c>
      <c r="AF169" s="21">
        <f>IF(AF$4=0,0,IF(Sensitivities!$C$136=1,i_R_mtm,i_R_mtm_plan)+Sensitivities!$C$142)</f>
        <v/>
      </c>
      <c r="AG169" s="21">
        <f>IF(AG$4=0,0,IF(Sensitivities!$C$136=1,i_R_mtm,i_R_mtm_plan)+Sensitivities!$C$142)</f>
        <v/>
      </c>
      <c r="AH169" s="21">
        <f>IF(AH$4=0,0,IF(Sensitivities!$C$136=1,i_R_mtm,i_R_mtm_plan)+Sensitivities!$C$142)</f>
        <v/>
      </c>
      <c r="AI169" s="21">
        <f>IF(AI$4=0,0,IF(Sensitivities!$C$136=1,i_R_mtm,i_R_mtm_plan)+Sensitivities!$C$142)</f>
        <v/>
      </c>
    </row>
    <row r="170">
      <c r="B170" s="2" t="inlineStr">
        <is>
          <t xml:space="preserve">  Average rate ($ per m3 per month)</t>
        </is>
      </c>
      <c r="D170" s="24">
        <f>i_R_rate*D147*(D168+(1-D168)*(1+D169))</f>
        <v/>
      </c>
      <c r="E170" s="24">
        <f>i_R_rate*E147*(E168+(1-E168)*(1+E169))</f>
        <v/>
      </c>
      <c r="F170" s="24">
        <f>i_R_rate*F147*(F168+(1-F168)*(1+F169))</f>
        <v/>
      </c>
      <c r="G170" s="24">
        <f>i_R_rate*G147*(G168+(1-G168)*(1+G169))</f>
        <v/>
      </c>
      <c r="H170" s="24">
        <f>i_R_rate*H147*(H168+(1-H168)*(1+H169))</f>
        <v/>
      </c>
      <c r="I170" s="24">
        <f>i_R_rate*I147*(I168+(1-I168)*(1+I169))</f>
        <v/>
      </c>
      <c r="J170" s="24">
        <f>i_R_rate*J147*(J168+(1-J168)*(1+J169))</f>
        <v/>
      </c>
      <c r="K170" s="24">
        <f>i_R_rate*K147*(K168+(1-K168)*(1+K169))</f>
        <v/>
      </c>
      <c r="L170" s="24">
        <f>i_R_rate*L147*(L168+(1-L168)*(1+L169))</f>
        <v/>
      </c>
      <c r="M170" s="24">
        <f>i_R_rate*M147*(M168+(1-M168)*(1+M169))</f>
        <v/>
      </c>
      <c r="N170" s="24">
        <f>i_R_rate*N147*(N168+(1-N168)*(1+N169))</f>
        <v/>
      </c>
      <c r="O170" s="24">
        <f>i_R_rate*O147*(O168+(1-O168)*(1+O169))</f>
        <v/>
      </c>
      <c r="P170" s="24">
        <f>i_R_rate*P147*(P168+(1-P168)*(1+P169))</f>
        <v/>
      </c>
      <c r="Q170" s="24">
        <f>i_R_rate*Q147*(Q168+(1-Q168)*(1+Q169))</f>
        <v/>
      </c>
      <c r="R170" s="24">
        <f>i_R_rate*R147*(R168+(1-R168)*(1+R169))</f>
        <v/>
      </c>
      <c r="S170" s="24">
        <f>i_R_rate*S147*(S168+(1-S168)*(1+S169))</f>
        <v/>
      </c>
      <c r="T170" s="24">
        <f>i_R_rate*T147*(T168+(1-T168)*(1+T169))</f>
        <v/>
      </c>
      <c r="U170" s="24">
        <f>i_R_rate*U147*(U168+(1-U168)*(1+U169))</f>
        <v/>
      </c>
      <c r="V170" s="24">
        <f>i_R_rate*V147*(V168+(1-V168)*(1+V169))</f>
        <v/>
      </c>
      <c r="W170" s="24">
        <f>i_R_rate*W147*(W168+(1-W168)*(1+W169))</f>
        <v/>
      </c>
      <c r="X170" s="24">
        <f>i_R_rate*X147*(X168+(1-X168)*(1+X169))</f>
        <v/>
      </c>
      <c r="Y170" s="24">
        <f>i_R_rate*Y147*(Y168+(1-Y168)*(1+Y169))</f>
        <v/>
      </c>
      <c r="Z170" s="24">
        <f>i_R_rate*Z147*(Z168+(1-Z168)*(1+Z169))</f>
        <v/>
      </c>
      <c r="AA170" s="24">
        <f>i_R_rate*AA147*(AA168+(1-AA168)*(1+AA169))</f>
        <v/>
      </c>
      <c r="AB170" s="24">
        <f>i_R_rate*AB147*(AB168+(1-AB168)*(1+AB169))</f>
        <v/>
      </c>
      <c r="AC170" s="24">
        <f>i_R_rate*AC147*(AC168+(1-AC168)*(1+AC169))</f>
        <v/>
      </c>
      <c r="AD170" s="24">
        <f>i_R_rate*AD147*(AD168+(1-AD168)*(1+AD169))</f>
        <v/>
      </c>
      <c r="AE170" s="24">
        <f>i_R_rate*AE147*(AE168+(1-AE168)*(1+AE169))</f>
        <v/>
      </c>
      <c r="AF170" s="24">
        <f>i_R_rate*AF147*(AF168+(1-AF168)*(1+AF169))</f>
        <v/>
      </c>
      <c r="AG170" s="24">
        <f>i_R_rate*AG147*(AG168+(1-AG168)*(1+AG169))</f>
        <v/>
      </c>
      <c r="AH170" s="24">
        <f>i_R_rate*AH147*(AH168+(1-AH168)*(1+AH169))</f>
        <v/>
      </c>
      <c r="AI170" s="24">
        <f>i_R_rate*AI147*(AI168+(1-AI168)*(1+AI169))</f>
        <v/>
      </c>
    </row>
    <row r="171">
      <c r="B171" s="2" t="inlineStr">
        <is>
          <t xml:space="preserve">  Occupancy after the transition decline and floor</t>
        </is>
      </c>
      <c r="D171" s="21">
        <f>IF(D$3&gt;i_trans_start,MAX(i_R_floor,i_R_occ-i_R_dec*(D$3-i_trans_start)),i_R_occ)</f>
        <v/>
      </c>
      <c r="E171" s="21">
        <f>IF(E$3&gt;i_trans_start,MAX(i_R_floor,i_R_occ-i_R_dec*(E$3-i_trans_start)),i_R_occ)</f>
        <v/>
      </c>
      <c r="F171" s="21">
        <f>IF(F$3&gt;i_trans_start,MAX(i_R_floor,i_R_occ-i_R_dec*(F$3-i_trans_start)),i_R_occ)</f>
        <v/>
      </c>
      <c r="G171" s="21">
        <f>IF(G$3&gt;i_trans_start,MAX(i_R_floor,i_R_occ-i_R_dec*(G$3-i_trans_start)),i_R_occ)</f>
        <v/>
      </c>
      <c r="H171" s="21">
        <f>IF(H$3&gt;i_trans_start,MAX(i_R_floor,i_R_occ-i_R_dec*(H$3-i_trans_start)),i_R_occ)</f>
        <v/>
      </c>
      <c r="I171" s="21">
        <f>IF(I$3&gt;i_trans_start,MAX(i_R_floor,i_R_occ-i_R_dec*(I$3-i_trans_start)),i_R_occ)</f>
        <v/>
      </c>
      <c r="J171" s="21">
        <f>IF(J$3&gt;i_trans_start,MAX(i_R_floor,i_R_occ-i_R_dec*(J$3-i_trans_start)),i_R_occ)</f>
        <v/>
      </c>
      <c r="K171" s="21">
        <f>IF(K$3&gt;i_trans_start,MAX(i_R_floor,i_R_occ-i_R_dec*(K$3-i_trans_start)),i_R_occ)</f>
        <v/>
      </c>
      <c r="L171" s="21">
        <f>IF(L$3&gt;i_trans_start,MAX(i_R_floor,i_R_occ-i_R_dec*(L$3-i_trans_start)),i_R_occ)</f>
        <v/>
      </c>
      <c r="M171" s="21">
        <f>IF(M$3&gt;i_trans_start,MAX(i_R_floor,i_R_occ-i_R_dec*(M$3-i_trans_start)),i_R_occ)</f>
        <v/>
      </c>
      <c r="N171" s="21">
        <f>IF(N$3&gt;i_trans_start,MAX(i_R_floor,i_R_occ-i_R_dec*(N$3-i_trans_start)),i_R_occ)</f>
        <v/>
      </c>
      <c r="O171" s="21">
        <f>IF(O$3&gt;i_trans_start,MAX(i_R_floor,i_R_occ-i_R_dec*(O$3-i_trans_start)),i_R_occ)</f>
        <v/>
      </c>
      <c r="P171" s="21">
        <f>IF(P$3&gt;i_trans_start,MAX(i_R_floor,i_R_occ-i_R_dec*(P$3-i_trans_start)),i_R_occ)</f>
        <v/>
      </c>
      <c r="Q171" s="21">
        <f>IF(Q$3&gt;i_trans_start,MAX(i_R_floor,i_R_occ-i_R_dec*(Q$3-i_trans_start)),i_R_occ)</f>
        <v/>
      </c>
      <c r="R171" s="21">
        <f>IF(R$3&gt;i_trans_start,MAX(i_R_floor,i_R_occ-i_R_dec*(R$3-i_trans_start)),i_R_occ)</f>
        <v/>
      </c>
      <c r="S171" s="21">
        <f>IF(S$3&gt;i_trans_start,MAX(i_R_floor,i_R_occ-i_R_dec*(S$3-i_trans_start)),i_R_occ)</f>
        <v/>
      </c>
      <c r="T171" s="21">
        <f>IF(T$3&gt;i_trans_start,MAX(i_R_floor,i_R_occ-i_R_dec*(T$3-i_trans_start)),i_R_occ)</f>
        <v/>
      </c>
      <c r="U171" s="21">
        <f>IF(U$3&gt;i_trans_start,MAX(i_R_floor,i_R_occ-i_R_dec*(U$3-i_trans_start)),i_R_occ)</f>
        <v/>
      </c>
      <c r="V171" s="21">
        <f>IF(V$3&gt;i_trans_start,MAX(i_R_floor,i_R_occ-i_R_dec*(V$3-i_trans_start)),i_R_occ)</f>
        <v/>
      </c>
      <c r="W171" s="21">
        <f>IF(W$3&gt;i_trans_start,MAX(i_R_floor,i_R_occ-i_R_dec*(W$3-i_trans_start)),i_R_occ)</f>
        <v/>
      </c>
      <c r="X171" s="21">
        <f>IF(X$3&gt;i_trans_start,MAX(i_R_floor,i_R_occ-i_R_dec*(X$3-i_trans_start)),i_R_occ)</f>
        <v/>
      </c>
      <c r="Y171" s="21">
        <f>IF(Y$3&gt;i_trans_start,MAX(i_R_floor,i_R_occ-i_R_dec*(Y$3-i_trans_start)),i_R_occ)</f>
        <v/>
      </c>
      <c r="Z171" s="21">
        <f>IF(Z$3&gt;i_trans_start,MAX(i_R_floor,i_R_occ-i_R_dec*(Z$3-i_trans_start)),i_R_occ)</f>
        <v/>
      </c>
      <c r="AA171" s="21">
        <f>IF(AA$3&gt;i_trans_start,MAX(i_R_floor,i_R_occ-i_R_dec*(AA$3-i_trans_start)),i_R_occ)</f>
        <v/>
      </c>
      <c r="AB171" s="21">
        <f>IF(AB$3&gt;i_trans_start,MAX(i_R_floor,i_R_occ-i_R_dec*(AB$3-i_trans_start)),i_R_occ)</f>
        <v/>
      </c>
      <c r="AC171" s="21">
        <f>IF(AC$3&gt;i_trans_start,MAX(i_R_floor,i_R_occ-i_R_dec*(AC$3-i_trans_start)),i_R_occ)</f>
        <v/>
      </c>
      <c r="AD171" s="21">
        <f>IF(AD$3&gt;i_trans_start,MAX(i_R_floor,i_R_occ-i_R_dec*(AD$3-i_trans_start)),i_R_occ)</f>
        <v/>
      </c>
      <c r="AE171" s="21">
        <f>IF(AE$3&gt;i_trans_start,MAX(i_R_floor,i_R_occ-i_R_dec*(AE$3-i_trans_start)),i_R_occ)</f>
        <v/>
      </c>
      <c r="AF171" s="21">
        <f>IF(AF$3&gt;i_trans_start,MAX(i_R_floor,i_R_occ-i_R_dec*(AF$3-i_trans_start)),i_R_occ)</f>
        <v/>
      </c>
      <c r="AG171" s="21">
        <f>IF(AG$3&gt;i_trans_start,MAX(i_R_floor,i_R_occ-i_R_dec*(AG$3-i_trans_start)),i_R_occ)</f>
        <v/>
      </c>
      <c r="AH171" s="21">
        <f>IF(AH$3&gt;i_trans_start,MAX(i_R_floor,i_R_occ-i_R_dec*(AH$3-i_trans_start)),i_R_occ)</f>
        <v/>
      </c>
      <c r="AI171" s="21">
        <f>IF(AI$3&gt;i_trans_start,MAX(i_R_floor,i_R_occ-i_R_dec*(AI$3-i_trans_start)),i_R_occ)</f>
        <v/>
      </c>
    </row>
    <row r="172">
      <c r="B172" s="2" t="inlineStr">
        <is>
          <t xml:space="preserve">  Occupancy (with the shift switch from 2027)</t>
        </is>
      </c>
      <c r="D172" s="21">
        <f>IF(D$4&gt;0,MIN(1,D171+Sensitivities!$C$141),D171)</f>
        <v/>
      </c>
      <c r="E172" s="21">
        <f>IF(E$4&gt;0,MIN(1,E171+Sensitivities!$C$141),E171)</f>
        <v/>
      </c>
      <c r="F172" s="21">
        <f>IF(F$4&gt;0,MIN(1,F171+Sensitivities!$C$141),F171)</f>
        <v/>
      </c>
      <c r="G172" s="21">
        <f>IF(G$4&gt;0,MIN(1,G171+Sensitivities!$C$141),G171)</f>
        <v/>
      </c>
      <c r="H172" s="21">
        <f>IF(H$4&gt;0,MIN(1,H171+Sensitivities!$C$141),H171)</f>
        <v/>
      </c>
      <c r="I172" s="21">
        <f>IF(I$4&gt;0,MIN(1,I171+Sensitivities!$C$141),I171)</f>
        <v/>
      </c>
      <c r="J172" s="21">
        <f>IF(J$4&gt;0,MIN(1,J171+Sensitivities!$C$141),J171)</f>
        <v/>
      </c>
      <c r="K172" s="21">
        <f>IF(K$4&gt;0,MIN(1,K171+Sensitivities!$C$141),K171)</f>
        <v/>
      </c>
      <c r="L172" s="21">
        <f>IF(L$4&gt;0,MIN(1,L171+Sensitivities!$C$141),L171)</f>
        <v/>
      </c>
      <c r="M172" s="21">
        <f>IF(M$4&gt;0,MIN(1,M171+Sensitivities!$C$141),M171)</f>
        <v/>
      </c>
      <c r="N172" s="21">
        <f>IF(N$4&gt;0,MIN(1,N171+Sensitivities!$C$141),N171)</f>
        <v/>
      </c>
      <c r="O172" s="21">
        <f>IF(O$4&gt;0,MIN(1,O171+Sensitivities!$C$141),O171)</f>
        <v/>
      </c>
      <c r="P172" s="21">
        <f>IF(P$4&gt;0,MIN(1,P171+Sensitivities!$C$141),P171)</f>
        <v/>
      </c>
      <c r="Q172" s="21">
        <f>IF(Q$4&gt;0,MIN(1,Q171+Sensitivities!$C$141),Q171)</f>
        <v/>
      </c>
      <c r="R172" s="21">
        <f>IF(R$4&gt;0,MIN(1,R171+Sensitivities!$C$141),R171)</f>
        <v/>
      </c>
      <c r="S172" s="21">
        <f>IF(S$4&gt;0,MIN(1,S171+Sensitivities!$C$141),S171)</f>
        <v/>
      </c>
      <c r="T172" s="21">
        <f>IF(T$4&gt;0,MIN(1,T171+Sensitivities!$C$141),T171)</f>
        <v/>
      </c>
      <c r="U172" s="21">
        <f>IF(U$4&gt;0,MIN(1,U171+Sensitivities!$C$141),U171)</f>
        <v/>
      </c>
      <c r="V172" s="21">
        <f>IF(V$4&gt;0,MIN(1,V171+Sensitivities!$C$141),V171)</f>
        <v/>
      </c>
      <c r="W172" s="21">
        <f>IF(W$4&gt;0,MIN(1,W171+Sensitivities!$C$141),W171)</f>
        <v/>
      </c>
      <c r="X172" s="21">
        <f>IF(X$4&gt;0,MIN(1,X171+Sensitivities!$C$141),X171)</f>
        <v/>
      </c>
      <c r="Y172" s="21">
        <f>IF(Y$4&gt;0,MIN(1,Y171+Sensitivities!$C$141),Y171)</f>
        <v/>
      </c>
      <c r="Z172" s="21">
        <f>IF(Z$4&gt;0,MIN(1,Z171+Sensitivities!$C$141),Z171)</f>
        <v/>
      </c>
      <c r="AA172" s="21">
        <f>IF(AA$4&gt;0,MIN(1,AA171+Sensitivities!$C$141),AA171)</f>
        <v/>
      </c>
      <c r="AB172" s="21">
        <f>IF(AB$4&gt;0,MIN(1,AB171+Sensitivities!$C$141),AB171)</f>
        <v/>
      </c>
      <c r="AC172" s="21">
        <f>IF(AC$4&gt;0,MIN(1,AC171+Sensitivities!$C$141),AC171)</f>
        <v/>
      </c>
      <c r="AD172" s="21">
        <f>IF(AD$4&gt;0,MIN(1,AD171+Sensitivities!$C$141),AD171)</f>
        <v/>
      </c>
      <c r="AE172" s="21">
        <f>IF(AE$4&gt;0,MIN(1,AE171+Sensitivities!$C$141),AE171)</f>
        <v/>
      </c>
      <c r="AF172" s="21">
        <f>IF(AF$4&gt;0,MIN(1,AF171+Sensitivities!$C$141),AF171)</f>
        <v/>
      </c>
      <c r="AG172" s="21">
        <f>IF(AG$4&gt;0,MIN(1,AG171+Sensitivities!$C$141),AG171)</f>
        <v/>
      </c>
      <c r="AH172" s="21">
        <f>IF(AH$4&gt;0,MIN(1,AH171+Sensitivities!$C$141),AH171)</f>
        <v/>
      </c>
      <c r="AI172" s="21">
        <f>IF(AI$4&gt;0,MIN(1,AI171+Sensitivities!$C$141),AI171)</f>
        <v/>
      </c>
    </row>
    <row r="173">
      <c r="B173" s="2" t="inlineStr">
        <is>
          <t xml:space="preserve">  Storage revenue</t>
        </is>
      </c>
      <c r="D173" s="19">
        <f>D167*D170*12*D172</f>
        <v/>
      </c>
      <c r="E173" s="19">
        <f>E167*E170*12*E172</f>
        <v/>
      </c>
      <c r="F173" s="19">
        <f>F167*F170*12*F172</f>
        <v/>
      </c>
      <c r="G173" s="19">
        <f>G167*G170*12*G172</f>
        <v/>
      </c>
      <c r="H173" s="19">
        <f>H167*H170*12*H172</f>
        <v/>
      </c>
      <c r="I173" s="19">
        <f>I167*I170*12*I172</f>
        <v/>
      </c>
      <c r="J173" s="19">
        <f>J167*J170*12*J172</f>
        <v/>
      </c>
      <c r="K173" s="19">
        <f>K167*K170*12*K172</f>
        <v/>
      </c>
      <c r="L173" s="19">
        <f>L167*L170*12*L172</f>
        <v/>
      </c>
      <c r="M173" s="19">
        <f>M167*M170*12*M172</f>
        <v/>
      </c>
      <c r="N173" s="19">
        <f>N167*N170*12*N172</f>
        <v/>
      </c>
      <c r="O173" s="19">
        <f>O167*O170*12*O172</f>
        <v/>
      </c>
      <c r="P173" s="19">
        <f>P167*P170*12*P172</f>
        <v/>
      </c>
      <c r="Q173" s="19">
        <f>Q167*Q170*12*Q172</f>
        <v/>
      </c>
      <c r="R173" s="19">
        <f>R167*R170*12*R172</f>
        <v/>
      </c>
      <c r="S173" s="19">
        <f>S167*S170*12*S172</f>
        <v/>
      </c>
      <c r="T173" s="19">
        <f>T167*T170*12*T172</f>
        <v/>
      </c>
      <c r="U173" s="19">
        <f>U167*U170*12*U172</f>
        <v/>
      </c>
      <c r="V173" s="19">
        <f>V167*V170*12*V172</f>
        <v/>
      </c>
      <c r="W173" s="19">
        <f>W167*W170*12*W172</f>
        <v/>
      </c>
      <c r="X173" s="19">
        <f>X167*X170*12*X172</f>
        <v/>
      </c>
      <c r="Y173" s="19">
        <f>Y167*Y170*12*Y172</f>
        <v/>
      </c>
      <c r="Z173" s="19">
        <f>Z167*Z170*12*Z172</f>
        <v/>
      </c>
      <c r="AA173" s="19">
        <f>AA167*AA170*12*AA172</f>
        <v/>
      </c>
      <c r="AB173" s="19">
        <f>AB167*AB170*12*AB172</f>
        <v/>
      </c>
      <c r="AC173" s="19">
        <f>AC167*AC170*12*AC172</f>
        <v/>
      </c>
      <c r="AD173" s="19">
        <f>AD167*AD170*12*AD172</f>
        <v/>
      </c>
      <c r="AE173" s="19">
        <f>AE167*AE170*12*AE172</f>
        <v/>
      </c>
      <c r="AF173" s="19">
        <f>AF167*AF170*12*AF172</f>
        <v/>
      </c>
      <c r="AG173" s="19">
        <f>AG167*AG170*12*AG172</f>
        <v/>
      </c>
      <c r="AH173" s="19">
        <f>AH167*AH170*12*AH172</f>
        <v/>
      </c>
      <c r="AI173" s="19">
        <f>AI167*AI170*12*AI172</f>
        <v/>
      </c>
    </row>
    <row r="174">
      <c r="B174" s="2" t="inlineStr">
        <is>
          <t xml:space="preserve">  Ancillary and throughput revenue</t>
        </is>
      </c>
      <c r="D174" s="19">
        <f>D173*i_R_anc</f>
        <v/>
      </c>
      <c r="E174" s="19">
        <f>E173*i_R_anc</f>
        <v/>
      </c>
      <c r="F174" s="19">
        <f>F173*i_R_anc</f>
        <v/>
      </c>
      <c r="G174" s="19">
        <f>G173*i_R_anc</f>
        <v/>
      </c>
      <c r="H174" s="19">
        <f>H173*i_R_anc</f>
        <v/>
      </c>
      <c r="I174" s="19">
        <f>I173*i_R_anc</f>
        <v/>
      </c>
      <c r="J174" s="19">
        <f>J173*i_R_anc</f>
        <v/>
      </c>
      <c r="K174" s="19">
        <f>K173*i_R_anc</f>
        <v/>
      </c>
      <c r="L174" s="19">
        <f>L173*i_R_anc</f>
        <v/>
      </c>
      <c r="M174" s="19">
        <f>M173*i_R_anc</f>
        <v/>
      </c>
      <c r="N174" s="19">
        <f>N173*i_R_anc</f>
        <v/>
      </c>
      <c r="O174" s="19">
        <f>O173*i_R_anc</f>
        <v/>
      </c>
      <c r="P174" s="19">
        <f>P173*i_R_anc</f>
        <v/>
      </c>
      <c r="Q174" s="19">
        <f>Q173*i_R_anc</f>
        <v/>
      </c>
      <c r="R174" s="19">
        <f>R173*i_R_anc</f>
        <v/>
      </c>
      <c r="S174" s="19">
        <f>S173*i_R_anc</f>
        <v/>
      </c>
      <c r="T174" s="19">
        <f>T173*i_R_anc</f>
        <v/>
      </c>
      <c r="U174" s="19">
        <f>U173*i_R_anc</f>
        <v/>
      </c>
      <c r="V174" s="19">
        <f>V173*i_R_anc</f>
        <v/>
      </c>
      <c r="W174" s="19">
        <f>W173*i_R_anc</f>
        <v/>
      </c>
      <c r="X174" s="19">
        <f>X173*i_R_anc</f>
        <v/>
      </c>
      <c r="Y174" s="19">
        <f>Y173*i_R_anc</f>
        <v/>
      </c>
      <c r="Z174" s="19">
        <f>Z173*i_R_anc</f>
        <v/>
      </c>
      <c r="AA174" s="19">
        <f>AA173*i_R_anc</f>
        <v/>
      </c>
      <c r="AB174" s="19">
        <f>AB173*i_R_anc</f>
        <v/>
      </c>
      <c r="AC174" s="19">
        <f>AC173*i_R_anc</f>
        <v/>
      </c>
      <c r="AD174" s="19">
        <f>AD173*i_R_anc</f>
        <v/>
      </c>
      <c r="AE174" s="19">
        <f>AE173*i_R_anc</f>
        <v/>
      </c>
      <c r="AF174" s="19">
        <f>AF173*i_R_anc</f>
        <v/>
      </c>
      <c r="AG174" s="19">
        <f>AG173*i_R_anc</f>
        <v/>
      </c>
      <c r="AH174" s="19">
        <f>AH173*i_R_anc</f>
        <v/>
      </c>
      <c r="AI174" s="19">
        <f>AI173*i_R_anc</f>
        <v/>
      </c>
    </row>
    <row r="175">
      <c r="B175" s="3" t="inlineStr">
        <is>
          <t xml:space="preserve">  Revenue</t>
        </is>
      </c>
      <c r="D175" s="31">
        <f>D173+D174</f>
        <v/>
      </c>
      <c r="E175" s="31">
        <f>E173+E174</f>
        <v/>
      </c>
      <c r="F175" s="31">
        <f>F173+F174</f>
        <v/>
      </c>
      <c r="G175" s="31">
        <f>G173+G174</f>
        <v/>
      </c>
      <c r="H175" s="31">
        <f>H173+H174</f>
        <v/>
      </c>
      <c r="I175" s="31">
        <f>I173+I174</f>
        <v/>
      </c>
      <c r="J175" s="31">
        <f>J173+J174</f>
        <v/>
      </c>
      <c r="K175" s="31">
        <f>K173+K174</f>
        <v/>
      </c>
      <c r="L175" s="31">
        <f>L173+L174</f>
        <v/>
      </c>
      <c r="M175" s="31">
        <f>M173+M174</f>
        <v/>
      </c>
      <c r="N175" s="31">
        <f>N173+N174</f>
        <v/>
      </c>
      <c r="O175" s="31">
        <f>O173+O174</f>
        <v/>
      </c>
      <c r="P175" s="31">
        <f>P173+P174</f>
        <v/>
      </c>
      <c r="Q175" s="31">
        <f>Q173+Q174</f>
        <v/>
      </c>
      <c r="R175" s="31">
        <f>R173+R174</f>
        <v/>
      </c>
      <c r="S175" s="31">
        <f>S173+S174</f>
        <v/>
      </c>
      <c r="T175" s="31">
        <f>T173+T174</f>
        <v/>
      </c>
      <c r="U175" s="31">
        <f>U173+U174</f>
        <v/>
      </c>
      <c r="V175" s="31">
        <f>V173+V174</f>
        <v/>
      </c>
      <c r="W175" s="31">
        <f>W173+W174</f>
        <v/>
      </c>
      <c r="X175" s="31">
        <f>X173+X174</f>
        <v/>
      </c>
      <c r="Y175" s="31">
        <f>Y173+Y174</f>
        <v/>
      </c>
      <c r="Z175" s="31">
        <f>Z173+Z174</f>
        <v/>
      </c>
      <c r="AA175" s="31">
        <f>AA173+AA174</f>
        <v/>
      </c>
      <c r="AB175" s="31">
        <f>AB173+AB174</f>
        <v/>
      </c>
      <c r="AC175" s="31">
        <f>AC173+AC174</f>
        <v/>
      </c>
      <c r="AD175" s="31">
        <f>AD173+AD174</f>
        <v/>
      </c>
      <c r="AE175" s="31">
        <f>AE173+AE174</f>
        <v/>
      </c>
      <c r="AF175" s="31">
        <f>AF173+AF174</f>
        <v/>
      </c>
      <c r="AG175" s="31">
        <f>AG173+AG174</f>
        <v/>
      </c>
      <c r="AH175" s="31">
        <f>AH173+AH174</f>
        <v/>
      </c>
      <c r="AI175" s="31">
        <f>AI173+AI174</f>
        <v/>
      </c>
    </row>
    <row r="176">
      <c r="B176" s="2" t="inlineStr">
        <is>
          <t xml:space="preserve">  Fixed cost</t>
        </is>
      </c>
      <c r="D176" s="19">
        <f>D167*i_R_fix*D146</f>
        <v/>
      </c>
      <c r="E176" s="19">
        <f>E167*i_R_fix*E146</f>
        <v/>
      </c>
      <c r="F176" s="19">
        <f>F167*i_R_fix*F146</f>
        <v/>
      </c>
      <c r="G176" s="19">
        <f>G167*i_R_fix*G146</f>
        <v/>
      </c>
      <c r="H176" s="19">
        <f>H167*i_R_fix*H146</f>
        <v/>
      </c>
      <c r="I176" s="19">
        <f>I167*i_R_fix*I146</f>
        <v/>
      </c>
      <c r="J176" s="19">
        <f>J167*i_R_fix*J146</f>
        <v/>
      </c>
      <c r="K176" s="19">
        <f>K167*i_R_fix*K146</f>
        <v/>
      </c>
      <c r="L176" s="19">
        <f>L167*i_R_fix*L146</f>
        <v/>
      </c>
      <c r="M176" s="19">
        <f>M167*i_R_fix*M146</f>
        <v/>
      </c>
      <c r="N176" s="19">
        <f>N167*i_R_fix*N146</f>
        <v/>
      </c>
      <c r="O176" s="19">
        <f>O167*i_R_fix*O146</f>
        <v/>
      </c>
      <c r="P176" s="19">
        <f>P167*i_R_fix*P146</f>
        <v/>
      </c>
      <c r="Q176" s="19">
        <f>Q167*i_R_fix*Q146</f>
        <v/>
      </c>
      <c r="R176" s="19">
        <f>R167*i_R_fix*R146</f>
        <v/>
      </c>
      <c r="S176" s="19">
        <f>S167*i_R_fix*S146</f>
        <v/>
      </c>
      <c r="T176" s="19">
        <f>T167*i_R_fix*T146</f>
        <v/>
      </c>
      <c r="U176" s="19">
        <f>U167*i_R_fix*U146</f>
        <v/>
      </c>
      <c r="V176" s="19">
        <f>V167*i_R_fix*V146</f>
        <v/>
      </c>
      <c r="W176" s="19">
        <f>W167*i_R_fix*W146</f>
        <v/>
      </c>
      <c r="X176" s="19">
        <f>X167*i_R_fix*X146</f>
        <v/>
      </c>
      <c r="Y176" s="19">
        <f>Y167*i_R_fix*Y146</f>
        <v/>
      </c>
      <c r="Z176" s="19">
        <f>Z167*i_R_fix*Z146</f>
        <v/>
      </c>
      <c r="AA176" s="19">
        <f>AA167*i_R_fix*AA146</f>
        <v/>
      </c>
      <c r="AB176" s="19">
        <f>AB167*i_R_fix*AB146</f>
        <v/>
      </c>
      <c r="AC176" s="19">
        <f>AC167*i_R_fix*AC146</f>
        <v/>
      </c>
      <c r="AD176" s="19">
        <f>AD167*i_R_fix*AD146</f>
        <v/>
      </c>
      <c r="AE176" s="19">
        <f>AE167*i_R_fix*AE146</f>
        <v/>
      </c>
      <c r="AF176" s="19">
        <f>AF167*i_R_fix*AF146</f>
        <v/>
      </c>
      <c r="AG176" s="19">
        <f>AG167*i_R_fix*AG146</f>
        <v/>
      </c>
      <c r="AH176" s="19">
        <f>AH167*i_R_fix*AH146</f>
        <v/>
      </c>
      <c r="AI176" s="19">
        <f>AI167*i_R_fix*AI146</f>
        <v/>
      </c>
    </row>
    <row r="177">
      <c r="B177" s="2" t="inlineStr">
        <is>
          <t xml:space="preserve">  Variable cost</t>
        </is>
      </c>
      <c r="D177" s="19">
        <f>i_R_var*D175</f>
        <v/>
      </c>
      <c r="E177" s="19">
        <f>i_R_var*E175</f>
        <v/>
      </c>
      <c r="F177" s="19">
        <f>i_R_var*F175</f>
        <v/>
      </c>
      <c r="G177" s="19">
        <f>i_R_var*G175</f>
        <v/>
      </c>
      <c r="H177" s="19">
        <f>i_R_var*H175</f>
        <v/>
      </c>
      <c r="I177" s="19">
        <f>i_R_var*I175</f>
        <v/>
      </c>
      <c r="J177" s="19">
        <f>i_R_var*J175</f>
        <v/>
      </c>
      <c r="K177" s="19">
        <f>i_R_var*K175</f>
        <v/>
      </c>
      <c r="L177" s="19">
        <f>i_R_var*L175</f>
        <v/>
      </c>
      <c r="M177" s="19">
        <f>i_R_var*M175</f>
        <v/>
      </c>
      <c r="N177" s="19">
        <f>i_R_var*N175</f>
        <v/>
      </c>
      <c r="O177" s="19">
        <f>i_R_var*O175</f>
        <v/>
      </c>
      <c r="P177" s="19">
        <f>i_R_var*P175</f>
        <v/>
      </c>
      <c r="Q177" s="19">
        <f>i_R_var*Q175</f>
        <v/>
      </c>
      <c r="R177" s="19">
        <f>i_R_var*R175</f>
        <v/>
      </c>
      <c r="S177" s="19">
        <f>i_R_var*S175</f>
        <v/>
      </c>
      <c r="T177" s="19">
        <f>i_R_var*T175</f>
        <v/>
      </c>
      <c r="U177" s="19">
        <f>i_R_var*U175</f>
        <v/>
      </c>
      <c r="V177" s="19">
        <f>i_R_var*V175</f>
        <v/>
      </c>
      <c r="W177" s="19">
        <f>i_R_var*W175</f>
        <v/>
      </c>
      <c r="X177" s="19">
        <f>i_R_var*X175</f>
        <v/>
      </c>
      <c r="Y177" s="19">
        <f>i_R_var*Y175</f>
        <v/>
      </c>
      <c r="Z177" s="19">
        <f>i_R_var*Z175</f>
        <v/>
      </c>
      <c r="AA177" s="19">
        <f>i_R_var*AA175</f>
        <v/>
      </c>
      <c r="AB177" s="19">
        <f>i_R_var*AB175</f>
        <v/>
      </c>
      <c r="AC177" s="19">
        <f>i_R_var*AC175</f>
        <v/>
      </c>
      <c r="AD177" s="19">
        <f>i_R_var*AD175</f>
        <v/>
      </c>
      <c r="AE177" s="19">
        <f>i_R_var*AE175</f>
        <v/>
      </c>
      <c r="AF177" s="19">
        <f>i_R_var*AF175</f>
        <v/>
      </c>
      <c r="AG177" s="19">
        <f>i_R_var*AG175</f>
        <v/>
      </c>
      <c r="AH177" s="19">
        <f>i_R_var*AH175</f>
        <v/>
      </c>
      <c r="AI177" s="19">
        <f>i_R_var*AI175</f>
        <v/>
      </c>
    </row>
    <row r="178">
      <c r="B178" s="2" t="inlineStr">
        <is>
          <t xml:space="preserve">  Operating cost</t>
        </is>
      </c>
      <c r="D178" s="19">
        <f>D176+D177</f>
        <v/>
      </c>
      <c r="E178" s="19">
        <f>E176+E177</f>
        <v/>
      </c>
      <c r="F178" s="19">
        <f>F176+F177</f>
        <v/>
      </c>
      <c r="G178" s="19">
        <f>G176+G177</f>
        <v/>
      </c>
      <c r="H178" s="19">
        <f>H176+H177</f>
        <v/>
      </c>
      <c r="I178" s="19">
        <f>I176+I177</f>
        <v/>
      </c>
      <c r="J178" s="19">
        <f>J176+J177</f>
        <v/>
      </c>
      <c r="K178" s="19">
        <f>K176+K177</f>
        <v/>
      </c>
      <c r="L178" s="19">
        <f>L176+L177</f>
        <v/>
      </c>
      <c r="M178" s="19">
        <f>M176+M177</f>
        <v/>
      </c>
      <c r="N178" s="19">
        <f>N176+N177</f>
        <v/>
      </c>
      <c r="O178" s="19">
        <f>O176+O177</f>
        <v/>
      </c>
      <c r="P178" s="19">
        <f>P176+P177</f>
        <v/>
      </c>
      <c r="Q178" s="19">
        <f>Q176+Q177</f>
        <v/>
      </c>
      <c r="R178" s="19">
        <f>R176+R177</f>
        <v/>
      </c>
      <c r="S178" s="19">
        <f>S176+S177</f>
        <v/>
      </c>
      <c r="T178" s="19">
        <f>T176+T177</f>
        <v/>
      </c>
      <c r="U178" s="19">
        <f>U176+U177</f>
        <v/>
      </c>
      <c r="V178" s="19">
        <f>V176+V177</f>
        <v/>
      </c>
      <c r="W178" s="19">
        <f>W176+W177</f>
        <v/>
      </c>
      <c r="X178" s="19">
        <f>X176+X177</f>
        <v/>
      </c>
      <c r="Y178" s="19">
        <f>Y176+Y177</f>
        <v/>
      </c>
      <c r="Z178" s="19">
        <f>Z176+Z177</f>
        <v/>
      </c>
      <c r="AA178" s="19">
        <f>AA176+AA177</f>
        <v/>
      </c>
      <c r="AB178" s="19">
        <f>AB176+AB177</f>
        <v/>
      </c>
      <c r="AC178" s="19">
        <f>AC176+AC177</f>
        <v/>
      </c>
      <c r="AD178" s="19">
        <f>AD176+AD177</f>
        <v/>
      </c>
      <c r="AE178" s="19">
        <f>AE176+AE177</f>
        <v/>
      </c>
      <c r="AF178" s="19">
        <f>AF176+AF177</f>
        <v/>
      </c>
      <c r="AG178" s="19">
        <f>AG176+AG177</f>
        <v/>
      </c>
      <c r="AH178" s="19">
        <f>AH176+AH177</f>
        <v/>
      </c>
      <c r="AI178" s="19">
        <f>AI176+AI177</f>
        <v/>
      </c>
    </row>
    <row r="179">
      <c r="B179" s="3" t="inlineStr">
        <is>
          <t xml:space="preserve">  EBITDA</t>
        </is>
      </c>
      <c r="D179" s="31">
        <f>D175-D178</f>
        <v/>
      </c>
      <c r="E179" s="31">
        <f>E175-E178</f>
        <v/>
      </c>
      <c r="F179" s="31">
        <f>F175-F178</f>
        <v/>
      </c>
      <c r="G179" s="31">
        <f>G175-G178</f>
        <v/>
      </c>
      <c r="H179" s="31">
        <f>H175-H178</f>
        <v/>
      </c>
      <c r="I179" s="31">
        <f>I175-I178</f>
        <v/>
      </c>
      <c r="J179" s="31">
        <f>J175-J178</f>
        <v/>
      </c>
      <c r="K179" s="31">
        <f>K175-K178</f>
        <v/>
      </c>
      <c r="L179" s="31">
        <f>L175-L178</f>
        <v/>
      </c>
      <c r="M179" s="31">
        <f>M175-M178</f>
        <v/>
      </c>
      <c r="N179" s="31">
        <f>N175-N178</f>
        <v/>
      </c>
      <c r="O179" s="31">
        <f>O175-O178</f>
        <v/>
      </c>
      <c r="P179" s="31">
        <f>P175-P178</f>
        <v/>
      </c>
      <c r="Q179" s="31">
        <f>Q175-Q178</f>
        <v/>
      </c>
      <c r="R179" s="31">
        <f>R175-R178</f>
        <v/>
      </c>
      <c r="S179" s="31">
        <f>S175-S178</f>
        <v/>
      </c>
      <c r="T179" s="31">
        <f>T175-T178</f>
        <v/>
      </c>
      <c r="U179" s="31">
        <f>U175-U178</f>
        <v/>
      </c>
      <c r="V179" s="31">
        <f>V175-V178</f>
        <v/>
      </c>
      <c r="W179" s="31">
        <f>W175-W178</f>
        <v/>
      </c>
      <c r="X179" s="31">
        <f>X175-X178</f>
        <v/>
      </c>
      <c r="Y179" s="31">
        <f>Y175-Y178</f>
        <v/>
      </c>
      <c r="Z179" s="31">
        <f>Z175-Z178</f>
        <v/>
      </c>
      <c r="AA179" s="31">
        <f>AA175-AA178</f>
        <v/>
      </c>
      <c r="AB179" s="31">
        <f>AB175-AB178</f>
        <v/>
      </c>
      <c r="AC179" s="31">
        <f>AC175-AC178</f>
        <v/>
      </c>
      <c r="AD179" s="31">
        <f>AD175-AD178</f>
        <v/>
      </c>
      <c r="AE179" s="31">
        <f>AE175-AE178</f>
        <v/>
      </c>
      <c r="AF179" s="31">
        <f>AF175-AF178</f>
        <v/>
      </c>
      <c r="AG179" s="31">
        <f>AG175-AG178</f>
        <v/>
      </c>
      <c r="AH179" s="31">
        <f>AH175-AH178</f>
        <v/>
      </c>
      <c r="AI179" s="31">
        <f>AI175-AI178</f>
        <v/>
      </c>
    </row>
    <row r="180">
      <c r="B180" s="2" t="inlineStr">
        <is>
          <t xml:space="preserve">  Maintenance capex</t>
        </is>
      </c>
      <c r="D180" s="19">
        <f>D167*i_R_mc*D146</f>
        <v/>
      </c>
      <c r="E180" s="19">
        <f>E167*i_R_mc*E146</f>
        <v/>
      </c>
      <c r="F180" s="19">
        <f>F167*i_R_mc*F146</f>
        <v/>
      </c>
      <c r="G180" s="19">
        <f>G167*i_R_mc*G146</f>
        <v/>
      </c>
      <c r="H180" s="19">
        <f>H167*i_R_mc*H146</f>
        <v/>
      </c>
      <c r="I180" s="19">
        <f>I167*i_R_mc*I146</f>
        <v/>
      </c>
      <c r="J180" s="19">
        <f>J167*i_R_mc*J146</f>
        <v/>
      </c>
      <c r="K180" s="19">
        <f>K167*i_R_mc*K146</f>
        <v/>
      </c>
      <c r="L180" s="19">
        <f>L167*i_R_mc*L146</f>
        <v/>
      </c>
      <c r="M180" s="19">
        <f>M167*i_R_mc*M146</f>
        <v/>
      </c>
      <c r="N180" s="19">
        <f>N167*i_R_mc*N146</f>
        <v/>
      </c>
      <c r="O180" s="19">
        <f>O167*i_R_mc*O146</f>
        <v/>
      </c>
      <c r="P180" s="19">
        <f>P167*i_R_mc*P146</f>
        <v/>
      </c>
      <c r="Q180" s="19">
        <f>Q167*i_R_mc*Q146</f>
        <v/>
      </c>
      <c r="R180" s="19">
        <f>R167*i_R_mc*R146</f>
        <v/>
      </c>
      <c r="S180" s="19">
        <f>S167*i_R_mc*S146</f>
        <v/>
      </c>
      <c r="T180" s="19">
        <f>T167*i_R_mc*T146</f>
        <v/>
      </c>
      <c r="U180" s="19">
        <f>U167*i_R_mc*U146</f>
        <v/>
      </c>
      <c r="V180" s="19">
        <f>V167*i_R_mc*V146</f>
        <v/>
      </c>
      <c r="W180" s="19">
        <f>W167*i_R_mc*W146</f>
        <v/>
      </c>
      <c r="X180" s="19">
        <f>X167*i_R_mc*X146</f>
        <v/>
      </c>
      <c r="Y180" s="19">
        <f>Y167*i_R_mc*Y146</f>
        <v/>
      </c>
      <c r="Z180" s="19">
        <f>Z167*i_R_mc*Z146</f>
        <v/>
      </c>
      <c r="AA180" s="19">
        <f>AA167*i_R_mc*AA146</f>
        <v/>
      </c>
      <c r="AB180" s="19">
        <f>AB167*i_R_mc*AB146</f>
        <v/>
      </c>
      <c r="AC180" s="19">
        <f>AC167*i_R_mc*AC146</f>
        <v/>
      </c>
      <c r="AD180" s="19">
        <f>AD167*i_R_mc*AD146</f>
        <v/>
      </c>
      <c r="AE180" s="19">
        <f>AE167*i_R_mc*AE146</f>
        <v/>
      </c>
      <c r="AF180" s="19">
        <f>AF167*i_R_mc*AF146</f>
        <v/>
      </c>
      <c r="AG180" s="19">
        <f>AG167*i_R_mc*AG146</f>
        <v/>
      </c>
      <c r="AH180" s="19">
        <f>AH167*i_R_mc*AH146</f>
        <v/>
      </c>
      <c r="AI180" s="19">
        <f>AI167*i_R_mc*AI146</f>
        <v/>
      </c>
    </row>
    <row r="181">
      <c r="B181" s="3" t="inlineStr">
        <is>
          <t>Thamesbridge</t>
        </is>
      </c>
    </row>
    <row r="182">
      <c r="B182" s="2" t="inlineStr">
        <is>
          <t xml:space="preserve">  Capacity in service (million m3)</t>
        </is>
      </c>
      <c r="D182" s="24">
        <f>i_T_cap</f>
        <v/>
      </c>
      <c r="E182" s="24">
        <f>i_T_cap</f>
        <v/>
      </c>
      <c r="F182" s="24">
        <f>i_T_cap</f>
        <v/>
      </c>
      <c r="G182" s="24">
        <f>i_T_cap</f>
        <v/>
      </c>
      <c r="H182" s="24">
        <f>i_T_cap</f>
        <v/>
      </c>
      <c r="I182" s="24">
        <f>i_T_cap</f>
        <v/>
      </c>
      <c r="J182" s="24">
        <f>i_T_cap</f>
        <v/>
      </c>
      <c r="K182" s="24">
        <f>i_T_cap</f>
        <v/>
      </c>
      <c r="L182" s="24">
        <f>i_T_cap</f>
        <v/>
      </c>
      <c r="M182" s="24">
        <f>i_T_cap</f>
        <v/>
      </c>
      <c r="N182" s="24">
        <f>i_T_cap</f>
        <v/>
      </c>
      <c r="O182" s="24">
        <f>i_T_cap</f>
        <v/>
      </c>
      <c r="P182" s="24">
        <f>i_T_cap</f>
        <v/>
      </c>
      <c r="Q182" s="24">
        <f>i_T_cap</f>
        <v/>
      </c>
      <c r="R182" s="24">
        <f>i_T_cap</f>
        <v/>
      </c>
      <c r="S182" s="24">
        <f>i_T_cap</f>
        <v/>
      </c>
      <c r="T182" s="24">
        <f>i_T_cap</f>
        <v/>
      </c>
      <c r="U182" s="24">
        <f>i_T_cap</f>
        <v/>
      </c>
      <c r="V182" s="24">
        <f>i_T_cap</f>
        <v/>
      </c>
      <c r="W182" s="24">
        <f>i_T_cap</f>
        <v/>
      </c>
      <c r="X182" s="24">
        <f>i_T_cap</f>
        <v/>
      </c>
      <c r="Y182" s="24">
        <f>i_T_cap</f>
        <v/>
      </c>
      <c r="Z182" s="24">
        <f>i_T_cap</f>
        <v/>
      </c>
      <c r="AA182" s="24">
        <f>i_T_cap</f>
        <v/>
      </c>
      <c r="AB182" s="24">
        <f>i_T_cap</f>
        <v/>
      </c>
      <c r="AC182" s="24">
        <f>i_T_cap</f>
        <v/>
      </c>
      <c r="AD182" s="24">
        <f>i_T_cap</f>
        <v/>
      </c>
      <c r="AE182" s="24">
        <f>i_T_cap</f>
        <v/>
      </c>
      <c r="AF182" s="24">
        <f>i_T_cap</f>
        <v/>
      </c>
      <c r="AG182" s="24">
        <f>i_T_cap</f>
        <v/>
      </c>
      <c r="AH182" s="24">
        <f>i_T_cap</f>
        <v/>
      </c>
      <c r="AI182" s="24">
        <f>i_T_cap</f>
        <v/>
      </c>
    </row>
    <row r="183">
      <c r="B183" s="2" t="inlineStr">
        <is>
          <t xml:space="preserve">  Share on contracts signed before 2027</t>
        </is>
      </c>
      <c r="D183" s="21">
        <f>SUMIF(i_book_years,D$3,i_T_book)</f>
        <v/>
      </c>
      <c r="E183" s="21">
        <f>SUMIF(i_book_years,E$3,i_T_book)</f>
        <v/>
      </c>
      <c r="F183" s="21">
        <f>SUMIF(i_book_years,F$3,i_T_book)</f>
        <v/>
      </c>
      <c r="G183" s="21">
        <f>SUMIF(i_book_years,G$3,i_T_book)</f>
        <v/>
      </c>
      <c r="H183" s="21">
        <f>SUMIF(i_book_years,H$3,i_T_book)</f>
        <v/>
      </c>
      <c r="I183" s="21">
        <f>SUMIF(i_book_years,I$3,i_T_book)</f>
        <v/>
      </c>
      <c r="J183" s="21">
        <f>SUMIF(i_book_years,J$3,i_T_book)</f>
        <v/>
      </c>
      <c r="K183" s="21">
        <f>SUMIF(i_book_years,K$3,i_T_book)</f>
        <v/>
      </c>
      <c r="L183" s="21">
        <f>SUMIF(i_book_years,L$3,i_T_book)</f>
        <v/>
      </c>
      <c r="M183" s="21">
        <f>SUMIF(i_book_years,M$3,i_T_book)</f>
        <v/>
      </c>
      <c r="N183" s="21">
        <f>SUMIF(i_book_years,N$3,i_T_book)</f>
        <v/>
      </c>
      <c r="O183" s="21">
        <f>SUMIF(i_book_years,O$3,i_T_book)</f>
        <v/>
      </c>
      <c r="P183" s="21">
        <f>SUMIF(i_book_years,P$3,i_T_book)</f>
        <v/>
      </c>
      <c r="Q183" s="21">
        <f>SUMIF(i_book_years,Q$3,i_T_book)</f>
        <v/>
      </c>
      <c r="R183" s="21">
        <f>SUMIF(i_book_years,R$3,i_T_book)</f>
        <v/>
      </c>
      <c r="S183" s="21">
        <f>SUMIF(i_book_years,S$3,i_T_book)</f>
        <v/>
      </c>
      <c r="T183" s="21">
        <f>SUMIF(i_book_years,T$3,i_T_book)</f>
        <v/>
      </c>
      <c r="U183" s="21">
        <f>SUMIF(i_book_years,U$3,i_T_book)</f>
        <v/>
      </c>
      <c r="V183" s="21">
        <f>SUMIF(i_book_years,V$3,i_T_book)</f>
        <v/>
      </c>
      <c r="W183" s="21">
        <f>SUMIF(i_book_years,W$3,i_T_book)</f>
        <v/>
      </c>
      <c r="X183" s="21">
        <f>SUMIF(i_book_years,X$3,i_T_book)</f>
        <v/>
      </c>
      <c r="Y183" s="21">
        <f>SUMIF(i_book_years,Y$3,i_T_book)</f>
        <v/>
      </c>
      <c r="Z183" s="21">
        <f>SUMIF(i_book_years,Z$3,i_T_book)</f>
        <v/>
      </c>
      <c r="AA183" s="21">
        <f>SUMIF(i_book_years,AA$3,i_T_book)</f>
        <v/>
      </c>
      <c r="AB183" s="21">
        <f>SUMIF(i_book_years,AB$3,i_T_book)</f>
        <v/>
      </c>
      <c r="AC183" s="21">
        <f>SUMIF(i_book_years,AC$3,i_T_book)</f>
        <v/>
      </c>
      <c r="AD183" s="21">
        <f>SUMIF(i_book_years,AD$3,i_T_book)</f>
        <v/>
      </c>
      <c r="AE183" s="21">
        <f>SUMIF(i_book_years,AE$3,i_T_book)</f>
        <v/>
      </c>
      <c r="AF183" s="21">
        <f>SUMIF(i_book_years,AF$3,i_T_book)</f>
        <v/>
      </c>
      <c r="AG183" s="21">
        <f>SUMIF(i_book_years,AG$3,i_T_book)</f>
        <v/>
      </c>
      <c r="AH183" s="21">
        <f>SUMIF(i_book_years,AH$3,i_T_book)</f>
        <v/>
      </c>
      <c r="AI183" s="21">
        <f>SUMIF(i_book_years,AI$3,i_T_book)</f>
        <v/>
      </c>
    </row>
    <row r="184">
      <c r="B184" s="2" t="inlineStr">
        <is>
          <t xml:space="preserve">  Recontracting factor against current rates</t>
        </is>
      </c>
      <c r="D184" s="21">
        <f>IF(D$4=0,0,IF(Sensitivities!$C$136=1,i_T_mtm,i_T_mtm_plan)+Sensitivities!$C$142)</f>
        <v/>
      </c>
      <c r="E184" s="21">
        <f>IF(E$4=0,0,IF(Sensitivities!$C$136=1,i_T_mtm,i_T_mtm_plan)+Sensitivities!$C$142)</f>
        <v/>
      </c>
      <c r="F184" s="21">
        <f>IF(F$4=0,0,IF(Sensitivities!$C$136=1,i_T_mtm,i_T_mtm_plan)+Sensitivities!$C$142)</f>
        <v/>
      </c>
      <c r="G184" s="21">
        <f>IF(G$4=0,0,IF(Sensitivities!$C$136=1,i_T_mtm,i_T_mtm_plan)+Sensitivities!$C$142)</f>
        <v/>
      </c>
      <c r="H184" s="21">
        <f>IF(H$4=0,0,IF(Sensitivities!$C$136=1,i_T_mtm,i_T_mtm_plan)+Sensitivities!$C$142)</f>
        <v/>
      </c>
      <c r="I184" s="21">
        <f>IF(I$4=0,0,IF(Sensitivities!$C$136=1,i_T_mtm,i_T_mtm_plan)+Sensitivities!$C$142)</f>
        <v/>
      </c>
      <c r="J184" s="21">
        <f>IF(J$4=0,0,IF(Sensitivities!$C$136=1,i_T_mtm,i_T_mtm_plan)+Sensitivities!$C$142)</f>
        <v/>
      </c>
      <c r="K184" s="21">
        <f>IF(K$4=0,0,IF(Sensitivities!$C$136=1,i_T_mtm,i_T_mtm_plan)+Sensitivities!$C$142)</f>
        <v/>
      </c>
      <c r="L184" s="21">
        <f>IF(L$4=0,0,IF(Sensitivities!$C$136=1,i_T_mtm,i_T_mtm_plan)+Sensitivities!$C$142)</f>
        <v/>
      </c>
      <c r="M184" s="21">
        <f>IF(M$4=0,0,IF(Sensitivities!$C$136=1,i_T_mtm,i_T_mtm_plan)+Sensitivities!$C$142)</f>
        <v/>
      </c>
      <c r="N184" s="21">
        <f>IF(N$4=0,0,IF(Sensitivities!$C$136=1,i_T_mtm,i_T_mtm_plan)+Sensitivities!$C$142)</f>
        <v/>
      </c>
      <c r="O184" s="21">
        <f>IF(O$4=0,0,IF(Sensitivities!$C$136=1,i_T_mtm,i_T_mtm_plan)+Sensitivities!$C$142)</f>
        <v/>
      </c>
      <c r="P184" s="21">
        <f>IF(P$4=0,0,IF(Sensitivities!$C$136=1,i_T_mtm,i_T_mtm_plan)+Sensitivities!$C$142)</f>
        <v/>
      </c>
      <c r="Q184" s="21">
        <f>IF(Q$4=0,0,IF(Sensitivities!$C$136=1,i_T_mtm,i_T_mtm_plan)+Sensitivities!$C$142)</f>
        <v/>
      </c>
      <c r="R184" s="21">
        <f>IF(R$4=0,0,IF(Sensitivities!$C$136=1,i_T_mtm,i_T_mtm_plan)+Sensitivities!$C$142)</f>
        <v/>
      </c>
      <c r="S184" s="21">
        <f>IF(S$4=0,0,IF(Sensitivities!$C$136=1,i_T_mtm,i_T_mtm_plan)+Sensitivities!$C$142)</f>
        <v/>
      </c>
      <c r="T184" s="21">
        <f>IF(T$4=0,0,IF(Sensitivities!$C$136=1,i_T_mtm,i_T_mtm_plan)+Sensitivities!$C$142)</f>
        <v/>
      </c>
      <c r="U184" s="21">
        <f>IF(U$4=0,0,IF(Sensitivities!$C$136=1,i_T_mtm,i_T_mtm_plan)+Sensitivities!$C$142)</f>
        <v/>
      </c>
      <c r="V184" s="21">
        <f>IF(V$4=0,0,IF(Sensitivities!$C$136=1,i_T_mtm,i_T_mtm_plan)+Sensitivities!$C$142)</f>
        <v/>
      </c>
      <c r="W184" s="21">
        <f>IF(W$4=0,0,IF(Sensitivities!$C$136=1,i_T_mtm,i_T_mtm_plan)+Sensitivities!$C$142)</f>
        <v/>
      </c>
      <c r="X184" s="21">
        <f>IF(X$4=0,0,IF(Sensitivities!$C$136=1,i_T_mtm,i_T_mtm_plan)+Sensitivities!$C$142)</f>
        <v/>
      </c>
      <c r="Y184" s="21">
        <f>IF(Y$4=0,0,IF(Sensitivities!$C$136=1,i_T_mtm,i_T_mtm_plan)+Sensitivities!$C$142)</f>
        <v/>
      </c>
      <c r="Z184" s="21">
        <f>IF(Z$4=0,0,IF(Sensitivities!$C$136=1,i_T_mtm,i_T_mtm_plan)+Sensitivities!$C$142)</f>
        <v/>
      </c>
      <c r="AA184" s="21">
        <f>IF(AA$4=0,0,IF(Sensitivities!$C$136=1,i_T_mtm,i_T_mtm_plan)+Sensitivities!$C$142)</f>
        <v/>
      </c>
      <c r="AB184" s="21">
        <f>IF(AB$4=0,0,IF(Sensitivities!$C$136=1,i_T_mtm,i_T_mtm_plan)+Sensitivities!$C$142)</f>
        <v/>
      </c>
      <c r="AC184" s="21">
        <f>IF(AC$4=0,0,IF(Sensitivities!$C$136=1,i_T_mtm,i_T_mtm_plan)+Sensitivities!$C$142)</f>
        <v/>
      </c>
      <c r="AD184" s="21">
        <f>IF(AD$4=0,0,IF(Sensitivities!$C$136=1,i_T_mtm,i_T_mtm_plan)+Sensitivities!$C$142)</f>
        <v/>
      </c>
      <c r="AE184" s="21">
        <f>IF(AE$4=0,0,IF(Sensitivities!$C$136=1,i_T_mtm,i_T_mtm_plan)+Sensitivities!$C$142)</f>
        <v/>
      </c>
      <c r="AF184" s="21">
        <f>IF(AF$4=0,0,IF(Sensitivities!$C$136=1,i_T_mtm,i_T_mtm_plan)+Sensitivities!$C$142)</f>
        <v/>
      </c>
      <c r="AG184" s="21">
        <f>IF(AG$4=0,0,IF(Sensitivities!$C$136=1,i_T_mtm,i_T_mtm_plan)+Sensitivities!$C$142)</f>
        <v/>
      </c>
      <c r="AH184" s="21">
        <f>IF(AH$4=0,0,IF(Sensitivities!$C$136=1,i_T_mtm,i_T_mtm_plan)+Sensitivities!$C$142)</f>
        <v/>
      </c>
      <c r="AI184" s="21">
        <f>IF(AI$4=0,0,IF(Sensitivities!$C$136=1,i_T_mtm,i_T_mtm_plan)+Sensitivities!$C$142)</f>
        <v/>
      </c>
    </row>
    <row r="185">
      <c r="B185" s="2" t="inlineStr">
        <is>
          <t xml:space="preserve">  Average rate ($ per m3 per month)</t>
        </is>
      </c>
      <c r="D185" s="24">
        <f>i_T_rate*D147*(D183+(1-D183)*(1+D184))</f>
        <v/>
      </c>
      <c r="E185" s="24">
        <f>i_T_rate*E147*(E183+(1-E183)*(1+E184))</f>
        <v/>
      </c>
      <c r="F185" s="24">
        <f>i_T_rate*F147*(F183+(1-F183)*(1+F184))</f>
        <v/>
      </c>
      <c r="G185" s="24">
        <f>i_T_rate*G147*(G183+(1-G183)*(1+G184))</f>
        <v/>
      </c>
      <c r="H185" s="24">
        <f>i_T_rate*H147*(H183+(1-H183)*(1+H184))</f>
        <v/>
      </c>
      <c r="I185" s="24">
        <f>i_T_rate*I147*(I183+(1-I183)*(1+I184))</f>
        <v/>
      </c>
      <c r="J185" s="24">
        <f>i_T_rate*J147*(J183+(1-J183)*(1+J184))</f>
        <v/>
      </c>
      <c r="K185" s="24">
        <f>i_T_rate*K147*(K183+(1-K183)*(1+K184))</f>
        <v/>
      </c>
      <c r="L185" s="24">
        <f>i_T_rate*L147*(L183+(1-L183)*(1+L184))</f>
        <v/>
      </c>
      <c r="M185" s="24">
        <f>i_T_rate*M147*(M183+(1-M183)*(1+M184))</f>
        <v/>
      </c>
      <c r="N185" s="24">
        <f>i_T_rate*N147*(N183+(1-N183)*(1+N184))</f>
        <v/>
      </c>
      <c r="O185" s="24">
        <f>i_T_rate*O147*(O183+(1-O183)*(1+O184))</f>
        <v/>
      </c>
      <c r="P185" s="24">
        <f>i_T_rate*P147*(P183+(1-P183)*(1+P184))</f>
        <v/>
      </c>
      <c r="Q185" s="24">
        <f>i_T_rate*Q147*(Q183+(1-Q183)*(1+Q184))</f>
        <v/>
      </c>
      <c r="R185" s="24">
        <f>i_T_rate*R147*(R183+(1-R183)*(1+R184))</f>
        <v/>
      </c>
      <c r="S185" s="24">
        <f>i_T_rate*S147*(S183+(1-S183)*(1+S184))</f>
        <v/>
      </c>
      <c r="T185" s="24">
        <f>i_T_rate*T147*(T183+(1-T183)*(1+T184))</f>
        <v/>
      </c>
      <c r="U185" s="24">
        <f>i_T_rate*U147*(U183+(1-U183)*(1+U184))</f>
        <v/>
      </c>
      <c r="V185" s="24">
        <f>i_T_rate*V147*(V183+(1-V183)*(1+V184))</f>
        <v/>
      </c>
      <c r="W185" s="24">
        <f>i_T_rate*W147*(W183+(1-W183)*(1+W184))</f>
        <v/>
      </c>
      <c r="X185" s="24">
        <f>i_T_rate*X147*(X183+(1-X183)*(1+X184))</f>
        <v/>
      </c>
      <c r="Y185" s="24">
        <f>i_T_rate*Y147*(Y183+(1-Y183)*(1+Y184))</f>
        <v/>
      </c>
      <c r="Z185" s="24">
        <f>i_T_rate*Z147*(Z183+(1-Z183)*(1+Z184))</f>
        <v/>
      </c>
      <c r="AA185" s="24">
        <f>i_T_rate*AA147*(AA183+(1-AA183)*(1+AA184))</f>
        <v/>
      </c>
      <c r="AB185" s="24">
        <f>i_T_rate*AB147*(AB183+(1-AB183)*(1+AB184))</f>
        <v/>
      </c>
      <c r="AC185" s="24">
        <f>i_T_rate*AC147*(AC183+(1-AC183)*(1+AC184))</f>
        <v/>
      </c>
      <c r="AD185" s="24">
        <f>i_T_rate*AD147*(AD183+(1-AD183)*(1+AD184))</f>
        <v/>
      </c>
      <c r="AE185" s="24">
        <f>i_T_rate*AE147*(AE183+(1-AE183)*(1+AE184))</f>
        <v/>
      </c>
      <c r="AF185" s="24">
        <f>i_T_rate*AF147*(AF183+(1-AF183)*(1+AF184))</f>
        <v/>
      </c>
      <c r="AG185" s="24">
        <f>i_T_rate*AG147*(AG183+(1-AG183)*(1+AG184))</f>
        <v/>
      </c>
      <c r="AH185" s="24">
        <f>i_T_rate*AH147*(AH183+(1-AH183)*(1+AH184))</f>
        <v/>
      </c>
      <c r="AI185" s="24">
        <f>i_T_rate*AI147*(AI183+(1-AI183)*(1+AI184))</f>
        <v/>
      </c>
    </row>
    <row r="186">
      <c r="B186" s="2" t="inlineStr">
        <is>
          <t xml:space="preserve">  Occupancy after the transition decline and floor</t>
        </is>
      </c>
      <c r="D186" s="21">
        <f>IF(D$3&gt;i_trans_start,MAX(i_T_floor,i_T_occ-i_T_dec*(D$3-i_trans_start)),i_T_occ)</f>
        <v/>
      </c>
      <c r="E186" s="21">
        <f>IF(E$3&gt;i_trans_start,MAX(i_T_floor,i_T_occ-i_T_dec*(E$3-i_trans_start)),i_T_occ)</f>
        <v/>
      </c>
      <c r="F186" s="21">
        <f>IF(F$3&gt;i_trans_start,MAX(i_T_floor,i_T_occ-i_T_dec*(F$3-i_trans_start)),i_T_occ)</f>
        <v/>
      </c>
      <c r="G186" s="21">
        <f>IF(G$3&gt;i_trans_start,MAX(i_T_floor,i_T_occ-i_T_dec*(G$3-i_trans_start)),i_T_occ)</f>
        <v/>
      </c>
      <c r="H186" s="21">
        <f>IF(H$3&gt;i_trans_start,MAX(i_T_floor,i_T_occ-i_T_dec*(H$3-i_trans_start)),i_T_occ)</f>
        <v/>
      </c>
      <c r="I186" s="21">
        <f>IF(I$3&gt;i_trans_start,MAX(i_T_floor,i_T_occ-i_T_dec*(I$3-i_trans_start)),i_T_occ)</f>
        <v/>
      </c>
      <c r="J186" s="21">
        <f>IF(J$3&gt;i_trans_start,MAX(i_T_floor,i_T_occ-i_T_dec*(J$3-i_trans_start)),i_T_occ)</f>
        <v/>
      </c>
      <c r="K186" s="21">
        <f>IF(K$3&gt;i_trans_start,MAX(i_T_floor,i_T_occ-i_T_dec*(K$3-i_trans_start)),i_T_occ)</f>
        <v/>
      </c>
      <c r="L186" s="21">
        <f>IF(L$3&gt;i_trans_start,MAX(i_T_floor,i_T_occ-i_T_dec*(L$3-i_trans_start)),i_T_occ)</f>
        <v/>
      </c>
      <c r="M186" s="21">
        <f>IF(M$3&gt;i_trans_start,MAX(i_T_floor,i_T_occ-i_T_dec*(M$3-i_trans_start)),i_T_occ)</f>
        <v/>
      </c>
      <c r="N186" s="21">
        <f>IF(N$3&gt;i_trans_start,MAX(i_T_floor,i_T_occ-i_T_dec*(N$3-i_trans_start)),i_T_occ)</f>
        <v/>
      </c>
      <c r="O186" s="21">
        <f>IF(O$3&gt;i_trans_start,MAX(i_T_floor,i_T_occ-i_T_dec*(O$3-i_trans_start)),i_T_occ)</f>
        <v/>
      </c>
      <c r="P186" s="21">
        <f>IF(P$3&gt;i_trans_start,MAX(i_T_floor,i_T_occ-i_T_dec*(P$3-i_trans_start)),i_T_occ)</f>
        <v/>
      </c>
      <c r="Q186" s="21">
        <f>IF(Q$3&gt;i_trans_start,MAX(i_T_floor,i_T_occ-i_T_dec*(Q$3-i_trans_start)),i_T_occ)</f>
        <v/>
      </c>
      <c r="R186" s="21">
        <f>IF(R$3&gt;i_trans_start,MAX(i_T_floor,i_T_occ-i_T_dec*(R$3-i_trans_start)),i_T_occ)</f>
        <v/>
      </c>
      <c r="S186" s="21">
        <f>IF(S$3&gt;i_trans_start,MAX(i_T_floor,i_T_occ-i_T_dec*(S$3-i_trans_start)),i_T_occ)</f>
        <v/>
      </c>
      <c r="T186" s="21">
        <f>IF(T$3&gt;i_trans_start,MAX(i_T_floor,i_T_occ-i_T_dec*(T$3-i_trans_start)),i_T_occ)</f>
        <v/>
      </c>
      <c r="U186" s="21">
        <f>IF(U$3&gt;i_trans_start,MAX(i_T_floor,i_T_occ-i_T_dec*(U$3-i_trans_start)),i_T_occ)</f>
        <v/>
      </c>
      <c r="V186" s="21">
        <f>IF(V$3&gt;i_trans_start,MAX(i_T_floor,i_T_occ-i_T_dec*(V$3-i_trans_start)),i_T_occ)</f>
        <v/>
      </c>
      <c r="W186" s="21">
        <f>IF(W$3&gt;i_trans_start,MAX(i_T_floor,i_T_occ-i_T_dec*(W$3-i_trans_start)),i_T_occ)</f>
        <v/>
      </c>
      <c r="X186" s="21">
        <f>IF(X$3&gt;i_trans_start,MAX(i_T_floor,i_T_occ-i_T_dec*(X$3-i_trans_start)),i_T_occ)</f>
        <v/>
      </c>
      <c r="Y186" s="21">
        <f>IF(Y$3&gt;i_trans_start,MAX(i_T_floor,i_T_occ-i_T_dec*(Y$3-i_trans_start)),i_T_occ)</f>
        <v/>
      </c>
      <c r="Z186" s="21">
        <f>IF(Z$3&gt;i_trans_start,MAX(i_T_floor,i_T_occ-i_T_dec*(Z$3-i_trans_start)),i_T_occ)</f>
        <v/>
      </c>
      <c r="AA186" s="21">
        <f>IF(AA$3&gt;i_trans_start,MAX(i_T_floor,i_T_occ-i_T_dec*(AA$3-i_trans_start)),i_T_occ)</f>
        <v/>
      </c>
      <c r="AB186" s="21">
        <f>IF(AB$3&gt;i_trans_start,MAX(i_T_floor,i_T_occ-i_T_dec*(AB$3-i_trans_start)),i_T_occ)</f>
        <v/>
      </c>
      <c r="AC186" s="21">
        <f>IF(AC$3&gt;i_trans_start,MAX(i_T_floor,i_T_occ-i_T_dec*(AC$3-i_trans_start)),i_T_occ)</f>
        <v/>
      </c>
      <c r="AD186" s="21">
        <f>IF(AD$3&gt;i_trans_start,MAX(i_T_floor,i_T_occ-i_T_dec*(AD$3-i_trans_start)),i_T_occ)</f>
        <v/>
      </c>
      <c r="AE186" s="21">
        <f>IF(AE$3&gt;i_trans_start,MAX(i_T_floor,i_T_occ-i_T_dec*(AE$3-i_trans_start)),i_T_occ)</f>
        <v/>
      </c>
      <c r="AF186" s="21">
        <f>IF(AF$3&gt;i_trans_start,MAX(i_T_floor,i_T_occ-i_T_dec*(AF$3-i_trans_start)),i_T_occ)</f>
        <v/>
      </c>
      <c r="AG186" s="21">
        <f>IF(AG$3&gt;i_trans_start,MAX(i_T_floor,i_T_occ-i_T_dec*(AG$3-i_trans_start)),i_T_occ)</f>
        <v/>
      </c>
      <c r="AH186" s="21">
        <f>IF(AH$3&gt;i_trans_start,MAX(i_T_floor,i_T_occ-i_T_dec*(AH$3-i_trans_start)),i_T_occ)</f>
        <v/>
      </c>
      <c r="AI186" s="21">
        <f>IF(AI$3&gt;i_trans_start,MAX(i_T_floor,i_T_occ-i_T_dec*(AI$3-i_trans_start)),i_T_occ)</f>
        <v/>
      </c>
    </row>
    <row r="187">
      <c r="B187" s="2" t="inlineStr">
        <is>
          <t xml:space="preserve">  Occupancy (with the shift switch from 2027)</t>
        </is>
      </c>
      <c r="D187" s="21">
        <f>IF(D$4&gt;0,MIN(1,D186+Sensitivities!$C$141),D186)</f>
        <v/>
      </c>
      <c r="E187" s="21">
        <f>IF(E$4&gt;0,MIN(1,E186+Sensitivities!$C$141),E186)</f>
        <v/>
      </c>
      <c r="F187" s="21">
        <f>IF(F$4&gt;0,MIN(1,F186+Sensitivities!$C$141),F186)</f>
        <v/>
      </c>
      <c r="G187" s="21">
        <f>IF(G$4&gt;0,MIN(1,G186+Sensitivities!$C$141),G186)</f>
        <v/>
      </c>
      <c r="H187" s="21">
        <f>IF(H$4&gt;0,MIN(1,H186+Sensitivities!$C$141),H186)</f>
        <v/>
      </c>
      <c r="I187" s="21">
        <f>IF(I$4&gt;0,MIN(1,I186+Sensitivities!$C$141),I186)</f>
        <v/>
      </c>
      <c r="J187" s="21">
        <f>IF(J$4&gt;0,MIN(1,J186+Sensitivities!$C$141),J186)</f>
        <v/>
      </c>
      <c r="K187" s="21">
        <f>IF(K$4&gt;0,MIN(1,K186+Sensitivities!$C$141),K186)</f>
        <v/>
      </c>
      <c r="L187" s="21">
        <f>IF(L$4&gt;0,MIN(1,L186+Sensitivities!$C$141),L186)</f>
        <v/>
      </c>
      <c r="M187" s="21">
        <f>IF(M$4&gt;0,MIN(1,M186+Sensitivities!$C$141),M186)</f>
        <v/>
      </c>
      <c r="N187" s="21">
        <f>IF(N$4&gt;0,MIN(1,N186+Sensitivities!$C$141),N186)</f>
        <v/>
      </c>
      <c r="O187" s="21">
        <f>IF(O$4&gt;0,MIN(1,O186+Sensitivities!$C$141),O186)</f>
        <v/>
      </c>
      <c r="P187" s="21">
        <f>IF(P$4&gt;0,MIN(1,P186+Sensitivities!$C$141),P186)</f>
        <v/>
      </c>
      <c r="Q187" s="21">
        <f>IF(Q$4&gt;0,MIN(1,Q186+Sensitivities!$C$141),Q186)</f>
        <v/>
      </c>
      <c r="R187" s="21">
        <f>IF(R$4&gt;0,MIN(1,R186+Sensitivities!$C$141),R186)</f>
        <v/>
      </c>
      <c r="S187" s="21">
        <f>IF(S$4&gt;0,MIN(1,S186+Sensitivities!$C$141),S186)</f>
        <v/>
      </c>
      <c r="T187" s="21">
        <f>IF(T$4&gt;0,MIN(1,T186+Sensitivities!$C$141),T186)</f>
        <v/>
      </c>
      <c r="U187" s="21">
        <f>IF(U$4&gt;0,MIN(1,U186+Sensitivities!$C$141),U186)</f>
        <v/>
      </c>
      <c r="V187" s="21">
        <f>IF(V$4&gt;0,MIN(1,V186+Sensitivities!$C$141),V186)</f>
        <v/>
      </c>
      <c r="W187" s="21">
        <f>IF(W$4&gt;0,MIN(1,W186+Sensitivities!$C$141),W186)</f>
        <v/>
      </c>
      <c r="X187" s="21">
        <f>IF(X$4&gt;0,MIN(1,X186+Sensitivities!$C$141),X186)</f>
        <v/>
      </c>
      <c r="Y187" s="21">
        <f>IF(Y$4&gt;0,MIN(1,Y186+Sensitivities!$C$141),Y186)</f>
        <v/>
      </c>
      <c r="Z187" s="21">
        <f>IF(Z$4&gt;0,MIN(1,Z186+Sensitivities!$C$141),Z186)</f>
        <v/>
      </c>
      <c r="AA187" s="21">
        <f>IF(AA$4&gt;0,MIN(1,AA186+Sensitivities!$C$141),AA186)</f>
        <v/>
      </c>
      <c r="AB187" s="21">
        <f>IF(AB$4&gt;0,MIN(1,AB186+Sensitivities!$C$141),AB186)</f>
        <v/>
      </c>
      <c r="AC187" s="21">
        <f>IF(AC$4&gt;0,MIN(1,AC186+Sensitivities!$C$141),AC186)</f>
        <v/>
      </c>
      <c r="AD187" s="21">
        <f>IF(AD$4&gt;0,MIN(1,AD186+Sensitivities!$C$141),AD186)</f>
        <v/>
      </c>
      <c r="AE187" s="21">
        <f>IF(AE$4&gt;0,MIN(1,AE186+Sensitivities!$C$141),AE186)</f>
        <v/>
      </c>
      <c r="AF187" s="21">
        <f>IF(AF$4&gt;0,MIN(1,AF186+Sensitivities!$C$141),AF186)</f>
        <v/>
      </c>
      <c r="AG187" s="21">
        <f>IF(AG$4&gt;0,MIN(1,AG186+Sensitivities!$C$141),AG186)</f>
        <v/>
      </c>
      <c r="AH187" s="21">
        <f>IF(AH$4&gt;0,MIN(1,AH186+Sensitivities!$C$141),AH186)</f>
        <v/>
      </c>
      <c r="AI187" s="21">
        <f>IF(AI$4&gt;0,MIN(1,AI186+Sensitivities!$C$141),AI186)</f>
        <v/>
      </c>
    </row>
    <row r="188">
      <c r="B188" s="2" t="inlineStr">
        <is>
          <t xml:space="preserve">  Storage revenue</t>
        </is>
      </c>
      <c r="D188" s="19">
        <f>D182*D185*12*D187</f>
        <v/>
      </c>
      <c r="E188" s="19">
        <f>E182*E185*12*E187</f>
        <v/>
      </c>
      <c r="F188" s="19">
        <f>F182*F185*12*F187</f>
        <v/>
      </c>
      <c r="G188" s="19">
        <f>G182*G185*12*G187</f>
        <v/>
      </c>
      <c r="H188" s="19">
        <f>H182*H185*12*H187</f>
        <v/>
      </c>
      <c r="I188" s="19">
        <f>I182*I185*12*I187</f>
        <v/>
      </c>
      <c r="J188" s="19">
        <f>J182*J185*12*J187</f>
        <v/>
      </c>
      <c r="K188" s="19">
        <f>K182*K185*12*K187</f>
        <v/>
      </c>
      <c r="L188" s="19">
        <f>L182*L185*12*L187</f>
        <v/>
      </c>
      <c r="M188" s="19">
        <f>M182*M185*12*M187</f>
        <v/>
      </c>
      <c r="N188" s="19">
        <f>N182*N185*12*N187</f>
        <v/>
      </c>
      <c r="O188" s="19">
        <f>O182*O185*12*O187</f>
        <v/>
      </c>
      <c r="P188" s="19">
        <f>P182*P185*12*P187</f>
        <v/>
      </c>
      <c r="Q188" s="19">
        <f>Q182*Q185*12*Q187</f>
        <v/>
      </c>
      <c r="R188" s="19">
        <f>R182*R185*12*R187</f>
        <v/>
      </c>
      <c r="S188" s="19">
        <f>S182*S185*12*S187</f>
        <v/>
      </c>
      <c r="T188" s="19">
        <f>T182*T185*12*T187</f>
        <v/>
      </c>
      <c r="U188" s="19">
        <f>U182*U185*12*U187</f>
        <v/>
      </c>
      <c r="V188" s="19">
        <f>V182*V185*12*V187</f>
        <v/>
      </c>
      <c r="W188" s="19">
        <f>W182*W185*12*W187</f>
        <v/>
      </c>
      <c r="X188" s="19">
        <f>X182*X185*12*X187</f>
        <v/>
      </c>
      <c r="Y188" s="19">
        <f>Y182*Y185*12*Y187</f>
        <v/>
      </c>
      <c r="Z188" s="19">
        <f>Z182*Z185*12*Z187</f>
        <v/>
      </c>
      <c r="AA188" s="19">
        <f>AA182*AA185*12*AA187</f>
        <v/>
      </c>
      <c r="AB188" s="19">
        <f>AB182*AB185*12*AB187</f>
        <v/>
      </c>
      <c r="AC188" s="19">
        <f>AC182*AC185*12*AC187</f>
        <v/>
      </c>
      <c r="AD188" s="19">
        <f>AD182*AD185*12*AD187</f>
        <v/>
      </c>
      <c r="AE188" s="19">
        <f>AE182*AE185*12*AE187</f>
        <v/>
      </c>
      <c r="AF188" s="19">
        <f>AF182*AF185*12*AF187</f>
        <v/>
      </c>
      <c r="AG188" s="19">
        <f>AG182*AG185*12*AG187</f>
        <v/>
      </c>
      <c r="AH188" s="19">
        <f>AH182*AH185*12*AH187</f>
        <v/>
      </c>
      <c r="AI188" s="19">
        <f>AI182*AI185*12*AI187</f>
        <v/>
      </c>
    </row>
    <row r="189">
      <c r="B189" s="2" t="inlineStr">
        <is>
          <t xml:space="preserve">  Ancillary and throughput revenue</t>
        </is>
      </c>
      <c r="D189" s="19">
        <f>D188*i_T_anc</f>
        <v/>
      </c>
      <c r="E189" s="19">
        <f>E188*i_T_anc</f>
        <v/>
      </c>
      <c r="F189" s="19">
        <f>F188*i_T_anc</f>
        <v/>
      </c>
      <c r="G189" s="19">
        <f>G188*i_T_anc</f>
        <v/>
      </c>
      <c r="H189" s="19">
        <f>H188*i_T_anc</f>
        <v/>
      </c>
      <c r="I189" s="19">
        <f>I188*i_T_anc</f>
        <v/>
      </c>
      <c r="J189" s="19">
        <f>J188*i_T_anc</f>
        <v/>
      </c>
      <c r="K189" s="19">
        <f>K188*i_T_anc</f>
        <v/>
      </c>
      <c r="L189" s="19">
        <f>L188*i_T_anc</f>
        <v/>
      </c>
      <c r="M189" s="19">
        <f>M188*i_T_anc</f>
        <v/>
      </c>
      <c r="N189" s="19">
        <f>N188*i_T_anc</f>
        <v/>
      </c>
      <c r="O189" s="19">
        <f>O188*i_T_anc</f>
        <v/>
      </c>
      <c r="P189" s="19">
        <f>P188*i_T_anc</f>
        <v/>
      </c>
      <c r="Q189" s="19">
        <f>Q188*i_T_anc</f>
        <v/>
      </c>
      <c r="R189" s="19">
        <f>R188*i_T_anc</f>
        <v/>
      </c>
      <c r="S189" s="19">
        <f>S188*i_T_anc</f>
        <v/>
      </c>
      <c r="T189" s="19">
        <f>T188*i_T_anc</f>
        <v/>
      </c>
      <c r="U189" s="19">
        <f>U188*i_T_anc</f>
        <v/>
      </c>
      <c r="V189" s="19">
        <f>V188*i_T_anc</f>
        <v/>
      </c>
      <c r="W189" s="19">
        <f>W188*i_T_anc</f>
        <v/>
      </c>
      <c r="X189" s="19">
        <f>X188*i_T_anc</f>
        <v/>
      </c>
      <c r="Y189" s="19">
        <f>Y188*i_T_anc</f>
        <v/>
      </c>
      <c r="Z189" s="19">
        <f>Z188*i_T_anc</f>
        <v/>
      </c>
      <c r="AA189" s="19">
        <f>AA188*i_T_anc</f>
        <v/>
      </c>
      <c r="AB189" s="19">
        <f>AB188*i_T_anc</f>
        <v/>
      </c>
      <c r="AC189" s="19">
        <f>AC188*i_T_anc</f>
        <v/>
      </c>
      <c r="AD189" s="19">
        <f>AD188*i_T_anc</f>
        <v/>
      </c>
      <c r="AE189" s="19">
        <f>AE188*i_T_anc</f>
        <v/>
      </c>
      <c r="AF189" s="19">
        <f>AF188*i_T_anc</f>
        <v/>
      </c>
      <c r="AG189" s="19">
        <f>AG188*i_T_anc</f>
        <v/>
      </c>
      <c r="AH189" s="19">
        <f>AH188*i_T_anc</f>
        <v/>
      </c>
      <c r="AI189" s="19">
        <f>AI188*i_T_anc</f>
        <v/>
      </c>
    </row>
    <row r="190">
      <c r="B190" s="3" t="inlineStr">
        <is>
          <t xml:space="preserve">  Revenue</t>
        </is>
      </c>
      <c r="D190" s="31">
        <f>D188+D189</f>
        <v/>
      </c>
      <c r="E190" s="31">
        <f>E188+E189</f>
        <v/>
      </c>
      <c r="F190" s="31">
        <f>F188+F189</f>
        <v/>
      </c>
      <c r="G190" s="31">
        <f>G188+G189</f>
        <v/>
      </c>
      <c r="H190" s="31">
        <f>H188+H189</f>
        <v/>
      </c>
      <c r="I190" s="31">
        <f>I188+I189</f>
        <v/>
      </c>
      <c r="J190" s="31">
        <f>J188+J189</f>
        <v/>
      </c>
      <c r="K190" s="31">
        <f>K188+K189</f>
        <v/>
      </c>
      <c r="L190" s="31">
        <f>L188+L189</f>
        <v/>
      </c>
      <c r="M190" s="31">
        <f>M188+M189</f>
        <v/>
      </c>
      <c r="N190" s="31">
        <f>N188+N189</f>
        <v/>
      </c>
      <c r="O190" s="31">
        <f>O188+O189</f>
        <v/>
      </c>
      <c r="P190" s="31">
        <f>P188+P189</f>
        <v/>
      </c>
      <c r="Q190" s="31">
        <f>Q188+Q189</f>
        <v/>
      </c>
      <c r="R190" s="31">
        <f>R188+R189</f>
        <v/>
      </c>
      <c r="S190" s="31">
        <f>S188+S189</f>
        <v/>
      </c>
      <c r="T190" s="31">
        <f>T188+T189</f>
        <v/>
      </c>
      <c r="U190" s="31">
        <f>U188+U189</f>
        <v/>
      </c>
      <c r="V190" s="31">
        <f>V188+V189</f>
        <v/>
      </c>
      <c r="W190" s="31">
        <f>W188+W189</f>
        <v/>
      </c>
      <c r="X190" s="31">
        <f>X188+X189</f>
        <v/>
      </c>
      <c r="Y190" s="31">
        <f>Y188+Y189</f>
        <v/>
      </c>
      <c r="Z190" s="31">
        <f>Z188+Z189</f>
        <v/>
      </c>
      <c r="AA190" s="31">
        <f>AA188+AA189</f>
        <v/>
      </c>
      <c r="AB190" s="31">
        <f>AB188+AB189</f>
        <v/>
      </c>
      <c r="AC190" s="31">
        <f>AC188+AC189</f>
        <v/>
      </c>
      <c r="AD190" s="31">
        <f>AD188+AD189</f>
        <v/>
      </c>
      <c r="AE190" s="31">
        <f>AE188+AE189</f>
        <v/>
      </c>
      <c r="AF190" s="31">
        <f>AF188+AF189</f>
        <v/>
      </c>
      <c r="AG190" s="31">
        <f>AG188+AG189</f>
        <v/>
      </c>
      <c r="AH190" s="31">
        <f>AH188+AH189</f>
        <v/>
      </c>
      <c r="AI190" s="31">
        <f>AI188+AI189</f>
        <v/>
      </c>
    </row>
    <row r="191">
      <c r="B191" s="2" t="inlineStr">
        <is>
          <t xml:space="preserve">  Fixed cost</t>
        </is>
      </c>
      <c r="D191" s="19">
        <f>D182*i_T_fix*D146</f>
        <v/>
      </c>
      <c r="E191" s="19">
        <f>E182*i_T_fix*E146</f>
        <v/>
      </c>
      <c r="F191" s="19">
        <f>F182*i_T_fix*F146</f>
        <v/>
      </c>
      <c r="G191" s="19">
        <f>G182*i_T_fix*G146</f>
        <v/>
      </c>
      <c r="H191" s="19">
        <f>H182*i_T_fix*H146</f>
        <v/>
      </c>
      <c r="I191" s="19">
        <f>I182*i_T_fix*I146</f>
        <v/>
      </c>
      <c r="J191" s="19">
        <f>J182*i_T_fix*J146</f>
        <v/>
      </c>
      <c r="K191" s="19">
        <f>K182*i_T_fix*K146</f>
        <v/>
      </c>
      <c r="L191" s="19">
        <f>L182*i_T_fix*L146</f>
        <v/>
      </c>
      <c r="M191" s="19">
        <f>M182*i_T_fix*M146</f>
        <v/>
      </c>
      <c r="N191" s="19">
        <f>N182*i_T_fix*N146</f>
        <v/>
      </c>
      <c r="O191" s="19">
        <f>O182*i_T_fix*O146</f>
        <v/>
      </c>
      <c r="P191" s="19">
        <f>P182*i_T_fix*P146</f>
        <v/>
      </c>
      <c r="Q191" s="19">
        <f>Q182*i_T_fix*Q146</f>
        <v/>
      </c>
      <c r="R191" s="19">
        <f>R182*i_T_fix*R146</f>
        <v/>
      </c>
      <c r="S191" s="19">
        <f>S182*i_T_fix*S146</f>
        <v/>
      </c>
      <c r="T191" s="19">
        <f>T182*i_T_fix*T146</f>
        <v/>
      </c>
      <c r="U191" s="19">
        <f>U182*i_T_fix*U146</f>
        <v/>
      </c>
      <c r="V191" s="19">
        <f>V182*i_T_fix*V146</f>
        <v/>
      </c>
      <c r="W191" s="19">
        <f>W182*i_T_fix*W146</f>
        <v/>
      </c>
      <c r="X191" s="19">
        <f>X182*i_T_fix*X146</f>
        <v/>
      </c>
      <c r="Y191" s="19">
        <f>Y182*i_T_fix*Y146</f>
        <v/>
      </c>
      <c r="Z191" s="19">
        <f>Z182*i_T_fix*Z146</f>
        <v/>
      </c>
      <c r="AA191" s="19">
        <f>AA182*i_T_fix*AA146</f>
        <v/>
      </c>
      <c r="AB191" s="19">
        <f>AB182*i_T_fix*AB146</f>
        <v/>
      </c>
      <c r="AC191" s="19">
        <f>AC182*i_T_fix*AC146</f>
        <v/>
      </c>
      <c r="AD191" s="19">
        <f>AD182*i_T_fix*AD146</f>
        <v/>
      </c>
      <c r="AE191" s="19">
        <f>AE182*i_T_fix*AE146</f>
        <v/>
      </c>
      <c r="AF191" s="19">
        <f>AF182*i_T_fix*AF146</f>
        <v/>
      </c>
      <c r="AG191" s="19">
        <f>AG182*i_T_fix*AG146</f>
        <v/>
      </c>
      <c r="AH191" s="19">
        <f>AH182*i_T_fix*AH146</f>
        <v/>
      </c>
      <c r="AI191" s="19">
        <f>AI182*i_T_fix*AI146</f>
        <v/>
      </c>
    </row>
    <row r="192">
      <c r="B192" s="2" t="inlineStr">
        <is>
          <t xml:space="preserve">  Variable cost</t>
        </is>
      </c>
      <c r="D192" s="19">
        <f>i_T_var*D190</f>
        <v/>
      </c>
      <c r="E192" s="19">
        <f>i_T_var*E190</f>
        <v/>
      </c>
      <c r="F192" s="19">
        <f>i_T_var*F190</f>
        <v/>
      </c>
      <c r="G192" s="19">
        <f>i_T_var*G190</f>
        <v/>
      </c>
      <c r="H192" s="19">
        <f>i_T_var*H190</f>
        <v/>
      </c>
      <c r="I192" s="19">
        <f>i_T_var*I190</f>
        <v/>
      </c>
      <c r="J192" s="19">
        <f>i_T_var*J190</f>
        <v/>
      </c>
      <c r="K192" s="19">
        <f>i_T_var*K190</f>
        <v/>
      </c>
      <c r="L192" s="19">
        <f>i_T_var*L190</f>
        <v/>
      </c>
      <c r="M192" s="19">
        <f>i_T_var*M190</f>
        <v/>
      </c>
      <c r="N192" s="19">
        <f>i_T_var*N190</f>
        <v/>
      </c>
      <c r="O192" s="19">
        <f>i_T_var*O190</f>
        <v/>
      </c>
      <c r="P192" s="19">
        <f>i_T_var*P190</f>
        <v/>
      </c>
      <c r="Q192" s="19">
        <f>i_T_var*Q190</f>
        <v/>
      </c>
      <c r="R192" s="19">
        <f>i_T_var*R190</f>
        <v/>
      </c>
      <c r="S192" s="19">
        <f>i_T_var*S190</f>
        <v/>
      </c>
      <c r="T192" s="19">
        <f>i_T_var*T190</f>
        <v/>
      </c>
      <c r="U192" s="19">
        <f>i_T_var*U190</f>
        <v/>
      </c>
      <c r="V192" s="19">
        <f>i_T_var*V190</f>
        <v/>
      </c>
      <c r="W192" s="19">
        <f>i_T_var*W190</f>
        <v/>
      </c>
      <c r="X192" s="19">
        <f>i_T_var*X190</f>
        <v/>
      </c>
      <c r="Y192" s="19">
        <f>i_T_var*Y190</f>
        <v/>
      </c>
      <c r="Z192" s="19">
        <f>i_T_var*Z190</f>
        <v/>
      </c>
      <c r="AA192" s="19">
        <f>i_T_var*AA190</f>
        <v/>
      </c>
      <c r="AB192" s="19">
        <f>i_T_var*AB190</f>
        <v/>
      </c>
      <c r="AC192" s="19">
        <f>i_T_var*AC190</f>
        <v/>
      </c>
      <c r="AD192" s="19">
        <f>i_T_var*AD190</f>
        <v/>
      </c>
      <c r="AE192" s="19">
        <f>i_T_var*AE190</f>
        <v/>
      </c>
      <c r="AF192" s="19">
        <f>i_T_var*AF190</f>
        <v/>
      </c>
      <c r="AG192" s="19">
        <f>i_T_var*AG190</f>
        <v/>
      </c>
      <c r="AH192" s="19">
        <f>i_T_var*AH190</f>
        <v/>
      </c>
      <c r="AI192" s="19">
        <f>i_T_var*AI190</f>
        <v/>
      </c>
    </row>
    <row r="193">
      <c r="B193" s="2" t="inlineStr">
        <is>
          <t xml:space="preserve">  Operating cost</t>
        </is>
      </c>
      <c r="D193" s="19">
        <f>D191+D192</f>
        <v/>
      </c>
      <c r="E193" s="19">
        <f>E191+E192</f>
        <v/>
      </c>
      <c r="F193" s="19">
        <f>F191+F192</f>
        <v/>
      </c>
      <c r="G193" s="19">
        <f>G191+G192</f>
        <v/>
      </c>
      <c r="H193" s="19">
        <f>H191+H192</f>
        <v/>
      </c>
      <c r="I193" s="19">
        <f>I191+I192</f>
        <v/>
      </c>
      <c r="J193" s="19">
        <f>J191+J192</f>
        <v/>
      </c>
      <c r="K193" s="19">
        <f>K191+K192</f>
        <v/>
      </c>
      <c r="L193" s="19">
        <f>L191+L192</f>
        <v/>
      </c>
      <c r="M193" s="19">
        <f>M191+M192</f>
        <v/>
      </c>
      <c r="N193" s="19">
        <f>N191+N192</f>
        <v/>
      </c>
      <c r="O193" s="19">
        <f>O191+O192</f>
        <v/>
      </c>
      <c r="P193" s="19">
        <f>P191+P192</f>
        <v/>
      </c>
      <c r="Q193" s="19">
        <f>Q191+Q192</f>
        <v/>
      </c>
      <c r="R193" s="19">
        <f>R191+R192</f>
        <v/>
      </c>
      <c r="S193" s="19">
        <f>S191+S192</f>
        <v/>
      </c>
      <c r="T193" s="19">
        <f>T191+T192</f>
        <v/>
      </c>
      <c r="U193" s="19">
        <f>U191+U192</f>
        <v/>
      </c>
      <c r="V193" s="19">
        <f>V191+V192</f>
        <v/>
      </c>
      <c r="W193" s="19">
        <f>W191+W192</f>
        <v/>
      </c>
      <c r="X193" s="19">
        <f>X191+X192</f>
        <v/>
      </c>
      <c r="Y193" s="19">
        <f>Y191+Y192</f>
        <v/>
      </c>
      <c r="Z193" s="19">
        <f>Z191+Z192</f>
        <v/>
      </c>
      <c r="AA193" s="19">
        <f>AA191+AA192</f>
        <v/>
      </c>
      <c r="AB193" s="19">
        <f>AB191+AB192</f>
        <v/>
      </c>
      <c r="AC193" s="19">
        <f>AC191+AC192</f>
        <v/>
      </c>
      <c r="AD193" s="19">
        <f>AD191+AD192</f>
        <v/>
      </c>
      <c r="AE193" s="19">
        <f>AE191+AE192</f>
        <v/>
      </c>
      <c r="AF193" s="19">
        <f>AF191+AF192</f>
        <v/>
      </c>
      <c r="AG193" s="19">
        <f>AG191+AG192</f>
        <v/>
      </c>
      <c r="AH193" s="19">
        <f>AH191+AH192</f>
        <v/>
      </c>
      <c r="AI193" s="19">
        <f>AI191+AI192</f>
        <v/>
      </c>
    </row>
    <row r="194">
      <c r="B194" s="3" t="inlineStr">
        <is>
          <t xml:space="preserve">  EBITDA</t>
        </is>
      </c>
      <c r="D194" s="31">
        <f>D190-D193</f>
        <v/>
      </c>
      <c r="E194" s="31">
        <f>E190-E193</f>
        <v/>
      </c>
      <c r="F194" s="31">
        <f>F190-F193</f>
        <v/>
      </c>
      <c r="G194" s="31">
        <f>G190-G193</f>
        <v/>
      </c>
      <c r="H194" s="31">
        <f>H190-H193</f>
        <v/>
      </c>
      <c r="I194" s="31">
        <f>I190-I193</f>
        <v/>
      </c>
      <c r="J194" s="31">
        <f>J190-J193</f>
        <v/>
      </c>
      <c r="K194" s="31">
        <f>K190-K193</f>
        <v/>
      </c>
      <c r="L194" s="31">
        <f>L190-L193</f>
        <v/>
      </c>
      <c r="M194" s="31">
        <f>M190-M193</f>
        <v/>
      </c>
      <c r="N194" s="31">
        <f>N190-N193</f>
        <v/>
      </c>
      <c r="O194" s="31">
        <f>O190-O193</f>
        <v/>
      </c>
      <c r="P194" s="31">
        <f>P190-P193</f>
        <v/>
      </c>
      <c r="Q194" s="31">
        <f>Q190-Q193</f>
        <v/>
      </c>
      <c r="R194" s="31">
        <f>R190-R193</f>
        <v/>
      </c>
      <c r="S194" s="31">
        <f>S190-S193</f>
        <v/>
      </c>
      <c r="T194" s="31">
        <f>T190-T193</f>
        <v/>
      </c>
      <c r="U194" s="31">
        <f>U190-U193</f>
        <v/>
      </c>
      <c r="V194" s="31">
        <f>V190-V193</f>
        <v/>
      </c>
      <c r="W194" s="31">
        <f>W190-W193</f>
        <v/>
      </c>
      <c r="X194" s="31">
        <f>X190-X193</f>
        <v/>
      </c>
      <c r="Y194" s="31">
        <f>Y190-Y193</f>
        <v/>
      </c>
      <c r="Z194" s="31">
        <f>Z190-Z193</f>
        <v/>
      </c>
      <c r="AA194" s="31">
        <f>AA190-AA193</f>
        <v/>
      </c>
      <c r="AB194" s="31">
        <f>AB190-AB193</f>
        <v/>
      </c>
      <c r="AC194" s="31">
        <f>AC190-AC193</f>
        <v/>
      </c>
      <c r="AD194" s="31">
        <f>AD190-AD193</f>
        <v/>
      </c>
      <c r="AE194" s="31">
        <f>AE190-AE193</f>
        <v/>
      </c>
      <c r="AF194" s="31">
        <f>AF190-AF193</f>
        <v/>
      </c>
      <c r="AG194" s="31">
        <f>AG190-AG193</f>
        <v/>
      </c>
      <c r="AH194" s="31">
        <f>AH190-AH193</f>
        <v/>
      </c>
      <c r="AI194" s="31">
        <f>AI190-AI193</f>
        <v/>
      </c>
    </row>
    <row r="195">
      <c r="B195" s="2" t="inlineStr">
        <is>
          <t xml:space="preserve">  Maintenance capex</t>
        </is>
      </c>
      <c r="D195" s="19">
        <f>D182*i_T_mc*D146</f>
        <v/>
      </c>
      <c r="E195" s="19">
        <f>E182*i_T_mc*E146</f>
        <v/>
      </c>
      <c r="F195" s="19">
        <f>F182*i_T_mc*F146</f>
        <v/>
      </c>
      <c r="G195" s="19">
        <f>G182*i_T_mc*G146</f>
        <v/>
      </c>
      <c r="H195" s="19">
        <f>H182*i_T_mc*H146</f>
        <v/>
      </c>
      <c r="I195" s="19">
        <f>I182*i_T_mc*I146</f>
        <v/>
      </c>
      <c r="J195" s="19">
        <f>J182*i_T_mc*J146</f>
        <v/>
      </c>
      <c r="K195" s="19">
        <f>K182*i_T_mc*K146</f>
        <v/>
      </c>
      <c r="L195" s="19">
        <f>L182*i_T_mc*L146</f>
        <v/>
      </c>
      <c r="M195" s="19">
        <f>M182*i_T_mc*M146</f>
        <v/>
      </c>
      <c r="N195" s="19">
        <f>N182*i_T_mc*N146</f>
        <v/>
      </c>
      <c r="O195" s="19">
        <f>O182*i_T_mc*O146</f>
        <v/>
      </c>
      <c r="P195" s="19">
        <f>P182*i_T_mc*P146</f>
        <v/>
      </c>
      <c r="Q195" s="19">
        <f>Q182*i_T_mc*Q146</f>
        <v/>
      </c>
      <c r="R195" s="19">
        <f>R182*i_T_mc*R146</f>
        <v/>
      </c>
      <c r="S195" s="19">
        <f>S182*i_T_mc*S146</f>
        <v/>
      </c>
      <c r="T195" s="19">
        <f>T182*i_T_mc*T146</f>
        <v/>
      </c>
      <c r="U195" s="19">
        <f>U182*i_T_mc*U146</f>
        <v/>
      </c>
      <c r="V195" s="19">
        <f>V182*i_T_mc*V146</f>
        <v/>
      </c>
      <c r="W195" s="19">
        <f>W182*i_T_mc*W146</f>
        <v/>
      </c>
      <c r="X195" s="19">
        <f>X182*i_T_mc*X146</f>
        <v/>
      </c>
      <c r="Y195" s="19">
        <f>Y182*i_T_mc*Y146</f>
        <v/>
      </c>
      <c r="Z195" s="19">
        <f>Z182*i_T_mc*Z146</f>
        <v/>
      </c>
      <c r="AA195" s="19">
        <f>AA182*i_T_mc*AA146</f>
        <v/>
      </c>
      <c r="AB195" s="19">
        <f>AB182*i_T_mc*AB146</f>
        <v/>
      </c>
      <c r="AC195" s="19">
        <f>AC182*i_T_mc*AC146</f>
        <v/>
      </c>
      <c r="AD195" s="19">
        <f>AD182*i_T_mc*AD146</f>
        <v/>
      </c>
      <c r="AE195" s="19">
        <f>AE182*i_T_mc*AE146</f>
        <v/>
      </c>
      <c r="AF195" s="19">
        <f>AF182*i_T_mc*AF146</f>
        <v/>
      </c>
      <c r="AG195" s="19">
        <f>AG182*i_T_mc*AG146</f>
        <v/>
      </c>
      <c r="AH195" s="19">
        <f>AH182*i_T_mc*AH146</f>
        <v/>
      </c>
      <c r="AI195" s="19">
        <f>AI182*i_T_mc*AI146</f>
        <v/>
      </c>
    </row>
    <row r="196">
      <c r="B196" s="3" t="inlineStr">
        <is>
          <t>Sabine Bend</t>
        </is>
      </c>
    </row>
    <row r="197">
      <c r="B197" s="2" t="inlineStr">
        <is>
          <t xml:space="preserve">  Capacity in service (million m3)</t>
        </is>
      </c>
      <c r="D197" s="24">
        <f>i_G_cap</f>
        <v/>
      </c>
      <c r="E197" s="24">
        <f>i_G_cap</f>
        <v/>
      </c>
      <c r="F197" s="24">
        <f>i_G_cap</f>
        <v/>
      </c>
      <c r="G197" s="24">
        <f>i_G_cap</f>
        <v/>
      </c>
      <c r="H197" s="24">
        <f>i_G_cap</f>
        <v/>
      </c>
      <c r="I197" s="24">
        <f>i_G_cap</f>
        <v/>
      </c>
      <c r="J197" s="24">
        <f>i_G_cap</f>
        <v/>
      </c>
      <c r="K197" s="24">
        <f>i_G_cap</f>
        <v/>
      </c>
      <c r="L197" s="24">
        <f>i_G_cap</f>
        <v/>
      </c>
      <c r="M197" s="24">
        <f>i_G_cap</f>
        <v/>
      </c>
      <c r="N197" s="24">
        <f>i_G_cap</f>
        <v/>
      </c>
      <c r="O197" s="24">
        <f>i_G_cap</f>
        <v/>
      </c>
      <c r="P197" s="24">
        <f>i_G_cap</f>
        <v/>
      </c>
      <c r="Q197" s="24">
        <f>i_G_cap</f>
        <v/>
      </c>
      <c r="R197" s="24">
        <f>i_G_cap</f>
        <v/>
      </c>
      <c r="S197" s="24">
        <f>i_G_cap</f>
        <v/>
      </c>
      <c r="T197" s="24">
        <f>i_G_cap</f>
        <v/>
      </c>
      <c r="U197" s="24">
        <f>i_G_cap</f>
        <v/>
      </c>
      <c r="V197" s="24">
        <f>i_G_cap</f>
        <v/>
      </c>
      <c r="W197" s="24">
        <f>i_G_cap</f>
        <v/>
      </c>
      <c r="X197" s="24">
        <f>i_G_cap</f>
        <v/>
      </c>
      <c r="Y197" s="24">
        <f>i_G_cap</f>
        <v/>
      </c>
      <c r="Z197" s="24">
        <f>i_G_cap</f>
        <v/>
      </c>
      <c r="AA197" s="24">
        <f>i_G_cap</f>
        <v/>
      </c>
      <c r="AB197" s="24">
        <f>i_G_cap</f>
        <v/>
      </c>
      <c r="AC197" s="24">
        <f>i_G_cap</f>
        <v/>
      </c>
      <c r="AD197" s="24">
        <f>i_G_cap</f>
        <v/>
      </c>
      <c r="AE197" s="24">
        <f>i_G_cap</f>
        <v/>
      </c>
      <c r="AF197" s="24">
        <f>i_G_cap</f>
        <v/>
      </c>
      <c r="AG197" s="24">
        <f>i_G_cap</f>
        <v/>
      </c>
      <c r="AH197" s="24">
        <f>i_G_cap</f>
        <v/>
      </c>
      <c r="AI197" s="24">
        <f>i_G_cap</f>
        <v/>
      </c>
    </row>
    <row r="198">
      <c r="B198" s="2" t="inlineStr">
        <is>
          <t xml:space="preserve">  Share on contracts signed before 2027</t>
        </is>
      </c>
      <c r="D198" s="21">
        <f>SUMIF(i_book_years,D$3,i_G_book)</f>
        <v/>
      </c>
      <c r="E198" s="21">
        <f>SUMIF(i_book_years,E$3,i_G_book)</f>
        <v/>
      </c>
      <c r="F198" s="21">
        <f>SUMIF(i_book_years,F$3,i_G_book)</f>
        <v/>
      </c>
      <c r="G198" s="21">
        <f>SUMIF(i_book_years,G$3,i_G_book)</f>
        <v/>
      </c>
      <c r="H198" s="21">
        <f>SUMIF(i_book_years,H$3,i_G_book)</f>
        <v/>
      </c>
      <c r="I198" s="21">
        <f>SUMIF(i_book_years,I$3,i_G_book)</f>
        <v/>
      </c>
      <c r="J198" s="21">
        <f>SUMIF(i_book_years,J$3,i_G_book)</f>
        <v/>
      </c>
      <c r="K198" s="21">
        <f>SUMIF(i_book_years,K$3,i_G_book)</f>
        <v/>
      </c>
      <c r="L198" s="21">
        <f>SUMIF(i_book_years,L$3,i_G_book)</f>
        <v/>
      </c>
      <c r="M198" s="21">
        <f>SUMIF(i_book_years,M$3,i_G_book)</f>
        <v/>
      </c>
      <c r="N198" s="21">
        <f>SUMIF(i_book_years,N$3,i_G_book)</f>
        <v/>
      </c>
      <c r="O198" s="21">
        <f>SUMIF(i_book_years,O$3,i_G_book)</f>
        <v/>
      </c>
      <c r="P198" s="21">
        <f>SUMIF(i_book_years,P$3,i_G_book)</f>
        <v/>
      </c>
      <c r="Q198" s="21">
        <f>SUMIF(i_book_years,Q$3,i_G_book)</f>
        <v/>
      </c>
      <c r="R198" s="21">
        <f>SUMIF(i_book_years,R$3,i_G_book)</f>
        <v/>
      </c>
      <c r="S198" s="21">
        <f>SUMIF(i_book_years,S$3,i_G_book)</f>
        <v/>
      </c>
      <c r="T198" s="21">
        <f>SUMIF(i_book_years,T$3,i_G_book)</f>
        <v/>
      </c>
      <c r="U198" s="21">
        <f>SUMIF(i_book_years,U$3,i_G_book)</f>
        <v/>
      </c>
      <c r="V198" s="21">
        <f>SUMIF(i_book_years,V$3,i_G_book)</f>
        <v/>
      </c>
      <c r="W198" s="21">
        <f>SUMIF(i_book_years,W$3,i_G_book)</f>
        <v/>
      </c>
      <c r="X198" s="21">
        <f>SUMIF(i_book_years,X$3,i_G_book)</f>
        <v/>
      </c>
      <c r="Y198" s="21">
        <f>SUMIF(i_book_years,Y$3,i_G_book)</f>
        <v/>
      </c>
      <c r="Z198" s="21">
        <f>SUMIF(i_book_years,Z$3,i_G_book)</f>
        <v/>
      </c>
      <c r="AA198" s="21">
        <f>SUMIF(i_book_years,AA$3,i_G_book)</f>
        <v/>
      </c>
      <c r="AB198" s="21">
        <f>SUMIF(i_book_years,AB$3,i_G_book)</f>
        <v/>
      </c>
      <c r="AC198" s="21">
        <f>SUMIF(i_book_years,AC$3,i_G_book)</f>
        <v/>
      </c>
      <c r="AD198" s="21">
        <f>SUMIF(i_book_years,AD$3,i_G_book)</f>
        <v/>
      </c>
      <c r="AE198" s="21">
        <f>SUMIF(i_book_years,AE$3,i_G_book)</f>
        <v/>
      </c>
      <c r="AF198" s="21">
        <f>SUMIF(i_book_years,AF$3,i_G_book)</f>
        <v/>
      </c>
      <c r="AG198" s="21">
        <f>SUMIF(i_book_years,AG$3,i_G_book)</f>
        <v/>
      </c>
      <c r="AH198" s="21">
        <f>SUMIF(i_book_years,AH$3,i_G_book)</f>
        <v/>
      </c>
      <c r="AI198" s="21">
        <f>SUMIF(i_book_years,AI$3,i_G_book)</f>
        <v/>
      </c>
    </row>
    <row r="199">
      <c r="B199" s="2" t="inlineStr">
        <is>
          <t xml:space="preserve">  Recontracting factor against current rates</t>
        </is>
      </c>
      <c r="D199" s="21">
        <f>IF(D$4=0,0,IF(Sensitivities!$C$136=1,i_G_mtm,i_G_mtm_plan)+Sensitivities!$C$142)</f>
        <v/>
      </c>
      <c r="E199" s="21">
        <f>IF(E$4=0,0,IF(Sensitivities!$C$136=1,i_G_mtm,i_G_mtm_plan)+Sensitivities!$C$142)</f>
        <v/>
      </c>
      <c r="F199" s="21">
        <f>IF(F$4=0,0,IF(Sensitivities!$C$136=1,i_G_mtm,i_G_mtm_plan)+Sensitivities!$C$142)</f>
        <v/>
      </c>
      <c r="G199" s="21">
        <f>IF(G$4=0,0,IF(Sensitivities!$C$136=1,i_G_mtm,i_G_mtm_plan)+Sensitivities!$C$142)</f>
        <v/>
      </c>
      <c r="H199" s="21">
        <f>IF(H$4=0,0,IF(Sensitivities!$C$136=1,i_G_mtm,i_G_mtm_plan)+Sensitivities!$C$142)</f>
        <v/>
      </c>
      <c r="I199" s="21">
        <f>IF(I$4=0,0,IF(Sensitivities!$C$136=1,i_G_mtm,i_G_mtm_plan)+Sensitivities!$C$142)</f>
        <v/>
      </c>
      <c r="J199" s="21">
        <f>IF(J$4=0,0,IF(Sensitivities!$C$136=1,i_G_mtm,i_G_mtm_plan)+Sensitivities!$C$142)</f>
        <v/>
      </c>
      <c r="K199" s="21">
        <f>IF(K$4=0,0,IF(Sensitivities!$C$136=1,i_G_mtm,i_G_mtm_plan)+Sensitivities!$C$142)</f>
        <v/>
      </c>
      <c r="L199" s="21">
        <f>IF(L$4=0,0,IF(Sensitivities!$C$136=1,i_G_mtm,i_G_mtm_plan)+Sensitivities!$C$142)</f>
        <v/>
      </c>
      <c r="M199" s="21">
        <f>IF(M$4=0,0,IF(Sensitivities!$C$136=1,i_G_mtm,i_G_mtm_plan)+Sensitivities!$C$142)</f>
        <v/>
      </c>
      <c r="N199" s="21">
        <f>IF(N$4=0,0,IF(Sensitivities!$C$136=1,i_G_mtm,i_G_mtm_plan)+Sensitivities!$C$142)</f>
        <v/>
      </c>
      <c r="O199" s="21">
        <f>IF(O$4=0,0,IF(Sensitivities!$C$136=1,i_G_mtm,i_G_mtm_plan)+Sensitivities!$C$142)</f>
        <v/>
      </c>
      <c r="P199" s="21">
        <f>IF(P$4=0,0,IF(Sensitivities!$C$136=1,i_G_mtm,i_G_mtm_plan)+Sensitivities!$C$142)</f>
        <v/>
      </c>
      <c r="Q199" s="21">
        <f>IF(Q$4=0,0,IF(Sensitivities!$C$136=1,i_G_mtm,i_G_mtm_plan)+Sensitivities!$C$142)</f>
        <v/>
      </c>
      <c r="R199" s="21">
        <f>IF(R$4=0,0,IF(Sensitivities!$C$136=1,i_G_mtm,i_G_mtm_plan)+Sensitivities!$C$142)</f>
        <v/>
      </c>
      <c r="S199" s="21">
        <f>IF(S$4=0,0,IF(Sensitivities!$C$136=1,i_G_mtm,i_G_mtm_plan)+Sensitivities!$C$142)</f>
        <v/>
      </c>
      <c r="T199" s="21">
        <f>IF(T$4=0,0,IF(Sensitivities!$C$136=1,i_G_mtm,i_G_mtm_plan)+Sensitivities!$C$142)</f>
        <v/>
      </c>
      <c r="U199" s="21">
        <f>IF(U$4=0,0,IF(Sensitivities!$C$136=1,i_G_mtm,i_G_mtm_plan)+Sensitivities!$C$142)</f>
        <v/>
      </c>
      <c r="V199" s="21">
        <f>IF(V$4=0,0,IF(Sensitivities!$C$136=1,i_G_mtm,i_G_mtm_plan)+Sensitivities!$C$142)</f>
        <v/>
      </c>
      <c r="W199" s="21">
        <f>IF(W$4=0,0,IF(Sensitivities!$C$136=1,i_G_mtm,i_G_mtm_plan)+Sensitivities!$C$142)</f>
        <v/>
      </c>
      <c r="X199" s="21">
        <f>IF(X$4=0,0,IF(Sensitivities!$C$136=1,i_G_mtm,i_G_mtm_plan)+Sensitivities!$C$142)</f>
        <v/>
      </c>
      <c r="Y199" s="21">
        <f>IF(Y$4=0,0,IF(Sensitivities!$C$136=1,i_G_mtm,i_G_mtm_plan)+Sensitivities!$C$142)</f>
        <v/>
      </c>
      <c r="Z199" s="21">
        <f>IF(Z$4=0,0,IF(Sensitivities!$C$136=1,i_G_mtm,i_G_mtm_plan)+Sensitivities!$C$142)</f>
        <v/>
      </c>
      <c r="AA199" s="21">
        <f>IF(AA$4=0,0,IF(Sensitivities!$C$136=1,i_G_mtm,i_G_mtm_plan)+Sensitivities!$C$142)</f>
        <v/>
      </c>
      <c r="AB199" s="21">
        <f>IF(AB$4=0,0,IF(Sensitivities!$C$136=1,i_G_mtm,i_G_mtm_plan)+Sensitivities!$C$142)</f>
        <v/>
      </c>
      <c r="AC199" s="21">
        <f>IF(AC$4=0,0,IF(Sensitivities!$C$136=1,i_G_mtm,i_G_mtm_plan)+Sensitivities!$C$142)</f>
        <v/>
      </c>
      <c r="AD199" s="21">
        <f>IF(AD$4=0,0,IF(Sensitivities!$C$136=1,i_G_mtm,i_G_mtm_plan)+Sensitivities!$C$142)</f>
        <v/>
      </c>
      <c r="AE199" s="21">
        <f>IF(AE$4=0,0,IF(Sensitivities!$C$136=1,i_G_mtm,i_G_mtm_plan)+Sensitivities!$C$142)</f>
        <v/>
      </c>
      <c r="AF199" s="21">
        <f>IF(AF$4=0,0,IF(Sensitivities!$C$136=1,i_G_mtm,i_G_mtm_plan)+Sensitivities!$C$142)</f>
        <v/>
      </c>
      <c r="AG199" s="21">
        <f>IF(AG$4=0,0,IF(Sensitivities!$C$136=1,i_G_mtm,i_G_mtm_plan)+Sensitivities!$C$142)</f>
        <v/>
      </c>
      <c r="AH199" s="21">
        <f>IF(AH$4=0,0,IF(Sensitivities!$C$136=1,i_G_mtm,i_G_mtm_plan)+Sensitivities!$C$142)</f>
        <v/>
      </c>
      <c r="AI199" s="21">
        <f>IF(AI$4=0,0,IF(Sensitivities!$C$136=1,i_G_mtm,i_G_mtm_plan)+Sensitivities!$C$142)</f>
        <v/>
      </c>
    </row>
    <row r="200">
      <c r="B200" s="2" t="inlineStr">
        <is>
          <t xml:space="preserve">  Average rate ($ per m3 per month)</t>
        </is>
      </c>
      <c r="D200" s="24">
        <f>i_G_rate*D147*(D198+(1-D198)*(1+D199))</f>
        <v/>
      </c>
      <c r="E200" s="24">
        <f>i_G_rate*E147*(E198+(1-E198)*(1+E199))</f>
        <v/>
      </c>
      <c r="F200" s="24">
        <f>i_G_rate*F147*(F198+(1-F198)*(1+F199))</f>
        <v/>
      </c>
      <c r="G200" s="24">
        <f>i_G_rate*G147*(G198+(1-G198)*(1+G199))</f>
        <v/>
      </c>
      <c r="H200" s="24">
        <f>i_G_rate*H147*(H198+(1-H198)*(1+H199))</f>
        <v/>
      </c>
      <c r="I200" s="24">
        <f>i_G_rate*I147*(I198+(1-I198)*(1+I199))</f>
        <v/>
      </c>
      <c r="J200" s="24">
        <f>i_G_rate*J147*(J198+(1-J198)*(1+J199))</f>
        <v/>
      </c>
      <c r="K200" s="24">
        <f>i_G_rate*K147*(K198+(1-K198)*(1+K199))</f>
        <v/>
      </c>
      <c r="L200" s="24">
        <f>i_G_rate*L147*(L198+(1-L198)*(1+L199))</f>
        <v/>
      </c>
      <c r="M200" s="24">
        <f>i_G_rate*M147*(M198+(1-M198)*(1+M199))</f>
        <v/>
      </c>
      <c r="N200" s="24">
        <f>i_G_rate*N147*(N198+(1-N198)*(1+N199))</f>
        <v/>
      </c>
      <c r="O200" s="24">
        <f>i_G_rate*O147*(O198+(1-O198)*(1+O199))</f>
        <v/>
      </c>
      <c r="P200" s="24">
        <f>i_G_rate*P147*(P198+(1-P198)*(1+P199))</f>
        <v/>
      </c>
      <c r="Q200" s="24">
        <f>i_G_rate*Q147*(Q198+(1-Q198)*(1+Q199))</f>
        <v/>
      </c>
      <c r="R200" s="24">
        <f>i_G_rate*R147*(R198+(1-R198)*(1+R199))</f>
        <v/>
      </c>
      <c r="S200" s="24">
        <f>i_G_rate*S147*(S198+(1-S198)*(1+S199))</f>
        <v/>
      </c>
      <c r="T200" s="24">
        <f>i_G_rate*T147*(T198+(1-T198)*(1+T199))</f>
        <v/>
      </c>
      <c r="U200" s="24">
        <f>i_G_rate*U147*(U198+(1-U198)*(1+U199))</f>
        <v/>
      </c>
      <c r="V200" s="24">
        <f>i_G_rate*V147*(V198+(1-V198)*(1+V199))</f>
        <v/>
      </c>
      <c r="W200" s="24">
        <f>i_G_rate*W147*(W198+(1-W198)*(1+W199))</f>
        <v/>
      </c>
      <c r="X200" s="24">
        <f>i_G_rate*X147*(X198+(1-X198)*(1+X199))</f>
        <v/>
      </c>
      <c r="Y200" s="24">
        <f>i_G_rate*Y147*(Y198+(1-Y198)*(1+Y199))</f>
        <v/>
      </c>
      <c r="Z200" s="24">
        <f>i_G_rate*Z147*(Z198+(1-Z198)*(1+Z199))</f>
        <v/>
      </c>
      <c r="AA200" s="24">
        <f>i_G_rate*AA147*(AA198+(1-AA198)*(1+AA199))</f>
        <v/>
      </c>
      <c r="AB200" s="24">
        <f>i_G_rate*AB147*(AB198+(1-AB198)*(1+AB199))</f>
        <v/>
      </c>
      <c r="AC200" s="24">
        <f>i_G_rate*AC147*(AC198+(1-AC198)*(1+AC199))</f>
        <v/>
      </c>
      <c r="AD200" s="24">
        <f>i_G_rate*AD147*(AD198+(1-AD198)*(1+AD199))</f>
        <v/>
      </c>
      <c r="AE200" s="24">
        <f>i_G_rate*AE147*(AE198+(1-AE198)*(1+AE199))</f>
        <v/>
      </c>
      <c r="AF200" s="24">
        <f>i_G_rate*AF147*(AF198+(1-AF198)*(1+AF199))</f>
        <v/>
      </c>
      <c r="AG200" s="24">
        <f>i_G_rate*AG147*(AG198+(1-AG198)*(1+AG199))</f>
        <v/>
      </c>
      <c r="AH200" s="24">
        <f>i_G_rate*AH147*(AH198+(1-AH198)*(1+AH199))</f>
        <v/>
      </c>
      <c r="AI200" s="24">
        <f>i_G_rate*AI147*(AI198+(1-AI198)*(1+AI199))</f>
        <v/>
      </c>
    </row>
    <row r="201">
      <c r="B201" s="2" t="inlineStr">
        <is>
          <t xml:space="preserve">  Occupancy after the transition decline and floor</t>
        </is>
      </c>
      <c r="D201" s="21">
        <f>IF(D$3&gt;i_trans_start,MAX(i_G_floor,i_G_occ-i_G_dec*(D$3-i_trans_start)),i_G_occ)</f>
        <v/>
      </c>
      <c r="E201" s="21">
        <f>IF(E$3&gt;i_trans_start,MAX(i_G_floor,i_G_occ-i_G_dec*(E$3-i_trans_start)),i_G_occ)</f>
        <v/>
      </c>
      <c r="F201" s="21">
        <f>IF(F$3&gt;i_trans_start,MAX(i_G_floor,i_G_occ-i_G_dec*(F$3-i_trans_start)),i_G_occ)</f>
        <v/>
      </c>
      <c r="G201" s="21">
        <f>IF(G$3&gt;i_trans_start,MAX(i_G_floor,i_G_occ-i_G_dec*(G$3-i_trans_start)),i_G_occ)</f>
        <v/>
      </c>
      <c r="H201" s="21">
        <f>IF(H$3&gt;i_trans_start,MAX(i_G_floor,i_G_occ-i_G_dec*(H$3-i_trans_start)),i_G_occ)</f>
        <v/>
      </c>
      <c r="I201" s="21">
        <f>IF(I$3&gt;i_trans_start,MAX(i_G_floor,i_G_occ-i_G_dec*(I$3-i_trans_start)),i_G_occ)</f>
        <v/>
      </c>
      <c r="J201" s="21">
        <f>IF(J$3&gt;i_trans_start,MAX(i_G_floor,i_G_occ-i_G_dec*(J$3-i_trans_start)),i_G_occ)</f>
        <v/>
      </c>
      <c r="K201" s="21">
        <f>IF(K$3&gt;i_trans_start,MAX(i_G_floor,i_G_occ-i_G_dec*(K$3-i_trans_start)),i_G_occ)</f>
        <v/>
      </c>
      <c r="L201" s="21">
        <f>IF(L$3&gt;i_trans_start,MAX(i_G_floor,i_G_occ-i_G_dec*(L$3-i_trans_start)),i_G_occ)</f>
        <v/>
      </c>
      <c r="M201" s="21">
        <f>IF(M$3&gt;i_trans_start,MAX(i_G_floor,i_G_occ-i_G_dec*(M$3-i_trans_start)),i_G_occ)</f>
        <v/>
      </c>
      <c r="N201" s="21">
        <f>IF(N$3&gt;i_trans_start,MAX(i_G_floor,i_G_occ-i_G_dec*(N$3-i_trans_start)),i_G_occ)</f>
        <v/>
      </c>
      <c r="O201" s="21">
        <f>IF(O$3&gt;i_trans_start,MAX(i_G_floor,i_G_occ-i_G_dec*(O$3-i_trans_start)),i_G_occ)</f>
        <v/>
      </c>
      <c r="P201" s="21">
        <f>IF(P$3&gt;i_trans_start,MAX(i_G_floor,i_G_occ-i_G_dec*(P$3-i_trans_start)),i_G_occ)</f>
        <v/>
      </c>
      <c r="Q201" s="21">
        <f>IF(Q$3&gt;i_trans_start,MAX(i_G_floor,i_G_occ-i_G_dec*(Q$3-i_trans_start)),i_G_occ)</f>
        <v/>
      </c>
      <c r="R201" s="21">
        <f>IF(R$3&gt;i_trans_start,MAX(i_G_floor,i_G_occ-i_G_dec*(R$3-i_trans_start)),i_G_occ)</f>
        <v/>
      </c>
      <c r="S201" s="21">
        <f>IF(S$3&gt;i_trans_start,MAX(i_G_floor,i_G_occ-i_G_dec*(S$3-i_trans_start)),i_G_occ)</f>
        <v/>
      </c>
      <c r="T201" s="21">
        <f>IF(T$3&gt;i_trans_start,MAX(i_G_floor,i_G_occ-i_G_dec*(T$3-i_trans_start)),i_G_occ)</f>
        <v/>
      </c>
      <c r="U201" s="21">
        <f>IF(U$3&gt;i_trans_start,MAX(i_G_floor,i_G_occ-i_G_dec*(U$3-i_trans_start)),i_G_occ)</f>
        <v/>
      </c>
      <c r="V201" s="21">
        <f>IF(V$3&gt;i_trans_start,MAX(i_G_floor,i_G_occ-i_G_dec*(V$3-i_trans_start)),i_G_occ)</f>
        <v/>
      </c>
      <c r="W201" s="21">
        <f>IF(W$3&gt;i_trans_start,MAX(i_G_floor,i_G_occ-i_G_dec*(W$3-i_trans_start)),i_G_occ)</f>
        <v/>
      </c>
      <c r="X201" s="21">
        <f>IF(X$3&gt;i_trans_start,MAX(i_G_floor,i_G_occ-i_G_dec*(X$3-i_trans_start)),i_G_occ)</f>
        <v/>
      </c>
      <c r="Y201" s="21">
        <f>IF(Y$3&gt;i_trans_start,MAX(i_G_floor,i_G_occ-i_G_dec*(Y$3-i_trans_start)),i_G_occ)</f>
        <v/>
      </c>
      <c r="Z201" s="21">
        <f>IF(Z$3&gt;i_trans_start,MAX(i_G_floor,i_G_occ-i_G_dec*(Z$3-i_trans_start)),i_G_occ)</f>
        <v/>
      </c>
      <c r="AA201" s="21">
        <f>IF(AA$3&gt;i_trans_start,MAX(i_G_floor,i_G_occ-i_G_dec*(AA$3-i_trans_start)),i_G_occ)</f>
        <v/>
      </c>
      <c r="AB201" s="21">
        <f>IF(AB$3&gt;i_trans_start,MAX(i_G_floor,i_G_occ-i_G_dec*(AB$3-i_trans_start)),i_G_occ)</f>
        <v/>
      </c>
      <c r="AC201" s="21">
        <f>IF(AC$3&gt;i_trans_start,MAX(i_G_floor,i_G_occ-i_G_dec*(AC$3-i_trans_start)),i_G_occ)</f>
        <v/>
      </c>
      <c r="AD201" s="21">
        <f>IF(AD$3&gt;i_trans_start,MAX(i_G_floor,i_G_occ-i_G_dec*(AD$3-i_trans_start)),i_G_occ)</f>
        <v/>
      </c>
      <c r="AE201" s="21">
        <f>IF(AE$3&gt;i_trans_start,MAX(i_G_floor,i_G_occ-i_G_dec*(AE$3-i_trans_start)),i_G_occ)</f>
        <v/>
      </c>
      <c r="AF201" s="21">
        <f>IF(AF$3&gt;i_trans_start,MAX(i_G_floor,i_G_occ-i_G_dec*(AF$3-i_trans_start)),i_G_occ)</f>
        <v/>
      </c>
      <c r="AG201" s="21">
        <f>IF(AG$3&gt;i_trans_start,MAX(i_G_floor,i_G_occ-i_G_dec*(AG$3-i_trans_start)),i_G_occ)</f>
        <v/>
      </c>
      <c r="AH201" s="21">
        <f>IF(AH$3&gt;i_trans_start,MAX(i_G_floor,i_G_occ-i_G_dec*(AH$3-i_trans_start)),i_G_occ)</f>
        <v/>
      </c>
      <c r="AI201" s="21">
        <f>IF(AI$3&gt;i_trans_start,MAX(i_G_floor,i_G_occ-i_G_dec*(AI$3-i_trans_start)),i_G_occ)</f>
        <v/>
      </c>
    </row>
    <row r="202">
      <c r="B202" s="2" t="inlineStr">
        <is>
          <t xml:space="preserve">  Occupancy (with the shift switch from 2027)</t>
        </is>
      </c>
      <c r="D202" s="21">
        <f>IF(D$4&gt;0,MIN(1,D201+Sensitivities!$C$141),D201)</f>
        <v/>
      </c>
      <c r="E202" s="21">
        <f>IF(E$4&gt;0,MIN(1,E201+Sensitivities!$C$141),E201)</f>
        <v/>
      </c>
      <c r="F202" s="21">
        <f>IF(F$4&gt;0,MIN(1,F201+Sensitivities!$C$141),F201)</f>
        <v/>
      </c>
      <c r="G202" s="21">
        <f>IF(G$4&gt;0,MIN(1,G201+Sensitivities!$C$141),G201)</f>
        <v/>
      </c>
      <c r="H202" s="21">
        <f>IF(H$4&gt;0,MIN(1,H201+Sensitivities!$C$141),H201)</f>
        <v/>
      </c>
      <c r="I202" s="21">
        <f>IF(I$4&gt;0,MIN(1,I201+Sensitivities!$C$141),I201)</f>
        <v/>
      </c>
      <c r="J202" s="21">
        <f>IF(J$4&gt;0,MIN(1,J201+Sensitivities!$C$141),J201)</f>
        <v/>
      </c>
      <c r="K202" s="21">
        <f>IF(K$4&gt;0,MIN(1,K201+Sensitivities!$C$141),K201)</f>
        <v/>
      </c>
      <c r="L202" s="21">
        <f>IF(L$4&gt;0,MIN(1,L201+Sensitivities!$C$141),L201)</f>
        <v/>
      </c>
      <c r="M202" s="21">
        <f>IF(M$4&gt;0,MIN(1,M201+Sensitivities!$C$141),M201)</f>
        <v/>
      </c>
      <c r="N202" s="21">
        <f>IF(N$4&gt;0,MIN(1,N201+Sensitivities!$C$141),N201)</f>
        <v/>
      </c>
      <c r="O202" s="21">
        <f>IF(O$4&gt;0,MIN(1,O201+Sensitivities!$C$141),O201)</f>
        <v/>
      </c>
      <c r="P202" s="21">
        <f>IF(P$4&gt;0,MIN(1,P201+Sensitivities!$C$141),P201)</f>
        <v/>
      </c>
      <c r="Q202" s="21">
        <f>IF(Q$4&gt;0,MIN(1,Q201+Sensitivities!$C$141),Q201)</f>
        <v/>
      </c>
      <c r="R202" s="21">
        <f>IF(R$4&gt;0,MIN(1,R201+Sensitivities!$C$141),R201)</f>
        <v/>
      </c>
      <c r="S202" s="21">
        <f>IF(S$4&gt;0,MIN(1,S201+Sensitivities!$C$141),S201)</f>
        <v/>
      </c>
      <c r="T202" s="21">
        <f>IF(T$4&gt;0,MIN(1,T201+Sensitivities!$C$141),T201)</f>
        <v/>
      </c>
      <c r="U202" s="21">
        <f>IF(U$4&gt;0,MIN(1,U201+Sensitivities!$C$141),U201)</f>
        <v/>
      </c>
      <c r="V202" s="21">
        <f>IF(V$4&gt;0,MIN(1,V201+Sensitivities!$C$141),V201)</f>
        <v/>
      </c>
      <c r="W202" s="21">
        <f>IF(W$4&gt;0,MIN(1,W201+Sensitivities!$C$141),W201)</f>
        <v/>
      </c>
      <c r="X202" s="21">
        <f>IF(X$4&gt;0,MIN(1,X201+Sensitivities!$C$141),X201)</f>
        <v/>
      </c>
      <c r="Y202" s="21">
        <f>IF(Y$4&gt;0,MIN(1,Y201+Sensitivities!$C$141),Y201)</f>
        <v/>
      </c>
      <c r="Z202" s="21">
        <f>IF(Z$4&gt;0,MIN(1,Z201+Sensitivities!$C$141),Z201)</f>
        <v/>
      </c>
      <c r="AA202" s="21">
        <f>IF(AA$4&gt;0,MIN(1,AA201+Sensitivities!$C$141),AA201)</f>
        <v/>
      </c>
      <c r="AB202" s="21">
        <f>IF(AB$4&gt;0,MIN(1,AB201+Sensitivities!$C$141),AB201)</f>
        <v/>
      </c>
      <c r="AC202" s="21">
        <f>IF(AC$4&gt;0,MIN(1,AC201+Sensitivities!$C$141),AC201)</f>
        <v/>
      </c>
      <c r="AD202" s="21">
        <f>IF(AD$4&gt;0,MIN(1,AD201+Sensitivities!$C$141),AD201)</f>
        <v/>
      </c>
      <c r="AE202" s="21">
        <f>IF(AE$4&gt;0,MIN(1,AE201+Sensitivities!$C$141),AE201)</f>
        <v/>
      </c>
      <c r="AF202" s="21">
        <f>IF(AF$4&gt;0,MIN(1,AF201+Sensitivities!$C$141),AF201)</f>
        <v/>
      </c>
      <c r="AG202" s="21">
        <f>IF(AG$4&gt;0,MIN(1,AG201+Sensitivities!$C$141),AG201)</f>
        <v/>
      </c>
      <c r="AH202" s="21">
        <f>IF(AH$4&gt;0,MIN(1,AH201+Sensitivities!$C$141),AH201)</f>
        <v/>
      </c>
      <c r="AI202" s="21">
        <f>IF(AI$4&gt;0,MIN(1,AI201+Sensitivities!$C$141),AI201)</f>
        <v/>
      </c>
    </row>
    <row r="203">
      <c r="B203" s="2" t="inlineStr">
        <is>
          <t xml:space="preserve">  Storage revenue</t>
        </is>
      </c>
      <c r="D203" s="19">
        <f>D197*D200*12*D202</f>
        <v/>
      </c>
      <c r="E203" s="19">
        <f>E197*E200*12*E202</f>
        <v/>
      </c>
      <c r="F203" s="19">
        <f>F197*F200*12*F202</f>
        <v/>
      </c>
      <c r="G203" s="19">
        <f>G197*G200*12*G202</f>
        <v/>
      </c>
      <c r="H203" s="19">
        <f>H197*H200*12*H202</f>
        <v/>
      </c>
      <c r="I203" s="19">
        <f>I197*I200*12*I202</f>
        <v/>
      </c>
      <c r="J203" s="19">
        <f>J197*J200*12*J202</f>
        <v/>
      </c>
      <c r="K203" s="19">
        <f>K197*K200*12*K202</f>
        <v/>
      </c>
      <c r="L203" s="19">
        <f>L197*L200*12*L202</f>
        <v/>
      </c>
      <c r="M203" s="19">
        <f>M197*M200*12*M202</f>
        <v/>
      </c>
      <c r="N203" s="19">
        <f>N197*N200*12*N202</f>
        <v/>
      </c>
      <c r="O203" s="19">
        <f>O197*O200*12*O202</f>
        <v/>
      </c>
      <c r="P203" s="19">
        <f>P197*P200*12*P202</f>
        <v/>
      </c>
      <c r="Q203" s="19">
        <f>Q197*Q200*12*Q202</f>
        <v/>
      </c>
      <c r="R203" s="19">
        <f>R197*R200*12*R202</f>
        <v/>
      </c>
      <c r="S203" s="19">
        <f>S197*S200*12*S202</f>
        <v/>
      </c>
      <c r="T203" s="19">
        <f>T197*T200*12*T202</f>
        <v/>
      </c>
      <c r="U203" s="19">
        <f>U197*U200*12*U202</f>
        <v/>
      </c>
      <c r="V203" s="19">
        <f>V197*V200*12*V202</f>
        <v/>
      </c>
      <c r="W203" s="19">
        <f>W197*W200*12*W202</f>
        <v/>
      </c>
      <c r="X203" s="19">
        <f>X197*X200*12*X202</f>
        <v/>
      </c>
      <c r="Y203" s="19">
        <f>Y197*Y200*12*Y202</f>
        <v/>
      </c>
      <c r="Z203" s="19">
        <f>Z197*Z200*12*Z202</f>
        <v/>
      </c>
      <c r="AA203" s="19">
        <f>AA197*AA200*12*AA202</f>
        <v/>
      </c>
      <c r="AB203" s="19">
        <f>AB197*AB200*12*AB202</f>
        <v/>
      </c>
      <c r="AC203" s="19">
        <f>AC197*AC200*12*AC202</f>
        <v/>
      </c>
      <c r="AD203" s="19">
        <f>AD197*AD200*12*AD202</f>
        <v/>
      </c>
      <c r="AE203" s="19">
        <f>AE197*AE200*12*AE202</f>
        <v/>
      </c>
      <c r="AF203" s="19">
        <f>AF197*AF200*12*AF202</f>
        <v/>
      </c>
      <c r="AG203" s="19">
        <f>AG197*AG200*12*AG202</f>
        <v/>
      </c>
      <c r="AH203" s="19">
        <f>AH197*AH200*12*AH202</f>
        <v/>
      </c>
      <c r="AI203" s="19">
        <f>AI197*AI200*12*AI202</f>
        <v/>
      </c>
    </row>
    <row r="204">
      <c r="B204" s="2" t="inlineStr">
        <is>
          <t xml:space="preserve">  Ancillary and throughput revenue</t>
        </is>
      </c>
      <c r="D204" s="19">
        <f>D203*i_G_anc</f>
        <v/>
      </c>
      <c r="E204" s="19">
        <f>E203*i_G_anc</f>
        <v/>
      </c>
      <c r="F204" s="19">
        <f>F203*i_G_anc</f>
        <v/>
      </c>
      <c r="G204" s="19">
        <f>G203*i_G_anc</f>
        <v/>
      </c>
      <c r="H204" s="19">
        <f>H203*i_G_anc</f>
        <v/>
      </c>
      <c r="I204" s="19">
        <f>I203*i_G_anc</f>
        <v/>
      </c>
      <c r="J204" s="19">
        <f>J203*i_G_anc</f>
        <v/>
      </c>
      <c r="K204" s="19">
        <f>K203*i_G_anc</f>
        <v/>
      </c>
      <c r="L204" s="19">
        <f>L203*i_G_anc</f>
        <v/>
      </c>
      <c r="M204" s="19">
        <f>M203*i_G_anc</f>
        <v/>
      </c>
      <c r="N204" s="19">
        <f>N203*i_G_anc</f>
        <v/>
      </c>
      <c r="O204" s="19">
        <f>O203*i_G_anc</f>
        <v/>
      </c>
      <c r="P204" s="19">
        <f>P203*i_G_anc</f>
        <v/>
      </c>
      <c r="Q204" s="19">
        <f>Q203*i_G_anc</f>
        <v/>
      </c>
      <c r="R204" s="19">
        <f>R203*i_G_anc</f>
        <v/>
      </c>
      <c r="S204" s="19">
        <f>S203*i_G_anc</f>
        <v/>
      </c>
      <c r="T204" s="19">
        <f>T203*i_G_anc</f>
        <v/>
      </c>
      <c r="U204" s="19">
        <f>U203*i_G_anc</f>
        <v/>
      </c>
      <c r="V204" s="19">
        <f>V203*i_G_anc</f>
        <v/>
      </c>
      <c r="W204" s="19">
        <f>W203*i_G_anc</f>
        <v/>
      </c>
      <c r="X204" s="19">
        <f>X203*i_G_anc</f>
        <v/>
      </c>
      <c r="Y204" s="19">
        <f>Y203*i_G_anc</f>
        <v/>
      </c>
      <c r="Z204" s="19">
        <f>Z203*i_G_anc</f>
        <v/>
      </c>
      <c r="AA204" s="19">
        <f>AA203*i_G_anc</f>
        <v/>
      </c>
      <c r="AB204" s="19">
        <f>AB203*i_G_anc</f>
        <v/>
      </c>
      <c r="AC204" s="19">
        <f>AC203*i_G_anc</f>
        <v/>
      </c>
      <c r="AD204" s="19">
        <f>AD203*i_G_anc</f>
        <v/>
      </c>
      <c r="AE204" s="19">
        <f>AE203*i_G_anc</f>
        <v/>
      </c>
      <c r="AF204" s="19">
        <f>AF203*i_G_anc</f>
        <v/>
      </c>
      <c r="AG204" s="19">
        <f>AG203*i_G_anc</f>
        <v/>
      </c>
      <c r="AH204" s="19">
        <f>AH203*i_G_anc</f>
        <v/>
      </c>
      <c r="AI204" s="19">
        <f>AI203*i_G_anc</f>
        <v/>
      </c>
    </row>
    <row r="205">
      <c r="B205" s="3" t="inlineStr">
        <is>
          <t xml:space="preserve">  Revenue</t>
        </is>
      </c>
      <c r="D205" s="31">
        <f>D203+D204</f>
        <v/>
      </c>
      <c r="E205" s="31">
        <f>E203+E204</f>
        <v/>
      </c>
      <c r="F205" s="31">
        <f>F203+F204</f>
        <v/>
      </c>
      <c r="G205" s="31">
        <f>G203+G204</f>
        <v/>
      </c>
      <c r="H205" s="31">
        <f>H203+H204</f>
        <v/>
      </c>
      <c r="I205" s="31">
        <f>I203+I204</f>
        <v/>
      </c>
      <c r="J205" s="31">
        <f>J203+J204</f>
        <v/>
      </c>
      <c r="K205" s="31">
        <f>K203+K204</f>
        <v/>
      </c>
      <c r="L205" s="31">
        <f>L203+L204</f>
        <v/>
      </c>
      <c r="M205" s="31">
        <f>M203+M204</f>
        <v/>
      </c>
      <c r="N205" s="31">
        <f>N203+N204</f>
        <v/>
      </c>
      <c r="O205" s="31">
        <f>O203+O204</f>
        <v/>
      </c>
      <c r="P205" s="31">
        <f>P203+P204</f>
        <v/>
      </c>
      <c r="Q205" s="31">
        <f>Q203+Q204</f>
        <v/>
      </c>
      <c r="R205" s="31">
        <f>R203+R204</f>
        <v/>
      </c>
      <c r="S205" s="31">
        <f>S203+S204</f>
        <v/>
      </c>
      <c r="T205" s="31">
        <f>T203+T204</f>
        <v/>
      </c>
      <c r="U205" s="31">
        <f>U203+U204</f>
        <v/>
      </c>
      <c r="V205" s="31">
        <f>V203+V204</f>
        <v/>
      </c>
      <c r="W205" s="31">
        <f>W203+W204</f>
        <v/>
      </c>
      <c r="X205" s="31">
        <f>X203+X204</f>
        <v/>
      </c>
      <c r="Y205" s="31">
        <f>Y203+Y204</f>
        <v/>
      </c>
      <c r="Z205" s="31">
        <f>Z203+Z204</f>
        <v/>
      </c>
      <c r="AA205" s="31">
        <f>AA203+AA204</f>
        <v/>
      </c>
      <c r="AB205" s="31">
        <f>AB203+AB204</f>
        <v/>
      </c>
      <c r="AC205" s="31">
        <f>AC203+AC204</f>
        <v/>
      </c>
      <c r="AD205" s="31">
        <f>AD203+AD204</f>
        <v/>
      </c>
      <c r="AE205" s="31">
        <f>AE203+AE204</f>
        <v/>
      </c>
      <c r="AF205" s="31">
        <f>AF203+AF204</f>
        <v/>
      </c>
      <c r="AG205" s="31">
        <f>AG203+AG204</f>
        <v/>
      </c>
      <c r="AH205" s="31">
        <f>AH203+AH204</f>
        <v/>
      </c>
      <c r="AI205" s="31">
        <f>AI203+AI204</f>
        <v/>
      </c>
    </row>
    <row r="206">
      <c r="B206" s="2" t="inlineStr">
        <is>
          <t xml:space="preserve">  Fixed cost</t>
        </is>
      </c>
      <c r="D206" s="19">
        <f>D197*i_G_fix*D146</f>
        <v/>
      </c>
      <c r="E206" s="19">
        <f>E197*i_G_fix*E146</f>
        <v/>
      </c>
      <c r="F206" s="19">
        <f>F197*i_G_fix*F146</f>
        <v/>
      </c>
      <c r="G206" s="19">
        <f>G197*i_G_fix*G146</f>
        <v/>
      </c>
      <c r="H206" s="19">
        <f>H197*i_G_fix*H146</f>
        <v/>
      </c>
      <c r="I206" s="19">
        <f>I197*i_G_fix*I146</f>
        <v/>
      </c>
      <c r="J206" s="19">
        <f>J197*i_G_fix*J146</f>
        <v/>
      </c>
      <c r="K206" s="19">
        <f>K197*i_G_fix*K146</f>
        <v/>
      </c>
      <c r="L206" s="19">
        <f>L197*i_G_fix*L146</f>
        <v/>
      </c>
      <c r="M206" s="19">
        <f>M197*i_G_fix*M146</f>
        <v/>
      </c>
      <c r="N206" s="19">
        <f>N197*i_G_fix*N146</f>
        <v/>
      </c>
      <c r="O206" s="19">
        <f>O197*i_G_fix*O146</f>
        <v/>
      </c>
      <c r="P206" s="19">
        <f>P197*i_G_fix*P146</f>
        <v/>
      </c>
      <c r="Q206" s="19">
        <f>Q197*i_G_fix*Q146</f>
        <v/>
      </c>
      <c r="R206" s="19">
        <f>R197*i_G_fix*R146</f>
        <v/>
      </c>
      <c r="S206" s="19">
        <f>S197*i_G_fix*S146</f>
        <v/>
      </c>
      <c r="T206" s="19">
        <f>T197*i_G_fix*T146</f>
        <v/>
      </c>
      <c r="U206" s="19">
        <f>U197*i_G_fix*U146</f>
        <v/>
      </c>
      <c r="V206" s="19">
        <f>V197*i_G_fix*V146</f>
        <v/>
      </c>
      <c r="W206" s="19">
        <f>W197*i_G_fix*W146</f>
        <v/>
      </c>
      <c r="X206" s="19">
        <f>X197*i_G_fix*X146</f>
        <v/>
      </c>
      <c r="Y206" s="19">
        <f>Y197*i_G_fix*Y146</f>
        <v/>
      </c>
      <c r="Z206" s="19">
        <f>Z197*i_G_fix*Z146</f>
        <v/>
      </c>
      <c r="AA206" s="19">
        <f>AA197*i_G_fix*AA146</f>
        <v/>
      </c>
      <c r="AB206" s="19">
        <f>AB197*i_G_fix*AB146</f>
        <v/>
      </c>
      <c r="AC206" s="19">
        <f>AC197*i_G_fix*AC146</f>
        <v/>
      </c>
      <c r="AD206" s="19">
        <f>AD197*i_G_fix*AD146</f>
        <v/>
      </c>
      <c r="AE206" s="19">
        <f>AE197*i_G_fix*AE146</f>
        <v/>
      </c>
      <c r="AF206" s="19">
        <f>AF197*i_G_fix*AF146</f>
        <v/>
      </c>
      <c r="AG206" s="19">
        <f>AG197*i_G_fix*AG146</f>
        <v/>
      </c>
      <c r="AH206" s="19">
        <f>AH197*i_G_fix*AH146</f>
        <v/>
      </c>
      <c r="AI206" s="19">
        <f>AI197*i_G_fix*AI146</f>
        <v/>
      </c>
    </row>
    <row r="207">
      <c r="B207" s="2" t="inlineStr">
        <is>
          <t xml:space="preserve">  Variable cost</t>
        </is>
      </c>
      <c r="D207" s="19">
        <f>i_G_var*D205</f>
        <v/>
      </c>
      <c r="E207" s="19">
        <f>i_G_var*E205</f>
        <v/>
      </c>
      <c r="F207" s="19">
        <f>i_G_var*F205</f>
        <v/>
      </c>
      <c r="G207" s="19">
        <f>i_G_var*G205</f>
        <v/>
      </c>
      <c r="H207" s="19">
        <f>i_G_var*H205</f>
        <v/>
      </c>
      <c r="I207" s="19">
        <f>i_G_var*I205</f>
        <v/>
      </c>
      <c r="J207" s="19">
        <f>i_G_var*J205</f>
        <v/>
      </c>
      <c r="K207" s="19">
        <f>i_G_var*K205</f>
        <v/>
      </c>
      <c r="L207" s="19">
        <f>i_G_var*L205</f>
        <v/>
      </c>
      <c r="M207" s="19">
        <f>i_G_var*M205</f>
        <v/>
      </c>
      <c r="N207" s="19">
        <f>i_G_var*N205</f>
        <v/>
      </c>
      <c r="O207" s="19">
        <f>i_G_var*O205</f>
        <v/>
      </c>
      <c r="P207" s="19">
        <f>i_G_var*P205</f>
        <v/>
      </c>
      <c r="Q207" s="19">
        <f>i_G_var*Q205</f>
        <v/>
      </c>
      <c r="R207" s="19">
        <f>i_G_var*R205</f>
        <v/>
      </c>
      <c r="S207" s="19">
        <f>i_G_var*S205</f>
        <v/>
      </c>
      <c r="T207" s="19">
        <f>i_G_var*T205</f>
        <v/>
      </c>
      <c r="U207" s="19">
        <f>i_G_var*U205</f>
        <v/>
      </c>
      <c r="V207" s="19">
        <f>i_G_var*V205</f>
        <v/>
      </c>
      <c r="W207" s="19">
        <f>i_G_var*W205</f>
        <v/>
      </c>
      <c r="X207" s="19">
        <f>i_G_var*X205</f>
        <v/>
      </c>
      <c r="Y207" s="19">
        <f>i_G_var*Y205</f>
        <v/>
      </c>
      <c r="Z207" s="19">
        <f>i_G_var*Z205</f>
        <v/>
      </c>
      <c r="AA207" s="19">
        <f>i_G_var*AA205</f>
        <v/>
      </c>
      <c r="AB207" s="19">
        <f>i_G_var*AB205</f>
        <v/>
      </c>
      <c r="AC207" s="19">
        <f>i_G_var*AC205</f>
        <v/>
      </c>
      <c r="AD207" s="19">
        <f>i_G_var*AD205</f>
        <v/>
      </c>
      <c r="AE207" s="19">
        <f>i_G_var*AE205</f>
        <v/>
      </c>
      <c r="AF207" s="19">
        <f>i_G_var*AF205</f>
        <v/>
      </c>
      <c r="AG207" s="19">
        <f>i_G_var*AG205</f>
        <v/>
      </c>
      <c r="AH207" s="19">
        <f>i_G_var*AH205</f>
        <v/>
      </c>
      <c r="AI207" s="19">
        <f>i_G_var*AI205</f>
        <v/>
      </c>
    </row>
    <row r="208">
      <c r="B208" s="2" t="inlineStr">
        <is>
          <t xml:space="preserve">  Extra windstorm insurance</t>
        </is>
      </c>
      <c r="D208" s="19">
        <f>IF(D$4&gt;0,Sensitivities!$C$139*i_g_ins*D146,0)</f>
        <v/>
      </c>
      <c r="E208" s="19">
        <f>IF(E$4&gt;0,Sensitivities!$C$139*i_g_ins*E146,0)</f>
        <v/>
      </c>
      <c r="F208" s="19">
        <f>IF(F$4&gt;0,Sensitivities!$C$139*i_g_ins*F146,0)</f>
        <v/>
      </c>
      <c r="G208" s="19">
        <f>IF(G$4&gt;0,Sensitivities!$C$139*i_g_ins*G146,0)</f>
        <v/>
      </c>
      <c r="H208" s="19">
        <f>IF(H$4&gt;0,Sensitivities!$C$139*i_g_ins*H146,0)</f>
        <v/>
      </c>
      <c r="I208" s="19">
        <f>IF(I$4&gt;0,Sensitivities!$C$139*i_g_ins*I146,0)</f>
        <v/>
      </c>
      <c r="J208" s="19">
        <f>IF(J$4&gt;0,Sensitivities!$C$139*i_g_ins*J146,0)</f>
        <v/>
      </c>
      <c r="K208" s="19">
        <f>IF(K$4&gt;0,Sensitivities!$C$139*i_g_ins*K146,0)</f>
        <v/>
      </c>
      <c r="L208" s="19">
        <f>IF(L$4&gt;0,Sensitivities!$C$139*i_g_ins*L146,0)</f>
        <v/>
      </c>
      <c r="M208" s="19">
        <f>IF(M$4&gt;0,Sensitivities!$C$139*i_g_ins*M146,0)</f>
        <v/>
      </c>
      <c r="N208" s="19">
        <f>IF(N$4&gt;0,Sensitivities!$C$139*i_g_ins*N146,0)</f>
        <v/>
      </c>
      <c r="O208" s="19">
        <f>IF(O$4&gt;0,Sensitivities!$C$139*i_g_ins*O146,0)</f>
        <v/>
      </c>
      <c r="P208" s="19">
        <f>IF(P$4&gt;0,Sensitivities!$C$139*i_g_ins*P146,0)</f>
        <v/>
      </c>
      <c r="Q208" s="19">
        <f>IF(Q$4&gt;0,Sensitivities!$C$139*i_g_ins*Q146,0)</f>
        <v/>
      </c>
      <c r="R208" s="19">
        <f>IF(R$4&gt;0,Sensitivities!$C$139*i_g_ins*R146,0)</f>
        <v/>
      </c>
      <c r="S208" s="19">
        <f>IF(S$4&gt;0,Sensitivities!$C$139*i_g_ins*S146,0)</f>
        <v/>
      </c>
      <c r="T208" s="19">
        <f>IF(T$4&gt;0,Sensitivities!$C$139*i_g_ins*T146,0)</f>
        <v/>
      </c>
      <c r="U208" s="19">
        <f>IF(U$4&gt;0,Sensitivities!$C$139*i_g_ins*U146,0)</f>
        <v/>
      </c>
      <c r="V208" s="19">
        <f>IF(V$4&gt;0,Sensitivities!$C$139*i_g_ins*V146,0)</f>
        <v/>
      </c>
      <c r="W208" s="19">
        <f>IF(W$4&gt;0,Sensitivities!$C$139*i_g_ins*W146,0)</f>
        <v/>
      </c>
      <c r="X208" s="19">
        <f>IF(X$4&gt;0,Sensitivities!$C$139*i_g_ins*X146,0)</f>
        <v/>
      </c>
      <c r="Y208" s="19">
        <f>IF(Y$4&gt;0,Sensitivities!$C$139*i_g_ins*Y146,0)</f>
        <v/>
      </c>
      <c r="Z208" s="19">
        <f>IF(Z$4&gt;0,Sensitivities!$C$139*i_g_ins*Z146,0)</f>
        <v/>
      </c>
      <c r="AA208" s="19">
        <f>IF(AA$4&gt;0,Sensitivities!$C$139*i_g_ins*AA146,0)</f>
        <v/>
      </c>
      <c r="AB208" s="19">
        <f>IF(AB$4&gt;0,Sensitivities!$C$139*i_g_ins*AB146,0)</f>
        <v/>
      </c>
      <c r="AC208" s="19">
        <f>IF(AC$4&gt;0,Sensitivities!$C$139*i_g_ins*AC146,0)</f>
        <v/>
      </c>
      <c r="AD208" s="19">
        <f>IF(AD$4&gt;0,Sensitivities!$C$139*i_g_ins*AD146,0)</f>
        <v/>
      </c>
      <c r="AE208" s="19">
        <f>IF(AE$4&gt;0,Sensitivities!$C$139*i_g_ins*AE146,0)</f>
        <v/>
      </c>
      <c r="AF208" s="19">
        <f>IF(AF$4&gt;0,Sensitivities!$C$139*i_g_ins*AF146,0)</f>
        <v/>
      </c>
      <c r="AG208" s="19">
        <f>IF(AG$4&gt;0,Sensitivities!$C$139*i_g_ins*AG146,0)</f>
        <v/>
      </c>
      <c r="AH208" s="19">
        <f>IF(AH$4&gt;0,Sensitivities!$C$139*i_g_ins*AH146,0)</f>
        <v/>
      </c>
      <c r="AI208" s="19">
        <f>IF(AI$4&gt;0,Sensitivities!$C$139*i_g_ins*AI146,0)</f>
        <v/>
      </c>
    </row>
    <row r="209">
      <c r="B209" s="2" t="inlineStr">
        <is>
          <t xml:space="preserve">  Operating cost</t>
        </is>
      </c>
      <c r="D209" s="19">
        <f>D206+D207+D208</f>
        <v/>
      </c>
      <c r="E209" s="19">
        <f>E206+E207+E208</f>
        <v/>
      </c>
      <c r="F209" s="19">
        <f>F206+F207+F208</f>
        <v/>
      </c>
      <c r="G209" s="19">
        <f>G206+G207+G208</f>
        <v/>
      </c>
      <c r="H209" s="19">
        <f>H206+H207+H208</f>
        <v/>
      </c>
      <c r="I209" s="19">
        <f>I206+I207+I208</f>
        <v/>
      </c>
      <c r="J209" s="19">
        <f>J206+J207+J208</f>
        <v/>
      </c>
      <c r="K209" s="19">
        <f>K206+K207+K208</f>
        <v/>
      </c>
      <c r="L209" s="19">
        <f>L206+L207+L208</f>
        <v/>
      </c>
      <c r="M209" s="19">
        <f>M206+M207+M208</f>
        <v/>
      </c>
      <c r="N209" s="19">
        <f>N206+N207+N208</f>
        <v/>
      </c>
      <c r="O209" s="19">
        <f>O206+O207+O208</f>
        <v/>
      </c>
      <c r="P209" s="19">
        <f>P206+P207+P208</f>
        <v/>
      </c>
      <c r="Q209" s="19">
        <f>Q206+Q207+Q208</f>
        <v/>
      </c>
      <c r="R209" s="19">
        <f>R206+R207+R208</f>
        <v/>
      </c>
      <c r="S209" s="19">
        <f>S206+S207+S208</f>
        <v/>
      </c>
      <c r="T209" s="19">
        <f>T206+T207+T208</f>
        <v/>
      </c>
      <c r="U209" s="19">
        <f>U206+U207+U208</f>
        <v/>
      </c>
      <c r="V209" s="19">
        <f>V206+V207+V208</f>
        <v/>
      </c>
      <c r="W209" s="19">
        <f>W206+W207+W208</f>
        <v/>
      </c>
      <c r="X209" s="19">
        <f>X206+X207+X208</f>
        <v/>
      </c>
      <c r="Y209" s="19">
        <f>Y206+Y207+Y208</f>
        <v/>
      </c>
      <c r="Z209" s="19">
        <f>Z206+Z207+Z208</f>
        <v/>
      </c>
      <c r="AA209" s="19">
        <f>AA206+AA207+AA208</f>
        <v/>
      </c>
      <c r="AB209" s="19">
        <f>AB206+AB207+AB208</f>
        <v/>
      </c>
      <c r="AC209" s="19">
        <f>AC206+AC207+AC208</f>
        <v/>
      </c>
      <c r="AD209" s="19">
        <f>AD206+AD207+AD208</f>
        <v/>
      </c>
      <c r="AE209" s="19">
        <f>AE206+AE207+AE208</f>
        <v/>
      </c>
      <c r="AF209" s="19">
        <f>AF206+AF207+AF208</f>
        <v/>
      </c>
      <c r="AG209" s="19">
        <f>AG206+AG207+AG208</f>
        <v/>
      </c>
      <c r="AH209" s="19">
        <f>AH206+AH207+AH208</f>
        <v/>
      </c>
      <c r="AI209" s="19">
        <f>AI206+AI207+AI208</f>
        <v/>
      </c>
    </row>
    <row r="210">
      <c r="B210" s="3" t="inlineStr">
        <is>
          <t xml:space="preserve">  EBITDA</t>
        </is>
      </c>
      <c r="D210" s="31">
        <f>D205-D209</f>
        <v/>
      </c>
      <c r="E210" s="31">
        <f>E205-E209</f>
        <v/>
      </c>
      <c r="F210" s="31">
        <f>F205-F209</f>
        <v/>
      </c>
      <c r="G210" s="31">
        <f>G205-G209</f>
        <v/>
      </c>
      <c r="H210" s="31">
        <f>H205-H209</f>
        <v/>
      </c>
      <c r="I210" s="31">
        <f>I205-I209</f>
        <v/>
      </c>
      <c r="J210" s="31">
        <f>J205-J209</f>
        <v/>
      </c>
      <c r="K210" s="31">
        <f>K205-K209</f>
        <v/>
      </c>
      <c r="L210" s="31">
        <f>L205-L209</f>
        <v/>
      </c>
      <c r="M210" s="31">
        <f>M205-M209</f>
        <v/>
      </c>
      <c r="N210" s="31">
        <f>N205-N209</f>
        <v/>
      </c>
      <c r="O210" s="31">
        <f>O205-O209</f>
        <v/>
      </c>
      <c r="P210" s="31">
        <f>P205-P209</f>
        <v/>
      </c>
      <c r="Q210" s="31">
        <f>Q205-Q209</f>
        <v/>
      </c>
      <c r="R210" s="31">
        <f>R205-R209</f>
        <v/>
      </c>
      <c r="S210" s="31">
        <f>S205-S209</f>
        <v/>
      </c>
      <c r="T210" s="31">
        <f>T205-T209</f>
        <v/>
      </c>
      <c r="U210" s="31">
        <f>U205-U209</f>
        <v/>
      </c>
      <c r="V210" s="31">
        <f>V205-V209</f>
        <v/>
      </c>
      <c r="W210" s="31">
        <f>W205-W209</f>
        <v/>
      </c>
      <c r="X210" s="31">
        <f>X205-X209</f>
        <v/>
      </c>
      <c r="Y210" s="31">
        <f>Y205-Y209</f>
        <v/>
      </c>
      <c r="Z210" s="31">
        <f>Z205-Z209</f>
        <v/>
      </c>
      <c r="AA210" s="31">
        <f>AA205-AA209</f>
        <v/>
      </c>
      <c r="AB210" s="31">
        <f>AB205-AB209</f>
        <v/>
      </c>
      <c r="AC210" s="31">
        <f>AC205-AC209</f>
        <v/>
      </c>
      <c r="AD210" s="31">
        <f>AD205-AD209</f>
        <v/>
      </c>
      <c r="AE210" s="31">
        <f>AE205-AE209</f>
        <v/>
      </c>
      <c r="AF210" s="31">
        <f>AF205-AF209</f>
        <v/>
      </c>
      <c r="AG210" s="31">
        <f>AG205-AG209</f>
        <v/>
      </c>
      <c r="AH210" s="31">
        <f>AH205-AH209</f>
        <v/>
      </c>
      <c r="AI210" s="31">
        <f>AI205-AI209</f>
        <v/>
      </c>
    </row>
    <row r="211">
      <c r="B211" s="2" t="inlineStr">
        <is>
          <t xml:space="preserve">  Maintenance capex</t>
        </is>
      </c>
      <c r="D211" s="19">
        <f>D197*i_G_mc*D146</f>
        <v/>
      </c>
      <c r="E211" s="19">
        <f>E197*i_G_mc*E146</f>
        <v/>
      </c>
      <c r="F211" s="19">
        <f>F197*i_G_mc*F146</f>
        <v/>
      </c>
      <c r="G211" s="19">
        <f>G197*i_G_mc*G146</f>
        <v/>
      </c>
      <c r="H211" s="19">
        <f>H197*i_G_mc*H146</f>
        <v/>
      </c>
      <c r="I211" s="19">
        <f>I197*i_G_mc*I146</f>
        <v/>
      </c>
      <c r="J211" s="19">
        <f>J197*i_G_mc*J146</f>
        <v/>
      </c>
      <c r="K211" s="19">
        <f>K197*i_G_mc*K146</f>
        <v/>
      </c>
      <c r="L211" s="19">
        <f>L197*i_G_mc*L146</f>
        <v/>
      </c>
      <c r="M211" s="19">
        <f>M197*i_G_mc*M146</f>
        <v/>
      </c>
      <c r="N211" s="19">
        <f>N197*i_G_mc*N146</f>
        <v/>
      </c>
      <c r="O211" s="19">
        <f>O197*i_G_mc*O146</f>
        <v/>
      </c>
      <c r="P211" s="19">
        <f>P197*i_G_mc*P146</f>
        <v/>
      </c>
      <c r="Q211" s="19">
        <f>Q197*i_G_mc*Q146</f>
        <v/>
      </c>
      <c r="R211" s="19">
        <f>R197*i_G_mc*R146</f>
        <v/>
      </c>
      <c r="S211" s="19">
        <f>S197*i_G_mc*S146</f>
        <v/>
      </c>
      <c r="T211" s="19">
        <f>T197*i_G_mc*T146</f>
        <v/>
      </c>
      <c r="U211" s="19">
        <f>U197*i_G_mc*U146</f>
        <v/>
      </c>
      <c r="V211" s="19">
        <f>V197*i_G_mc*V146</f>
        <v/>
      </c>
      <c r="W211" s="19">
        <f>W197*i_G_mc*W146</f>
        <v/>
      </c>
      <c r="X211" s="19">
        <f>X197*i_G_mc*X146</f>
        <v/>
      </c>
      <c r="Y211" s="19">
        <f>Y197*i_G_mc*Y146</f>
        <v/>
      </c>
      <c r="Z211" s="19">
        <f>Z197*i_G_mc*Z146</f>
        <v/>
      </c>
      <c r="AA211" s="19">
        <f>AA197*i_G_mc*AA146</f>
        <v/>
      </c>
      <c r="AB211" s="19">
        <f>AB197*i_G_mc*AB146</f>
        <v/>
      </c>
      <c r="AC211" s="19">
        <f>AC197*i_G_mc*AC146</f>
        <v/>
      </c>
      <c r="AD211" s="19">
        <f>AD197*i_G_mc*AD146</f>
        <v/>
      </c>
      <c r="AE211" s="19">
        <f>AE197*i_G_mc*AE146</f>
        <v/>
      </c>
      <c r="AF211" s="19">
        <f>AF197*i_G_mc*AF146</f>
        <v/>
      </c>
      <c r="AG211" s="19">
        <f>AG197*i_G_mc*AG146</f>
        <v/>
      </c>
      <c r="AH211" s="19">
        <f>AH197*i_G_mc*AH146</f>
        <v/>
      </c>
      <c r="AI211" s="19">
        <f>AI197*i_G_mc*AI146</f>
        <v/>
      </c>
    </row>
    <row r="212">
      <c r="B212" s="3" t="inlineStr">
        <is>
          <t>Sabine Bend expansion (renewable fuels)</t>
        </is>
      </c>
    </row>
    <row r="213">
      <c r="B213" s="2" t="inlineStr">
        <is>
          <t xml:space="preserve">  Growth capex</t>
        </is>
      </c>
      <c r="D213" s="19">
        <f>Sensitivities!$C$140*SUMIF(i_exp_capex_years,D$3,i_exp_capex_vals)*D146</f>
        <v/>
      </c>
      <c r="E213" s="19">
        <f>Sensitivities!$C$140*SUMIF(i_exp_capex_years,E$3,i_exp_capex_vals)*E146</f>
        <v/>
      </c>
      <c r="F213" s="19">
        <f>Sensitivities!$C$140*SUMIF(i_exp_capex_years,F$3,i_exp_capex_vals)*F146</f>
        <v/>
      </c>
      <c r="G213" s="19">
        <f>Sensitivities!$C$140*SUMIF(i_exp_capex_years,G$3,i_exp_capex_vals)*G146</f>
        <v/>
      </c>
      <c r="H213" s="19">
        <f>Sensitivities!$C$140*SUMIF(i_exp_capex_years,H$3,i_exp_capex_vals)*H146</f>
        <v/>
      </c>
      <c r="I213" s="19">
        <f>Sensitivities!$C$140*SUMIF(i_exp_capex_years,I$3,i_exp_capex_vals)*I146</f>
        <v/>
      </c>
      <c r="J213" s="19">
        <f>Sensitivities!$C$140*SUMIF(i_exp_capex_years,J$3,i_exp_capex_vals)*J146</f>
        <v/>
      </c>
      <c r="K213" s="19">
        <f>Sensitivities!$C$140*SUMIF(i_exp_capex_years,K$3,i_exp_capex_vals)*K146</f>
        <v/>
      </c>
      <c r="L213" s="19">
        <f>Sensitivities!$C$140*SUMIF(i_exp_capex_years,L$3,i_exp_capex_vals)*L146</f>
        <v/>
      </c>
      <c r="M213" s="19">
        <f>Sensitivities!$C$140*SUMIF(i_exp_capex_years,M$3,i_exp_capex_vals)*M146</f>
        <v/>
      </c>
      <c r="N213" s="19">
        <f>Sensitivities!$C$140*SUMIF(i_exp_capex_years,N$3,i_exp_capex_vals)*N146</f>
        <v/>
      </c>
      <c r="O213" s="19">
        <f>Sensitivities!$C$140*SUMIF(i_exp_capex_years,O$3,i_exp_capex_vals)*O146</f>
        <v/>
      </c>
      <c r="P213" s="19">
        <f>Sensitivities!$C$140*SUMIF(i_exp_capex_years,P$3,i_exp_capex_vals)*P146</f>
        <v/>
      </c>
      <c r="Q213" s="19">
        <f>Sensitivities!$C$140*SUMIF(i_exp_capex_years,Q$3,i_exp_capex_vals)*Q146</f>
        <v/>
      </c>
      <c r="R213" s="19">
        <f>Sensitivities!$C$140*SUMIF(i_exp_capex_years,R$3,i_exp_capex_vals)*R146</f>
        <v/>
      </c>
      <c r="S213" s="19">
        <f>Sensitivities!$C$140*SUMIF(i_exp_capex_years,S$3,i_exp_capex_vals)*S146</f>
        <v/>
      </c>
      <c r="T213" s="19">
        <f>Sensitivities!$C$140*SUMIF(i_exp_capex_years,T$3,i_exp_capex_vals)*T146</f>
        <v/>
      </c>
      <c r="U213" s="19">
        <f>Sensitivities!$C$140*SUMIF(i_exp_capex_years,U$3,i_exp_capex_vals)*U146</f>
        <v/>
      </c>
      <c r="V213" s="19">
        <f>Sensitivities!$C$140*SUMIF(i_exp_capex_years,V$3,i_exp_capex_vals)*V146</f>
        <v/>
      </c>
      <c r="W213" s="19">
        <f>Sensitivities!$C$140*SUMIF(i_exp_capex_years,W$3,i_exp_capex_vals)*W146</f>
        <v/>
      </c>
      <c r="X213" s="19">
        <f>Sensitivities!$C$140*SUMIF(i_exp_capex_years,X$3,i_exp_capex_vals)*X146</f>
        <v/>
      </c>
      <c r="Y213" s="19">
        <f>Sensitivities!$C$140*SUMIF(i_exp_capex_years,Y$3,i_exp_capex_vals)*Y146</f>
        <v/>
      </c>
      <c r="Z213" s="19">
        <f>Sensitivities!$C$140*SUMIF(i_exp_capex_years,Z$3,i_exp_capex_vals)*Z146</f>
        <v/>
      </c>
      <c r="AA213" s="19">
        <f>Sensitivities!$C$140*SUMIF(i_exp_capex_years,AA$3,i_exp_capex_vals)*AA146</f>
        <v/>
      </c>
      <c r="AB213" s="19">
        <f>Sensitivities!$C$140*SUMIF(i_exp_capex_years,AB$3,i_exp_capex_vals)*AB146</f>
        <v/>
      </c>
      <c r="AC213" s="19">
        <f>Sensitivities!$C$140*SUMIF(i_exp_capex_years,AC$3,i_exp_capex_vals)*AC146</f>
        <v/>
      </c>
      <c r="AD213" s="19">
        <f>Sensitivities!$C$140*SUMIF(i_exp_capex_years,AD$3,i_exp_capex_vals)*AD146</f>
        <v/>
      </c>
      <c r="AE213" s="19">
        <f>Sensitivities!$C$140*SUMIF(i_exp_capex_years,AE$3,i_exp_capex_vals)*AE146</f>
        <v/>
      </c>
      <c r="AF213" s="19">
        <f>Sensitivities!$C$140*SUMIF(i_exp_capex_years,AF$3,i_exp_capex_vals)*AF146</f>
        <v/>
      </c>
      <c r="AG213" s="19">
        <f>Sensitivities!$C$140*SUMIF(i_exp_capex_years,AG$3,i_exp_capex_vals)*AG146</f>
        <v/>
      </c>
      <c r="AH213" s="19">
        <f>Sensitivities!$C$140*SUMIF(i_exp_capex_years,AH$3,i_exp_capex_vals)*AH146</f>
        <v/>
      </c>
      <c r="AI213" s="19">
        <f>Sensitivities!$C$140*SUMIF(i_exp_capex_years,AI$3,i_exp_capex_vals)*AI146</f>
        <v/>
      </c>
    </row>
    <row r="214">
      <c r="B214" s="2" t="inlineStr">
        <is>
          <t xml:space="preserve">  Operating (1/0)</t>
        </is>
      </c>
      <c r="D214" s="22">
        <f>IF(D$3&gt;=i_exp_start,Sensitivities!$C$140,0)</f>
        <v/>
      </c>
      <c r="E214" s="22">
        <f>IF(E$3&gt;=i_exp_start,Sensitivities!$C$140,0)</f>
        <v/>
      </c>
      <c r="F214" s="22">
        <f>IF(F$3&gt;=i_exp_start,Sensitivities!$C$140,0)</f>
        <v/>
      </c>
      <c r="G214" s="22">
        <f>IF(G$3&gt;=i_exp_start,Sensitivities!$C$140,0)</f>
        <v/>
      </c>
      <c r="H214" s="22">
        <f>IF(H$3&gt;=i_exp_start,Sensitivities!$C$140,0)</f>
        <v/>
      </c>
      <c r="I214" s="22">
        <f>IF(I$3&gt;=i_exp_start,Sensitivities!$C$140,0)</f>
        <v/>
      </c>
      <c r="J214" s="22">
        <f>IF(J$3&gt;=i_exp_start,Sensitivities!$C$140,0)</f>
        <v/>
      </c>
      <c r="K214" s="22">
        <f>IF(K$3&gt;=i_exp_start,Sensitivities!$C$140,0)</f>
        <v/>
      </c>
      <c r="L214" s="22">
        <f>IF(L$3&gt;=i_exp_start,Sensitivities!$C$140,0)</f>
        <v/>
      </c>
      <c r="M214" s="22">
        <f>IF(M$3&gt;=i_exp_start,Sensitivities!$C$140,0)</f>
        <v/>
      </c>
      <c r="N214" s="22">
        <f>IF(N$3&gt;=i_exp_start,Sensitivities!$C$140,0)</f>
        <v/>
      </c>
      <c r="O214" s="22">
        <f>IF(O$3&gt;=i_exp_start,Sensitivities!$C$140,0)</f>
        <v/>
      </c>
      <c r="P214" s="22">
        <f>IF(P$3&gt;=i_exp_start,Sensitivities!$C$140,0)</f>
        <v/>
      </c>
      <c r="Q214" s="22">
        <f>IF(Q$3&gt;=i_exp_start,Sensitivities!$C$140,0)</f>
        <v/>
      </c>
      <c r="R214" s="22">
        <f>IF(R$3&gt;=i_exp_start,Sensitivities!$C$140,0)</f>
        <v/>
      </c>
      <c r="S214" s="22">
        <f>IF(S$3&gt;=i_exp_start,Sensitivities!$C$140,0)</f>
        <v/>
      </c>
      <c r="T214" s="22">
        <f>IF(T$3&gt;=i_exp_start,Sensitivities!$C$140,0)</f>
        <v/>
      </c>
      <c r="U214" s="22">
        <f>IF(U$3&gt;=i_exp_start,Sensitivities!$C$140,0)</f>
        <v/>
      </c>
      <c r="V214" s="22">
        <f>IF(V$3&gt;=i_exp_start,Sensitivities!$C$140,0)</f>
        <v/>
      </c>
      <c r="W214" s="22">
        <f>IF(W$3&gt;=i_exp_start,Sensitivities!$C$140,0)</f>
        <v/>
      </c>
      <c r="X214" s="22">
        <f>IF(X$3&gt;=i_exp_start,Sensitivities!$C$140,0)</f>
        <v/>
      </c>
      <c r="Y214" s="22">
        <f>IF(Y$3&gt;=i_exp_start,Sensitivities!$C$140,0)</f>
        <v/>
      </c>
      <c r="Z214" s="22">
        <f>IF(Z$3&gt;=i_exp_start,Sensitivities!$C$140,0)</f>
        <v/>
      </c>
      <c r="AA214" s="22">
        <f>IF(AA$3&gt;=i_exp_start,Sensitivities!$C$140,0)</f>
        <v/>
      </c>
      <c r="AB214" s="22">
        <f>IF(AB$3&gt;=i_exp_start,Sensitivities!$C$140,0)</f>
        <v/>
      </c>
      <c r="AC214" s="22">
        <f>IF(AC$3&gt;=i_exp_start,Sensitivities!$C$140,0)</f>
        <v/>
      </c>
      <c r="AD214" s="22">
        <f>IF(AD$3&gt;=i_exp_start,Sensitivities!$C$140,0)</f>
        <v/>
      </c>
      <c r="AE214" s="22">
        <f>IF(AE$3&gt;=i_exp_start,Sensitivities!$C$140,0)</f>
        <v/>
      </c>
      <c r="AF214" s="22">
        <f>IF(AF$3&gt;=i_exp_start,Sensitivities!$C$140,0)</f>
        <v/>
      </c>
      <c r="AG214" s="22">
        <f>IF(AG$3&gt;=i_exp_start,Sensitivities!$C$140,0)</f>
        <v/>
      </c>
      <c r="AH214" s="22">
        <f>IF(AH$3&gt;=i_exp_start,Sensitivities!$C$140,0)</f>
        <v/>
      </c>
      <c r="AI214" s="22">
        <f>IF(AI$3&gt;=i_exp_start,Sensitivities!$C$140,0)</f>
        <v/>
      </c>
    </row>
    <row r="215">
      <c r="B215" s="2" t="inlineStr">
        <is>
          <t xml:space="preserve">  Under the anchor contract (1/0)</t>
        </is>
      </c>
      <c r="D215" s="22">
        <f>IF(D$3&lt;i_exp_start+i_exp_years,1,0)</f>
        <v/>
      </c>
      <c r="E215" s="22">
        <f>IF(E$3&lt;i_exp_start+i_exp_years,1,0)</f>
        <v/>
      </c>
      <c r="F215" s="22">
        <f>IF(F$3&lt;i_exp_start+i_exp_years,1,0)</f>
        <v/>
      </c>
      <c r="G215" s="22">
        <f>IF(G$3&lt;i_exp_start+i_exp_years,1,0)</f>
        <v/>
      </c>
      <c r="H215" s="22">
        <f>IF(H$3&lt;i_exp_start+i_exp_years,1,0)</f>
        <v/>
      </c>
      <c r="I215" s="22">
        <f>IF(I$3&lt;i_exp_start+i_exp_years,1,0)</f>
        <v/>
      </c>
      <c r="J215" s="22">
        <f>IF(J$3&lt;i_exp_start+i_exp_years,1,0)</f>
        <v/>
      </c>
      <c r="K215" s="22">
        <f>IF(K$3&lt;i_exp_start+i_exp_years,1,0)</f>
        <v/>
      </c>
      <c r="L215" s="22">
        <f>IF(L$3&lt;i_exp_start+i_exp_years,1,0)</f>
        <v/>
      </c>
      <c r="M215" s="22">
        <f>IF(M$3&lt;i_exp_start+i_exp_years,1,0)</f>
        <v/>
      </c>
      <c r="N215" s="22">
        <f>IF(N$3&lt;i_exp_start+i_exp_years,1,0)</f>
        <v/>
      </c>
      <c r="O215" s="22">
        <f>IF(O$3&lt;i_exp_start+i_exp_years,1,0)</f>
        <v/>
      </c>
      <c r="P215" s="22">
        <f>IF(P$3&lt;i_exp_start+i_exp_years,1,0)</f>
        <v/>
      </c>
      <c r="Q215" s="22">
        <f>IF(Q$3&lt;i_exp_start+i_exp_years,1,0)</f>
        <v/>
      </c>
      <c r="R215" s="22">
        <f>IF(R$3&lt;i_exp_start+i_exp_years,1,0)</f>
        <v/>
      </c>
      <c r="S215" s="22">
        <f>IF(S$3&lt;i_exp_start+i_exp_years,1,0)</f>
        <v/>
      </c>
      <c r="T215" s="22">
        <f>IF(T$3&lt;i_exp_start+i_exp_years,1,0)</f>
        <v/>
      </c>
      <c r="U215" s="22">
        <f>IF(U$3&lt;i_exp_start+i_exp_years,1,0)</f>
        <v/>
      </c>
      <c r="V215" s="22">
        <f>IF(V$3&lt;i_exp_start+i_exp_years,1,0)</f>
        <v/>
      </c>
      <c r="W215" s="22">
        <f>IF(W$3&lt;i_exp_start+i_exp_years,1,0)</f>
        <v/>
      </c>
      <c r="X215" s="22">
        <f>IF(X$3&lt;i_exp_start+i_exp_years,1,0)</f>
        <v/>
      </c>
      <c r="Y215" s="22">
        <f>IF(Y$3&lt;i_exp_start+i_exp_years,1,0)</f>
        <v/>
      </c>
      <c r="Z215" s="22">
        <f>IF(Z$3&lt;i_exp_start+i_exp_years,1,0)</f>
        <v/>
      </c>
      <c r="AA215" s="22">
        <f>IF(AA$3&lt;i_exp_start+i_exp_years,1,0)</f>
        <v/>
      </c>
      <c r="AB215" s="22">
        <f>IF(AB$3&lt;i_exp_start+i_exp_years,1,0)</f>
        <v/>
      </c>
      <c r="AC215" s="22">
        <f>IF(AC$3&lt;i_exp_start+i_exp_years,1,0)</f>
        <v/>
      </c>
      <c r="AD215" s="22">
        <f>IF(AD$3&lt;i_exp_start+i_exp_years,1,0)</f>
        <v/>
      </c>
      <c r="AE215" s="22">
        <f>IF(AE$3&lt;i_exp_start+i_exp_years,1,0)</f>
        <v/>
      </c>
      <c r="AF215" s="22">
        <f>IF(AF$3&lt;i_exp_start+i_exp_years,1,0)</f>
        <v/>
      </c>
      <c r="AG215" s="22">
        <f>IF(AG$3&lt;i_exp_start+i_exp_years,1,0)</f>
        <v/>
      </c>
      <c r="AH215" s="22">
        <f>IF(AH$3&lt;i_exp_start+i_exp_years,1,0)</f>
        <v/>
      </c>
      <c r="AI215" s="22">
        <f>IF(AI$3&lt;i_exp_start+i_exp_years,1,0)</f>
        <v/>
      </c>
    </row>
    <row r="216">
      <c r="B216" s="2" t="inlineStr">
        <is>
          <t xml:space="preserve">  Rate ($ per m3 per month)</t>
        </is>
      </c>
      <c r="D216" s="24">
        <f>i_exp_rate*D147*IF(D215=1,1,1+i_exp_mtm)</f>
        <v/>
      </c>
      <c r="E216" s="24">
        <f>i_exp_rate*E147*IF(E215=1,1,1+i_exp_mtm)</f>
        <v/>
      </c>
      <c r="F216" s="24">
        <f>i_exp_rate*F147*IF(F215=1,1,1+i_exp_mtm)</f>
        <v/>
      </c>
      <c r="G216" s="24">
        <f>i_exp_rate*G147*IF(G215=1,1,1+i_exp_mtm)</f>
        <v/>
      </c>
      <c r="H216" s="24">
        <f>i_exp_rate*H147*IF(H215=1,1,1+i_exp_mtm)</f>
        <v/>
      </c>
      <c r="I216" s="24">
        <f>i_exp_rate*I147*IF(I215=1,1,1+i_exp_mtm)</f>
        <v/>
      </c>
      <c r="J216" s="24">
        <f>i_exp_rate*J147*IF(J215=1,1,1+i_exp_mtm)</f>
        <v/>
      </c>
      <c r="K216" s="24">
        <f>i_exp_rate*K147*IF(K215=1,1,1+i_exp_mtm)</f>
        <v/>
      </c>
      <c r="L216" s="24">
        <f>i_exp_rate*L147*IF(L215=1,1,1+i_exp_mtm)</f>
        <v/>
      </c>
      <c r="M216" s="24">
        <f>i_exp_rate*M147*IF(M215=1,1,1+i_exp_mtm)</f>
        <v/>
      </c>
      <c r="N216" s="24">
        <f>i_exp_rate*N147*IF(N215=1,1,1+i_exp_mtm)</f>
        <v/>
      </c>
      <c r="O216" s="24">
        <f>i_exp_rate*O147*IF(O215=1,1,1+i_exp_mtm)</f>
        <v/>
      </c>
      <c r="P216" s="24">
        <f>i_exp_rate*P147*IF(P215=1,1,1+i_exp_mtm)</f>
        <v/>
      </c>
      <c r="Q216" s="24">
        <f>i_exp_rate*Q147*IF(Q215=1,1,1+i_exp_mtm)</f>
        <v/>
      </c>
      <c r="R216" s="24">
        <f>i_exp_rate*R147*IF(R215=1,1,1+i_exp_mtm)</f>
        <v/>
      </c>
      <c r="S216" s="24">
        <f>i_exp_rate*S147*IF(S215=1,1,1+i_exp_mtm)</f>
        <v/>
      </c>
      <c r="T216" s="24">
        <f>i_exp_rate*T147*IF(T215=1,1,1+i_exp_mtm)</f>
        <v/>
      </c>
      <c r="U216" s="24">
        <f>i_exp_rate*U147*IF(U215=1,1,1+i_exp_mtm)</f>
        <v/>
      </c>
      <c r="V216" s="24">
        <f>i_exp_rate*V147*IF(V215=1,1,1+i_exp_mtm)</f>
        <v/>
      </c>
      <c r="W216" s="24">
        <f>i_exp_rate*W147*IF(W215=1,1,1+i_exp_mtm)</f>
        <v/>
      </c>
      <c r="X216" s="24">
        <f>i_exp_rate*X147*IF(X215=1,1,1+i_exp_mtm)</f>
        <v/>
      </c>
      <c r="Y216" s="24">
        <f>i_exp_rate*Y147*IF(Y215=1,1,1+i_exp_mtm)</f>
        <v/>
      </c>
      <c r="Z216" s="24">
        <f>i_exp_rate*Z147*IF(Z215=1,1,1+i_exp_mtm)</f>
        <v/>
      </c>
      <c r="AA216" s="24">
        <f>i_exp_rate*AA147*IF(AA215=1,1,1+i_exp_mtm)</f>
        <v/>
      </c>
      <c r="AB216" s="24">
        <f>i_exp_rate*AB147*IF(AB215=1,1,1+i_exp_mtm)</f>
        <v/>
      </c>
      <c r="AC216" s="24">
        <f>i_exp_rate*AC147*IF(AC215=1,1,1+i_exp_mtm)</f>
        <v/>
      </c>
      <c r="AD216" s="24">
        <f>i_exp_rate*AD147*IF(AD215=1,1,1+i_exp_mtm)</f>
        <v/>
      </c>
      <c r="AE216" s="24">
        <f>i_exp_rate*AE147*IF(AE215=1,1,1+i_exp_mtm)</f>
        <v/>
      </c>
      <c r="AF216" s="24">
        <f>i_exp_rate*AF147*IF(AF215=1,1,1+i_exp_mtm)</f>
        <v/>
      </c>
      <c r="AG216" s="24">
        <f>i_exp_rate*AG147*IF(AG215=1,1,1+i_exp_mtm)</f>
        <v/>
      </c>
      <c r="AH216" s="24">
        <f>i_exp_rate*AH147*IF(AH215=1,1,1+i_exp_mtm)</f>
        <v/>
      </c>
      <c r="AI216" s="24">
        <f>i_exp_rate*AI147*IF(AI215=1,1,1+i_exp_mtm)</f>
        <v/>
      </c>
    </row>
    <row r="217">
      <c r="B217" s="2" t="inlineStr">
        <is>
          <t xml:space="preserve">  Occupancy</t>
        </is>
      </c>
      <c r="D217" s="21">
        <f>IF(D215=1,i_exp_occ_c,i_exp_occ_m)</f>
        <v/>
      </c>
      <c r="E217" s="21">
        <f>IF(E215=1,i_exp_occ_c,i_exp_occ_m)</f>
        <v/>
      </c>
      <c r="F217" s="21">
        <f>IF(F215=1,i_exp_occ_c,i_exp_occ_m)</f>
        <v/>
      </c>
      <c r="G217" s="21">
        <f>IF(G215=1,i_exp_occ_c,i_exp_occ_m)</f>
        <v/>
      </c>
      <c r="H217" s="21">
        <f>IF(H215=1,i_exp_occ_c,i_exp_occ_m)</f>
        <v/>
      </c>
      <c r="I217" s="21">
        <f>IF(I215=1,i_exp_occ_c,i_exp_occ_m)</f>
        <v/>
      </c>
      <c r="J217" s="21">
        <f>IF(J215=1,i_exp_occ_c,i_exp_occ_m)</f>
        <v/>
      </c>
      <c r="K217" s="21">
        <f>IF(K215=1,i_exp_occ_c,i_exp_occ_m)</f>
        <v/>
      </c>
      <c r="L217" s="21">
        <f>IF(L215=1,i_exp_occ_c,i_exp_occ_m)</f>
        <v/>
      </c>
      <c r="M217" s="21">
        <f>IF(M215=1,i_exp_occ_c,i_exp_occ_m)</f>
        <v/>
      </c>
      <c r="N217" s="21">
        <f>IF(N215=1,i_exp_occ_c,i_exp_occ_m)</f>
        <v/>
      </c>
      <c r="O217" s="21">
        <f>IF(O215=1,i_exp_occ_c,i_exp_occ_m)</f>
        <v/>
      </c>
      <c r="P217" s="21">
        <f>IF(P215=1,i_exp_occ_c,i_exp_occ_m)</f>
        <v/>
      </c>
      <c r="Q217" s="21">
        <f>IF(Q215=1,i_exp_occ_c,i_exp_occ_m)</f>
        <v/>
      </c>
      <c r="R217" s="21">
        <f>IF(R215=1,i_exp_occ_c,i_exp_occ_m)</f>
        <v/>
      </c>
      <c r="S217" s="21">
        <f>IF(S215=1,i_exp_occ_c,i_exp_occ_m)</f>
        <v/>
      </c>
      <c r="T217" s="21">
        <f>IF(T215=1,i_exp_occ_c,i_exp_occ_m)</f>
        <v/>
      </c>
      <c r="U217" s="21">
        <f>IF(U215=1,i_exp_occ_c,i_exp_occ_m)</f>
        <v/>
      </c>
      <c r="V217" s="21">
        <f>IF(V215=1,i_exp_occ_c,i_exp_occ_m)</f>
        <v/>
      </c>
      <c r="W217" s="21">
        <f>IF(W215=1,i_exp_occ_c,i_exp_occ_m)</f>
        <v/>
      </c>
      <c r="X217" s="21">
        <f>IF(X215=1,i_exp_occ_c,i_exp_occ_m)</f>
        <v/>
      </c>
      <c r="Y217" s="21">
        <f>IF(Y215=1,i_exp_occ_c,i_exp_occ_m)</f>
        <v/>
      </c>
      <c r="Z217" s="21">
        <f>IF(Z215=1,i_exp_occ_c,i_exp_occ_m)</f>
        <v/>
      </c>
      <c r="AA217" s="21">
        <f>IF(AA215=1,i_exp_occ_c,i_exp_occ_m)</f>
        <v/>
      </c>
      <c r="AB217" s="21">
        <f>IF(AB215=1,i_exp_occ_c,i_exp_occ_m)</f>
        <v/>
      </c>
      <c r="AC217" s="21">
        <f>IF(AC215=1,i_exp_occ_c,i_exp_occ_m)</f>
        <v/>
      </c>
      <c r="AD217" s="21">
        <f>IF(AD215=1,i_exp_occ_c,i_exp_occ_m)</f>
        <v/>
      </c>
      <c r="AE217" s="21">
        <f>IF(AE215=1,i_exp_occ_c,i_exp_occ_m)</f>
        <v/>
      </c>
      <c r="AF217" s="21">
        <f>IF(AF215=1,i_exp_occ_c,i_exp_occ_m)</f>
        <v/>
      </c>
      <c r="AG217" s="21">
        <f>IF(AG215=1,i_exp_occ_c,i_exp_occ_m)</f>
        <v/>
      </c>
      <c r="AH217" s="21">
        <f>IF(AH215=1,i_exp_occ_c,i_exp_occ_m)</f>
        <v/>
      </c>
      <c r="AI217" s="21">
        <f>IF(AI215=1,i_exp_occ_c,i_exp_occ_m)</f>
        <v/>
      </c>
    </row>
    <row r="218">
      <c r="B218" s="2" t="inlineStr">
        <is>
          <t xml:space="preserve">  Storage revenue</t>
        </is>
      </c>
      <c r="D218" s="19">
        <f>D214*i_exp_cap*D216*12*D217</f>
        <v/>
      </c>
      <c r="E218" s="19">
        <f>E214*i_exp_cap*E216*12*E217</f>
        <v/>
      </c>
      <c r="F218" s="19">
        <f>F214*i_exp_cap*F216*12*F217</f>
        <v/>
      </c>
      <c r="G218" s="19">
        <f>G214*i_exp_cap*G216*12*G217</f>
        <v/>
      </c>
      <c r="H218" s="19">
        <f>H214*i_exp_cap*H216*12*H217</f>
        <v/>
      </c>
      <c r="I218" s="19">
        <f>I214*i_exp_cap*I216*12*I217</f>
        <v/>
      </c>
      <c r="J218" s="19">
        <f>J214*i_exp_cap*J216*12*J217</f>
        <v/>
      </c>
      <c r="K218" s="19">
        <f>K214*i_exp_cap*K216*12*K217</f>
        <v/>
      </c>
      <c r="L218" s="19">
        <f>L214*i_exp_cap*L216*12*L217</f>
        <v/>
      </c>
      <c r="M218" s="19">
        <f>M214*i_exp_cap*M216*12*M217</f>
        <v/>
      </c>
      <c r="N218" s="19">
        <f>N214*i_exp_cap*N216*12*N217</f>
        <v/>
      </c>
      <c r="O218" s="19">
        <f>O214*i_exp_cap*O216*12*O217</f>
        <v/>
      </c>
      <c r="P218" s="19">
        <f>P214*i_exp_cap*P216*12*P217</f>
        <v/>
      </c>
      <c r="Q218" s="19">
        <f>Q214*i_exp_cap*Q216*12*Q217</f>
        <v/>
      </c>
      <c r="R218" s="19">
        <f>R214*i_exp_cap*R216*12*R217</f>
        <v/>
      </c>
      <c r="S218" s="19">
        <f>S214*i_exp_cap*S216*12*S217</f>
        <v/>
      </c>
      <c r="T218" s="19">
        <f>T214*i_exp_cap*T216*12*T217</f>
        <v/>
      </c>
      <c r="U218" s="19">
        <f>U214*i_exp_cap*U216*12*U217</f>
        <v/>
      </c>
      <c r="V218" s="19">
        <f>V214*i_exp_cap*V216*12*V217</f>
        <v/>
      </c>
      <c r="W218" s="19">
        <f>W214*i_exp_cap*W216*12*W217</f>
        <v/>
      </c>
      <c r="X218" s="19">
        <f>X214*i_exp_cap*X216*12*X217</f>
        <v/>
      </c>
      <c r="Y218" s="19">
        <f>Y214*i_exp_cap*Y216*12*Y217</f>
        <v/>
      </c>
      <c r="Z218" s="19">
        <f>Z214*i_exp_cap*Z216*12*Z217</f>
        <v/>
      </c>
      <c r="AA218" s="19">
        <f>AA214*i_exp_cap*AA216*12*AA217</f>
        <v/>
      </c>
      <c r="AB218" s="19">
        <f>AB214*i_exp_cap*AB216*12*AB217</f>
        <v/>
      </c>
      <c r="AC218" s="19">
        <f>AC214*i_exp_cap*AC216*12*AC217</f>
        <v/>
      </c>
      <c r="AD218" s="19">
        <f>AD214*i_exp_cap*AD216*12*AD217</f>
        <v/>
      </c>
      <c r="AE218" s="19">
        <f>AE214*i_exp_cap*AE216*12*AE217</f>
        <v/>
      </c>
      <c r="AF218" s="19">
        <f>AF214*i_exp_cap*AF216*12*AF217</f>
        <v/>
      </c>
      <c r="AG218" s="19">
        <f>AG214*i_exp_cap*AG216*12*AG217</f>
        <v/>
      </c>
      <c r="AH218" s="19">
        <f>AH214*i_exp_cap*AH216*12*AH217</f>
        <v/>
      </c>
      <c r="AI218" s="19">
        <f>AI214*i_exp_cap*AI216*12*AI217</f>
        <v/>
      </c>
    </row>
    <row r="219">
      <c r="B219" s="3" t="inlineStr">
        <is>
          <t xml:space="preserve">  Revenue</t>
        </is>
      </c>
      <c r="D219" s="31">
        <f>D218*(1+i_exp_anc)</f>
        <v/>
      </c>
      <c r="E219" s="31">
        <f>E218*(1+i_exp_anc)</f>
        <v/>
      </c>
      <c r="F219" s="31">
        <f>F218*(1+i_exp_anc)</f>
        <v/>
      </c>
      <c r="G219" s="31">
        <f>G218*(1+i_exp_anc)</f>
        <v/>
      </c>
      <c r="H219" s="31">
        <f>H218*(1+i_exp_anc)</f>
        <v/>
      </c>
      <c r="I219" s="31">
        <f>I218*(1+i_exp_anc)</f>
        <v/>
      </c>
      <c r="J219" s="31">
        <f>J218*(1+i_exp_anc)</f>
        <v/>
      </c>
      <c r="K219" s="31">
        <f>K218*(1+i_exp_anc)</f>
        <v/>
      </c>
      <c r="L219" s="31">
        <f>L218*(1+i_exp_anc)</f>
        <v/>
      </c>
      <c r="M219" s="31">
        <f>M218*(1+i_exp_anc)</f>
        <v/>
      </c>
      <c r="N219" s="31">
        <f>N218*(1+i_exp_anc)</f>
        <v/>
      </c>
      <c r="O219" s="31">
        <f>O218*(1+i_exp_anc)</f>
        <v/>
      </c>
      <c r="P219" s="31">
        <f>P218*(1+i_exp_anc)</f>
        <v/>
      </c>
      <c r="Q219" s="31">
        <f>Q218*(1+i_exp_anc)</f>
        <v/>
      </c>
      <c r="R219" s="31">
        <f>R218*(1+i_exp_anc)</f>
        <v/>
      </c>
      <c r="S219" s="31">
        <f>S218*(1+i_exp_anc)</f>
        <v/>
      </c>
      <c r="T219" s="31">
        <f>T218*(1+i_exp_anc)</f>
        <v/>
      </c>
      <c r="U219" s="31">
        <f>U218*(1+i_exp_anc)</f>
        <v/>
      </c>
      <c r="V219" s="31">
        <f>V218*(1+i_exp_anc)</f>
        <v/>
      </c>
      <c r="W219" s="31">
        <f>W218*(1+i_exp_anc)</f>
        <v/>
      </c>
      <c r="X219" s="31">
        <f>X218*(1+i_exp_anc)</f>
        <v/>
      </c>
      <c r="Y219" s="31">
        <f>Y218*(1+i_exp_anc)</f>
        <v/>
      </c>
      <c r="Z219" s="31">
        <f>Z218*(1+i_exp_anc)</f>
        <v/>
      </c>
      <c r="AA219" s="31">
        <f>AA218*(1+i_exp_anc)</f>
        <v/>
      </c>
      <c r="AB219" s="31">
        <f>AB218*(1+i_exp_anc)</f>
        <v/>
      </c>
      <c r="AC219" s="31">
        <f>AC218*(1+i_exp_anc)</f>
        <v/>
      </c>
      <c r="AD219" s="31">
        <f>AD218*(1+i_exp_anc)</f>
        <v/>
      </c>
      <c r="AE219" s="31">
        <f>AE218*(1+i_exp_anc)</f>
        <v/>
      </c>
      <c r="AF219" s="31">
        <f>AF218*(1+i_exp_anc)</f>
        <v/>
      </c>
      <c r="AG219" s="31">
        <f>AG218*(1+i_exp_anc)</f>
        <v/>
      </c>
      <c r="AH219" s="31">
        <f>AH218*(1+i_exp_anc)</f>
        <v/>
      </c>
      <c r="AI219" s="31">
        <f>AI218*(1+i_exp_anc)</f>
        <v/>
      </c>
    </row>
    <row r="220">
      <c r="B220" s="2" t="inlineStr">
        <is>
          <t xml:space="preserve">  Operating cost</t>
        </is>
      </c>
      <c r="D220" s="19">
        <f>D214*i_exp_fix*i_exp_cap*D146+i_exp_var*D219</f>
        <v/>
      </c>
      <c r="E220" s="19">
        <f>E214*i_exp_fix*i_exp_cap*E146+i_exp_var*E219</f>
        <v/>
      </c>
      <c r="F220" s="19">
        <f>F214*i_exp_fix*i_exp_cap*F146+i_exp_var*F219</f>
        <v/>
      </c>
      <c r="G220" s="19">
        <f>G214*i_exp_fix*i_exp_cap*G146+i_exp_var*G219</f>
        <v/>
      </c>
      <c r="H220" s="19">
        <f>H214*i_exp_fix*i_exp_cap*H146+i_exp_var*H219</f>
        <v/>
      </c>
      <c r="I220" s="19">
        <f>I214*i_exp_fix*i_exp_cap*I146+i_exp_var*I219</f>
        <v/>
      </c>
      <c r="J220" s="19">
        <f>J214*i_exp_fix*i_exp_cap*J146+i_exp_var*J219</f>
        <v/>
      </c>
      <c r="K220" s="19">
        <f>K214*i_exp_fix*i_exp_cap*K146+i_exp_var*K219</f>
        <v/>
      </c>
      <c r="L220" s="19">
        <f>L214*i_exp_fix*i_exp_cap*L146+i_exp_var*L219</f>
        <v/>
      </c>
      <c r="M220" s="19">
        <f>M214*i_exp_fix*i_exp_cap*M146+i_exp_var*M219</f>
        <v/>
      </c>
      <c r="N220" s="19">
        <f>N214*i_exp_fix*i_exp_cap*N146+i_exp_var*N219</f>
        <v/>
      </c>
      <c r="O220" s="19">
        <f>O214*i_exp_fix*i_exp_cap*O146+i_exp_var*O219</f>
        <v/>
      </c>
      <c r="P220" s="19">
        <f>P214*i_exp_fix*i_exp_cap*P146+i_exp_var*P219</f>
        <v/>
      </c>
      <c r="Q220" s="19">
        <f>Q214*i_exp_fix*i_exp_cap*Q146+i_exp_var*Q219</f>
        <v/>
      </c>
      <c r="R220" s="19">
        <f>R214*i_exp_fix*i_exp_cap*R146+i_exp_var*R219</f>
        <v/>
      </c>
      <c r="S220" s="19">
        <f>S214*i_exp_fix*i_exp_cap*S146+i_exp_var*S219</f>
        <v/>
      </c>
      <c r="T220" s="19">
        <f>T214*i_exp_fix*i_exp_cap*T146+i_exp_var*T219</f>
        <v/>
      </c>
      <c r="U220" s="19">
        <f>U214*i_exp_fix*i_exp_cap*U146+i_exp_var*U219</f>
        <v/>
      </c>
      <c r="V220" s="19">
        <f>V214*i_exp_fix*i_exp_cap*V146+i_exp_var*V219</f>
        <v/>
      </c>
      <c r="W220" s="19">
        <f>W214*i_exp_fix*i_exp_cap*W146+i_exp_var*W219</f>
        <v/>
      </c>
      <c r="X220" s="19">
        <f>X214*i_exp_fix*i_exp_cap*X146+i_exp_var*X219</f>
        <v/>
      </c>
      <c r="Y220" s="19">
        <f>Y214*i_exp_fix*i_exp_cap*Y146+i_exp_var*Y219</f>
        <v/>
      </c>
      <c r="Z220" s="19">
        <f>Z214*i_exp_fix*i_exp_cap*Z146+i_exp_var*Z219</f>
        <v/>
      </c>
      <c r="AA220" s="19">
        <f>AA214*i_exp_fix*i_exp_cap*AA146+i_exp_var*AA219</f>
        <v/>
      </c>
      <c r="AB220" s="19">
        <f>AB214*i_exp_fix*i_exp_cap*AB146+i_exp_var*AB219</f>
        <v/>
      </c>
      <c r="AC220" s="19">
        <f>AC214*i_exp_fix*i_exp_cap*AC146+i_exp_var*AC219</f>
        <v/>
      </c>
      <c r="AD220" s="19">
        <f>AD214*i_exp_fix*i_exp_cap*AD146+i_exp_var*AD219</f>
        <v/>
      </c>
      <c r="AE220" s="19">
        <f>AE214*i_exp_fix*i_exp_cap*AE146+i_exp_var*AE219</f>
        <v/>
      </c>
      <c r="AF220" s="19">
        <f>AF214*i_exp_fix*i_exp_cap*AF146+i_exp_var*AF219</f>
        <v/>
      </c>
      <c r="AG220" s="19">
        <f>AG214*i_exp_fix*i_exp_cap*AG146+i_exp_var*AG219</f>
        <v/>
      </c>
      <c r="AH220" s="19">
        <f>AH214*i_exp_fix*i_exp_cap*AH146+i_exp_var*AH219</f>
        <v/>
      </c>
      <c r="AI220" s="19">
        <f>AI214*i_exp_fix*i_exp_cap*AI146+i_exp_var*AI219</f>
        <v/>
      </c>
    </row>
    <row r="221">
      <c r="B221" s="3" t="inlineStr">
        <is>
          <t xml:space="preserve">  EBITDA</t>
        </is>
      </c>
      <c r="D221" s="31">
        <f>D219-D220</f>
        <v/>
      </c>
      <c r="E221" s="31">
        <f>E219-E220</f>
        <v/>
      </c>
      <c r="F221" s="31">
        <f>F219-F220</f>
        <v/>
      </c>
      <c r="G221" s="31">
        <f>G219-G220</f>
        <v/>
      </c>
      <c r="H221" s="31">
        <f>H219-H220</f>
        <v/>
      </c>
      <c r="I221" s="31">
        <f>I219-I220</f>
        <v/>
      </c>
      <c r="J221" s="31">
        <f>J219-J220</f>
        <v/>
      </c>
      <c r="K221" s="31">
        <f>K219-K220</f>
        <v/>
      </c>
      <c r="L221" s="31">
        <f>L219-L220</f>
        <v/>
      </c>
      <c r="M221" s="31">
        <f>M219-M220</f>
        <v/>
      </c>
      <c r="N221" s="31">
        <f>N219-N220</f>
        <v/>
      </c>
      <c r="O221" s="31">
        <f>O219-O220</f>
        <v/>
      </c>
      <c r="P221" s="31">
        <f>P219-P220</f>
        <v/>
      </c>
      <c r="Q221" s="31">
        <f>Q219-Q220</f>
        <v/>
      </c>
      <c r="R221" s="31">
        <f>R219-R220</f>
        <v/>
      </c>
      <c r="S221" s="31">
        <f>S219-S220</f>
        <v/>
      </c>
      <c r="T221" s="31">
        <f>T219-T220</f>
        <v/>
      </c>
      <c r="U221" s="31">
        <f>U219-U220</f>
        <v/>
      </c>
      <c r="V221" s="31">
        <f>V219-V220</f>
        <v/>
      </c>
      <c r="W221" s="31">
        <f>W219-W220</f>
        <v/>
      </c>
      <c r="X221" s="31">
        <f>X219-X220</f>
        <v/>
      </c>
      <c r="Y221" s="31">
        <f>Y219-Y220</f>
        <v/>
      </c>
      <c r="Z221" s="31">
        <f>Z219-Z220</f>
        <v/>
      </c>
      <c r="AA221" s="31">
        <f>AA219-AA220</f>
        <v/>
      </c>
      <c r="AB221" s="31">
        <f>AB219-AB220</f>
        <v/>
      </c>
      <c r="AC221" s="31">
        <f>AC219-AC220</f>
        <v/>
      </c>
      <c r="AD221" s="31">
        <f>AD219-AD220</f>
        <v/>
      </c>
      <c r="AE221" s="31">
        <f>AE219-AE220</f>
        <v/>
      </c>
      <c r="AF221" s="31">
        <f>AF219-AF220</f>
        <v/>
      </c>
      <c r="AG221" s="31">
        <f>AG219-AG220</f>
        <v/>
      </c>
      <c r="AH221" s="31">
        <f>AH219-AH220</f>
        <v/>
      </c>
      <c r="AI221" s="31">
        <f>AI219-AI220</f>
        <v/>
      </c>
    </row>
    <row r="222">
      <c r="B222" s="2" t="inlineStr">
        <is>
          <t xml:space="preserve">  Maintenance capex</t>
        </is>
      </c>
      <c r="D222" s="19">
        <f>D214*i_exp_mc*i_exp_cap*D146</f>
        <v/>
      </c>
      <c r="E222" s="19">
        <f>E214*i_exp_mc*i_exp_cap*E146</f>
        <v/>
      </c>
      <c r="F222" s="19">
        <f>F214*i_exp_mc*i_exp_cap*F146</f>
        <v/>
      </c>
      <c r="G222" s="19">
        <f>G214*i_exp_mc*i_exp_cap*G146</f>
        <v/>
      </c>
      <c r="H222" s="19">
        <f>H214*i_exp_mc*i_exp_cap*H146</f>
        <v/>
      </c>
      <c r="I222" s="19">
        <f>I214*i_exp_mc*i_exp_cap*I146</f>
        <v/>
      </c>
      <c r="J222" s="19">
        <f>J214*i_exp_mc*i_exp_cap*J146</f>
        <v/>
      </c>
      <c r="K222" s="19">
        <f>K214*i_exp_mc*i_exp_cap*K146</f>
        <v/>
      </c>
      <c r="L222" s="19">
        <f>L214*i_exp_mc*i_exp_cap*L146</f>
        <v/>
      </c>
      <c r="M222" s="19">
        <f>M214*i_exp_mc*i_exp_cap*M146</f>
        <v/>
      </c>
      <c r="N222" s="19">
        <f>N214*i_exp_mc*i_exp_cap*N146</f>
        <v/>
      </c>
      <c r="O222" s="19">
        <f>O214*i_exp_mc*i_exp_cap*O146</f>
        <v/>
      </c>
      <c r="P222" s="19">
        <f>P214*i_exp_mc*i_exp_cap*P146</f>
        <v/>
      </c>
      <c r="Q222" s="19">
        <f>Q214*i_exp_mc*i_exp_cap*Q146</f>
        <v/>
      </c>
      <c r="R222" s="19">
        <f>R214*i_exp_mc*i_exp_cap*R146</f>
        <v/>
      </c>
      <c r="S222" s="19">
        <f>S214*i_exp_mc*i_exp_cap*S146</f>
        <v/>
      </c>
      <c r="T222" s="19">
        <f>T214*i_exp_mc*i_exp_cap*T146</f>
        <v/>
      </c>
      <c r="U222" s="19">
        <f>U214*i_exp_mc*i_exp_cap*U146</f>
        <v/>
      </c>
      <c r="V222" s="19">
        <f>V214*i_exp_mc*i_exp_cap*V146</f>
        <v/>
      </c>
      <c r="W222" s="19">
        <f>W214*i_exp_mc*i_exp_cap*W146</f>
        <v/>
      </c>
      <c r="X222" s="19">
        <f>X214*i_exp_mc*i_exp_cap*X146</f>
        <v/>
      </c>
      <c r="Y222" s="19">
        <f>Y214*i_exp_mc*i_exp_cap*Y146</f>
        <v/>
      </c>
      <c r="Z222" s="19">
        <f>Z214*i_exp_mc*i_exp_cap*Z146</f>
        <v/>
      </c>
      <c r="AA222" s="19">
        <f>AA214*i_exp_mc*i_exp_cap*AA146</f>
        <v/>
      </c>
      <c r="AB222" s="19">
        <f>AB214*i_exp_mc*i_exp_cap*AB146</f>
        <v/>
      </c>
      <c r="AC222" s="19">
        <f>AC214*i_exp_mc*i_exp_cap*AC146</f>
        <v/>
      </c>
      <c r="AD222" s="19">
        <f>AD214*i_exp_mc*i_exp_cap*AD146</f>
        <v/>
      </c>
      <c r="AE222" s="19">
        <f>AE214*i_exp_mc*i_exp_cap*AE146</f>
        <v/>
      </c>
      <c r="AF222" s="19">
        <f>AF214*i_exp_mc*i_exp_cap*AF146</f>
        <v/>
      </c>
      <c r="AG222" s="19">
        <f>AG214*i_exp_mc*i_exp_cap*AG146</f>
        <v/>
      </c>
      <c r="AH222" s="19">
        <f>AH214*i_exp_mc*i_exp_cap*AH146</f>
        <v/>
      </c>
      <c r="AI222" s="19">
        <f>AI214*i_exp_mc*i_exp_cap*AI146</f>
        <v/>
      </c>
    </row>
    <row r="224">
      <c r="B224" s="5" t="inlineStr">
        <is>
          <t>Consolidated</t>
        </is>
      </c>
    </row>
    <row r="225">
      <c r="B225" s="2" t="inlineStr">
        <is>
          <t>Revenue</t>
        </is>
      </c>
      <c r="D225" s="19">
        <f>D159+D175+D190+D205+D219</f>
        <v/>
      </c>
      <c r="E225" s="19">
        <f>E159+E175+E190+E205+E219</f>
        <v/>
      </c>
      <c r="F225" s="19">
        <f>F159+F175+F190+F205+F219</f>
        <v/>
      </c>
      <c r="G225" s="19">
        <f>G159+G175+G190+G205+G219</f>
        <v/>
      </c>
      <c r="H225" s="19">
        <f>H159+H175+H190+H205+H219</f>
        <v/>
      </c>
      <c r="I225" s="19">
        <f>I159+I175+I190+I205+I219</f>
        <v/>
      </c>
      <c r="J225" s="19">
        <f>J159+J175+J190+J205+J219</f>
        <v/>
      </c>
      <c r="K225" s="19">
        <f>K159+K175+K190+K205+K219</f>
        <v/>
      </c>
      <c r="L225" s="19">
        <f>L159+L175+L190+L205+L219</f>
        <v/>
      </c>
      <c r="M225" s="19">
        <f>M159+M175+M190+M205+M219</f>
        <v/>
      </c>
      <c r="N225" s="19">
        <f>N159+N175+N190+N205+N219</f>
        <v/>
      </c>
      <c r="O225" s="19">
        <f>O159+O175+O190+O205+O219</f>
        <v/>
      </c>
      <c r="P225" s="19">
        <f>P159+P175+P190+P205+P219</f>
        <v/>
      </c>
      <c r="Q225" s="19">
        <f>Q159+Q175+Q190+Q205+Q219</f>
        <v/>
      </c>
      <c r="R225" s="19">
        <f>R159+R175+R190+R205+R219</f>
        <v/>
      </c>
      <c r="S225" s="19">
        <f>S159+S175+S190+S205+S219</f>
        <v/>
      </c>
      <c r="T225" s="19">
        <f>T159+T175+T190+T205+T219</f>
        <v/>
      </c>
      <c r="U225" s="19">
        <f>U159+U175+U190+U205+U219</f>
        <v/>
      </c>
      <c r="V225" s="19">
        <f>V159+V175+V190+V205+V219</f>
        <v/>
      </c>
      <c r="W225" s="19">
        <f>W159+W175+W190+W205+W219</f>
        <v/>
      </c>
      <c r="X225" s="19">
        <f>X159+X175+X190+X205+X219</f>
        <v/>
      </c>
      <c r="Y225" s="19">
        <f>Y159+Y175+Y190+Y205+Y219</f>
        <v/>
      </c>
      <c r="Z225" s="19">
        <f>Z159+Z175+Z190+Z205+Z219</f>
        <v/>
      </c>
      <c r="AA225" s="19">
        <f>AA159+AA175+AA190+AA205+AA219</f>
        <v/>
      </c>
      <c r="AB225" s="19">
        <f>AB159+AB175+AB190+AB205+AB219</f>
        <v/>
      </c>
      <c r="AC225" s="19">
        <f>AC159+AC175+AC190+AC205+AC219</f>
        <v/>
      </c>
      <c r="AD225" s="19">
        <f>AD159+AD175+AD190+AD205+AD219</f>
        <v/>
      </c>
      <c r="AE225" s="19">
        <f>AE159+AE175+AE190+AE205+AE219</f>
        <v/>
      </c>
      <c r="AF225" s="19">
        <f>AF159+AF175+AF190+AF205+AF219</f>
        <v/>
      </c>
      <c r="AG225" s="19">
        <f>AG159+AG175+AG190+AG205+AG219</f>
        <v/>
      </c>
      <c r="AH225" s="19">
        <f>AH159+AH175+AH190+AH205+AH219</f>
        <v/>
      </c>
      <c r="AI225" s="19">
        <f>AI159+AI175+AI190+AI205+AI219</f>
        <v/>
      </c>
    </row>
    <row r="226">
      <c r="B226" s="2" t="inlineStr">
        <is>
          <t>Business unit EBITDA (with the expansion)</t>
        </is>
      </c>
      <c r="D226" s="19">
        <f>D164+D179+D194+D210+D221</f>
        <v/>
      </c>
      <c r="E226" s="19">
        <f>E164+E179+E194+E210+E221</f>
        <v/>
      </c>
      <c r="F226" s="19">
        <f>F164+F179+F194+F210+F221</f>
        <v/>
      </c>
      <c r="G226" s="19">
        <f>G164+G179+G194+G210+G221</f>
        <v/>
      </c>
      <c r="H226" s="19">
        <f>H164+H179+H194+H210+H221</f>
        <v/>
      </c>
      <c r="I226" s="19">
        <f>I164+I179+I194+I210+I221</f>
        <v/>
      </c>
      <c r="J226" s="19">
        <f>J164+J179+J194+J210+J221</f>
        <v/>
      </c>
      <c r="K226" s="19">
        <f>K164+K179+K194+K210+K221</f>
        <v/>
      </c>
      <c r="L226" s="19">
        <f>L164+L179+L194+L210+L221</f>
        <v/>
      </c>
      <c r="M226" s="19">
        <f>M164+M179+M194+M210+M221</f>
        <v/>
      </c>
      <c r="N226" s="19">
        <f>N164+N179+N194+N210+N221</f>
        <v/>
      </c>
      <c r="O226" s="19">
        <f>O164+O179+O194+O210+O221</f>
        <v/>
      </c>
      <c r="P226" s="19">
        <f>P164+P179+P194+P210+P221</f>
        <v/>
      </c>
      <c r="Q226" s="19">
        <f>Q164+Q179+Q194+Q210+Q221</f>
        <v/>
      </c>
      <c r="R226" s="19">
        <f>R164+R179+R194+R210+R221</f>
        <v/>
      </c>
      <c r="S226" s="19">
        <f>S164+S179+S194+S210+S221</f>
        <v/>
      </c>
      <c r="T226" s="19">
        <f>T164+T179+T194+T210+T221</f>
        <v/>
      </c>
      <c r="U226" s="19">
        <f>U164+U179+U194+U210+U221</f>
        <v/>
      </c>
      <c r="V226" s="19">
        <f>V164+V179+V194+V210+V221</f>
        <v/>
      </c>
      <c r="W226" s="19">
        <f>W164+W179+W194+W210+W221</f>
        <v/>
      </c>
      <c r="X226" s="19">
        <f>X164+X179+X194+X210+X221</f>
        <v/>
      </c>
      <c r="Y226" s="19">
        <f>Y164+Y179+Y194+Y210+Y221</f>
        <v/>
      </c>
      <c r="Z226" s="19">
        <f>Z164+Z179+Z194+Z210+Z221</f>
        <v/>
      </c>
      <c r="AA226" s="19">
        <f>AA164+AA179+AA194+AA210+AA221</f>
        <v/>
      </c>
      <c r="AB226" s="19">
        <f>AB164+AB179+AB194+AB210+AB221</f>
        <v/>
      </c>
      <c r="AC226" s="19">
        <f>AC164+AC179+AC194+AC210+AC221</f>
        <v/>
      </c>
      <c r="AD226" s="19">
        <f>AD164+AD179+AD194+AD210+AD221</f>
        <v/>
      </c>
      <c r="AE226" s="19">
        <f>AE164+AE179+AE194+AE210+AE221</f>
        <v/>
      </c>
      <c r="AF226" s="19">
        <f>AF164+AF179+AF194+AF210+AF221</f>
        <v/>
      </c>
      <c r="AG226" s="19">
        <f>AG164+AG179+AG194+AG210+AG221</f>
        <v/>
      </c>
      <c r="AH226" s="19">
        <f>AH164+AH179+AH194+AH210+AH221</f>
        <v/>
      </c>
      <c r="AI226" s="19">
        <f>AI164+AI179+AI194+AI210+AI221</f>
        <v/>
      </c>
    </row>
    <row r="227">
      <c r="B227" s="2" t="inlineStr">
        <is>
          <t>Corporate costs</t>
        </is>
      </c>
      <c r="D227" s="19">
        <f>i_corp*D146*IF(OR(Sensitivities!$C$143=1,D$3&lt;=i_conc_end),1,i_corp_after_w)+IF(D$3&gt;=i_mitig_start,Sensitivities!$C$145*D146,0)</f>
        <v/>
      </c>
      <c r="E227" s="19">
        <f>i_corp*E146*IF(OR(Sensitivities!$C$143=1,E$3&lt;=i_conc_end),1,i_corp_after_w)+IF(E$3&gt;=i_mitig_start,Sensitivities!$C$145*E146,0)</f>
        <v/>
      </c>
      <c r="F227" s="19">
        <f>i_corp*F146*IF(OR(Sensitivities!$C$143=1,F$3&lt;=i_conc_end),1,i_corp_after_w)+IF(F$3&gt;=i_mitig_start,Sensitivities!$C$145*F146,0)</f>
        <v/>
      </c>
      <c r="G227" s="19">
        <f>i_corp*G146*IF(OR(Sensitivities!$C$143=1,G$3&lt;=i_conc_end),1,i_corp_after_w)+IF(G$3&gt;=i_mitig_start,Sensitivities!$C$145*G146,0)</f>
        <v/>
      </c>
      <c r="H227" s="19">
        <f>i_corp*H146*IF(OR(Sensitivities!$C$143=1,H$3&lt;=i_conc_end),1,i_corp_after_w)+IF(H$3&gt;=i_mitig_start,Sensitivities!$C$145*H146,0)</f>
        <v/>
      </c>
      <c r="I227" s="19">
        <f>i_corp*I146*IF(OR(Sensitivities!$C$143=1,I$3&lt;=i_conc_end),1,i_corp_after_w)+IF(I$3&gt;=i_mitig_start,Sensitivities!$C$145*I146,0)</f>
        <v/>
      </c>
      <c r="J227" s="19">
        <f>i_corp*J146*IF(OR(Sensitivities!$C$143=1,J$3&lt;=i_conc_end),1,i_corp_after_w)+IF(J$3&gt;=i_mitig_start,Sensitivities!$C$145*J146,0)</f>
        <v/>
      </c>
      <c r="K227" s="19">
        <f>i_corp*K146*IF(OR(Sensitivities!$C$143=1,K$3&lt;=i_conc_end),1,i_corp_after_w)+IF(K$3&gt;=i_mitig_start,Sensitivities!$C$145*K146,0)</f>
        <v/>
      </c>
      <c r="L227" s="19">
        <f>i_corp*L146*IF(OR(Sensitivities!$C$143=1,L$3&lt;=i_conc_end),1,i_corp_after_w)+IF(L$3&gt;=i_mitig_start,Sensitivities!$C$145*L146,0)</f>
        <v/>
      </c>
      <c r="M227" s="19">
        <f>i_corp*M146*IF(OR(Sensitivities!$C$143=1,M$3&lt;=i_conc_end),1,i_corp_after_w)+IF(M$3&gt;=i_mitig_start,Sensitivities!$C$145*M146,0)</f>
        <v/>
      </c>
      <c r="N227" s="19">
        <f>i_corp*N146*IF(OR(Sensitivities!$C$143=1,N$3&lt;=i_conc_end),1,i_corp_after_w)+IF(N$3&gt;=i_mitig_start,Sensitivities!$C$145*N146,0)</f>
        <v/>
      </c>
      <c r="O227" s="19">
        <f>i_corp*O146*IF(OR(Sensitivities!$C$143=1,O$3&lt;=i_conc_end),1,i_corp_after_w)+IF(O$3&gt;=i_mitig_start,Sensitivities!$C$145*O146,0)</f>
        <v/>
      </c>
      <c r="P227" s="19">
        <f>i_corp*P146*IF(OR(Sensitivities!$C$143=1,P$3&lt;=i_conc_end),1,i_corp_after_w)+IF(P$3&gt;=i_mitig_start,Sensitivities!$C$145*P146,0)</f>
        <v/>
      </c>
      <c r="Q227" s="19">
        <f>i_corp*Q146*IF(OR(Sensitivities!$C$143=1,Q$3&lt;=i_conc_end),1,i_corp_after_w)+IF(Q$3&gt;=i_mitig_start,Sensitivities!$C$145*Q146,0)</f>
        <v/>
      </c>
      <c r="R227" s="19">
        <f>i_corp*R146*IF(OR(Sensitivities!$C$143=1,R$3&lt;=i_conc_end),1,i_corp_after_w)+IF(R$3&gt;=i_mitig_start,Sensitivities!$C$145*R146,0)</f>
        <v/>
      </c>
      <c r="S227" s="19">
        <f>i_corp*S146*IF(OR(Sensitivities!$C$143=1,S$3&lt;=i_conc_end),1,i_corp_after_w)+IF(S$3&gt;=i_mitig_start,Sensitivities!$C$145*S146,0)</f>
        <v/>
      </c>
      <c r="T227" s="19">
        <f>i_corp*T146*IF(OR(Sensitivities!$C$143=1,T$3&lt;=i_conc_end),1,i_corp_after_w)+IF(T$3&gt;=i_mitig_start,Sensitivities!$C$145*T146,0)</f>
        <v/>
      </c>
      <c r="U227" s="19">
        <f>i_corp*U146*IF(OR(Sensitivities!$C$143=1,U$3&lt;=i_conc_end),1,i_corp_after_w)+IF(U$3&gt;=i_mitig_start,Sensitivities!$C$145*U146,0)</f>
        <v/>
      </c>
      <c r="V227" s="19">
        <f>i_corp*V146*IF(OR(Sensitivities!$C$143=1,V$3&lt;=i_conc_end),1,i_corp_after_w)+IF(V$3&gt;=i_mitig_start,Sensitivities!$C$145*V146,0)</f>
        <v/>
      </c>
      <c r="W227" s="19">
        <f>i_corp*W146*IF(OR(Sensitivities!$C$143=1,W$3&lt;=i_conc_end),1,i_corp_after_w)+IF(W$3&gt;=i_mitig_start,Sensitivities!$C$145*W146,0)</f>
        <v/>
      </c>
      <c r="X227" s="19">
        <f>i_corp*X146*IF(OR(Sensitivities!$C$143=1,X$3&lt;=i_conc_end),1,i_corp_after_w)+IF(X$3&gt;=i_mitig_start,Sensitivities!$C$145*X146,0)</f>
        <v/>
      </c>
      <c r="Y227" s="19">
        <f>i_corp*Y146*IF(OR(Sensitivities!$C$143=1,Y$3&lt;=i_conc_end),1,i_corp_after_w)+IF(Y$3&gt;=i_mitig_start,Sensitivities!$C$145*Y146,0)</f>
        <v/>
      </c>
      <c r="Z227" s="19">
        <f>i_corp*Z146*IF(OR(Sensitivities!$C$143=1,Z$3&lt;=i_conc_end),1,i_corp_after_w)+IF(Z$3&gt;=i_mitig_start,Sensitivities!$C$145*Z146,0)</f>
        <v/>
      </c>
      <c r="AA227" s="19">
        <f>i_corp*AA146*IF(OR(Sensitivities!$C$143=1,AA$3&lt;=i_conc_end),1,i_corp_after_w)+IF(AA$3&gt;=i_mitig_start,Sensitivities!$C$145*AA146,0)</f>
        <v/>
      </c>
      <c r="AB227" s="19">
        <f>i_corp*AB146*IF(OR(Sensitivities!$C$143=1,AB$3&lt;=i_conc_end),1,i_corp_after_w)+IF(AB$3&gt;=i_mitig_start,Sensitivities!$C$145*AB146,0)</f>
        <v/>
      </c>
      <c r="AC227" s="19">
        <f>i_corp*AC146*IF(OR(Sensitivities!$C$143=1,AC$3&lt;=i_conc_end),1,i_corp_after_w)+IF(AC$3&gt;=i_mitig_start,Sensitivities!$C$145*AC146,0)</f>
        <v/>
      </c>
      <c r="AD227" s="19">
        <f>i_corp*AD146*IF(OR(Sensitivities!$C$143=1,AD$3&lt;=i_conc_end),1,i_corp_after_w)+IF(AD$3&gt;=i_mitig_start,Sensitivities!$C$145*AD146,0)</f>
        <v/>
      </c>
      <c r="AE227" s="19">
        <f>i_corp*AE146*IF(OR(Sensitivities!$C$143=1,AE$3&lt;=i_conc_end),1,i_corp_after_w)+IF(AE$3&gt;=i_mitig_start,Sensitivities!$C$145*AE146,0)</f>
        <v/>
      </c>
      <c r="AF227" s="19">
        <f>i_corp*AF146*IF(OR(Sensitivities!$C$143=1,AF$3&lt;=i_conc_end),1,i_corp_after_w)+IF(AF$3&gt;=i_mitig_start,Sensitivities!$C$145*AF146,0)</f>
        <v/>
      </c>
      <c r="AG227" s="19">
        <f>i_corp*AG146*IF(OR(Sensitivities!$C$143=1,AG$3&lt;=i_conc_end),1,i_corp_after_w)+IF(AG$3&gt;=i_mitig_start,Sensitivities!$C$145*AG146,0)</f>
        <v/>
      </c>
      <c r="AH227" s="19">
        <f>i_corp*AH146*IF(OR(Sensitivities!$C$143=1,AH$3&lt;=i_conc_end),1,i_corp_after_w)+IF(AH$3&gt;=i_mitig_start,Sensitivities!$C$145*AH146,0)</f>
        <v/>
      </c>
      <c r="AI227" s="19">
        <f>i_corp*AI146*IF(OR(Sensitivities!$C$143=1,AI$3&lt;=i_conc_end),1,i_corp_after_w)+IF(AI$3&gt;=i_mitig_start,Sensitivities!$C$145*AI146,0)</f>
        <v/>
      </c>
    </row>
    <row r="228">
      <c r="B228" s="3" t="inlineStr">
        <is>
          <t>EBITDA</t>
        </is>
      </c>
      <c r="D228" s="31">
        <f>D226-D227</f>
        <v/>
      </c>
      <c r="E228" s="31">
        <f>E226-E227</f>
        <v/>
      </c>
      <c r="F228" s="31">
        <f>F226-F227</f>
        <v/>
      </c>
      <c r="G228" s="31">
        <f>G226-G227</f>
        <v/>
      </c>
      <c r="H228" s="31">
        <f>H226-H227</f>
        <v/>
      </c>
      <c r="I228" s="31">
        <f>I226-I227</f>
        <v/>
      </c>
      <c r="J228" s="31">
        <f>J226-J227</f>
        <v/>
      </c>
      <c r="K228" s="31">
        <f>K226-K227</f>
        <v/>
      </c>
      <c r="L228" s="31">
        <f>L226-L227</f>
        <v/>
      </c>
      <c r="M228" s="31">
        <f>M226-M227</f>
        <v/>
      </c>
      <c r="N228" s="31">
        <f>N226-N227</f>
        <v/>
      </c>
      <c r="O228" s="31">
        <f>O226-O227</f>
        <v/>
      </c>
      <c r="P228" s="31">
        <f>P226-P227</f>
        <v/>
      </c>
      <c r="Q228" s="31">
        <f>Q226-Q227</f>
        <v/>
      </c>
      <c r="R228" s="31">
        <f>R226-R227</f>
        <v/>
      </c>
      <c r="S228" s="31">
        <f>S226-S227</f>
        <v/>
      </c>
      <c r="T228" s="31">
        <f>T226-T227</f>
        <v/>
      </c>
      <c r="U228" s="31">
        <f>U226-U227</f>
        <v/>
      </c>
      <c r="V228" s="31">
        <f>V226-V227</f>
        <v/>
      </c>
      <c r="W228" s="31">
        <f>W226-W227</f>
        <v/>
      </c>
      <c r="X228" s="31">
        <f>X226-X227</f>
        <v/>
      </c>
      <c r="Y228" s="31">
        <f>Y226-Y227</f>
        <v/>
      </c>
      <c r="Z228" s="31">
        <f>Z226-Z227</f>
        <v/>
      </c>
      <c r="AA228" s="31">
        <f>AA226-AA227</f>
        <v/>
      </c>
      <c r="AB228" s="31">
        <f>AB226-AB227</f>
        <v/>
      </c>
      <c r="AC228" s="31">
        <f>AC226-AC227</f>
        <v/>
      </c>
      <c r="AD228" s="31">
        <f>AD226-AD227</f>
        <v/>
      </c>
      <c r="AE228" s="31">
        <f>AE226-AE227</f>
        <v/>
      </c>
      <c r="AF228" s="31">
        <f>AF226-AF227</f>
        <v/>
      </c>
      <c r="AG228" s="31">
        <f>AG226-AG227</f>
        <v/>
      </c>
      <c r="AH228" s="31">
        <f>AH226-AH227</f>
        <v/>
      </c>
      <c r="AI228" s="31">
        <f>AI226-AI227</f>
        <v/>
      </c>
    </row>
    <row r="229">
      <c r="B229" s="2" t="inlineStr">
        <is>
          <t>Maintenance capex</t>
        </is>
      </c>
      <c r="D229" s="19">
        <f>D165+D180+D195+D211+D222</f>
        <v/>
      </c>
      <c r="E229" s="19">
        <f>E165+E180+E195+E211+E222</f>
        <v/>
      </c>
      <c r="F229" s="19">
        <f>F165+F180+F195+F211+F222</f>
        <v/>
      </c>
      <c r="G229" s="19">
        <f>G165+G180+G195+G211+G222</f>
        <v/>
      </c>
      <c r="H229" s="19">
        <f>H165+H180+H195+H211+H222</f>
        <v/>
      </c>
      <c r="I229" s="19">
        <f>I165+I180+I195+I211+I222</f>
        <v/>
      </c>
      <c r="J229" s="19">
        <f>J165+J180+J195+J211+J222</f>
        <v/>
      </c>
      <c r="K229" s="19">
        <f>K165+K180+K195+K211+K222</f>
        <v/>
      </c>
      <c r="L229" s="19">
        <f>L165+L180+L195+L211+L222</f>
        <v/>
      </c>
      <c r="M229" s="19">
        <f>M165+M180+M195+M211+M222</f>
        <v/>
      </c>
      <c r="N229" s="19">
        <f>N165+N180+N195+N211+N222</f>
        <v/>
      </c>
      <c r="O229" s="19">
        <f>O165+O180+O195+O211+O222</f>
        <v/>
      </c>
      <c r="P229" s="19">
        <f>P165+P180+P195+P211+P222</f>
        <v/>
      </c>
      <c r="Q229" s="19">
        <f>Q165+Q180+Q195+Q211+Q222</f>
        <v/>
      </c>
      <c r="R229" s="19">
        <f>R165+R180+R195+R211+R222</f>
        <v/>
      </c>
      <c r="S229" s="19">
        <f>S165+S180+S195+S211+S222</f>
        <v/>
      </c>
      <c r="T229" s="19">
        <f>T165+T180+T195+T211+T222</f>
        <v/>
      </c>
      <c r="U229" s="19">
        <f>U165+U180+U195+U211+U222</f>
        <v/>
      </c>
      <c r="V229" s="19">
        <f>V165+V180+V195+V211+V222</f>
        <v/>
      </c>
      <c r="W229" s="19">
        <f>W165+W180+W195+W211+W222</f>
        <v/>
      </c>
      <c r="X229" s="19">
        <f>X165+X180+X195+X211+X222</f>
        <v/>
      </c>
      <c r="Y229" s="19">
        <f>Y165+Y180+Y195+Y211+Y222</f>
        <v/>
      </c>
      <c r="Z229" s="19">
        <f>Z165+Z180+Z195+Z211+Z222</f>
        <v/>
      </c>
      <c r="AA229" s="19">
        <f>AA165+AA180+AA195+AA211+AA222</f>
        <v/>
      </c>
      <c r="AB229" s="19">
        <f>AB165+AB180+AB195+AB211+AB222</f>
        <v/>
      </c>
      <c r="AC229" s="19">
        <f>AC165+AC180+AC195+AC211+AC222</f>
        <v/>
      </c>
      <c r="AD229" s="19">
        <f>AD165+AD180+AD195+AD211+AD222</f>
        <v/>
      </c>
      <c r="AE229" s="19">
        <f>AE165+AE180+AE195+AE211+AE222</f>
        <v/>
      </c>
      <c r="AF229" s="19">
        <f>AF165+AF180+AF195+AF211+AF222</f>
        <v/>
      </c>
      <c r="AG229" s="19">
        <f>AG165+AG180+AG195+AG211+AG222</f>
        <v/>
      </c>
      <c r="AH229" s="19">
        <f>AH165+AH180+AH195+AH211+AH222</f>
        <v/>
      </c>
      <c r="AI229" s="19">
        <f>AI165+AI180+AI195+AI211+AI222</f>
        <v/>
      </c>
    </row>
    <row r="230">
      <c r="B230" s="2" t="inlineStr">
        <is>
          <t>Growth capex</t>
        </is>
      </c>
      <c r="D230" s="19">
        <f>D213</f>
        <v/>
      </c>
      <c r="E230" s="19">
        <f>E213</f>
        <v/>
      </c>
      <c r="F230" s="19">
        <f>F213</f>
        <v/>
      </c>
      <c r="G230" s="19">
        <f>G213</f>
        <v/>
      </c>
      <c r="H230" s="19">
        <f>H213</f>
        <v/>
      </c>
      <c r="I230" s="19">
        <f>I213</f>
        <v/>
      </c>
      <c r="J230" s="19">
        <f>J213</f>
        <v/>
      </c>
      <c r="K230" s="19">
        <f>K213</f>
        <v/>
      </c>
      <c r="L230" s="19">
        <f>L213</f>
        <v/>
      </c>
      <c r="M230" s="19">
        <f>M213</f>
        <v/>
      </c>
      <c r="N230" s="19">
        <f>N213</f>
        <v/>
      </c>
      <c r="O230" s="19">
        <f>O213</f>
        <v/>
      </c>
      <c r="P230" s="19">
        <f>P213</f>
        <v/>
      </c>
      <c r="Q230" s="19">
        <f>Q213</f>
        <v/>
      </c>
      <c r="R230" s="19">
        <f>R213</f>
        <v/>
      </c>
      <c r="S230" s="19">
        <f>S213</f>
        <v/>
      </c>
      <c r="T230" s="19">
        <f>T213</f>
        <v/>
      </c>
      <c r="U230" s="19">
        <f>U213</f>
        <v/>
      </c>
      <c r="V230" s="19">
        <f>V213</f>
        <v/>
      </c>
      <c r="W230" s="19">
        <f>W213</f>
        <v/>
      </c>
      <c r="X230" s="19">
        <f>X213</f>
        <v/>
      </c>
      <c r="Y230" s="19">
        <f>Y213</f>
        <v/>
      </c>
      <c r="Z230" s="19">
        <f>Z213</f>
        <v/>
      </c>
      <c r="AA230" s="19">
        <f>AA213</f>
        <v/>
      </c>
      <c r="AB230" s="19">
        <f>AB213</f>
        <v/>
      </c>
      <c r="AC230" s="19">
        <f>AC213</f>
        <v/>
      </c>
      <c r="AD230" s="19">
        <f>AD213</f>
        <v/>
      </c>
      <c r="AE230" s="19">
        <f>AE213</f>
        <v/>
      </c>
      <c r="AF230" s="19">
        <f>AF213</f>
        <v/>
      </c>
      <c r="AG230" s="19">
        <f>AG213</f>
        <v/>
      </c>
      <c r="AH230" s="19">
        <f>AH213</f>
        <v/>
      </c>
      <c r="AI230" s="19">
        <f>AI213</f>
        <v/>
      </c>
    </row>
    <row r="231">
      <c r="B231" s="2" t="inlineStr">
        <is>
          <t>Tax depreciation</t>
        </is>
      </c>
      <c r="D231" s="19">
        <f>D229+IF(D$3&lt;=i_tax_dep_end,i_tax_dep_extra,0)</f>
        <v/>
      </c>
      <c r="E231" s="19">
        <f>E229+IF(E$3&lt;=i_tax_dep_end,i_tax_dep_extra,0)</f>
        <v/>
      </c>
      <c r="F231" s="19">
        <f>F229+IF(F$3&lt;=i_tax_dep_end,i_tax_dep_extra,0)</f>
        <v/>
      </c>
      <c r="G231" s="19">
        <f>G229+IF(G$3&lt;=i_tax_dep_end,i_tax_dep_extra,0)</f>
        <v/>
      </c>
      <c r="H231" s="19">
        <f>H229+IF(H$3&lt;=i_tax_dep_end,i_tax_dep_extra,0)</f>
        <v/>
      </c>
      <c r="I231" s="19">
        <f>I229+IF(I$3&lt;=i_tax_dep_end,i_tax_dep_extra,0)</f>
        <v/>
      </c>
      <c r="J231" s="19">
        <f>J229+IF(J$3&lt;=i_tax_dep_end,i_tax_dep_extra,0)</f>
        <v/>
      </c>
      <c r="K231" s="19">
        <f>K229+IF(K$3&lt;=i_tax_dep_end,i_tax_dep_extra,0)</f>
        <v/>
      </c>
      <c r="L231" s="19">
        <f>L229+IF(L$3&lt;=i_tax_dep_end,i_tax_dep_extra,0)</f>
        <v/>
      </c>
      <c r="M231" s="19">
        <f>M229+IF(M$3&lt;=i_tax_dep_end,i_tax_dep_extra,0)</f>
        <v/>
      </c>
      <c r="N231" s="19">
        <f>N229+IF(N$3&lt;=i_tax_dep_end,i_tax_dep_extra,0)</f>
        <v/>
      </c>
      <c r="O231" s="19">
        <f>O229+IF(O$3&lt;=i_tax_dep_end,i_tax_dep_extra,0)</f>
        <v/>
      </c>
      <c r="P231" s="19">
        <f>P229+IF(P$3&lt;=i_tax_dep_end,i_tax_dep_extra,0)</f>
        <v/>
      </c>
      <c r="Q231" s="19">
        <f>Q229+IF(Q$3&lt;=i_tax_dep_end,i_tax_dep_extra,0)</f>
        <v/>
      </c>
      <c r="R231" s="19">
        <f>R229+IF(R$3&lt;=i_tax_dep_end,i_tax_dep_extra,0)</f>
        <v/>
      </c>
      <c r="S231" s="19">
        <f>S229+IF(S$3&lt;=i_tax_dep_end,i_tax_dep_extra,0)</f>
        <v/>
      </c>
      <c r="T231" s="19">
        <f>T229+IF(T$3&lt;=i_tax_dep_end,i_tax_dep_extra,0)</f>
        <v/>
      </c>
      <c r="U231" s="19">
        <f>U229+IF(U$3&lt;=i_tax_dep_end,i_tax_dep_extra,0)</f>
        <v/>
      </c>
      <c r="V231" s="19">
        <f>V229+IF(V$3&lt;=i_tax_dep_end,i_tax_dep_extra,0)</f>
        <v/>
      </c>
      <c r="W231" s="19">
        <f>W229+IF(W$3&lt;=i_tax_dep_end,i_tax_dep_extra,0)</f>
        <v/>
      </c>
      <c r="X231" s="19">
        <f>X229+IF(X$3&lt;=i_tax_dep_end,i_tax_dep_extra,0)</f>
        <v/>
      </c>
      <c r="Y231" s="19">
        <f>Y229+IF(Y$3&lt;=i_tax_dep_end,i_tax_dep_extra,0)</f>
        <v/>
      </c>
      <c r="Z231" s="19">
        <f>Z229+IF(Z$3&lt;=i_tax_dep_end,i_tax_dep_extra,0)</f>
        <v/>
      </c>
      <c r="AA231" s="19">
        <f>AA229+IF(AA$3&lt;=i_tax_dep_end,i_tax_dep_extra,0)</f>
        <v/>
      </c>
      <c r="AB231" s="19">
        <f>AB229+IF(AB$3&lt;=i_tax_dep_end,i_tax_dep_extra,0)</f>
        <v/>
      </c>
      <c r="AC231" s="19">
        <f>AC229+IF(AC$3&lt;=i_tax_dep_end,i_tax_dep_extra,0)</f>
        <v/>
      </c>
      <c r="AD231" s="19">
        <f>AD229+IF(AD$3&lt;=i_tax_dep_end,i_tax_dep_extra,0)</f>
        <v/>
      </c>
      <c r="AE231" s="19">
        <f>AE229+IF(AE$3&lt;=i_tax_dep_end,i_tax_dep_extra,0)</f>
        <v/>
      </c>
      <c r="AF231" s="19">
        <f>AF229+IF(AF$3&lt;=i_tax_dep_end,i_tax_dep_extra,0)</f>
        <v/>
      </c>
      <c r="AG231" s="19">
        <f>AG229+IF(AG$3&lt;=i_tax_dep_end,i_tax_dep_extra,0)</f>
        <v/>
      </c>
      <c r="AH231" s="19">
        <f>AH229+IF(AH$3&lt;=i_tax_dep_end,i_tax_dep_extra,0)</f>
        <v/>
      </c>
      <c r="AI231" s="19">
        <f>AI229+IF(AI$3&lt;=i_tax_dep_end,i_tax_dep_extra,0)</f>
        <v/>
      </c>
    </row>
    <row r="232">
      <c r="B232" s="2" t="inlineStr">
        <is>
          <t>Unlevered cash tax</t>
        </is>
      </c>
      <c r="D232" s="19">
        <f>i_tax*MAX(0,D228-D231)</f>
        <v/>
      </c>
      <c r="E232" s="19">
        <f>i_tax*MAX(0,E228-E231)</f>
        <v/>
      </c>
      <c r="F232" s="19">
        <f>i_tax*MAX(0,F228-F231)</f>
        <v/>
      </c>
      <c r="G232" s="19">
        <f>i_tax*MAX(0,G228-G231)</f>
        <v/>
      </c>
      <c r="H232" s="19">
        <f>i_tax*MAX(0,H228-H231)</f>
        <v/>
      </c>
      <c r="I232" s="19">
        <f>i_tax*MAX(0,I228-I231)</f>
        <v/>
      </c>
      <c r="J232" s="19">
        <f>i_tax*MAX(0,J228-J231)</f>
        <v/>
      </c>
      <c r="K232" s="19">
        <f>i_tax*MAX(0,K228-K231)</f>
        <v/>
      </c>
      <c r="L232" s="19">
        <f>i_tax*MAX(0,L228-L231)</f>
        <v/>
      </c>
      <c r="M232" s="19">
        <f>i_tax*MAX(0,M228-M231)</f>
        <v/>
      </c>
      <c r="N232" s="19">
        <f>i_tax*MAX(0,N228-N231)</f>
        <v/>
      </c>
      <c r="O232" s="19">
        <f>i_tax*MAX(0,O228-O231)</f>
        <v/>
      </c>
      <c r="P232" s="19">
        <f>i_tax*MAX(0,P228-P231)</f>
        <v/>
      </c>
      <c r="Q232" s="19">
        <f>i_tax*MAX(0,Q228-Q231)</f>
        <v/>
      </c>
      <c r="R232" s="19">
        <f>i_tax*MAX(0,R228-R231)</f>
        <v/>
      </c>
      <c r="S232" s="19">
        <f>i_tax*MAX(0,S228-S231)</f>
        <v/>
      </c>
      <c r="T232" s="19">
        <f>i_tax*MAX(0,T228-T231)</f>
        <v/>
      </c>
      <c r="U232" s="19">
        <f>i_tax*MAX(0,U228-U231)</f>
        <v/>
      </c>
      <c r="V232" s="19">
        <f>i_tax*MAX(0,V228-V231)</f>
        <v/>
      </c>
      <c r="W232" s="19">
        <f>i_tax*MAX(0,W228-W231)</f>
        <v/>
      </c>
      <c r="X232" s="19">
        <f>i_tax*MAX(0,X228-X231)</f>
        <v/>
      </c>
      <c r="Y232" s="19">
        <f>i_tax*MAX(0,Y228-Y231)</f>
        <v/>
      </c>
      <c r="Z232" s="19">
        <f>i_tax*MAX(0,Z228-Z231)</f>
        <v/>
      </c>
      <c r="AA232" s="19">
        <f>i_tax*MAX(0,AA228-AA231)</f>
        <v/>
      </c>
      <c r="AB232" s="19">
        <f>i_tax*MAX(0,AB228-AB231)</f>
        <v/>
      </c>
      <c r="AC232" s="19">
        <f>i_tax*MAX(0,AC228-AC231)</f>
        <v/>
      </c>
      <c r="AD232" s="19">
        <f>i_tax*MAX(0,AD228-AD231)</f>
        <v/>
      </c>
      <c r="AE232" s="19">
        <f>i_tax*MAX(0,AE228-AE231)</f>
        <v/>
      </c>
      <c r="AF232" s="19">
        <f>i_tax*MAX(0,AF228-AF231)</f>
        <v/>
      </c>
      <c r="AG232" s="19">
        <f>i_tax*MAX(0,AG228-AG231)</f>
        <v/>
      </c>
      <c r="AH232" s="19">
        <f>i_tax*MAX(0,AH228-AH231)</f>
        <v/>
      </c>
      <c r="AI232" s="19">
        <f>i_tax*MAX(0,AI228-AI231)</f>
        <v/>
      </c>
    </row>
    <row r="233">
      <c r="B233" s="2" t="inlineStr">
        <is>
          <t>Westerhaven handback works</t>
        </is>
      </c>
      <c r="D233" s="19">
        <f>IF(AND(Sensitivities!$C$143=0,D$3=i_conc_end),i_handback*D146,0)</f>
        <v/>
      </c>
      <c r="E233" s="19">
        <f>IF(AND(Sensitivities!$C$143=0,E$3=i_conc_end),i_handback*E146,0)</f>
        <v/>
      </c>
      <c r="F233" s="19">
        <f>IF(AND(Sensitivities!$C$143=0,F$3=i_conc_end),i_handback*F146,0)</f>
        <v/>
      </c>
      <c r="G233" s="19">
        <f>IF(AND(Sensitivities!$C$143=0,G$3=i_conc_end),i_handback*G146,0)</f>
        <v/>
      </c>
      <c r="H233" s="19">
        <f>IF(AND(Sensitivities!$C$143=0,H$3=i_conc_end),i_handback*H146,0)</f>
        <v/>
      </c>
      <c r="I233" s="19">
        <f>IF(AND(Sensitivities!$C$143=0,I$3=i_conc_end),i_handback*I146,0)</f>
        <v/>
      </c>
      <c r="J233" s="19">
        <f>IF(AND(Sensitivities!$C$143=0,J$3=i_conc_end),i_handback*J146,0)</f>
        <v/>
      </c>
      <c r="K233" s="19">
        <f>IF(AND(Sensitivities!$C$143=0,K$3=i_conc_end),i_handback*K146,0)</f>
        <v/>
      </c>
      <c r="L233" s="19">
        <f>IF(AND(Sensitivities!$C$143=0,L$3=i_conc_end),i_handback*L146,0)</f>
        <v/>
      </c>
      <c r="M233" s="19">
        <f>IF(AND(Sensitivities!$C$143=0,M$3=i_conc_end),i_handback*M146,0)</f>
        <v/>
      </c>
      <c r="N233" s="19">
        <f>IF(AND(Sensitivities!$C$143=0,N$3=i_conc_end),i_handback*N146,0)</f>
        <v/>
      </c>
      <c r="O233" s="19">
        <f>IF(AND(Sensitivities!$C$143=0,O$3=i_conc_end),i_handback*O146,0)</f>
        <v/>
      </c>
      <c r="P233" s="19">
        <f>IF(AND(Sensitivities!$C$143=0,P$3=i_conc_end),i_handback*P146,0)</f>
        <v/>
      </c>
      <c r="Q233" s="19">
        <f>IF(AND(Sensitivities!$C$143=0,Q$3=i_conc_end),i_handback*Q146,0)</f>
        <v/>
      </c>
      <c r="R233" s="19">
        <f>IF(AND(Sensitivities!$C$143=0,R$3=i_conc_end),i_handback*R146,0)</f>
        <v/>
      </c>
      <c r="S233" s="19">
        <f>IF(AND(Sensitivities!$C$143=0,S$3=i_conc_end),i_handback*S146,0)</f>
        <v/>
      </c>
      <c r="T233" s="19">
        <f>IF(AND(Sensitivities!$C$143=0,T$3=i_conc_end),i_handback*T146,0)</f>
        <v/>
      </c>
      <c r="U233" s="19">
        <f>IF(AND(Sensitivities!$C$143=0,U$3=i_conc_end),i_handback*U146,0)</f>
        <v/>
      </c>
      <c r="V233" s="19">
        <f>IF(AND(Sensitivities!$C$143=0,V$3=i_conc_end),i_handback*V146,0)</f>
        <v/>
      </c>
      <c r="W233" s="19">
        <f>IF(AND(Sensitivities!$C$143=0,W$3=i_conc_end),i_handback*W146,0)</f>
        <v/>
      </c>
      <c r="X233" s="19">
        <f>IF(AND(Sensitivities!$C$143=0,X$3=i_conc_end),i_handback*X146,0)</f>
        <v/>
      </c>
      <c r="Y233" s="19">
        <f>IF(AND(Sensitivities!$C$143=0,Y$3=i_conc_end),i_handback*Y146,0)</f>
        <v/>
      </c>
      <c r="Z233" s="19">
        <f>IF(AND(Sensitivities!$C$143=0,Z$3=i_conc_end),i_handback*Z146,0)</f>
        <v/>
      </c>
      <c r="AA233" s="19">
        <f>IF(AND(Sensitivities!$C$143=0,AA$3=i_conc_end),i_handback*AA146,0)</f>
        <v/>
      </c>
      <c r="AB233" s="19">
        <f>IF(AND(Sensitivities!$C$143=0,AB$3=i_conc_end),i_handback*AB146,0)</f>
        <v/>
      </c>
      <c r="AC233" s="19">
        <f>IF(AND(Sensitivities!$C$143=0,AC$3=i_conc_end),i_handback*AC146,0)</f>
        <v/>
      </c>
      <c r="AD233" s="19">
        <f>IF(AND(Sensitivities!$C$143=0,AD$3=i_conc_end),i_handback*AD146,0)</f>
        <v/>
      </c>
      <c r="AE233" s="19">
        <f>IF(AND(Sensitivities!$C$143=0,AE$3=i_conc_end),i_handback*AE146,0)</f>
        <v/>
      </c>
      <c r="AF233" s="19">
        <f>IF(AND(Sensitivities!$C$143=0,AF$3=i_conc_end),i_handback*AF146,0)</f>
        <v/>
      </c>
      <c r="AG233" s="19">
        <f>IF(AND(Sensitivities!$C$143=0,AG$3=i_conc_end),i_handback*AG146,0)</f>
        <v/>
      </c>
      <c r="AH233" s="19">
        <f>IF(AND(Sensitivities!$C$143=0,AH$3=i_conc_end),i_handback*AH146,0)</f>
        <v/>
      </c>
      <c r="AI233" s="19">
        <f>IF(AND(Sensitivities!$C$143=0,AI$3=i_conc_end),i_handback*AI146,0)</f>
        <v/>
      </c>
    </row>
    <row r="234">
      <c r="B234" s="3" t="inlineStr">
        <is>
          <t>Free cash flow (unlevered)</t>
        </is>
      </c>
      <c r="D234" s="31">
        <f>D228-D229-D230-D232-D233</f>
        <v/>
      </c>
      <c r="E234" s="31">
        <f>E228-E229-E230-E232-E233</f>
        <v/>
      </c>
      <c r="F234" s="31">
        <f>F228-F229-F230-F232-F233</f>
        <v/>
      </c>
      <c r="G234" s="31">
        <f>G228-G229-G230-G232-G233</f>
        <v/>
      </c>
      <c r="H234" s="31">
        <f>H228-H229-H230-H232-H233</f>
        <v/>
      </c>
      <c r="I234" s="31">
        <f>I228-I229-I230-I232-I233</f>
        <v/>
      </c>
      <c r="J234" s="31">
        <f>J228-J229-J230-J232-J233</f>
        <v/>
      </c>
      <c r="K234" s="31">
        <f>K228-K229-K230-K232-K233</f>
        <v/>
      </c>
      <c r="L234" s="31">
        <f>L228-L229-L230-L232-L233</f>
        <v/>
      </c>
      <c r="M234" s="31">
        <f>M228-M229-M230-M232-M233</f>
        <v/>
      </c>
      <c r="N234" s="31">
        <f>N228-N229-N230-N232-N233</f>
        <v/>
      </c>
      <c r="O234" s="31">
        <f>O228-O229-O230-O232-O233</f>
        <v/>
      </c>
      <c r="P234" s="31">
        <f>P228-P229-P230-P232-P233</f>
        <v/>
      </c>
      <c r="Q234" s="31">
        <f>Q228-Q229-Q230-Q232-Q233</f>
        <v/>
      </c>
      <c r="R234" s="31">
        <f>R228-R229-R230-R232-R233</f>
        <v/>
      </c>
      <c r="S234" s="31">
        <f>S228-S229-S230-S232-S233</f>
        <v/>
      </c>
      <c r="T234" s="31">
        <f>T228-T229-T230-T232-T233</f>
        <v/>
      </c>
      <c r="U234" s="31">
        <f>U228-U229-U230-U232-U233</f>
        <v/>
      </c>
      <c r="V234" s="31">
        <f>V228-V229-V230-V232-V233</f>
        <v/>
      </c>
      <c r="W234" s="31">
        <f>W228-W229-W230-W232-W233</f>
        <v/>
      </c>
      <c r="X234" s="31">
        <f>X228-X229-X230-X232-X233</f>
        <v/>
      </c>
      <c r="Y234" s="31">
        <f>Y228-Y229-Y230-Y232-Y233</f>
        <v/>
      </c>
      <c r="Z234" s="31">
        <f>Z228-Z229-Z230-Z232-Z233</f>
        <v/>
      </c>
      <c r="AA234" s="31">
        <f>AA228-AA229-AA230-AA232-AA233</f>
        <v/>
      </c>
      <c r="AB234" s="31">
        <f>AB228-AB229-AB230-AB232-AB233</f>
        <v/>
      </c>
      <c r="AC234" s="31">
        <f>AC228-AC229-AC230-AC232-AC233</f>
        <v/>
      </c>
      <c r="AD234" s="31">
        <f>AD228-AD229-AD230-AD232-AD233</f>
        <v/>
      </c>
      <c r="AE234" s="31">
        <f>AE228-AE229-AE230-AE232-AE233</f>
        <v/>
      </c>
      <c r="AF234" s="31">
        <f>AF228-AF229-AF230-AF232-AF233</f>
        <v/>
      </c>
      <c r="AG234" s="31">
        <f>AG228-AG229-AG230-AG232-AG233</f>
        <v/>
      </c>
      <c r="AH234" s="31">
        <f>AH228-AH229-AH230-AH232-AH233</f>
        <v/>
      </c>
      <c r="AI234" s="31">
        <f>AI228-AI229-AI230-AI232-AI233</f>
        <v/>
      </c>
    </row>
    <row r="235">
      <c r="B235" s="2" t="inlineStr">
        <is>
          <t>Present value at the discount rate (2027 to 2056)</t>
        </is>
      </c>
      <c r="D235" s="19">
        <f>IF(AND(D$3&gt;i_base_year,D$3&lt;=i_last),D234/(1+i_r)^D$4,0)</f>
        <v/>
      </c>
      <c r="E235" s="19">
        <f>IF(AND(E$3&gt;i_base_year,E$3&lt;=i_last),E234/(1+i_r)^E$4,0)</f>
        <v/>
      </c>
      <c r="F235" s="19">
        <f>IF(AND(F$3&gt;i_base_year,F$3&lt;=i_last),F234/(1+i_r)^F$4,0)</f>
        <v/>
      </c>
      <c r="G235" s="19">
        <f>IF(AND(G$3&gt;i_base_year,G$3&lt;=i_last),G234/(1+i_r)^G$4,0)</f>
        <v/>
      </c>
      <c r="H235" s="19">
        <f>IF(AND(H$3&gt;i_base_year,H$3&lt;=i_last),H234/(1+i_r)^H$4,0)</f>
        <v/>
      </c>
      <c r="I235" s="19">
        <f>IF(AND(I$3&gt;i_base_year,I$3&lt;=i_last),I234/(1+i_r)^I$4,0)</f>
        <v/>
      </c>
      <c r="J235" s="19">
        <f>IF(AND(J$3&gt;i_base_year,J$3&lt;=i_last),J234/(1+i_r)^J$4,0)</f>
        <v/>
      </c>
      <c r="K235" s="19">
        <f>IF(AND(K$3&gt;i_base_year,K$3&lt;=i_last),K234/(1+i_r)^K$4,0)</f>
        <v/>
      </c>
      <c r="L235" s="19">
        <f>IF(AND(L$3&gt;i_base_year,L$3&lt;=i_last),L234/(1+i_r)^L$4,0)</f>
        <v/>
      </c>
      <c r="M235" s="19">
        <f>IF(AND(M$3&gt;i_base_year,M$3&lt;=i_last),M234/(1+i_r)^M$4,0)</f>
        <v/>
      </c>
      <c r="N235" s="19">
        <f>IF(AND(N$3&gt;i_base_year,N$3&lt;=i_last),N234/(1+i_r)^N$4,0)</f>
        <v/>
      </c>
      <c r="O235" s="19">
        <f>IF(AND(O$3&gt;i_base_year,O$3&lt;=i_last),O234/(1+i_r)^O$4,0)</f>
        <v/>
      </c>
      <c r="P235" s="19">
        <f>IF(AND(P$3&gt;i_base_year,P$3&lt;=i_last),P234/(1+i_r)^P$4,0)</f>
        <v/>
      </c>
      <c r="Q235" s="19">
        <f>IF(AND(Q$3&gt;i_base_year,Q$3&lt;=i_last),Q234/(1+i_r)^Q$4,0)</f>
        <v/>
      </c>
      <c r="R235" s="19">
        <f>IF(AND(R$3&gt;i_base_year,R$3&lt;=i_last),R234/(1+i_r)^R$4,0)</f>
        <v/>
      </c>
      <c r="S235" s="19">
        <f>IF(AND(S$3&gt;i_base_year,S$3&lt;=i_last),S234/(1+i_r)^S$4,0)</f>
        <v/>
      </c>
      <c r="T235" s="19">
        <f>IF(AND(T$3&gt;i_base_year,T$3&lt;=i_last),T234/(1+i_r)^T$4,0)</f>
        <v/>
      </c>
      <c r="U235" s="19">
        <f>IF(AND(U$3&gt;i_base_year,U$3&lt;=i_last),U234/(1+i_r)^U$4,0)</f>
        <v/>
      </c>
      <c r="V235" s="19">
        <f>IF(AND(V$3&gt;i_base_year,V$3&lt;=i_last),V234/(1+i_r)^V$4,0)</f>
        <v/>
      </c>
      <c r="W235" s="19">
        <f>IF(AND(W$3&gt;i_base_year,W$3&lt;=i_last),W234/(1+i_r)^W$4,0)</f>
        <v/>
      </c>
      <c r="X235" s="19">
        <f>IF(AND(X$3&gt;i_base_year,X$3&lt;=i_last),X234/(1+i_r)^X$4,0)</f>
        <v/>
      </c>
      <c r="Y235" s="19">
        <f>IF(AND(Y$3&gt;i_base_year,Y$3&lt;=i_last),Y234/(1+i_r)^Y$4,0)</f>
        <v/>
      </c>
      <c r="Z235" s="19">
        <f>IF(AND(Z$3&gt;i_base_year,Z$3&lt;=i_last),Z234/(1+i_r)^Z$4,0)</f>
        <v/>
      </c>
      <c r="AA235" s="19">
        <f>IF(AND(AA$3&gt;i_base_year,AA$3&lt;=i_last),AA234/(1+i_r)^AA$4,0)</f>
        <v/>
      </c>
      <c r="AB235" s="19">
        <f>IF(AND(AB$3&gt;i_base_year,AB$3&lt;=i_last),AB234/(1+i_r)^AB$4,0)</f>
        <v/>
      </c>
      <c r="AC235" s="19">
        <f>IF(AND(AC$3&gt;i_base_year,AC$3&lt;=i_last),AC234/(1+i_r)^AC$4,0)</f>
        <v/>
      </c>
      <c r="AD235" s="19">
        <f>IF(AND(AD$3&gt;i_base_year,AD$3&lt;=i_last),AD234/(1+i_r)^AD$4,0)</f>
        <v/>
      </c>
      <c r="AE235" s="19">
        <f>IF(AND(AE$3&gt;i_base_year,AE$3&lt;=i_last),AE234/(1+i_r)^AE$4,0)</f>
        <v/>
      </c>
      <c r="AF235" s="19">
        <f>IF(AND(AF$3&gt;i_base_year,AF$3&lt;=i_last),AF234/(1+i_r)^AF$4,0)</f>
        <v/>
      </c>
      <c r="AG235" s="19">
        <f>IF(AND(AG$3&gt;i_base_year,AG$3&lt;=i_last),AG234/(1+i_r)^AG$4,0)</f>
        <v/>
      </c>
      <c r="AH235" s="19">
        <f>IF(AND(AH$3&gt;i_base_year,AH$3&lt;=i_last),AH234/(1+i_r)^AH$4,0)</f>
        <v/>
      </c>
      <c r="AI235" s="19">
        <f>IF(AND(AI$3&gt;i_base_year,AI$3&lt;=i_last),AI234/(1+i_r)^AI$4,0)</f>
        <v/>
      </c>
    </row>
    <row r="236">
      <c r="B236" s="2" t="inlineStr">
        <is>
          <t>Present value of 2027 to 2056 free cash flow</t>
        </is>
      </c>
      <c r="C236" s="19">
        <f>SUM(D235:AI235)</f>
        <v/>
      </c>
    </row>
    <row r="237">
      <c r="B237" s="2" t="inlineStr">
        <is>
          <t>Terminal value at the end of 2056 (on 2057 free cash flow)</t>
        </is>
      </c>
      <c r="C237" s="19">
        <f>AI234/(i_r-i_g)</f>
        <v/>
      </c>
    </row>
    <row r="238">
      <c r="B238" s="2" t="inlineStr">
        <is>
          <t>Present value of the terminal value</t>
        </is>
      </c>
      <c r="C238" s="19">
        <f>C237/(1+i_r)^(i_last-i_base_year)</f>
        <v/>
      </c>
    </row>
    <row r="239">
      <c r="B239" s="3" t="inlineStr">
        <is>
          <t>Enterprise value at 31 December 2026</t>
        </is>
      </c>
      <c r="C239" s="31">
        <f>C236+C238</f>
        <v/>
      </c>
    </row>
    <row r="242">
      <c r="B242" s="5" t="inlineStr">
        <is>
          <t>Platform case: Occupancy -5</t>
        </is>
      </c>
    </row>
    <row r="243">
      <c r="B243" s="4" t="inlineStr">
        <is>
          <t>Inflation</t>
        </is>
      </c>
      <c r="C243" s="27">
        <f>Inputs!$O$219</f>
        <v/>
      </c>
    </row>
    <row r="244">
      <c r="B244" s="4" t="inlineStr">
        <is>
          <t>Buyer's recontracting rates (1) or seller's plan rates (0)</t>
        </is>
      </c>
      <c r="C244" s="26">
        <f>Inputs!$O$220</f>
        <v/>
      </c>
    </row>
    <row r="245">
      <c r="B245" s="4" t="inlineStr">
        <is>
          <t>Largest Westerhaven customer leaves (1/0)</t>
        </is>
      </c>
      <c r="C245" s="26">
        <f>Inputs!$O$221</f>
        <v/>
      </c>
    </row>
    <row r="246">
      <c r="B246" s="4" t="inlineStr">
        <is>
          <t>Jetty 3 refurbishment (1/0)</t>
        </is>
      </c>
      <c r="C246" s="26">
        <f>Inputs!$O$222</f>
        <v/>
      </c>
    </row>
    <row r="247">
      <c r="B247" s="4" t="inlineStr">
        <is>
          <t>Sabine Bend extra insurance (1/0)</t>
        </is>
      </c>
      <c r="C247" s="26">
        <f>Inputs!$O$223</f>
        <v/>
      </c>
    </row>
    <row r="248">
      <c r="B248" s="4" t="inlineStr">
        <is>
          <t>Expansion built (1/0)</t>
        </is>
      </c>
      <c r="C248" s="26">
        <f>Inputs!$O$224</f>
        <v/>
      </c>
    </row>
    <row r="249">
      <c r="B249" s="4" t="inlineStr">
        <is>
          <t>Occupancy shift from 2027</t>
        </is>
      </c>
      <c r="C249" s="27">
        <f>Inputs!$O$225</f>
        <v/>
      </c>
    </row>
    <row r="250">
      <c r="B250" s="4" t="inlineStr">
        <is>
          <t>Recontracting shift</t>
        </is>
      </c>
      <c r="C250" s="27">
        <f>Inputs!$O$226</f>
        <v/>
      </c>
    </row>
    <row r="251">
      <c r="B251" s="4" t="inlineStr">
        <is>
          <t>Concession renewed (1/0)</t>
        </is>
      </c>
      <c r="C251" s="26">
        <f>Inputs!$O$227</f>
        <v/>
      </c>
    </row>
    <row r="252">
      <c r="B252" s="4" t="inlineStr">
        <is>
          <t>Westerhaven capacity multiplier</t>
        </is>
      </c>
      <c r="C252" s="28">
        <f>Inputs!$O$228</f>
        <v/>
      </c>
    </row>
    <row r="253">
      <c r="B253" s="4" t="inlineStr">
        <is>
          <t>Extra yearly cost from 2028 ($m, 2026 dollars)</t>
        </is>
      </c>
      <c r="C253" s="29">
        <f>Inputs!$O$229</f>
        <v/>
      </c>
    </row>
    <row r="254">
      <c r="B254" s="2" t="inlineStr">
        <is>
          <t>Cost index (inflation)</t>
        </is>
      </c>
      <c r="D254" s="30">
        <f>(1+Sensitivities!$C$243)^D$4</f>
        <v/>
      </c>
      <c r="E254" s="30">
        <f>(1+Sensitivities!$C$243)^E$4</f>
        <v/>
      </c>
      <c r="F254" s="30">
        <f>(1+Sensitivities!$C$243)^F$4</f>
        <v/>
      </c>
      <c r="G254" s="30">
        <f>(1+Sensitivities!$C$243)^G$4</f>
        <v/>
      </c>
      <c r="H254" s="30">
        <f>(1+Sensitivities!$C$243)^H$4</f>
        <v/>
      </c>
      <c r="I254" s="30">
        <f>(1+Sensitivities!$C$243)^I$4</f>
        <v/>
      </c>
      <c r="J254" s="30">
        <f>(1+Sensitivities!$C$243)^J$4</f>
        <v/>
      </c>
      <c r="K254" s="30">
        <f>(1+Sensitivities!$C$243)^K$4</f>
        <v/>
      </c>
      <c r="L254" s="30">
        <f>(1+Sensitivities!$C$243)^L$4</f>
        <v/>
      </c>
      <c r="M254" s="30">
        <f>(1+Sensitivities!$C$243)^M$4</f>
        <v/>
      </c>
      <c r="N254" s="30">
        <f>(1+Sensitivities!$C$243)^N$4</f>
        <v/>
      </c>
      <c r="O254" s="30">
        <f>(1+Sensitivities!$C$243)^O$4</f>
        <v/>
      </c>
      <c r="P254" s="30">
        <f>(1+Sensitivities!$C$243)^P$4</f>
        <v/>
      </c>
      <c r="Q254" s="30">
        <f>(1+Sensitivities!$C$243)^Q$4</f>
        <v/>
      </c>
      <c r="R254" s="30">
        <f>(1+Sensitivities!$C$243)^R$4</f>
        <v/>
      </c>
      <c r="S254" s="30">
        <f>(1+Sensitivities!$C$243)^S$4</f>
        <v/>
      </c>
      <c r="T254" s="30">
        <f>(1+Sensitivities!$C$243)^T$4</f>
        <v/>
      </c>
      <c r="U254" s="30">
        <f>(1+Sensitivities!$C$243)^U$4</f>
        <v/>
      </c>
      <c r="V254" s="30">
        <f>(1+Sensitivities!$C$243)^V$4</f>
        <v/>
      </c>
      <c r="W254" s="30">
        <f>(1+Sensitivities!$C$243)^W$4</f>
        <v/>
      </c>
      <c r="X254" s="30">
        <f>(1+Sensitivities!$C$243)^X$4</f>
        <v/>
      </c>
      <c r="Y254" s="30">
        <f>(1+Sensitivities!$C$243)^Y$4</f>
        <v/>
      </c>
      <c r="Z254" s="30">
        <f>(1+Sensitivities!$C$243)^Z$4</f>
        <v/>
      </c>
      <c r="AA254" s="30">
        <f>(1+Sensitivities!$C$243)^AA$4</f>
        <v/>
      </c>
      <c r="AB254" s="30">
        <f>(1+Sensitivities!$C$243)^AB$4</f>
        <v/>
      </c>
      <c r="AC254" s="30">
        <f>(1+Sensitivities!$C$243)^AC$4</f>
        <v/>
      </c>
      <c r="AD254" s="30">
        <f>(1+Sensitivities!$C$243)^AD$4</f>
        <v/>
      </c>
      <c r="AE254" s="30">
        <f>(1+Sensitivities!$C$243)^AE$4</f>
        <v/>
      </c>
      <c r="AF254" s="30">
        <f>(1+Sensitivities!$C$243)^AF$4</f>
        <v/>
      </c>
      <c r="AG254" s="30">
        <f>(1+Sensitivities!$C$243)^AG$4</f>
        <v/>
      </c>
      <c r="AH254" s="30">
        <f>(1+Sensitivities!$C$243)^AH$4</f>
        <v/>
      </c>
      <c r="AI254" s="30">
        <f>(1+Sensitivities!$C$243)^AI$4</f>
        <v/>
      </c>
    </row>
    <row r="255">
      <c r="B255" s="2" t="inlineStr">
        <is>
          <t>Rate index (inflation x pass-through)</t>
        </is>
      </c>
      <c r="D255" s="30">
        <f>(1+Sensitivities!$C$243*i_index_share)^D$4</f>
        <v/>
      </c>
      <c r="E255" s="30">
        <f>(1+Sensitivities!$C$243*i_index_share)^E$4</f>
        <v/>
      </c>
      <c r="F255" s="30">
        <f>(1+Sensitivities!$C$243*i_index_share)^F$4</f>
        <v/>
      </c>
      <c r="G255" s="30">
        <f>(1+Sensitivities!$C$243*i_index_share)^G$4</f>
        <v/>
      </c>
      <c r="H255" s="30">
        <f>(1+Sensitivities!$C$243*i_index_share)^H$4</f>
        <v/>
      </c>
      <c r="I255" s="30">
        <f>(1+Sensitivities!$C$243*i_index_share)^I$4</f>
        <v/>
      </c>
      <c r="J255" s="30">
        <f>(1+Sensitivities!$C$243*i_index_share)^J$4</f>
        <v/>
      </c>
      <c r="K255" s="30">
        <f>(1+Sensitivities!$C$243*i_index_share)^K$4</f>
        <v/>
      </c>
      <c r="L255" s="30">
        <f>(1+Sensitivities!$C$243*i_index_share)^L$4</f>
        <v/>
      </c>
      <c r="M255" s="30">
        <f>(1+Sensitivities!$C$243*i_index_share)^M$4</f>
        <v/>
      </c>
      <c r="N255" s="30">
        <f>(1+Sensitivities!$C$243*i_index_share)^N$4</f>
        <v/>
      </c>
      <c r="O255" s="30">
        <f>(1+Sensitivities!$C$243*i_index_share)^O$4</f>
        <v/>
      </c>
      <c r="P255" s="30">
        <f>(1+Sensitivities!$C$243*i_index_share)^P$4</f>
        <v/>
      </c>
      <c r="Q255" s="30">
        <f>(1+Sensitivities!$C$243*i_index_share)^Q$4</f>
        <v/>
      </c>
      <c r="R255" s="30">
        <f>(1+Sensitivities!$C$243*i_index_share)^R$4</f>
        <v/>
      </c>
      <c r="S255" s="30">
        <f>(1+Sensitivities!$C$243*i_index_share)^S$4</f>
        <v/>
      </c>
      <c r="T255" s="30">
        <f>(1+Sensitivities!$C$243*i_index_share)^T$4</f>
        <v/>
      </c>
      <c r="U255" s="30">
        <f>(1+Sensitivities!$C$243*i_index_share)^U$4</f>
        <v/>
      </c>
      <c r="V255" s="30">
        <f>(1+Sensitivities!$C$243*i_index_share)^V$4</f>
        <v/>
      </c>
      <c r="W255" s="30">
        <f>(1+Sensitivities!$C$243*i_index_share)^W$4</f>
        <v/>
      </c>
      <c r="X255" s="30">
        <f>(1+Sensitivities!$C$243*i_index_share)^X$4</f>
        <v/>
      </c>
      <c r="Y255" s="30">
        <f>(1+Sensitivities!$C$243*i_index_share)^Y$4</f>
        <v/>
      </c>
      <c r="Z255" s="30">
        <f>(1+Sensitivities!$C$243*i_index_share)^Z$4</f>
        <v/>
      </c>
      <c r="AA255" s="30">
        <f>(1+Sensitivities!$C$243*i_index_share)^AA$4</f>
        <v/>
      </c>
      <c r="AB255" s="30">
        <f>(1+Sensitivities!$C$243*i_index_share)^AB$4</f>
        <v/>
      </c>
      <c r="AC255" s="30">
        <f>(1+Sensitivities!$C$243*i_index_share)^AC$4</f>
        <v/>
      </c>
      <c r="AD255" s="30">
        <f>(1+Sensitivities!$C$243*i_index_share)^AD$4</f>
        <v/>
      </c>
      <c r="AE255" s="30">
        <f>(1+Sensitivities!$C$243*i_index_share)^AE$4</f>
        <v/>
      </c>
      <c r="AF255" s="30">
        <f>(1+Sensitivities!$C$243*i_index_share)^AF$4</f>
        <v/>
      </c>
      <c r="AG255" s="30">
        <f>(1+Sensitivities!$C$243*i_index_share)^AG$4</f>
        <v/>
      </c>
      <c r="AH255" s="30">
        <f>(1+Sensitivities!$C$243*i_index_share)^AH$4</f>
        <v/>
      </c>
      <c r="AI255" s="30">
        <f>(1+Sensitivities!$C$243*i_index_share)^AI$4</f>
        <v/>
      </c>
    </row>
    <row r="256">
      <c r="B256" s="3" t="inlineStr">
        <is>
          <t>Westerhaven</t>
        </is>
      </c>
    </row>
    <row r="257">
      <c r="B257" s="2" t="inlineStr">
        <is>
          <t xml:space="preserve">  Concession in force (1/0)</t>
        </is>
      </c>
      <c r="D257" s="22">
        <f>IF(Sensitivities!$C$251=1,1,IF(D$3&lt;=i_conc_end,1,0))</f>
        <v/>
      </c>
      <c r="E257" s="22">
        <f>IF(Sensitivities!$C$251=1,1,IF(E$3&lt;=i_conc_end,1,0))</f>
        <v/>
      </c>
      <c r="F257" s="22">
        <f>IF(Sensitivities!$C$251=1,1,IF(F$3&lt;=i_conc_end,1,0))</f>
        <v/>
      </c>
      <c r="G257" s="22">
        <f>IF(Sensitivities!$C$251=1,1,IF(G$3&lt;=i_conc_end,1,0))</f>
        <v/>
      </c>
      <c r="H257" s="22">
        <f>IF(Sensitivities!$C$251=1,1,IF(H$3&lt;=i_conc_end,1,0))</f>
        <v/>
      </c>
      <c r="I257" s="22">
        <f>IF(Sensitivities!$C$251=1,1,IF(I$3&lt;=i_conc_end,1,0))</f>
        <v/>
      </c>
      <c r="J257" s="22">
        <f>IF(Sensitivities!$C$251=1,1,IF(J$3&lt;=i_conc_end,1,0))</f>
        <v/>
      </c>
      <c r="K257" s="22">
        <f>IF(Sensitivities!$C$251=1,1,IF(K$3&lt;=i_conc_end,1,0))</f>
        <v/>
      </c>
      <c r="L257" s="22">
        <f>IF(Sensitivities!$C$251=1,1,IF(L$3&lt;=i_conc_end,1,0))</f>
        <v/>
      </c>
      <c r="M257" s="22">
        <f>IF(Sensitivities!$C$251=1,1,IF(M$3&lt;=i_conc_end,1,0))</f>
        <v/>
      </c>
      <c r="N257" s="22">
        <f>IF(Sensitivities!$C$251=1,1,IF(N$3&lt;=i_conc_end,1,0))</f>
        <v/>
      </c>
      <c r="O257" s="22">
        <f>IF(Sensitivities!$C$251=1,1,IF(O$3&lt;=i_conc_end,1,0))</f>
        <v/>
      </c>
      <c r="P257" s="22">
        <f>IF(Sensitivities!$C$251=1,1,IF(P$3&lt;=i_conc_end,1,0))</f>
        <v/>
      </c>
      <c r="Q257" s="22">
        <f>IF(Sensitivities!$C$251=1,1,IF(Q$3&lt;=i_conc_end,1,0))</f>
        <v/>
      </c>
      <c r="R257" s="22">
        <f>IF(Sensitivities!$C$251=1,1,IF(R$3&lt;=i_conc_end,1,0))</f>
        <v/>
      </c>
      <c r="S257" s="22">
        <f>IF(Sensitivities!$C$251=1,1,IF(S$3&lt;=i_conc_end,1,0))</f>
        <v/>
      </c>
      <c r="T257" s="22">
        <f>IF(Sensitivities!$C$251=1,1,IF(T$3&lt;=i_conc_end,1,0))</f>
        <v/>
      </c>
      <c r="U257" s="22">
        <f>IF(Sensitivities!$C$251=1,1,IF(U$3&lt;=i_conc_end,1,0))</f>
        <v/>
      </c>
      <c r="V257" s="22">
        <f>IF(Sensitivities!$C$251=1,1,IF(V$3&lt;=i_conc_end,1,0))</f>
        <v/>
      </c>
      <c r="W257" s="22">
        <f>IF(Sensitivities!$C$251=1,1,IF(W$3&lt;=i_conc_end,1,0))</f>
        <v/>
      </c>
      <c r="X257" s="22">
        <f>IF(Sensitivities!$C$251=1,1,IF(X$3&lt;=i_conc_end,1,0))</f>
        <v/>
      </c>
      <c r="Y257" s="22">
        <f>IF(Sensitivities!$C$251=1,1,IF(Y$3&lt;=i_conc_end,1,0))</f>
        <v/>
      </c>
      <c r="Z257" s="22">
        <f>IF(Sensitivities!$C$251=1,1,IF(Z$3&lt;=i_conc_end,1,0))</f>
        <v/>
      </c>
      <c r="AA257" s="22">
        <f>IF(Sensitivities!$C$251=1,1,IF(AA$3&lt;=i_conc_end,1,0))</f>
        <v/>
      </c>
      <c r="AB257" s="22">
        <f>IF(Sensitivities!$C$251=1,1,IF(AB$3&lt;=i_conc_end,1,0))</f>
        <v/>
      </c>
      <c r="AC257" s="22">
        <f>IF(Sensitivities!$C$251=1,1,IF(AC$3&lt;=i_conc_end,1,0))</f>
        <v/>
      </c>
      <c r="AD257" s="22">
        <f>IF(Sensitivities!$C$251=1,1,IF(AD$3&lt;=i_conc_end,1,0))</f>
        <v/>
      </c>
      <c r="AE257" s="22">
        <f>IF(Sensitivities!$C$251=1,1,IF(AE$3&lt;=i_conc_end,1,0))</f>
        <v/>
      </c>
      <c r="AF257" s="22">
        <f>IF(Sensitivities!$C$251=1,1,IF(AF$3&lt;=i_conc_end,1,0))</f>
        <v/>
      </c>
      <c r="AG257" s="22">
        <f>IF(Sensitivities!$C$251=1,1,IF(AG$3&lt;=i_conc_end,1,0))</f>
        <v/>
      </c>
      <c r="AH257" s="22">
        <f>IF(Sensitivities!$C$251=1,1,IF(AH$3&lt;=i_conc_end,1,0))</f>
        <v/>
      </c>
      <c r="AI257" s="22">
        <f>IF(Sensitivities!$C$251=1,1,IF(AI$3&lt;=i_conc_end,1,0))</f>
        <v/>
      </c>
    </row>
    <row r="258">
      <c r="B258" s="2" t="inlineStr">
        <is>
          <t xml:space="preserve">  Capacity in service (million m3)</t>
        </is>
      </c>
      <c r="D258" s="24">
        <f>i_W_cap*Sensitivities!$C$252*D257</f>
        <v/>
      </c>
      <c r="E258" s="24">
        <f>i_W_cap*Sensitivities!$C$252*E257</f>
        <v/>
      </c>
      <c r="F258" s="24">
        <f>i_W_cap*Sensitivities!$C$252*F257</f>
        <v/>
      </c>
      <c r="G258" s="24">
        <f>i_W_cap*Sensitivities!$C$252*G257</f>
        <v/>
      </c>
      <c r="H258" s="24">
        <f>i_W_cap*Sensitivities!$C$252*H257</f>
        <v/>
      </c>
      <c r="I258" s="24">
        <f>i_W_cap*Sensitivities!$C$252*I257</f>
        <v/>
      </c>
      <c r="J258" s="24">
        <f>i_W_cap*Sensitivities!$C$252*J257</f>
        <v/>
      </c>
      <c r="K258" s="24">
        <f>i_W_cap*Sensitivities!$C$252*K257</f>
        <v/>
      </c>
      <c r="L258" s="24">
        <f>i_W_cap*Sensitivities!$C$252*L257</f>
        <v/>
      </c>
      <c r="M258" s="24">
        <f>i_W_cap*Sensitivities!$C$252*M257</f>
        <v/>
      </c>
      <c r="N258" s="24">
        <f>i_W_cap*Sensitivities!$C$252*N257</f>
        <v/>
      </c>
      <c r="O258" s="24">
        <f>i_W_cap*Sensitivities!$C$252*O257</f>
        <v/>
      </c>
      <c r="P258" s="24">
        <f>i_W_cap*Sensitivities!$C$252*P257</f>
        <v/>
      </c>
      <c r="Q258" s="24">
        <f>i_W_cap*Sensitivities!$C$252*Q257</f>
        <v/>
      </c>
      <c r="R258" s="24">
        <f>i_W_cap*Sensitivities!$C$252*R257</f>
        <v/>
      </c>
      <c r="S258" s="24">
        <f>i_W_cap*Sensitivities!$C$252*S257</f>
        <v/>
      </c>
      <c r="T258" s="24">
        <f>i_W_cap*Sensitivities!$C$252*T257</f>
        <v/>
      </c>
      <c r="U258" s="24">
        <f>i_W_cap*Sensitivities!$C$252*U257</f>
        <v/>
      </c>
      <c r="V258" s="24">
        <f>i_W_cap*Sensitivities!$C$252*V257</f>
        <v/>
      </c>
      <c r="W258" s="24">
        <f>i_W_cap*Sensitivities!$C$252*W257</f>
        <v/>
      </c>
      <c r="X258" s="24">
        <f>i_W_cap*Sensitivities!$C$252*X257</f>
        <v/>
      </c>
      <c r="Y258" s="24">
        <f>i_W_cap*Sensitivities!$C$252*Y257</f>
        <v/>
      </c>
      <c r="Z258" s="24">
        <f>i_W_cap*Sensitivities!$C$252*Z257</f>
        <v/>
      </c>
      <c r="AA258" s="24">
        <f>i_W_cap*Sensitivities!$C$252*AA257</f>
        <v/>
      </c>
      <c r="AB258" s="24">
        <f>i_W_cap*Sensitivities!$C$252*AB257</f>
        <v/>
      </c>
      <c r="AC258" s="24">
        <f>i_W_cap*Sensitivities!$C$252*AC257</f>
        <v/>
      </c>
      <c r="AD258" s="24">
        <f>i_W_cap*Sensitivities!$C$252*AD257</f>
        <v/>
      </c>
      <c r="AE258" s="24">
        <f>i_W_cap*Sensitivities!$C$252*AE257</f>
        <v/>
      </c>
      <c r="AF258" s="24">
        <f>i_W_cap*Sensitivities!$C$252*AF257</f>
        <v/>
      </c>
      <c r="AG258" s="24">
        <f>i_W_cap*Sensitivities!$C$252*AG257</f>
        <v/>
      </c>
      <c r="AH258" s="24">
        <f>i_W_cap*Sensitivities!$C$252*AH257</f>
        <v/>
      </c>
      <c r="AI258" s="24">
        <f>i_W_cap*Sensitivities!$C$252*AI257</f>
        <v/>
      </c>
    </row>
    <row r="259">
      <c r="B259" s="2" t="inlineStr">
        <is>
          <t xml:space="preserve">  Share on contracts signed before 2027</t>
        </is>
      </c>
      <c r="D259" s="21">
        <f>SUMIF(i_book_years,D$3,i_W_book)</f>
        <v/>
      </c>
      <c r="E259" s="21">
        <f>SUMIF(i_book_years,E$3,i_W_book)</f>
        <v/>
      </c>
      <c r="F259" s="21">
        <f>SUMIF(i_book_years,F$3,i_W_book)</f>
        <v/>
      </c>
      <c r="G259" s="21">
        <f>SUMIF(i_book_years,G$3,i_W_book)</f>
        <v/>
      </c>
      <c r="H259" s="21">
        <f>SUMIF(i_book_years,H$3,i_W_book)</f>
        <v/>
      </c>
      <c r="I259" s="21">
        <f>SUMIF(i_book_years,I$3,i_W_book)</f>
        <v/>
      </c>
      <c r="J259" s="21">
        <f>SUMIF(i_book_years,J$3,i_W_book)</f>
        <v/>
      </c>
      <c r="K259" s="21">
        <f>SUMIF(i_book_years,K$3,i_W_book)</f>
        <v/>
      </c>
      <c r="L259" s="21">
        <f>SUMIF(i_book_years,L$3,i_W_book)</f>
        <v/>
      </c>
      <c r="M259" s="21">
        <f>SUMIF(i_book_years,M$3,i_W_book)</f>
        <v/>
      </c>
      <c r="N259" s="21">
        <f>SUMIF(i_book_years,N$3,i_W_book)</f>
        <v/>
      </c>
      <c r="O259" s="21">
        <f>SUMIF(i_book_years,O$3,i_W_book)</f>
        <v/>
      </c>
      <c r="P259" s="21">
        <f>SUMIF(i_book_years,P$3,i_W_book)</f>
        <v/>
      </c>
      <c r="Q259" s="21">
        <f>SUMIF(i_book_years,Q$3,i_W_book)</f>
        <v/>
      </c>
      <c r="R259" s="21">
        <f>SUMIF(i_book_years,R$3,i_W_book)</f>
        <v/>
      </c>
      <c r="S259" s="21">
        <f>SUMIF(i_book_years,S$3,i_W_book)</f>
        <v/>
      </c>
      <c r="T259" s="21">
        <f>SUMIF(i_book_years,T$3,i_W_book)</f>
        <v/>
      </c>
      <c r="U259" s="21">
        <f>SUMIF(i_book_years,U$3,i_W_book)</f>
        <v/>
      </c>
      <c r="V259" s="21">
        <f>SUMIF(i_book_years,V$3,i_W_book)</f>
        <v/>
      </c>
      <c r="W259" s="21">
        <f>SUMIF(i_book_years,W$3,i_W_book)</f>
        <v/>
      </c>
      <c r="X259" s="21">
        <f>SUMIF(i_book_years,X$3,i_W_book)</f>
        <v/>
      </c>
      <c r="Y259" s="21">
        <f>SUMIF(i_book_years,Y$3,i_W_book)</f>
        <v/>
      </c>
      <c r="Z259" s="21">
        <f>SUMIF(i_book_years,Z$3,i_W_book)</f>
        <v/>
      </c>
      <c r="AA259" s="21">
        <f>SUMIF(i_book_years,AA$3,i_W_book)</f>
        <v/>
      </c>
      <c r="AB259" s="21">
        <f>SUMIF(i_book_years,AB$3,i_W_book)</f>
        <v/>
      </c>
      <c r="AC259" s="21">
        <f>SUMIF(i_book_years,AC$3,i_W_book)</f>
        <v/>
      </c>
      <c r="AD259" s="21">
        <f>SUMIF(i_book_years,AD$3,i_W_book)</f>
        <v/>
      </c>
      <c r="AE259" s="21">
        <f>SUMIF(i_book_years,AE$3,i_W_book)</f>
        <v/>
      </c>
      <c r="AF259" s="21">
        <f>SUMIF(i_book_years,AF$3,i_W_book)</f>
        <v/>
      </c>
      <c r="AG259" s="21">
        <f>SUMIF(i_book_years,AG$3,i_W_book)</f>
        <v/>
      </c>
      <c r="AH259" s="21">
        <f>SUMIF(i_book_years,AH$3,i_W_book)</f>
        <v/>
      </c>
      <c r="AI259" s="21">
        <f>SUMIF(i_book_years,AI$3,i_W_book)</f>
        <v/>
      </c>
    </row>
    <row r="260">
      <c r="B260" s="2" t="inlineStr">
        <is>
          <t xml:space="preserve">  Recontracting factor against current rates</t>
        </is>
      </c>
      <c r="D260" s="21">
        <f>IF(D$4=0,0,IF(Sensitivities!$C$244=1,i_W_mtm,i_W_mtm_plan)+Sensitivities!$C$250)</f>
        <v/>
      </c>
      <c r="E260" s="21">
        <f>IF(E$4=0,0,IF(Sensitivities!$C$244=1,i_W_mtm,i_W_mtm_plan)+Sensitivities!$C$250)</f>
        <v/>
      </c>
      <c r="F260" s="21">
        <f>IF(F$4=0,0,IF(Sensitivities!$C$244=1,i_W_mtm,i_W_mtm_plan)+Sensitivities!$C$250)</f>
        <v/>
      </c>
      <c r="G260" s="21">
        <f>IF(G$4=0,0,IF(Sensitivities!$C$244=1,i_W_mtm,i_W_mtm_plan)+Sensitivities!$C$250)</f>
        <v/>
      </c>
      <c r="H260" s="21">
        <f>IF(H$4=0,0,IF(Sensitivities!$C$244=1,i_W_mtm,i_W_mtm_plan)+Sensitivities!$C$250)</f>
        <v/>
      </c>
      <c r="I260" s="21">
        <f>IF(I$4=0,0,IF(Sensitivities!$C$244=1,i_W_mtm,i_W_mtm_plan)+Sensitivities!$C$250)</f>
        <v/>
      </c>
      <c r="J260" s="21">
        <f>IF(J$4=0,0,IF(Sensitivities!$C$244=1,i_W_mtm,i_W_mtm_plan)+Sensitivities!$C$250)</f>
        <v/>
      </c>
      <c r="K260" s="21">
        <f>IF(K$4=0,0,IF(Sensitivities!$C$244=1,i_W_mtm,i_W_mtm_plan)+Sensitivities!$C$250)</f>
        <v/>
      </c>
      <c r="L260" s="21">
        <f>IF(L$4=0,0,IF(Sensitivities!$C$244=1,i_W_mtm,i_W_mtm_plan)+Sensitivities!$C$250)</f>
        <v/>
      </c>
      <c r="M260" s="21">
        <f>IF(M$4=0,0,IF(Sensitivities!$C$244=1,i_W_mtm,i_W_mtm_plan)+Sensitivities!$C$250)</f>
        <v/>
      </c>
      <c r="N260" s="21">
        <f>IF(N$4=0,0,IF(Sensitivities!$C$244=1,i_W_mtm,i_W_mtm_plan)+Sensitivities!$C$250)</f>
        <v/>
      </c>
      <c r="O260" s="21">
        <f>IF(O$4=0,0,IF(Sensitivities!$C$244=1,i_W_mtm,i_W_mtm_plan)+Sensitivities!$C$250)</f>
        <v/>
      </c>
      <c r="P260" s="21">
        <f>IF(P$4=0,0,IF(Sensitivities!$C$244=1,i_W_mtm,i_W_mtm_plan)+Sensitivities!$C$250)</f>
        <v/>
      </c>
      <c r="Q260" s="21">
        <f>IF(Q$4=0,0,IF(Sensitivities!$C$244=1,i_W_mtm,i_W_mtm_plan)+Sensitivities!$C$250)</f>
        <v/>
      </c>
      <c r="R260" s="21">
        <f>IF(R$4=0,0,IF(Sensitivities!$C$244=1,i_W_mtm,i_W_mtm_plan)+Sensitivities!$C$250)</f>
        <v/>
      </c>
      <c r="S260" s="21">
        <f>IF(S$4=0,0,IF(Sensitivities!$C$244=1,i_W_mtm,i_W_mtm_plan)+Sensitivities!$C$250)</f>
        <v/>
      </c>
      <c r="T260" s="21">
        <f>IF(T$4=0,0,IF(Sensitivities!$C$244=1,i_W_mtm,i_W_mtm_plan)+Sensitivities!$C$250)</f>
        <v/>
      </c>
      <c r="U260" s="21">
        <f>IF(U$4=0,0,IF(Sensitivities!$C$244=1,i_W_mtm,i_W_mtm_plan)+Sensitivities!$C$250)</f>
        <v/>
      </c>
      <c r="V260" s="21">
        <f>IF(V$4=0,0,IF(Sensitivities!$C$244=1,i_W_mtm,i_W_mtm_plan)+Sensitivities!$C$250)</f>
        <v/>
      </c>
      <c r="W260" s="21">
        <f>IF(W$4=0,0,IF(Sensitivities!$C$244=1,i_W_mtm,i_W_mtm_plan)+Sensitivities!$C$250)</f>
        <v/>
      </c>
      <c r="X260" s="21">
        <f>IF(X$4=0,0,IF(Sensitivities!$C$244=1,i_W_mtm,i_W_mtm_plan)+Sensitivities!$C$250)</f>
        <v/>
      </c>
      <c r="Y260" s="21">
        <f>IF(Y$4=0,0,IF(Sensitivities!$C$244=1,i_W_mtm,i_W_mtm_plan)+Sensitivities!$C$250)</f>
        <v/>
      </c>
      <c r="Z260" s="21">
        <f>IF(Z$4=0,0,IF(Sensitivities!$C$244=1,i_W_mtm,i_W_mtm_plan)+Sensitivities!$C$250)</f>
        <v/>
      </c>
      <c r="AA260" s="21">
        <f>IF(AA$4=0,0,IF(Sensitivities!$C$244=1,i_W_mtm,i_W_mtm_plan)+Sensitivities!$C$250)</f>
        <v/>
      </c>
      <c r="AB260" s="21">
        <f>IF(AB$4=0,0,IF(Sensitivities!$C$244=1,i_W_mtm,i_W_mtm_plan)+Sensitivities!$C$250)</f>
        <v/>
      </c>
      <c r="AC260" s="21">
        <f>IF(AC$4=0,0,IF(Sensitivities!$C$244=1,i_W_mtm,i_W_mtm_plan)+Sensitivities!$C$250)</f>
        <v/>
      </c>
      <c r="AD260" s="21">
        <f>IF(AD$4=0,0,IF(Sensitivities!$C$244=1,i_W_mtm,i_W_mtm_plan)+Sensitivities!$C$250)</f>
        <v/>
      </c>
      <c r="AE260" s="21">
        <f>IF(AE$4=0,0,IF(Sensitivities!$C$244=1,i_W_mtm,i_W_mtm_plan)+Sensitivities!$C$250)</f>
        <v/>
      </c>
      <c r="AF260" s="21">
        <f>IF(AF$4=0,0,IF(Sensitivities!$C$244=1,i_W_mtm,i_W_mtm_plan)+Sensitivities!$C$250)</f>
        <v/>
      </c>
      <c r="AG260" s="21">
        <f>IF(AG$4=0,0,IF(Sensitivities!$C$244=1,i_W_mtm,i_W_mtm_plan)+Sensitivities!$C$250)</f>
        <v/>
      </c>
      <c r="AH260" s="21">
        <f>IF(AH$4=0,0,IF(Sensitivities!$C$244=1,i_W_mtm,i_W_mtm_plan)+Sensitivities!$C$250)</f>
        <v/>
      </c>
      <c r="AI260" s="21">
        <f>IF(AI$4=0,0,IF(Sensitivities!$C$244=1,i_W_mtm,i_W_mtm_plan)+Sensitivities!$C$250)</f>
        <v/>
      </c>
    </row>
    <row r="261">
      <c r="B261" s="2" t="inlineStr">
        <is>
          <t xml:space="preserve">  Average rate ($ per m3 per month)</t>
        </is>
      </c>
      <c r="D261" s="24">
        <f>i_W_rate*D255*(D259+(1-D259)*(1+D260))</f>
        <v/>
      </c>
      <c r="E261" s="24">
        <f>i_W_rate*E255*(E259+(1-E259)*(1+E260))</f>
        <v/>
      </c>
      <c r="F261" s="24">
        <f>i_W_rate*F255*(F259+(1-F259)*(1+F260))</f>
        <v/>
      </c>
      <c r="G261" s="24">
        <f>i_W_rate*G255*(G259+(1-G259)*(1+G260))</f>
        <v/>
      </c>
      <c r="H261" s="24">
        <f>i_W_rate*H255*(H259+(1-H259)*(1+H260))</f>
        <v/>
      </c>
      <c r="I261" s="24">
        <f>i_W_rate*I255*(I259+(1-I259)*(1+I260))</f>
        <v/>
      </c>
      <c r="J261" s="24">
        <f>i_W_rate*J255*(J259+(1-J259)*(1+J260))</f>
        <v/>
      </c>
      <c r="K261" s="24">
        <f>i_W_rate*K255*(K259+(1-K259)*(1+K260))</f>
        <v/>
      </c>
      <c r="L261" s="24">
        <f>i_W_rate*L255*(L259+(1-L259)*(1+L260))</f>
        <v/>
      </c>
      <c r="M261" s="24">
        <f>i_W_rate*M255*(M259+(1-M259)*(1+M260))</f>
        <v/>
      </c>
      <c r="N261" s="24">
        <f>i_W_rate*N255*(N259+(1-N259)*(1+N260))</f>
        <v/>
      </c>
      <c r="O261" s="24">
        <f>i_W_rate*O255*(O259+(1-O259)*(1+O260))</f>
        <v/>
      </c>
      <c r="P261" s="24">
        <f>i_W_rate*P255*(P259+(1-P259)*(1+P260))</f>
        <v/>
      </c>
      <c r="Q261" s="24">
        <f>i_W_rate*Q255*(Q259+(1-Q259)*(1+Q260))</f>
        <v/>
      </c>
      <c r="R261" s="24">
        <f>i_W_rate*R255*(R259+(1-R259)*(1+R260))</f>
        <v/>
      </c>
      <c r="S261" s="24">
        <f>i_W_rate*S255*(S259+(1-S259)*(1+S260))</f>
        <v/>
      </c>
      <c r="T261" s="24">
        <f>i_W_rate*T255*(T259+(1-T259)*(1+T260))</f>
        <v/>
      </c>
      <c r="U261" s="24">
        <f>i_W_rate*U255*(U259+(1-U259)*(1+U260))</f>
        <v/>
      </c>
      <c r="V261" s="24">
        <f>i_W_rate*V255*(V259+(1-V259)*(1+V260))</f>
        <v/>
      </c>
      <c r="W261" s="24">
        <f>i_W_rate*W255*(W259+(1-W259)*(1+W260))</f>
        <v/>
      </c>
      <c r="X261" s="24">
        <f>i_W_rate*X255*(X259+(1-X259)*(1+X260))</f>
        <v/>
      </c>
      <c r="Y261" s="24">
        <f>i_W_rate*Y255*(Y259+(1-Y259)*(1+Y260))</f>
        <v/>
      </c>
      <c r="Z261" s="24">
        <f>i_W_rate*Z255*(Z259+(1-Z259)*(1+Z260))</f>
        <v/>
      </c>
      <c r="AA261" s="24">
        <f>i_W_rate*AA255*(AA259+(1-AA259)*(1+AA260))</f>
        <v/>
      </c>
      <c r="AB261" s="24">
        <f>i_W_rate*AB255*(AB259+(1-AB259)*(1+AB260))</f>
        <v/>
      </c>
      <c r="AC261" s="24">
        <f>i_W_rate*AC255*(AC259+(1-AC259)*(1+AC260))</f>
        <v/>
      </c>
      <c r="AD261" s="24">
        <f>i_W_rate*AD255*(AD259+(1-AD259)*(1+AD260))</f>
        <v/>
      </c>
      <c r="AE261" s="24">
        <f>i_W_rate*AE255*(AE259+(1-AE259)*(1+AE260))</f>
        <v/>
      </c>
      <c r="AF261" s="24">
        <f>i_W_rate*AF255*(AF259+(1-AF259)*(1+AF260))</f>
        <v/>
      </c>
      <c r="AG261" s="24">
        <f>i_W_rate*AG255*(AG259+(1-AG259)*(1+AG260))</f>
        <v/>
      </c>
      <c r="AH261" s="24">
        <f>i_W_rate*AH255*(AH259+(1-AH259)*(1+AH260))</f>
        <v/>
      </c>
      <c r="AI261" s="24">
        <f>i_W_rate*AI255*(AI259+(1-AI259)*(1+AI260))</f>
        <v/>
      </c>
    </row>
    <row r="262">
      <c r="B262" s="2" t="inlineStr">
        <is>
          <t xml:space="preserve">  Occupancy after the transition decline and floor</t>
        </is>
      </c>
      <c r="D262" s="21">
        <f>IF(D$3&gt;i_trans_start,MAX(i_W_floor,i_W_occ-i_W_dec*(D$3-i_trans_start)),i_W_occ)</f>
        <v/>
      </c>
      <c r="E262" s="21">
        <f>IF(E$3&gt;i_trans_start,MAX(i_W_floor,i_W_occ-i_W_dec*(E$3-i_trans_start)),i_W_occ)</f>
        <v/>
      </c>
      <c r="F262" s="21">
        <f>IF(F$3&gt;i_trans_start,MAX(i_W_floor,i_W_occ-i_W_dec*(F$3-i_trans_start)),i_W_occ)</f>
        <v/>
      </c>
      <c r="G262" s="21">
        <f>IF(G$3&gt;i_trans_start,MAX(i_W_floor,i_W_occ-i_W_dec*(G$3-i_trans_start)),i_W_occ)</f>
        <v/>
      </c>
      <c r="H262" s="21">
        <f>IF(H$3&gt;i_trans_start,MAX(i_W_floor,i_W_occ-i_W_dec*(H$3-i_trans_start)),i_W_occ)</f>
        <v/>
      </c>
      <c r="I262" s="21">
        <f>IF(I$3&gt;i_trans_start,MAX(i_W_floor,i_W_occ-i_W_dec*(I$3-i_trans_start)),i_W_occ)</f>
        <v/>
      </c>
      <c r="J262" s="21">
        <f>IF(J$3&gt;i_trans_start,MAX(i_W_floor,i_W_occ-i_W_dec*(J$3-i_trans_start)),i_W_occ)</f>
        <v/>
      </c>
      <c r="K262" s="21">
        <f>IF(K$3&gt;i_trans_start,MAX(i_W_floor,i_W_occ-i_W_dec*(K$3-i_trans_start)),i_W_occ)</f>
        <v/>
      </c>
      <c r="L262" s="21">
        <f>IF(L$3&gt;i_trans_start,MAX(i_W_floor,i_W_occ-i_W_dec*(L$3-i_trans_start)),i_W_occ)</f>
        <v/>
      </c>
      <c r="M262" s="21">
        <f>IF(M$3&gt;i_trans_start,MAX(i_W_floor,i_W_occ-i_W_dec*(M$3-i_trans_start)),i_W_occ)</f>
        <v/>
      </c>
      <c r="N262" s="21">
        <f>IF(N$3&gt;i_trans_start,MAX(i_W_floor,i_W_occ-i_W_dec*(N$3-i_trans_start)),i_W_occ)</f>
        <v/>
      </c>
      <c r="O262" s="21">
        <f>IF(O$3&gt;i_trans_start,MAX(i_W_floor,i_W_occ-i_W_dec*(O$3-i_trans_start)),i_W_occ)</f>
        <v/>
      </c>
      <c r="P262" s="21">
        <f>IF(P$3&gt;i_trans_start,MAX(i_W_floor,i_W_occ-i_W_dec*(P$3-i_trans_start)),i_W_occ)</f>
        <v/>
      </c>
      <c r="Q262" s="21">
        <f>IF(Q$3&gt;i_trans_start,MAX(i_W_floor,i_W_occ-i_W_dec*(Q$3-i_trans_start)),i_W_occ)</f>
        <v/>
      </c>
      <c r="R262" s="21">
        <f>IF(R$3&gt;i_trans_start,MAX(i_W_floor,i_W_occ-i_W_dec*(R$3-i_trans_start)),i_W_occ)</f>
        <v/>
      </c>
      <c r="S262" s="21">
        <f>IF(S$3&gt;i_trans_start,MAX(i_W_floor,i_W_occ-i_W_dec*(S$3-i_trans_start)),i_W_occ)</f>
        <v/>
      </c>
      <c r="T262" s="21">
        <f>IF(T$3&gt;i_trans_start,MAX(i_W_floor,i_W_occ-i_W_dec*(T$3-i_trans_start)),i_W_occ)</f>
        <v/>
      </c>
      <c r="U262" s="21">
        <f>IF(U$3&gt;i_trans_start,MAX(i_W_floor,i_W_occ-i_W_dec*(U$3-i_trans_start)),i_W_occ)</f>
        <v/>
      </c>
      <c r="V262" s="21">
        <f>IF(V$3&gt;i_trans_start,MAX(i_W_floor,i_W_occ-i_W_dec*(V$3-i_trans_start)),i_W_occ)</f>
        <v/>
      </c>
      <c r="W262" s="21">
        <f>IF(W$3&gt;i_trans_start,MAX(i_W_floor,i_W_occ-i_W_dec*(W$3-i_trans_start)),i_W_occ)</f>
        <v/>
      </c>
      <c r="X262" s="21">
        <f>IF(X$3&gt;i_trans_start,MAX(i_W_floor,i_W_occ-i_W_dec*(X$3-i_trans_start)),i_W_occ)</f>
        <v/>
      </c>
      <c r="Y262" s="21">
        <f>IF(Y$3&gt;i_trans_start,MAX(i_W_floor,i_W_occ-i_W_dec*(Y$3-i_trans_start)),i_W_occ)</f>
        <v/>
      </c>
      <c r="Z262" s="21">
        <f>IF(Z$3&gt;i_trans_start,MAX(i_W_floor,i_W_occ-i_W_dec*(Z$3-i_trans_start)),i_W_occ)</f>
        <v/>
      </c>
      <c r="AA262" s="21">
        <f>IF(AA$3&gt;i_trans_start,MAX(i_W_floor,i_W_occ-i_W_dec*(AA$3-i_trans_start)),i_W_occ)</f>
        <v/>
      </c>
      <c r="AB262" s="21">
        <f>IF(AB$3&gt;i_trans_start,MAX(i_W_floor,i_W_occ-i_W_dec*(AB$3-i_trans_start)),i_W_occ)</f>
        <v/>
      </c>
      <c r="AC262" s="21">
        <f>IF(AC$3&gt;i_trans_start,MAX(i_W_floor,i_W_occ-i_W_dec*(AC$3-i_trans_start)),i_W_occ)</f>
        <v/>
      </c>
      <c r="AD262" s="21">
        <f>IF(AD$3&gt;i_trans_start,MAX(i_W_floor,i_W_occ-i_W_dec*(AD$3-i_trans_start)),i_W_occ)</f>
        <v/>
      </c>
      <c r="AE262" s="21">
        <f>IF(AE$3&gt;i_trans_start,MAX(i_W_floor,i_W_occ-i_W_dec*(AE$3-i_trans_start)),i_W_occ)</f>
        <v/>
      </c>
      <c r="AF262" s="21">
        <f>IF(AF$3&gt;i_trans_start,MAX(i_W_floor,i_W_occ-i_W_dec*(AF$3-i_trans_start)),i_W_occ)</f>
        <v/>
      </c>
      <c r="AG262" s="21">
        <f>IF(AG$3&gt;i_trans_start,MAX(i_W_floor,i_W_occ-i_W_dec*(AG$3-i_trans_start)),i_W_occ)</f>
        <v/>
      </c>
      <c r="AH262" s="21">
        <f>IF(AH$3&gt;i_trans_start,MAX(i_W_floor,i_W_occ-i_W_dec*(AH$3-i_trans_start)),i_W_occ)</f>
        <v/>
      </c>
      <c r="AI262" s="21">
        <f>IF(AI$3&gt;i_trans_start,MAX(i_W_floor,i_W_occ-i_W_dec*(AI$3-i_trans_start)),i_W_occ)</f>
        <v/>
      </c>
    </row>
    <row r="263">
      <c r="B263" s="2" t="inlineStr">
        <is>
          <t xml:space="preserve">  Customer loss (points)</t>
        </is>
      </c>
      <c r="D263" s="21">
        <f>Sensitivities!$C$245*SUMIF(i_dip_years,D$3,i_dip_vals)</f>
        <v/>
      </c>
      <c r="E263" s="21">
        <f>Sensitivities!$C$245*SUMIF(i_dip_years,E$3,i_dip_vals)</f>
        <v/>
      </c>
      <c r="F263" s="21">
        <f>Sensitivities!$C$245*SUMIF(i_dip_years,F$3,i_dip_vals)</f>
        <v/>
      </c>
      <c r="G263" s="21">
        <f>Sensitivities!$C$245*SUMIF(i_dip_years,G$3,i_dip_vals)</f>
        <v/>
      </c>
      <c r="H263" s="21">
        <f>Sensitivities!$C$245*SUMIF(i_dip_years,H$3,i_dip_vals)</f>
        <v/>
      </c>
      <c r="I263" s="21">
        <f>Sensitivities!$C$245*SUMIF(i_dip_years,I$3,i_dip_vals)</f>
        <v/>
      </c>
      <c r="J263" s="21">
        <f>Sensitivities!$C$245*SUMIF(i_dip_years,J$3,i_dip_vals)</f>
        <v/>
      </c>
      <c r="K263" s="21">
        <f>Sensitivities!$C$245*SUMIF(i_dip_years,K$3,i_dip_vals)</f>
        <v/>
      </c>
      <c r="L263" s="21">
        <f>Sensitivities!$C$245*SUMIF(i_dip_years,L$3,i_dip_vals)</f>
        <v/>
      </c>
      <c r="M263" s="21">
        <f>Sensitivities!$C$245*SUMIF(i_dip_years,M$3,i_dip_vals)</f>
        <v/>
      </c>
      <c r="N263" s="21">
        <f>Sensitivities!$C$245*SUMIF(i_dip_years,N$3,i_dip_vals)</f>
        <v/>
      </c>
      <c r="O263" s="21">
        <f>Sensitivities!$C$245*SUMIF(i_dip_years,O$3,i_dip_vals)</f>
        <v/>
      </c>
      <c r="P263" s="21">
        <f>Sensitivities!$C$245*SUMIF(i_dip_years,P$3,i_dip_vals)</f>
        <v/>
      </c>
      <c r="Q263" s="21">
        <f>Sensitivities!$C$245*SUMIF(i_dip_years,Q$3,i_dip_vals)</f>
        <v/>
      </c>
      <c r="R263" s="21">
        <f>Sensitivities!$C$245*SUMIF(i_dip_years,R$3,i_dip_vals)</f>
        <v/>
      </c>
      <c r="S263" s="21">
        <f>Sensitivities!$C$245*SUMIF(i_dip_years,S$3,i_dip_vals)</f>
        <v/>
      </c>
      <c r="T263" s="21">
        <f>Sensitivities!$C$245*SUMIF(i_dip_years,T$3,i_dip_vals)</f>
        <v/>
      </c>
      <c r="U263" s="21">
        <f>Sensitivities!$C$245*SUMIF(i_dip_years,U$3,i_dip_vals)</f>
        <v/>
      </c>
      <c r="V263" s="21">
        <f>Sensitivities!$C$245*SUMIF(i_dip_years,V$3,i_dip_vals)</f>
        <v/>
      </c>
      <c r="W263" s="21">
        <f>Sensitivities!$C$245*SUMIF(i_dip_years,W$3,i_dip_vals)</f>
        <v/>
      </c>
      <c r="X263" s="21">
        <f>Sensitivities!$C$245*SUMIF(i_dip_years,X$3,i_dip_vals)</f>
        <v/>
      </c>
      <c r="Y263" s="21">
        <f>Sensitivities!$C$245*SUMIF(i_dip_years,Y$3,i_dip_vals)</f>
        <v/>
      </c>
      <c r="Z263" s="21">
        <f>Sensitivities!$C$245*SUMIF(i_dip_years,Z$3,i_dip_vals)</f>
        <v/>
      </c>
      <c r="AA263" s="21">
        <f>Sensitivities!$C$245*SUMIF(i_dip_years,AA$3,i_dip_vals)</f>
        <v/>
      </c>
      <c r="AB263" s="21">
        <f>Sensitivities!$C$245*SUMIF(i_dip_years,AB$3,i_dip_vals)</f>
        <v/>
      </c>
      <c r="AC263" s="21">
        <f>Sensitivities!$C$245*SUMIF(i_dip_years,AC$3,i_dip_vals)</f>
        <v/>
      </c>
      <c r="AD263" s="21">
        <f>Sensitivities!$C$245*SUMIF(i_dip_years,AD$3,i_dip_vals)</f>
        <v/>
      </c>
      <c r="AE263" s="21">
        <f>Sensitivities!$C$245*SUMIF(i_dip_years,AE$3,i_dip_vals)</f>
        <v/>
      </c>
      <c r="AF263" s="21">
        <f>Sensitivities!$C$245*SUMIF(i_dip_years,AF$3,i_dip_vals)</f>
        <v/>
      </c>
      <c r="AG263" s="21">
        <f>Sensitivities!$C$245*SUMIF(i_dip_years,AG$3,i_dip_vals)</f>
        <v/>
      </c>
      <c r="AH263" s="21">
        <f>Sensitivities!$C$245*SUMIF(i_dip_years,AH$3,i_dip_vals)</f>
        <v/>
      </c>
      <c r="AI263" s="21">
        <f>Sensitivities!$C$245*SUMIF(i_dip_years,AI$3,i_dip_vals)</f>
        <v/>
      </c>
    </row>
    <row r="264">
      <c r="B264" s="2" t="inlineStr">
        <is>
          <t xml:space="preserve">  Occupancy (with the shift switch from 2027)</t>
        </is>
      </c>
      <c r="D264" s="21">
        <f>IF(D$4&gt;0,MIN(1,D262-D263+Sensitivities!$C$249),D262-D263)</f>
        <v/>
      </c>
      <c r="E264" s="21">
        <f>IF(E$4&gt;0,MIN(1,E262-E263+Sensitivities!$C$249),E262-E263)</f>
        <v/>
      </c>
      <c r="F264" s="21">
        <f>IF(F$4&gt;0,MIN(1,F262-F263+Sensitivities!$C$249),F262-F263)</f>
        <v/>
      </c>
      <c r="G264" s="21">
        <f>IF(G$4&gt;0,MIN(1,G262-G263+Sensitivities!$C$249),G262-G263)</f>
        <v/>
      </c>
      <c r="H264" s="21">
        <f>IF(H$4&gt;0,MIN(1,H262-H263+Sensitivities!$C$249),H262-H263)</f>
        <v/>
      </c>
      <c r="I264" s="21">
        <f>IF(I$4&gt;0,MIN(1,I262-I263+Sensitivities!$C$249),I262-I263)</f>
        <v/>
      </c>
      <c r="J264" s="21">
        <f>IF(J$4&gt;0,MIN(1,J262-J263+Sensitivities!$C$249),J262-J263)</f>
        <v/>
      </c>
      <c r="K264" s="21">
        <f>IF(K$4&gt;0,MIN(1,K262-K263+Sensitivities!$C$249),K262-K263)</f>
        <v/>
      </c>
      <c r="L264" s="21">
        <f>IF(L$4&gt;0,MIN(1,L262-L263+Sensitivities!$C$249),L262-L263)</f>
        <v/>
      </c>
      <c r="M264" s="21">
        <f>IF(M$4&gt;0,MIN(1,M262-M263+Sensitivities!$C$249),M262-M263)</f>
        <v/>
      </c>
      <c r="N264" s="21">
        <f>IF(N$4&gt;0,MIN(1,N262-N263+Sensitivities!$C$249),N262-N263)</f>
        <v/>
      </c>
      <c r="O264" s="21">
        <f>IF(O$4&gt;0,MIN(1,O262-O263+Sensitivities!$C$249),O262-O263)</f>
        <v/>
      </c>
      <c r="P264" s="21">
        <f>IF(P$4&gt;0,MIN(1,P262-P263+Sensitivities!$C$249),P262-P263)</f>
        <v/>
      </c>
      <c r="Q264" s="21">
        <f>IF(Q$4&gt;0,MIN(1,Q262-Q263+Sensitivities!$C$249),Q262-Q263)</f>
        <v/>
      </c>
      <c r="R264" s="21">
        <f>IF(R$4&gt;0,MIN(1,R262-R263+Sensitivities!$C$249),R262-R263)</f>
        <v/>
      </c>
      <c r="S264" s="21">
        <f>IF(S$4&gt;0,MIN(1,S262-S263+Sensitivities!$C$249),S262-S263)</f>
        <v/>
      </c>
      <c r="T264" s="21">
        <f>IF(T$4&gt;0,MIN(1,T262-T263+Sensitivities!$C$249),T262-T263)</f>
        <v/>
      </c>
      <c r="U264" s="21">
        <f>IF(U$4&gt;0,MIN(1,U262-U263+Sensitivities!$C$249),U262-U263)</f>
        <v/>
      </c>
      <c r="V264" s="21">
        <f>IF(V$4&gt;0,MIN(1,V262-V263+Sensitivities!$C$249),V262-V263)</f>
        <v/>
      </c>
      <c r="W264" s="21">
        <f>IF(W$4&gt;0,MIN(1,W262-W263+Sensitivities!$C$249),W262-W263)</f>
        <v/>
      </c>
      <c r="X264" s="21">
        <f>IF(X$4&gt;0,MIN(1,X262-X263+Sensitivities!$C$249),X262-X263)</f>
        <v/>
      </c>
      <c r="Y264" s="21">
        <f>IF(Y$4&gt;0,MIN(1,Y262-Y263+Sensitivities!$C$249),Y262-Y263)</f>
        <v/>
      </c>
      <c r="Z264" s="21">
        <f>IF(Z$4&gt;0,MIN(1,Z262-Z263+Sensitivities!$C$249),Z262-Z263)</f>
        <v/>
      </c>
      <c r="AA264" s="21">
        <f>IF(AA$4&gt;0,MIN(1,AA262-AA263+Sensitivities!$C$249),AA262-AA263)</f>
        <v/>
      </c>
      <c r="AB264" s="21">
        <f>IF(AB$4&gt;0,MIN(1,AB262-AB263+Sensitivities!$C$249),AB262-AB263)</f>
        <v/>
      </c>
      <c r="AC264" s="21">
        <f>IF(AC$4&gt;0,MIN(1,AC262-AC263+Sensitivities!$C$249),AC262-AC263)</f>
        <v/>
      </c>
      <c r="AD264" s="21">
        <f>IF(AD$4&gt;0,MIN(1,AD262-AD263+Sensitivities!$C$249),AD262-AD263)</f>
        <v/>
      </c>
      <c r="AE264" s="21">
        <f>IF(AE$4&gt;0,MIN(1,AE262-AE263+Sensitivities!$C$249),AE262-AE263)</f>
        <v/>
      </c>
      <c r="AF264" s="21">
        <f>IF(AF$4&gt;0,MIN(1,AF262-AF263+Sensitivities!$C$249),AF262-AF263)</f>
        <v/>
      </c>
      <c r="AG264" s="21">
        <f>IF(AG$4&gt;0,MIN(1,AG262-AG263+Sensitivities!$C$249),AG262-AG263)</f>
        <v/>
      </c>
      <c r="AH264" s="21">
        <f>IF(AH$4&gt;0,MIN(1,AH262-AH263+Sensitivities!$C$249),AH262-AH263)</f>
        <v/>
      </c>
      <c r="AI264" s="21">
        <f>IF(AI$4&gt;0,MIN(1,AI262-AI263+Sensitivities!$C$249),AI262-AI263)</f>
        <v/>
      </c>
    </row>
    <row r="265">
      <c r="B265" s="2" t="inlineStr">
        <is>
          <t xml:space="preserve">  Storage revenue</t>
        </is>
      </c>
      <c r="D265" s="19">
        <f>D258*D261*12*D264</f>
        <v/>
      </c>
      <c r="E265" s="19">
        <f>E258*E261*12*E264</f>
        <v/>
      </c>
      <c r="F265" s="19">
        <f>F258*F261*12*F264</f>
        <v/>
      </c>
      <c r="G265" s="19">
        <f>G258*G261*12*G264</f>
        <v/>
      </c>
      <c r="H265" s="19">
        <f>H258*H261*12*H264</f>
        <v/>
      </c>
      <c r="I265" s="19">
        <f>I258*I261*12*I264</f>
        <v/>
      </c>
      <c r="J265" s="19">
        <f>J258*J261*12*J264</f>
        <v/>
      </c>
      <c r="K265" s="19">
        <f>K258*K261*12*K264</f>
        <v/>
      </c>
      <c r="L265" s="19">
        <f>L258*L261*12*L264</f>
        <v/>
      </c>
      <c r="M265" s="19">
        <f>M258*M261*12*M264</f>
        <v/>
      </c>
      <c r="N265" s="19">
        <f>N258*N261*12*N264</f>
        <v/>
      </c>
      <c r="O265" s="19">
        <f>O258*O261*12*O264</f>
        <v/>
      </c>
      <c r="P265" s="19">
        <f>P258*P261*12*P264</f>
        <v/>
      </c>
      <c r="Q265" s="19">
        <f>Q258*Q261*12*Q264</f>
        <v/>
      </c>
      <c r="R265" s="19">
        <f>R258*R261*12*R264</f>
        <v/>
      </c>
      <c r="S265" s="19">
        <f>S258*S261*12*S264</f>
        <v/>
      </c>
      <c r="T265" s="19">
        <f>T258*T261*12*T264</f>
        <v/>
      </c>
      <c r="U265" s="19">
        <f>U258*U261*12*U264</f>
        <v/>
      </c>
      <c r="V265" s="19">
        <f>V258*V261*12*V264</f>
        <v/>
      </c>
      <c r="W265" s="19">
        <f>W258*W261*12*W264</f>
        <v/>
      </c>
      <c r="X265" s="19">
        <f>X258*X261*12*X264</f>
        <v/>
      </c>
      <c r="Y265" s="19">
        <f>Y258*Y261*12*Y264</f>
        <v/>
      </c>
      <c r="Z265" s="19">
        <f>Z258*Z261*12*Z264</f>
        <v/>
      </c>
      <c r="AA265" s="19">
        <f>AA258*AA261*12*AA264</f>
        <v/>
      </c>
      <c r="AB265" s="19">
        <f>AB258*AB261*12*AB264</f>
        <v/>
      </c>
      <c r="AC265" s="19">
        <f>AC258*AC261*12*AC264</f>
        <v/>
      </c>
      <c r="AD265" s="19">
        <f>AD258*AD261*12*AD264</f>
        <v/>
      </c>
      <c r="AE265" s="19">
        <f>AE258*AE261*12*AE264</f>
        <v/>
      </c>
      <c r="AF265" s="19">
        <f>AF258*AF261*12*AF264</f>
        <v/>
      </c>
      <c r="AG265" s="19">
        <f>AG258*AG261*12*AG264</f>
        <v/>
      </c>
      <c r="AH265" s="19">
        <f>AH258*AH261*12*AH264</f>
        <v/>
      </c>
      <c r="AI265" s="19">
        <f>AI258*AI261*12*AI264</f>
        <v/>
      </c>
    </row>
    <row r="266">
      <c r="B266" s="2" t="inlineStr">
        <is>
          <t xml:space="preserve">  Ancillary and throughput revenue</t>
        </is>
      </c>
      <c r="D266" s="19">
        <f>D265*i_W_anc</f>
        <v/>
      </c>
      <c r="E266" s="19">
        <f>E265*i_W_anc</f>
        <v/>
      </c>
      <c r="F266" s="19">
        <f>F265*i_W_anc</f>
        <v/>
      </c>
      <c r="G266" s="19">
        <f>G265*i_W_anc</f>
        <v/>
      </c>
      <c r="H266" s="19">
        <f>H265*i_W_anc</f>
        <v/>
      </c>
      <c r="I266" s="19">
        <f>I265*i_W_anc</f>
        <v/>
      </c>
      <c r="J266" s="19">
        <f>J265*i_W_anc</f>
        <v/>
      </c>
      <c r="K266" s="19">
        <f>K265*i_W_anc</f>
        <v/>
      </c>
      <c r="L266" s="19">
        <f>L265*i_W_anc</f>
        <v/>
      </c>
      <c r="M266" s="19">
        <f>M265*i_W_anc</f>
        <v/>
      </c>
      <c r="N266" s="19">
        <f>N265*i_W_anc</f>
        <v/>
      </c>
      <c r="O266" s="19">
        <f>O265*i_W_anc</f>
        <v/>
      </c>
      <c r="P266" s="19">
        <f>P265*i_W_anc</f>
        <v/>
      </c>
      <c r="Q266" s="19">
        <f>Q265*i_W_anc</f>
        <v/>
      </c>
      <c r="R266" s="19">
        <f>R265*i_W_anc</f>
        <v/>
      </c>
      <c r="S266" s="19">
        <f>S265*i_W_anc</f>
        <v/>
      </c>
      <c r="T266" s="19">
        <f>T265*i_W_anc</f>
        <v/>
      </c>
      <c r="U266" s="19">
        <f>U265*i_W_anc</f>
        <v/>
      </c>
      <c r="V266" s="19">
        <f>V265*i_W_anc</f>
        <v/>
      </c>
      <c r="W266" s="19">
        <f>W265*i_W_anc</f>
        <v/>
      </c>
      <c r="X266" s="19">
        <f>X265*i_W_anc</f>
        <v/>
      </c>
      <c r="Y266" s="19">
        <f>Y265*i_W_anc</f>
        <v/>
      </c>
      <c r="Z266" s="19">
        <f>Z265*i_W_anc</f>
        <v/>
      </c>
      <c r="AA266" s="19">
        <f>AA265*i_W_anc</f>
        <v/>
      </c>
      <c r="AB266" s="19">
        <f>AB265*i_W_anc</f>
        <v/>
      </c>
      <c r="AC266" s="19">
        <f>AC265*i_W_anc</f>
        <v/>
      </c>
      <c r="AD266" s="19">
        <f>AD265*i_W_anc</f>
        <v/>
      </c>
      <c r="AE266" s="19">
        <f>AE265*i_W_anc</f>
        <v/>
      </c>
      <c r="AF266" s="19">
        <f>AF265*i_W_anc</f>
        <v/>
      </c>
      <c r="AG266" s="19">
        <f>AG265*i_W_anc</f>
        <v/>
      </c>
      <c r="AH266" s="19">
        <f>AH265*i_W_anc</f>
        <v/>
      </c>
      <c r="AI266" s="19">
        <f>AI265*i_W_anc</f>
        <v/>
      </c>
    </row>
    <row r="267">
      <c r="B267" s="3" t="inlineStr">
        <is>
          <t xml:space="preserve">  Revenue</t>
        </is>
      </c>
      <c r="D267" s="31">
        <f>D265+D266</f>
        <v/>
      </c>
      <c r="E267" s="31">
        <f>E265+E266</f>
        <v/>
      </c>
      <c r="F267" s="31">
        <f>F265+F266</f>
        <v/>
      </c>
      <c r="G267" s="31">
        <f>G265+G266</f>
        <v/>
      </c>
      <c r="H267" s="31">
        <f>H265+H266</f>
        <v/>
      </c>
      <c r="I267" s="31">
        <f>I265+I266</f>
        <v/>
      </c>
      <c r="J267" s="31">
        <f>J265+J266</f>
        <v/>
      </c>
      <c r="K267" s="31">
        <f>K265+K266</f>
        <v/>
      </c>
      <c r="L267" s="31">
        <f>L265+L266</f>
        <v/>
      </c>
      <c r="M267" s="31">
        <f>M265+M266</f>
        <v/>
      </c>
      <c r="N267" s="31">
        <f>N265+N266</f>
        <v/>
      </c>
      <c r="O267" s="31">
        <f>O265+O266</f>
        <v/>
      </c>
      <c r="P267" s="31">
        <f>P265+P266</f>
        <v/>
      </c>
      <c r="Q267" s="31">
        <f>Q265+Q266</f>
        <v/>
      </c>
      <c r="R267" s="31">
        <f>R265+R266</f>
        <v/>
      </c>
      <c r="S267" s="31">
        <f>S265+S266</f>
        <v/>
      </c>
      <c r="T267" s="31">
        <f>T265+T266</f>
        <v/>
      </c>
      <c r="U267" s="31">
        <f>U265+U266</f>
        <v/>
      </c>
      <c r="V267" s="31">
        <f>V265+V266</f>
        <v/>
      </c>
      <c r="W267" s="31">
        <f>W265+W266</f>
        <v/>
      </c>
      <c r="X267" s="31">
        <f>X265+X266</f>
        <v/>
      </c>
      <c r="Y267" s="31">
        <f>Y265+Y266</f>
        <v/>
      </c>
      <c r="Z267" s="31">
        <f>Z265+Z266</f>
        <v/>
      </c>
      <c r="AA267" s="31">
        <f>AA265+AA266</f>
        <v/>
      </c>
      <c r="AB267" s="31">
        <f>AB265+AB266</f>
        <v/>
      </c>
      <c r="AC267" s="31">
        <f>AC265+AC266</f>
        <v/>
      </c>
      <c r="AD267" s="31">
        <f>AD265+AD266</f>
        <v/>
      </c>
      <c r="AE267" s="31">
        <f>AE265+AE266</f>
        <v/>
      </c>
      <c r="AF267" s="31">
        <f>AF265+AF266</f>
        <v/>
      </c>
      <c r="AG267" s="31">
        <f>AG265+AG266</f>
        <v/>
      </c>
      <c r="AH267" s="31">
        <f>AH265+AH266</f>
        <v/>
      </c>
      <c r="AI267" s="31">
        <f>AI265+AI266</f>
        <v/>
      </c>
    </row>
    <row r="268">
      <c r="B268" s="2" t="inlineStr">
        <is>
          <t xml:space="preserve">  Fixed cost</t>
        </is>
      </c>
      <c r="D268" s="19">
        <f>D258*i_W_fix*D254</f>
        <v/>
      </c>
      <c r="E268" s="19">
        <f>E258*i_W_fix*E254</f>
        <v/>
      </c>
      <c r="F268" s="19">
        <f>F258*i_W_fix*F254</f>
        <v/>
      </c>
      <c r="G268" s="19">
        <f>G258*i_W_fix*G254</f>
        <v/>
      </c>
      <c r="H268" s="19">
        <f>H258*i_W_fix*H254</f>
        <v/>
      </c>
      <c r="I268" s="19">
        <f>I258*i_W_fix*I254</f>
        <v/>
      </c>
      <c r="J268" s="19">
        <f>J258*i_W_fix*J254</f>
        <v/>
      </c>
      <c r="K268" s="19">
        <f>K258*i_W_fix*K254</f>
        <v/>
      </c>
      <c r="L268" s="19">
        <f>L258*i_W_fix*L254</f>
        <v/>
      </c>
      <c r="M268" s="19">
        <f>M258*i_W_fix*M254</f>
        <v/>
      </c>
      <c r="N268" s="19">
        <f>N258*i_W_fix*N254</f>
        <v/>
      </c>
      <c r="O268" s="19">
        <f>O258*i_W_fix*O254</f>
        <v/>
      </c>
      <c r="P268" s="19">
        <f>P258*i_W_fix*P254</f>
        <v/>
      </c>
      <c r="Q268" s="19">
        <f>Q258*i_W_fix*Q254</f>
        <v/>
      </c>
      <c r="R268" s="19">
        <f>R258*i_W_fix*R254</f>
        <v/>
      </c>
      <c r="S268" s="19">
        <f>S258*i_W_fix*S254</f>
        <v/>
      </c>
      <c r="T268" s="19">
        <f>T258*i_W_fix*T254</f>
        <v/>
      </c>
      <c r="U268" s="19">
        <f>U258*i_W_fix*U254</f>
        <v/>
      </c>
      <c r="V268" s="19">
        <f>V258*i_W_fix*V254</f>
        <v/>
      </c>
      <c r="W268" s="19">
        <f>W258*i_W_fix*W254</f>
        <v/>
      </c>
      <c r="X268" s="19">
        <f>X258*i_W_fix*X254</f>
        <v/>
      </c>
      <c r="Y268" s="19">
        <f>Y258*i_W_fix*Y254</f>
        <v/>
      </c>
      <c r="Z268" s="19">
        <f>Z258*i_W_fix*Z254</f>
        <v/>
      </c>
      <c r="AA268" s="19">
        <f>AA258*i_W_fix*AA254</f>
        <v/>
      </c>
      <c r="AB268" s="19">
        <f>AB258*i_W_fix*AB254</f>
        <v/>
      </c>
      <c r="AC268" s="19">
        <f>AC258*i_W_fix*AC254</f>
        <v/>
      </c>
      <c r="AD268" s="19">
        <f>AD258*i_W_fix*AD254</f>
        <v/>
      </c>
      <c r="AE268" s="19">
        <f>AE258*i_W_fix*AE254</f>
        <v/>
      </c>
      <c r="AF268" s="19">
        <f>AF258*i_W_fix*AF254</f>
        <v/>
      </c>
      <c r="AG268" s="19">
        <f>AG258*i_W_fix*AG254</f>
        <v/>
      </c>
      <c r="AH268" s="19">
        <f>AH258*i_W_fix*AH254</f>
        <v/>
      </c>
      <c r="AI268" s="19">
        <f>AI258*i_W_fix*AI254</f>
        <v/>
      </c>
    </row>
    <row r="269">
      <c r="B269" s="2" t="inlineStr">
        <is>
          <t xml:space="preserve">  Variable cost</t>
        </is>
      </c>
      <c r="D269" s="19">
        <f>i_W_var*D267</f>
        <v/>
      </c>
      <c r="E269" s="19">
        <f>i_W_var*E267</f>
        <v/>
      </c>
      <c r="F269" s="19">
        <f>i_W_var*F267</f>
        <v/>
      </c>
      <c r="G269" s="19">
        <f>i_W_var*G267</f>
        <v/>
      </c>
      <c r="H269" s="19">
        <f>i_W_var*H267</f>
        <v/>
      </c>
      <c r="I269" s="19">
        <f>i_W_var*I267</f>
        <v/>
      </c>
      <c r="J269" s="19">
        <f>i_W_var*J267</f>
        <v/>
      </c>
      <c r="K269" s="19">
        <f>i_W_var*K267</f>
        <v/>
      </c>
      <c r="L269" s="19">
        <f>i_W_var*L267</f>
        <v/>
      </c>
      <c r="M269" s="19">
        <f>i_W_var*M267</f>
        <v/>
      </c>
      <c r="N269" s="19">
        <f>i_W_var*N267</f>
        <v/>
      </c>
      <c r="O269" s="19">
        <f>i_W_var*O267</f>
        <v/>
      </c>
      <c r="P269" s="19">
        <f>i_W_var*P267</f>
        <v/>
      </c>
      <c r="Q269" s="19">
        <f>i_W_var*Q267</f>
        <v/>
      </c>
      <c r="R269" s="19">
        <f>i_W_var*R267</f>
        <v/>
      </c>
      <c r="S269" s="19">
        <f>i_W_var*S267</f>
        <v/>
      </c>
      <c r="T269" s="19">
        <f>i_W_var*T267</f>
        <v/>
      </c>
      <c r="U269" s="19">
        <f>i_W_var*U267</f>
        <v/>
      </c>
      <c r="V269" s="19">
        <f>i_W_var*V267</f>
        <v/>
      </c>
      <c r="W269" s="19">
        <f>i_W_var*W267</f>
        <v/>
      </c>
      <c r="X269" s="19">
        <f>i_W_var*X267</f>
        <v/>
      </c>
      <c r="Y269" s="19">
        <f>i_W_var*Y267</f>
        <v/>
      </c>
      <c r="Z269" s="19">
        <f>i_W_var*Z267</f>
        <v/>
      </c>
      <c r="AA269" s="19">
        <f>i_W_var*AA267</f>
        <v/>
      </c>
      <c r="AB269" s="19">
        <f>i_W_var*AB267</f>
        <v/>
      </c>
      <c r="AC269" s="19">
        <f>i_W_var*AC267</f>
        <v/>
      </c>
      <c r="AD269" s="19">
        <f>i_W_var*AD267</f>
        <v/>
      </c>
      <c r="AE269" s="19">
        <f>i_W_var*AE267</f>
        <v/>
      </c>
      <c r="AF269" s="19">
        <f>i_W_var*AF267</f>
        <v/>
      </c>
      <c r="AG269" s="19">
        <f>i_W_var*AG267</f>
        <v/>
      </c>
      <c r="AH269" s="19">
        <f>i_W_var*AH267</f>
        <v/>
      </c>
      <c r="AI269" s="19">
        <f>i_W_var*AI267</f>
        <v/>
      </c>
    </row>
    <row r="270">
      <c r="B270" s="2" t="inlineStr">
        <is>
          <t xml:space="preserve">  Concession fee</t>
        </is>
      </c>
      <c r="D270" s="19">
        <f>IF(AND(Sensitivities!$C$251=1,D$3&gt;i_conc_end),i_renew_fee,i_W_fee)*D267</f>
        <v/>
      </c>
      <c r="E270" s="19">
        <f>IF(AND(Sensitivities!$C$251=1,E$3&gt;i_conc_end),i_renew_fee,i_W_fee)*E267</f>
        <v/>
      </c>
      <c r="F270" s="19">
        <f>IF(AND(Sensitivities!$C$251=1,F$3&gt;i_conc_end),i_renew_fee,i_W_fee)*F267</f>
        <v/>
      </c>
      <c r="G270" s="19">
        <f>IF(AND(Sensitivities!$C$251=1,G$3&gt;i_conc_end),i_renew_fee,i_W_fee)*G267</f>
        <v/>
      </c>
      <c r="H270" s="19">
        <f>IF(AND(Sensitivities!$C$251=1,H$3&gt;i_conc_end),i_renew_fee,i_W_fee)*H267</f>
        <v/>
      </c>
      <c r="I270" s="19">
        <f>IF(AND(Sensitivities!$C$251=1,I$3&gt;i_conc_end),i_renew_fee,i_W_fee)*I267</f>
        <v/>
      </c>
      <c r="J270" s="19">
        <f>IF(AND(Sensitivities!$C$251=1,J$3&gt;i_conc_end),i_renew_fee,i_W_fee)*J267</f>
        <v/>
      </c>
      <c r="K270" s="19">
        <f>IF(AND(Sensitivities!$C$251=1,K$3&gt;i_conc_end),i_renew_fee,i_W_fee)*K267</f>
        <v/>
      </c>
      <c r="L270" s="19">
        <f>IF(AND(Sensitivities!$C$251=1,L$3&gt;i_conc_end),i_renew_fee,i_W_fee)*L267</f>
        <v/>
      </c>
      <c r="M270" s="19">
        <f>IF(AND(Sensitivities!$C$251=1,M$3&gt;i_conc_end),i_renew_fee,i_W_fee)*M267</f>
        <v/>
      </c>
      <c r="N270" s="19">
        <f>IF(AND(Sensitivities!$C$251=1,N$3&gt;i_conc_end),i_renew_fee,i_W_fee)*N267</f>
        <v/>
      </c>
      <c r="O270" s="19">
        <f>IF(AND(Sensitivities!$C$251=1,O$3&gt;i_conc_end),i_renew_fee,i_W_fee)*O267</f>
        <v/>
      </c>
      <c r="P270" s="19">
        <f>IF(AND(Sensitivities!$C$251=1,P$3&gt;i_conc_end),i_renew_fee,i_W_fee)*P267</f>
        <v/>
      </c>
      <c r="Q270" s="19">
        <f>IF(AND(Sensitivities!$C$251=1,Q$3&gt;i_conc_end),i_renew_fee,i_W_fee)*Q267</f>
        <v/>
      </c>
      <c r="R270" s="19">
        <f>IF(AND(Sensitivities!$C$251=1,R$3&gt;i_conc_end),i_renew_fee,i_W_fee)*R267</f>
        <v/>
      </c>
      <c r="S270" s="19">
        <f>IF(AND(Sensitivities!$C$251=1,S$3&gt;i_conc_end),i_renew_fee,i_W_fee)*S267</f>
        <v/>
      </c>
      <c r="T270" s="19">
        <f>IF(AND(Sensitivities!$C$251=1,T$3&gt;i_conc_end),i_renew_fee,i_W_fee)*T267</f>
        <v/>
      </c>
      <c r="U270" s="19">
        <f>IF(AND(Sensitivities!$C$251=1,U$3&gt;i_conc_end),i_renew_fee,i_W_fee)*U267</f>
        <v/>
      </c>
      <c r="V270" s="19">
        <f>IF(AND(Sensitivities!$C$251=1,V$3&gt;i_conc_end),i_renew_fee,i_W_fee)*V267</f>
        <v/>
      </c>
      <c r="W270" s="19">
        <f>IF(AND(Sensitivities!$C$251=1,W$3&gt;i_conc_end),i_renew_fee,i_W_fee)*W267</f>
        <v/>
      </c>
      <c r="X270" s="19">
        <f>IF(AND(Sensitivities!$C$251=1,X$3&gt;i_conc_end),i_renew_fee,i_W_fee)*X267</f>
        <v/>
      </c>
      <c r="Y270" s="19">
        <f>IF(AND(Sensitivities!$C$251=1,Y$3&gt;i_conc_end),i_renew_fee,i_W_fee)*Y267</f>
        <v/>
      </c>
      <c r="Z270" s="19">
        <f>IF(AND(Sensitivities!$C$251=1,Z$3&gt;i_conc_end),i_renew_fee,i_W_fee)*Z267</f>
        <v/>
      </c>
      <c r="AA270" s="19">
        <f>IF(AND(Sensitivities!$C$251=1,AA$3&gt;i_conc_end),i_renew_fee,i_W_fee)*AA267</f>
        <v/>
      </c>
      <c r="AB270" s="19">
        <f>IF(AND(Sensitivities!$C$251=1,AB$3&gt;i_conc_end),i_renew_fee,i_W_fee)*AB267</f>
        <v/>
      </c>
      <c r="AC270" s="19">
        <f>IF(AND(Sensitivities!$C$251=1,AC$3&gt;i_conc_end),i_renew_fee,i_W_fee)*AC267</f>
        <v/>
      </c>
      <c r="AD270" s="19">
        <f>IF(AND(Sensitivities!$C$251=1,AD$3&gt;i_conc_end),i_renew_fee,i_W_fee)*AD267</f>
        <v/>
      </c>
      <c r="AE270" s="19">
        <f>IF(AND(Sensitivities!$C$251=1,AE$3&gt;i_conc_end),i_renew_fee,i_W_fee)*AE267</f>
        <v/>
      </c>
      <c r="AF270" s="19">
        <f>IF(AND(Sensitivities!$C$251=1,AF$3&gt;i_conc_end),i_renew_fee,i_W_fee)*AF267</f>
        <v/>
      </c>
      <c r="AG270" s="19">
        <f>IF(AND(Sensitivities!$C$251=1,AG$3&gt;i_conc_end),i_renew_fee,i_W_fee)*AG267</f>
        <v/>
      </c>
      <c r="AH270" s="19">
        <f>IF(AND(Sensitivities!$C$251=1,AH$3&gt;i_conc_end),i_renew_fee,i_W_fee)*AH267</f>
        <v/>
      </c>
      <c r="AI270" s="19">
        <f>IF(AND(Sensitivities!$C$251=1,AI$3&gt;i_conc_end),i_renew_fee,i_W_fee)*AI267</f>
        <v/>
      </c>
    </row>
    <row r="271">
      <c r="B271" s="2" t="inlineStr">
        <is>
          <t xml:space="preserve">  Operating cost</t>
        </is>
      </c>
      <c r="D271" s="19">
        <f>D268+D269+D270</f>
        <v/>
      </c>
      <c r="E271" s="19">
        <f>E268+E269+E270</f>
        <v/>
      </c>
      <c r="F271" s="19">
        <f>F268+F269+F270</f>
        <v/>
      </c>
      <c r="G271" s="19">
        <f>G268+G269+G270</f>
        <v/>
      </c>
      <c r="H271" s="19">
        <f>H268+H269+H270</f>
        <v/>
      </c>
      <c r="I271" s="19">
        <f>I268+I269+I270</f>
        <v/>
      </c>
      <c r="J271" s="19">
        <f>J268+J269+J270</f>
        <v/>
      </c>
      <c r="K271" s="19">
        <f>K268+K269+K270</f>
        <v/>
      </c>
      <c r="L271" s="19">
        <f>L268+L269+L270</f>
        <v/>
      </c>
      <c r="M271" s="19">
        <f>M268+M269+M270</f>
        <v/>
      </c>
      <c r="N271" s="19">
        <f>N268+N269+N270</f>
        <v/>
      </c>
      <c r="O271" s="19">
        <f>O268+O269+O270</f>
        <v/>
      </c>
      <c r="P271" s="19">
        <f>P268+P269+P270</f>
        <v/>
      </c>
      <c r="Q271" s="19">
        <f>Q268+Q269+Q270</f>
        <v/>
      </c>
      <c r="R271" s="19">
        <f>R268+R269+R270</f>
        <v/>
      </c>
      <c r="S271" s="19">
        <f>S268+S269+S270</f>
        <v/>
      </c>
      <c r="T271" s="19">
        <f>T268+T269+T270</f>
        <v/>
      </c>
      <c r="U271" s="19">
        <f>U268+U269+U270</f>
        <v/>
      </c>
      <c r="V271" s="19">
        <f>V268+V269+V270</f>
        <v/>
      </c>
      <c r="W271" s="19">
        <f>W268+W269+W270</f>
        <v/>
      </c>
      <c r="X271" s="19">
        <f>X268+X269+X270</f>
        <v/>
      </c>
      <c r="Y271" s="19">
        <f>Y268+Y269+Y270</f>
        <v/>
      </c>
      <c r="Z271" s="19">
        <f>Z268+Z269+Z270</f>
        <v/>
      </c>
      <c r="AA271" s="19">
        <f>AA268+AA269+AA270</f>
        <v/>
      </c>
      <c r="AB271" s="19">
        <f>AB268+AB269+AB270</f>
        <v/>
      </c>
      <c r="AC271" s="19">
        <f>AC268+AC269+AC270</f>
        <v/>
      </c>
      <c r="AD271" s="19">
        <f>AD268+AD269+AD270</f>
        <v/>
      </c>
      <c r="AE271" s="19">
        <f>AE268+AE269+AE270</f>
        <v/>
      </c>
      <c r="AF271" s="19">
        <f>AF268+AF269+AF270</f>
        <v/>
      </c>
      <c r="AG271" s="19">
        <f>AG268+AG269+AG270</f>
        <v/>
      </c>
      <c r="AH271" s="19">
        <f>AH268+AH269+AH270</f>
        <v/>
      </c>
      <c r="AI271" s="19">
        <f>AI268+AI269+AI270</f>
        <v/>
      </c>
    </row>
    <row r="272">
      <c r="B272" s="3" t="inlineStr">
        <is>
          <t xml:space="preserve">  EBITDA</t>
        </is>
      </c>
      <c r="D272" s="31">
        <f>D267-D271</f>
        <v/>
      </c>
      <c r="E272" s="31">
        <f>E267-E271</f>
        <v/>
      </c>
      <c r="F272" s="31">
        <f>F267-F271</f>
        <v/>
      </c>
      <c r="G272" s="31">
        <f>G267-G271</f>
        <v/>
      </c>
      <c r="H272" s="31">
        <f>H267-H271</f>
        <v/>
      </c>
      <c r="I272" s="31">
        <f>I267-I271</f>
        <v/>
      </c>
      <c r="J272" s="31">
        <f>J267-J271</f>
        <v/>
      </c>
      <c r="K272" s="31">
        <f>K267-K271</f>
        <v/>
      </c>
      <c r="L272" s="31">
        <f>L267-L271</f>
        <v/>
      </c>
      <c r="M272" s="31">
        <f>M267-M271</f>
        <v/>
      </c>
      <c r="N272" s="31">
        <f>N267-N271</f>
        <v/>
      </c>
      <c r="O272" s="31">
        <f>O267-O271</f>
        <v/>
      </c>
      <c r="P272" s="31">
        <f>P267-P271</f>
        <v/>
      </c>
      <c r="Q272" s="31">
        <f>Q267-Q271</f>
        <v/>
      </c>
      <c r="R272" s="31">
        <f>R267-R271</f>
        <v/>
      </c>
      <c r="S272" s="31">
        <f>S267-S271</f>
        <v/>
      </c>
      <c r="T272" s="31">
        <f>T267-T271</f>
        <v/>
      </c>
      <c r="U272" s="31">
        <f>U267-U271</f>
        <v/>
      </c>
      <c r="V272" s="31">
        <f>V267-V271</f>
        <v/>
      </c>
      <c r="W272" s="31">
        <f>W267-W271</f>
        <v/>
      </c>
      <c r="X272" s="31">
        <f>X267-X271</f>
        <v/>
      </c>
      <c r="Y272" s="31">
        <f>Y267-Y271</f>
        <v/>
      </c>
      <c r="Z272" s="31">
        <f>Z267-Z271</f>
        <v/>
      </c>
      <c r="AA272" s="31">
        <f>AA267-AA271</f>
        <v/>
      </c>
      <c r="AB272" s="31">
        <f>AB267-AB271</f>
        <v/>
      </c>
      <c r="AC272" s="31">
        <f>AC267-AC271</f>
        <v/>
      </c>
      <c r="AD272" s="31">
        <f>AD267-AD271</f>
        <v/>
      </c>
      <c r="AE272" s="31">
        <f>AE267-AE271</f>
        <v/>
      </c>
      <c r="AF272" s="31">
        <f>AF267-AF271</f>
        <v/>
      </c>
      <c r="AG272" s="31">
        <f>AG267-AG271</f>
        <v/>
      </c>
      <c r="AH272" s="31">
        <f>AH267-AH271</f>
        <v/>
      </c>
      <c r="AI272" s="31">
        <f>AI267-AI271</f>
        <v/>
      </c>
    </row>
    <row r="273">
      <c r="B273" s="2" t="inlineStr">
        <is>
          <t xml:space="preserve">  Maintenance capex (with jetty 3)</t>
        </is>
      </c>
      <c r="D273" s="19">
        <f>D258*i_W_mc*D254+D257*Sensitivities!$C$246*SUMIF(i_jetty_years,D$3,i_jetty_vals)*D254</f>
        <v/>
      </c>
      <c r="E273" s="19">
        <f>E258*i_W_mc*E254+E257*Sensitivities!$C$246*SUMIF(i_jetty_years,E$3,i_jetty_vals)*E254</f>
        <v/>
      </c>
      <c r="F273" s="19">
        <f>F258*i_W_mc*F254+F257*Sensitivities!$C$246*SUMIF(i_jetty_years,F$3,i_jetty_vals)*F254</f>
        <v/>
      </c>
      <c r="G273" s="19">
        <f>G258*i_W_mc*G254+G257*Sensitivities!$C$246*SUMIF(i_jetty_years,G$3,i_jetty_vals)*G254</f>
        <v/>
      </c>
      <c r="H273" s="19">
        <f>H258*i_W_mc*H254+H257*Sensitivities!$C$246*SUMIF(i_jetty_years,H$3,i_jetty_vals)*H254</f>
        <v/>
      </c>
      <c r="I273" s="19">
        <f>I258*i_W_mc*I254+I257*Sensitivities!$C$246*SUMIF(i_jetty_years,I$3,i_jetty_vals)*I254</f>
        <v/>
      </c>
      <c r="J273" s="19">
        <f>J258*i_W_mc*J254+J257*Sensitivities!$C$246*SUMIF(i_jetty_years,J$3,i_jetty_vals)*J254</f>
        <v/>
      </c>
      <c r="K273" s="19">
        <f>K258*i_W_mc*K254+K257*Sensitivities!$C$246*SUMIF(i_jetty_years,K$3,i_jetty_vals)*K254</f>
        <v/>
      </c>
      <c r="L273" s="19">
        <f>L258*i_W_mc*L254+L257*Sensitivities!$C$246*SUMIF(i_jetty_years,L$3,i_jetty_vals)*L254</f>
        <v/>
      </c>
      <c r="M273" s="19">
        <f>M258*i_W_mc*M254+M257*Sensitivities!$C$246*SUMIF(i_jetty_years,M$3,i_jetty_vals)*M254</f>
        <v/>
      </c>
      <c r="N273" s="19">
        <f>N258*i_W_mc*N254+N257*Sensitivities!$C$246*SUMIF(i_jetty_years,N$3,i_jetty_vals)*N254</f>
        <v/>
      </c>
      <c r="O273" s="19">
        <f>O258*i_W_mc*O254+O257*Sensitivities!$C$246*SUMIF(i_jetty_years,O$3,i_jetty_vals)*O254</f>
        <v/>
      </c>
      <c r="P273" s="19">
        <f>P258*i_W_mc*P254+P257*Sensitivities!$C$246*SUMIF(i_jetty_years,P$3,i_jetty_vals)*P254</f>
        <v/>
      </c>
      <c r="Q273" s="19">
        <f>Q258*i_W_mc*Q254+Q257*Sensitivities!$C$246*SUMIF(i_jetty_years,Q$3,i_jetty_vals)*Q254</f>
        <v/>
      </c>
      <c r="R273" s="19">
        <f>R258*i_W_mc*R254+R257*Sensitivities!$C$246*SUMIF(i_jetty_years,R$3,i_jetty_vals)*R254</f>
        <v/>
      </c>
      <c r="S273" s="19">
        <f>S258*i_W_mc*S254+S257*Sensitivities!$C$246*SUMIF(i_jetty_years,S$3,i_jetty_vals)*S254</f>
        <v/>
      </c>
      <c r="T273" s="19">
        <f>T258*i_W_mc*T254+T257*Sensitivities!$C$246*SUMIF(i_jetty_years,T$3,i_jetty_vals)*T254</f>
        <v/>
      </c>
      <c r="U273" s="19">
        <f>U258*i_W_mc*U254+U257*Sensitivities!$C$246*SUMIF(i_jetty_years,U$3,i_jetty_vals)*U254</f>
        <v/>
      </c>
      <c r="V273" s="19">
        <f>V258*i_W_mc*V254+V257*Sensitivities!$C$246*SUMIF(i_jetty_years,V$3,i_jetty_vals)*V254</f>
        <v/>
      </c>
      <c r="W273" s="19">
        <f>W258*i_W_mc*W254+W257*Sensitivities!$C$246*SUMIF(i_jetty_years,W$3,i_jetty_vals)*W254</f>
        <v/>
      </c>
      <c r="X273" s="19">
        <f>X258*i_W_mc*X254+X257*Sensitivities!$C$246*SUMIF(i_jetty_years,X$3,i_jetty_vals)*X254</f>
        <v/>
      </c>
      <c r="Y273" s="19">
        <f>Y258*i_W_mc*Y254+Y257*Sensitivities!$C$246*SUMIF(i_jetty_years,Y$3,i_jetty_vals)*Y254</f>
        <v/>
      </c>
      <c r="Z273" s="19">
        <f>Z258*i_W_mc*Z254+Z257*Sensitivities!$C$246*SUMIF(i_jetty_years,Z$3,i_jetty_vals)*Z254</f>
        <v/>
      </c>
      <c r="AA273" s="19">
        <f>AA258*i_W_mc*AA254+AA257*Sensitivities!$C$246*SUMIF(i_jetty_years,AA$3,i_jetty_vals)*AA254</f>
        <v/>
      </c>
      <c r="AB273" s="19">
        <f>AB258*i_W_mc*AB254+AB257*Sensitivities!$C$246*SUMIF(i_jetty_years,AB$3,i_jetty_vals)*AB254</f>
        <v/>
      </c>
      <c r="AC273" s="19">
        <f>AC258*i_W_mc*AC254+AC257*Sensitivities!$C$246*SUMIF(i_jetty_years,AC$3,i_jetty_vals)*AC254</f>
        <v/>
      </c>
      <c r="AD273" s="19">
        <f>AD258*i_W_mc*AD254+AD257*Sensitivities!$C$246*SUMIF(i_jetty_years,AD$3,i_jetty_vals)*AD254</f>
        <v/>
      </c>
      <c r="AE273" s="19">
        <f>AE258*i_W_mc*AE254+AE257*Sensitivities!$C$246*SUMIF(i_jetty_years,AE$3,i_jetty_vals)*AE254</f>
        <v/>
      </c>
      <c r="AF273" s="19">
        <f>AF258*i_W_mc*AF254+AF257*Sensitivities!$C$246*SUMIF(i_jetty_years,AF$3,i_jetty_vals)*AF254</f>
        <v/>
      </c>
      <c r="AG273" s="19">
        <f>AG258*i_W_mc*AG254+AG257*Sensitivities!$C$246*SUMIF(i_jetty_years,AG$3,i_jetty_vals)*AG254</f>
        <v/>
      </c>
      <c r="AH273" s="19">
        <f>AH258*i_W_mc*AH254+AH257*Sensitivities!$C$246*SUMIF(i_jetty_years,AH$3,i_jetty_vals)*AH254</f>
        <v/>
      </c>
      <c r="AI273" s="19">
        <f>AI258*i_W_mc*AI254+AI257*Sensitivities!$C$246*SUMIF(i_jetty_years,AI$3,i_jetty_vals)*AI254</f>
        <v/>
      </c>
    </row>
    <row r="274">
      <c r="B274" s="3" t="inlineStr">
        <is>
          <t>Rhine Inland</t>
        </is>
      </c>
    </row>
    <row r="275">
      <c r="B275" s="2" t="inlineStr">
        <is>
          <t xml:space="preserve">  Capacity in service (million m3)</t>
        </is>
      </c>
      <c r="D275" s="24">
        <f>i_R_cap</f>
        <v/>
      </c>
      <c r="E275" s="24">
        <f>i_R_cap</f>
        <v/>
      </c>
      <c r="F275" s="24">
        <f>i_R_cap</f>
        <v/>
      </c>
      <c r="G275" s="24">
        <f>i_R_cap</f>
        <v/>
      </c>
      <c r="H275" s="24">
        <f>i_R_cap</f>
        <v/>
      </c>
      <c r="I275" s="24">
        <f>i_R_cap</f>
        <v/>
      </c>
      <c r="J275" s="24">
        <f>i_R_cap</f>
        <v/>
      </c>
      <c r="K275" s="24">
        <f>i_R_cap</f>
        <v/>
      </c>
      <c r="L275" s="24">
        <f>i_R_cap</f>
        <v/>
      </c>
      <c r="M275" s="24">
        <f>i_R_cap</f>
        <v/>
      </c>
      <c r="N275" s="24">
        <f>i_R_cap</f>
        <v/>
      </c>
      <c r="O275" s="24">
        <f>i_R_cap</f>
        <v/>
      </c>
      <c r="P275" s="24">
        <f>i_R_cap</f>
        <v/>
      </c>
      <c r="Q275" s="24">
        <f>i_R_cap</f>
        <v/>
      </c>
      <c r="R275" s="24">
        <f>i_R_cap</f>
        <v/>
      </c>
      <c r="S275" s="24">
        <f>i_R_cap</f>
        <v/>
      </c>
      <c r="T275" s="24">
        <f>i_R_cap</f>
        <v/>
      </c>
      <c r="U275" s="24">
        <f>i_R_cap</f>
        <v/>
      </c>
      <c r="V275" s="24">
        <f>i_R_cap</f>
        <v/>
      </c>
      <c r="W275" s="24">
        <f>i_R_cap</f>
        <v/>
      </c>
      <c r="X275" s="24">
        <f>i_R_cap</f>
        <v/>
      </c>
      <c r="Y275" s="24">
        <f>i_R_cap</f>
        <v/>
      </c>
      <c r="Z275" s="24">
        <f>i_R_cap</f>
        <v/>
      </c>
      <c r="AA275" s="24">
        <f>i_R_cap</f>
        <v/>
      </c>
      <c r="AB275" s="24">
        <f>i_R_cap</f>
        <v/>
      </c>
      <c r="AC275" s="24">
        <f>i_R_cap</f>
        <v/>
      </c>
      <c r="AD275" s="24">
        <f>i_R_cap</f>
        <v/>
      </c>
      <c r="AE275" s="24">
        <f>i_R_cap</f>
        <v/>
      </c>
      <c r="AF275" s="24">
        <f>i_R_cap</f>
        <v/>
      </c>
      <c r="AG275" s="24">
        <f>i_R_cap</f>
        <v/>
      </c>
      <c r="AH275" s="24">
        <f>i_R_cap</f>
        <v/>
      </c>
      <c r="AI275" s="24">
        <f>i_R_cap</f>
        <v/>
      </c>
    </row>
    <row r="276">
      <c r="B276" s="2" t="inlineStr">
        <is>
          <t xml:space="preserve">  Share on contracts signed before 2027</t>
        </is>
      </c>
      <c r="D276" s="21">
        <f>SUMIF(i_book_years,D$3,i_R_book)</f>
        <v/>
      </c>
      <c r="E276" s="21">
        <f>SUMIF(i_book_years,E$3,i_R_book)</f>
        <v/>
      </c>
      <c r="F276" s="21">
        <f>SUMIF(i_book_years,F$3,i_R_book)</f>
        <v/>
      </c>
      <c r="G276" s="21">
        <f>SUMIF(i_book_years,G$3,i_R_book)</f>
        <v/>
      </c>
      <c r="H276" s="21">
        <f>SUMIF(i_book_years,H$3,i_R_book)</f>
        <v/>
      </c>
      <c r="I276" s="21">
        <f>SUMIF(i_book_years,I$3,i_R_book)</f>
        <v/>
      </c>
      <c r="J276" s="21">
        <f>SUMIF(i_book_years,J$3,i_R_book)</f>
        <v/>
      </c>
      <c r="K276" s="21">
        <f>SUMIF(i_book_years,K$3,i_R_book)</f>
        <v/>
      </c>
      <c r="L276" s="21">
        <f>SUMIF(i_book_years,L$3,i_R_book)</f>
        <v/>
      </c>
      <c r="M276" s="21">
        <f>SUMIF(i_book_years,M$3,i_R_book)</f>
        <v/>
      </c>
      <c r="N276" s="21">
        <f>SUMIF(i_book_years,N$3,i_R_book)</f>
        <v/>
      </c>
      <c r="O276" s="21">
        <f>SUMIF(i_book_years,O$3,i_R_book)</f>
        <v/>
      </c>
      <c r="P276" s="21">
        <f>SUMIF(i_book_years,P$3,i_R_book)</f>
        <v/>
      </c>
      <c r="Q276" s="21">
        <f>SUMIF(i_book_years,Q$3,i_R_book)</f>
        <v/>
      </c>
      <c r="R276" s="21">
        <f>SUMIF(i_book_years,R$3,i_R_book)</f>
        <v/>
      </c>
      <c r="S276" s="21">
        <f>SUMIF(i_book_years,S$3,i_R_book)</f>
        <v/>
      </c>
      <c r="T276" s="21">
        <f>SUMIF(i_book_years,T$3,i_R_book)</f>
        <v/>
      </c>
      <c r="U276" s="21">
        <f>SUMIF(i_book_years,U$3,i_R_book)</f>
        <v/>
      </c>
      <c r="V276" s="21">
        <f>SUMIF(i_book_years,V$3,i_R_book)</f>
        <v/>
      </c>
      <c r="W276" s="21">
        <f>SUMIF(i_book_years,W$3,i_R_book)</f>
        <v/>
      </c>
      <c r="X276" s="21">
        <f>SUMIF(i_book_years,X$3,i_R_book)</f>
        <v/>
      </c>
      <c r="Y276" s="21">
        <f>SUMIF(i_book_years,Y$3,i_R_book)</f>
        <v/>
      </c>
      <c r="Z276" s="21">
        <f>SUMIF(i_book_years,Z$3,i_R_book)</f>
        <v/>
      </c>
      <c r="AA276" s="21">
        <f>SUMIF(i_book_years,AA$3,i_R_book)</f>
        <v/>
      </c>
      <c r="AB276" s="21">
        <f>SUMIF(i_book_years,AB$3,i_R_book)</f>
        <v/>
      </c>
      <c r="AC276" s="21">
        <f>SUMIF(i_book_years,AC$3,i_R_book)</f>
        <v/>
      </c>
      <c r="AD276" s="21">
        <f>SUMIF(i_book_years,AD$3,i_R_book)</f>
        <v/>
      </c>
      <c r="AE276" s="21">
        <f>SUMIF(i_book_years,AE$3,i_R_book)</f>
        <v/>
      </c>
      <c r="AF276" s="21">
        <f>SUMIF(i_book_years,AF$3,i_R_book)</f>
        <v/>
      </c>
      <c r="AG276" s="21">
        <f>SUMIF(i_book_years,AG$3,i_R_book)</f>
        <v/>
      </c>
      <c r="AH276" s="21">
        <f>SUMIF(i_book_years,AH$3,i_R_book)</f>
        <v/>
      </c>
      <c r="AI276" s="21">
        <f>SUMIF(i_book_years,AI$3,i_R_book)</f>
        <v/>
      </c>
    </row>
    <row r="277">
      <c r="B277" s="2" t="inlineStr">
        <is>
          <t xml:space="preserve">  Recontracting factor against current rates</t>
        </is>
      </c>
      <c r="D277" s="21">
        <f>IF(D$4=0,0,IF(Sensitivities!$C$244=1,i_R_mtm,i_R_mtm_plan)+Sensitivities!$C$250)</f>
        <v/>
      </c>
      <c r="E277" s="21">
        <f>IF(E$4=0,0,IF(Sensitivities!$C$244=1,i_R_mtm,i_R_mtm_plan)+Sensitivities!$C$250)</f>
        <v/>
      </c>
      <c r="F277" s="21">
        <f>IF(F$4=0,0,IF(Sensitivities!$C$244=1,i_R_mtm,i_R_mtm_plan)+Sensitivities!$C$250)</f>
        <v/>
      </c>
      <c r="G277" s="21">
        <f>IF(G$4=0,0,IF(Sensitivities!$C$244=1,i_R_mtm,i_R_mtm_plan)+Sensitivities!$C$250)</f>
        <v/>
      </c>
      <c r="H277" s="21">
        <f>IF(H$4=0,0,IF(Sensitivities!$C$244=1,i_R_mtm,i_R_mtm_plan)+Sensitivities!$C$250)</f>
        <v/>
      </c>
      <c r="I277" s="21">
        <f>IF(I$4=0,0,IF(Sensitivities!$C$244=1,i_R_mtm,i_R_mtm_plan)+Sensitivities!$C$250)</f>
        <v/>
      </c>
      <c r="J277" s="21">
        <f>IF(J$4=0,0,IF(Sensitivities!$C$244=1,i_R_mtm,i_R_mtm_plan)+Sensitivities!$C$250)</f>
        <v/>
      </c>
      <c r="K277" s="21">
        <f>IF(K$4=0,0,IF(Sensitivities!$C$244=1,i_R_mtm,i_R_mtm_plan)+Sensitivities!$C$250)</f>
        <v/>
      </c>
      <c r="L277" s="21">
        <f>IF(L$4=0,0,IF(Sensitivities!$C$244=1,i_R_mtm,i_R_mtm_plan)+Sensitivities!$C$250)</f>
        <v/>
      </c>
      <c r="M277" s="21">
        <f>IF(M$4=0,0,IF(Sensitivities!$C$244=1,i_R_mtm,i_R_mtm_plan)+Sensitivities!$C$250)</f>
        <v/>
      </c>
      <c r="N277" s="21">
        <f>IF(N$4=0,0,IF(Sensitivities!$C$244=1,i_R_mtm,i_R_mtm_plan)+Sensitivities!$C$250)</f>
        <v/>
      </c>
      <c r="O277" s="21">
        <f>IF(O$4=0,0,IF(Sensitivities!$C$244=1,i_R_mtm,i_R_mtm_plan)+Sensitivities!$C$250)</f>
        <v/>
      </c>
      <c r="P277" s="21">
        <f>IF(P$4=0,0,IF(Sensitivities!$C$244=1,i_R_mtm,i_R_mtm_plan)+Sensitivities!$C$250)</f>
        <v/>
      </c>
      <c r="Q277" s="21">
        <f>IF(Q$4=0,0,IF(Sensitivities!$C$244=1,i_R_mtm,i_R_mtm_plan)+Sensitivities!$C$250)</f>
        <v/>
      </c>
      <c r="R277" s="21">
        <f>IF(R$4=0,0,IF(Sensitivities!$C$244=1,i_R_mtm,i_R_mtm_plan)+Sensitivities!$C$250)</f>
        <v/>
      </c>
      <c r="S277" s="21">
        <f>IF(S$4=0,0,IF(Sensitivities!$C$244=1,i_R_mtm,i_R_mtm_plan)+Sensitivities!$C$250)</f>
        <v/>
      </c>
      <c r="T277" s="21">
        <f>IF(T$4=0,0,IF(Sensitivities!$C$244=1,i_R_mtm,i_R_mtm_plan)+Sensitivities!$C$250)</f>
        <v/>
      </c>
      <c r="U277" s="21">
        <f>IF(U$4=0,0,IF(Sensitivities!$C$244=1,i_R_mtm,i_R_mtm_plan)+Sensitivities!$C$250)</f>
        <v/>
      </c>
      <c r="V277" s="21">
        <f>IF(V$4=0,0,IF(Sensitivities!$C$244=1,i_R_mtm,i_R_mtm_plan)+Sensitivities!$C$250)</f>
        <v/>
      </c>
      <c r="W277" s="21">
        <f>IF(W$4=0,0,IF(Sensitivities!$C$244=1,i_R_mtm,i_R_mtm_plan)+Sensitivities!$C$250)</f>
        <v/>
      </c>
      <c r="X277" s="21">
        <f>IF(X$4=0,0,IF(Sensitivities!$C$244=1,i_R_mtm,i_R_mtm_plan)+Sensitivities!$C$250)</f>
        <v/>
      </c>
      <c r="Y277" s="21">
        <f>IF(Y$4=0,0,IF(Sensitivities!$C$244=1,i_R_mtm,i_R_mtm_plan)+Sensitivities!$C$250)</f>
        <v/>
      </c>
      <c r="Z277" s="21">
        <f>IF(Z$4=0,0,IF(Sensitivities!$C$244=1,i_R_mtm,i_R_mtm_plan)+Sensitivities!$C$250)</f>
        <v/>
      </c>
      <c r="AA277" s="21">
        <f>IF(AA$4=0,0,IF(Sensitivities!$C$244=1,i_R_mtm,i_R_mtm_plan)+Sensitivities!$C$250)</f>
        <v/>
      </c>
      <c r="AB277" s="21">
        <f>IF(AB$4=0,0,IF(Sensitivities!$C$244=1,i_R_mtm,i_R_mtm_plan)+Sensitivities!$C$250)</f>
        <v/>
      </c>
      <c r="AC277" s="21">
        <f>IF(AC$4=0,0,IF(Sensitivities!$C$244=1,i_R_mtm,i_R_mtm_plan)+Sensitivities!$C$250)</f>
        <v/>
      </c>
      <c r="AD277" s="21">
        <f>IF(AD$4=0,0,IF(Sensitivities!$C$244=1,i_R_mtm,i_R_mtm_plan)+Sensitivities!$C$250)</f>
        <v/>
      </c>
      <c r="AE277" s="21">
        <f>IF(AE$4=0,0,IF(Sensitivities!$C$244=1,i_R_mtm,i_R_mtm_plan)+Sensitivities!$C$250)</f>
        <v/>
      </c>
      <c r="AF277" s="21">
        <f>IF(AF$4=0,0,IF(Sensitivities!$C$244=1,i_R_mtm,i_R_mtm_plan)+Sensitivities!$C$250)</f>
        <v/>
      </c>
      <c r="AG277" s="21">
        <f>IF(AG$4=0,0,IF(Sensitivities!$C$244=1,i_R_mtm,i_R_mtm_plan)+Sensitivities!$C$250)</f>
        <v/>
      </c>
      <c r="AH277" s="21">
        <f>IF(AH$4=0,0,IF(Sensitivities!$C$244=1,i_R_mtm,i_R_mtm_plan)+Sensitivities!$C$250)</f>
        <v/>
      </c>
      <c r="AI277" s="21">
        <f>IF(AI$4=0,0,IF(Sensitivities!$C$244=1,i_R_mtm,i_R_mtm_plan)+Sensitivities!$C$250)</f>
        <v/>
      </c>
    </row>
    <row r="278">
      <c r="B278" s="2" t="inlineStr">
        <is>
          <t xml:space="preserve">  Average rate ($ per m3 per month)</t>
        </is>
      </c>
      <c r="D278" s="24">
        <f>i_R_rate*D255*(D276+(1-D276)*(1+D277))</f>
        <v/>
      </c>
      <c r="E278" s="24">
        <f>i_R_rate*E255*(E276+(1-E276)*(1+E277))</f>
        <v/>
      </c>
      <c r="F278" s="24">
        <f>i_R_rate*F255*(F276+(1-F276)*(1+F277))</f>
        <v/>
      </c>
      <c r="G278" s="24">
        <f>i_R_rate*G255*(G276+(1-G276)*(1+G277))</f>
        <v/>
      </c>
      <c r="H278" s="24">
        <f>i_R_rate*H255*(H276+(1-H276)*(1+H277))</f>
        <v/>
      </c>
      <c r="I278" s="24">
        <f>i_R_rate*I255*(I276+(1-I276)*(1+I277))</f>
        <v/>
      </c>
      <c r="J278" s="24">
        <f>i_R_rate*J255*(J276+(1-J276)*(1+J277))</f>
        <v/>
      </c>
      <c r="K278" s="24">
        <f>i_R_rate*K255*(K276+(1-K276)*(1+K277))</f>
        <v/>
      </c>
      <c r="L278" s="24">
        <f>i_R_rate*L255*(L276+(1-L276)*(1+L277))</f>
        <v/>
      </c>
      <c r="M278" s="24">
        <f>i_R_rate*M255*(M276+(1-M276)*(1+M277))</f>
        <v/>
      </c>
      <c r="N278" s="24">
        <f>i_R_rate*N255*(N276+(1-N276)*(1+N277))</f>
        <v/>
      </c>
      <c r="O278" s="24">
        <f>i_R_rate*O255*(O276+(1-O276)*(1+O277))</f>
        <v/>
      </c>
      <c r="P278" s="24">
        <f>i_R_rate*P255*(P276+(1-P276)*(1+P277))</f>
        <v/>
      </c>
      <c r="Q278" s="24">
        <f>i_R_rate*Q255*(Q276+(1-Q276)*(1+Q277))</f>
        <v/>
      </c>
      <c r="R278" s="24">
        <f>i_R_rate*R255*(R276+(1-R276)*(1+R277))</f>
        <v/>
      </c>
      <c r="S278" s="24">
        <f>i_R_rate*S255*(S276+(1-S276)*(1+S277))</f>
        <v/>
      </c>
      <c r="T278" s="24">
        <f>i_R_rate*T255*(T276+(1-T276)*(1+T277))</f>
        <v/>
      </c>
      <c r="U278" s="24">
        <f>i_R_rate*U255*(U276+(1-U276)*(1+U277))</f>
        <v/>
      </c>
      <c r="V278" s="24">
        <f>i_R_rate*V255*(V276+(1-V276)*(1+V277))</f>
        <v/>
      </c>
      <c r="W278" s="24">
        <f>i_R_rate*W255*(W276+(1-W276)*(1+W277))</f>
        <v/>
      </c>
      <c r="X278" s="24">
        <f>i_R_rate*X255*(X276+(1-X276)*(1+X277))</f>
        <v/>
      </c>
      <c r="Y278" s="24">
        <f>i_R_rate*Y255*(Y276+(1-Y276)*(1+Y277))</f>
        <v/>
      </c>
      <c r="Z278" s="24">
        <f>i_R_rate*Z255*(Z276+(1-Z276)*(1+Z277))</f>
        <v/>
      </c>
      <c r="AA278" s="24">
        <f>i_R_rate*AA255*(AA276+(1-AA276)*(1+AA277))</f>
        <v/>
      </c>
      <c r="AB278" s="24">
        <f>i_R_rate*AB255*(AB276+(1-AB276)*(1+AB277))</f>
        <v/>
      </c>
      <c r="AC278" s="24">
        <f>i_R_rate*AC255*(AC276+(1-AC276)*(1+AC277))</f>
        <v/>
      </c>
      <c r="AD278" s="24">
        <f>i_R_rate*AD255*(AD276+(1-AD276)*(1+AD277))</f>
        <v/>
      </c>
      <c r="AE278" s="24">
        <f>i_R_rate*AE255*(AE276+(1-AE276)*(1+AE277))</f>
        <v/>
      </c>
      <c r="AF278" s="24">
        <f>i_R_rate*AF255*(AF276+(1-AF276)*(1+AF277))</f>
        <v/>
      </c>
      <c r="AG278" s="24">
        <f>i_R_rate*AG255*(AG276+(1-AG276)*(1+AG277))</f>
        <v/>
      </c>
      <c r="AH278" s="24">
        <f>i_R_rate*AH255*(AH276+(1-AH276)*(1+AH277))</f>
        <v/>
      </c>
      <c r="AI278" s="24">
        <f>i_R_rate*AI255*(AI276+(1-AI276)*(1+AI277))</f>
        <v/>
      </c>
    </row>
    <row r="279">
      <c r="B279" s="2" t="inlineStr">
        <is>
          <t xml:space="preserve">  Occupancy after the transition decline and floor</t>
        </is>
      </c>
      <c r="D279" s="21">
        <f>IF(D$3&gt;i_trans_start,MAX(i_R_floor,i_R_occ-i_R_dec*(D$3-i_trans_start)),i_R_occ)</f>
        <v/>
      </c>
      <c r="E279" s="21">
        <f>IF(E$3&gt;i_trans_start,MAX(i_R_floor,i_R_occ-i_R_dec*(E$3-i_trans_start)),i_R_occ)</f>
        <v/>
      </c>
      <c r="F279" s="21">
        <f>IF(F$3&gt;i_trans_start,MAX(i_R_floor,i_R_occ-i_R_dec*(F$3-i_trans_start)),i_R_occ)</f>
        <v/>
      </c>
      <c r="G279" s="21">
        <f>IF(G$3&gt;i_trans_start,MAX(i_R_floor,i_R_occ-i_R_dec*(G$3-i_trans_start)),i_R_occ)</f>
        <v/>
      </c>
      <c r="H279" s="21">
        <f>IF(H$3&gt;i_trans_start,MAX(i_R_floor,i_R_occ-i_R_dec*(H$3-i_trans_start)),i_R_occ)</f>
        <v/>
      </c>
      <c r="I279" s="21">
        <f>IF(I$3&gt;i_trans_start,MAX(i_R_floor,i_R_occ-i_R_dec*(I$3-i_trans_start)),i_R_occ)</f>
        <v/>
      </c>
      <c r="J279" s="21">
        <f>IF(J$3&gt;i_trans_start,MAX(i_R_floor,i_R_occ-i_R_dec*(J$3-i_trans_start)),i_R_occ)</f>
        <v/>
      </c>
      <c r="K279" s="21">
        <f>IF(K$3&gt;i_trans_start,MAX(i_R_floor,i_R_occ-i_R_dec*(K$3-i_trans_start)),i_R_occ)</f>
        <v/>
      </c>
      <c r="L279" s="21">
        <f>IF(L$3&gt;i_trans_start,MAX(i_R_floor,i_R_occ-i_R_dec*(L$3-i_trans_start)),i_R_occ)</f>
        <v/>
      </c>
      <c r="M279" s="21">
        <f>IF(M$3&gt;i_trans_start,MAX(i_R_floor,i_R_occ-i_R_dec*(M$3-i_trans_start)),i_R_occ)</f>
        <v/>
      </c>
      <c r="N279" s="21">
        <f>IF(N$3&gt;i_trans_start,MAX(i_R_floor,i_R_occ-i_R_dec*(N$3-i_trans_start)),i_R_occ)</f>
        <v/>
      </c>
      <c r="O279" s="21">
        <f>IF(O$3&gt;i_trans_start,MAX(i_R_floor,i_R_occ-i_R_dec*(O$3-i_trans_start)),i_R_occ)</f>
        <v/>
      </c>
      <c r="P279" s="21">
        <f>IF(P$3&gt;i_trans_start,MAX(i_R_floor,i_R_occ-i_R_dec*(P$3-i_trans_start)),i_R_occ)</f>
        <v/>
      </c>
      <c r="Q279" s="21">
        <f>IF(Q$3&gt;i_trans_start,MAX(i_R_floor,i_R_occ-i_R_dec*(Q$3-i_trans_start)),i_R_occ)</f>
        <v/>
      </c>
      <c r="R279" s="21">
        <f>IF(R$3&gt;i_trans_start,MAX(i_R_floor,i_R_occ-i_R_dec*(R$3-i_trans_start)),i_R_occ)</f>
        <v/>
      </c>
      <c r="S279" s="21">
        <f>IF(S$3&gt;i_trans_start,MAX(i_R_floor,i_R_occ-i_R_dec*(S$3-i_trans_start)),i_R_occ)</f>
        <v/>
      </c>
      <c r="T279" s="21">
        <f>IF(T$3&gt;i_trans_start,MAX(i_R_floor,i_R_occ-i_R_dec*(T$3-i_trans_start)),i_R_occ)</f>
        <v/>
      </c>
      <c r="U279" s="21">
        <f>IF(U$3&gt;i_trans_start,MAX(i_R_floor,i_R_occ-i_R_dec*(U$3-i_trans_start)),i_R_occ)</f>
        <v/>
      </c>
      <c r="V279" s="21">
        <f>IF(V$3&gt;i_trans_start,MAX(i_R_floor,i_R_occ-i_R_dec*(V$3-i_trans_start)),i_R_occ)</f>
        <v/>
      </c>
      <c r="W279" s="21">
        <f>IF(W$3&gt;i_trans_start,MAX(i_R_floor,i_R_occ-i_R_dec*(W$3-i_trans_start)),i_R_occ)</f>
        <v/>
      </c>
      <c r="X279" s="21">
        <f>IF(X$3&gt;i_trans_start,MAX(i_R_floor,i_R_occ-i_R_dec*(X$3-i_trans_start)),i_R_occ)</f>
        <v/>
      </c>
      <c r="Y279" s="21">
        <f>IF(Y$3&gt;i_trans_start,MAX(i_R_floor,i_R_occ-i_R_dec*(Y$3-i_trans_start)),i_R_occ)</f>
        <v/>
      </c>
      <c r="Z279" s="21">
        <f>IF(Z$3&gt;i_trans_start,MAX(i_R_floor,i_R_occ-i_R_dec*(Z$3-i_trans_start)),i_R_occ)</f>
        <v/>
      </c>
      <c r="AA279" s="21">
        <f>IF(AA$3&gt;i_trans_start,MAX(i_R_floor,i_R_occ-i_R_dec*(AA$3-i_trans_start)),i_R_occ)</f>
        <v/>
      </c>
      <c r="AB279" s="21">
        <f>IF(AB$3&gt;i_trans_start,MAX(i_R_floor,i_R_occ-i_R_dec*(AB$3-i_trans_start)),i_R_occ)</f>
        <v/>
      </c>
      <c r="AC279" s="21">
        <f>IF(AC$3&gt;i_trans_start,MAX(i_R_floor,i_R_occ-i_R_dec*(AC$3-i_trans_start)),i_R_occ)</f>
        <v/>
      </c>
      <c r="AD279" s="21">
        <f>IF(AD$3&gt;i_trans_start,MAX(i_R_floor,i_R_occ-i_R_dec*(AD$3-i_trans_start)),i_R_occ)</f>
        <v/>
      </c>
      <c r="AE279" s="21">
        <f>IF(AE$3&gt;i_trans_start,MAX(i_R_floor,i_R_occ-i_R_dec*(AE$3-i_trans_start)),i_R_occ)</f>
        <v/>
      </c>
      <c r="AF279" s="21">
        <f>IF(AF$3&gt;i_trans_start,MAX(i_R_floor,i_R_occ-i_R_dec*(AF$3-i_trans_start)),i_R_occ)</f>
        <v/>
      </c>
      <c r="AG279" s="21">
        <f>IF(AG$3&gt;i_trans_start,MAX(i_R_floor,i_R_occ-i_R_dec*(AG$3-i_trans_start)),i_R_occ)</f>
        <v/>
      </c>
      <c r="AH279" s="21">
        <f>IF(AH$3&gt;i_trans_start,MAX(i_R_floor,i_R_occ-i_R_dec*(AH$3-i_trans_start)),i_R_occ)</f>
        <v/>
      </c>
      <c r="AI279" s="21">
        <f>IF(AI$3&gt;i_trans_start,MAX(i_R_floor,i_R_occ-i_R_dec*(AI$3-i_trans_start)),i_R_occ)</f>
        <v/>
      </c>
    </row>
    <row r="280">
      <c r="B280" s="2" t="inlineStr">
        <is>
          <t xml:space="preserve">  Occupancy (with the shift switch from 2027)</t>
        </is>
      </c>
      <c r="D280" s="21">
        <f>IF(D$4&gt;0,MIN(1,D279+Sensitivities!$C$249),D279)</f>
        <v/>
      </c>
      <c r="E280" s="21">
        <f>IF(E$4&gt;0,MIN(1,E279+Sensitivities!$C$249),E279)</f>
        <v/>
      </c>
      <c r="F280" s="21">
        <f>IF(F$4&gt;0,MIN(1,F279+Sensitivities!$C$249),F279)</f>
        <v/>
      </c>
      <c r="G280" s="21">
        <f>IF(G$4&gt;0,MIN(1,G279+Sensitivities!$C$249),G279)</f>
        <v/>
      </c>
      <c r="H280" s="21">
        <f>IF(H$4&gt;0,MIN(1,H279+Sensitivities!$C$249),H279)</f>
        <v/>
      </c>
      <c r="I280" s="21">
        <f>IF(I$4&gt;0,MIN(1,I279+Sensitivities!$C$249),I279)</f>
        <v/>
      </c>
      <c r="J280" s="21">
        <f>IF(J$4&gt;0,MIN(1,J279+Sensitivities!$C$249),J279)</f>
        <v/>
      </c>
      <c r="K280" s="21">
        <f>IF(K$4&gt;0,MIN(1,K279+Sensitivities!$C$249),K279)</f>
        <v/>
      </c>
      <c r="L280" s="21">
        <f>IF(L$4&gt;0,MIN(1,L279+Sensitivities!$C$249),L279)</f>
        <v/>
      </c>
      <c r="M280" s="21">
        <f>IF(M$4&gt;0,MIN(1,M279+Sensitivities!$C$249),M279)</f>
        <v/>
      </c>
      <c r="N280" s="21">
        <f>IF(N$4&gt;0,MIN(1,N279+Sensitivities!$C$249),N279)</f>
        <v/>
      </c>
      <c r="O280" s="21">
        <f>IF(O$4&gt;0,MIN(1,O279+Sensitivities!$C$249),O279)</f>
        <v/>
      </c>
      <c r="P280" s="21">
        <f>IF(P$4&gt;0,MIN(1,P279+Sensitivities!$C$249),P279)</f>
        <v/>
      </c>
      <c r="Q280" s="21">
        <f>IF(Q$4&gt;0,MIN(1,Q279+Sensitivities!$C$249),Q279)</f>
        <v/>
      </c>
      <c r="R280" s="21">
        <f>IF(R$4&gt;0,MIN(1,R279+Sensitivities!$C$249),R279)</f>
        <v/>
      </c>
      <c r="S280" s="21">
        <f>IF(S$4&gt;0,MIN(1,S279+Sensitivities!$C$249),S279)</f>
        <v/>
      </c>
      <c r="T280" s="21">
        <f>IF(T$4&gt;0,MIN(1,T279+Sensitivities!$C$249),T279)</f>
        <v/>
      </c>
      <c r="U280" s="21">
        <f>IF(U$4&gt;0,MIN(1,U279+Sensitivities!$C$249),U279)</f>
        <v/>
      </c>
      <c r="V280" s="21">
        <f>IF(V$4&gt;0,MIN(1,V279+Sensitivities!$C$249),V279)</f>
        <v/>
      </c>
      <c r="W280" s="21">
        <f>IF(W$4&gt;0,MIN(1,W279+Sensitivities!$C$249),W279)</f>
        <v/>
      </c>
      <c r="X280" s="21">
        <f>IF(X$4&gt;0,MIN(1,X279+Sensitivities!$C$249),X279)</f>
        <v/>
      </c>
      <c r="Y280" s="21">
        <f>IF(Y$4&gt;0,MIN(1,Y279+Sensitivities!$C$249),Y279)</f>
        <v/>
      </c>
      <c r="Z280" s="21">
        <f>IF(Z$4&gt;0,MIN(1,Z279+Sensitivities!$C$249),Z279)</f>
        <v/>
      </c>
      <c r="AA280" s="21">
        <f>IF(AA$4&gt;0,MIN(1,AA279+Sensitivities!$C$249),AA279)</f>
        <v/>
      </c>
      <c r="AB280" s="21">
        <f>IF(AB$4&gt;0,MIN(1,AB279+Sensitivities!$C$249),AB279)</f>
        <v/>
      </c>
      <c r="AC280" s="21">
        <f>IF(AC$4&gt;0,MIN(1,AC279+Sensitivities!$C$249),AC279)</f>
        <v/>
      </c>
      <c r="AD280" s="21">
        <f>IF(AD$4&gt;0,MIN(1,AD279+Sensitivities!$C$249),AD279)</f>
        <v/>
      </c>
      <c r="AE280" s="21">
        <f>IF(AE$4&gt;0,MIN(1,AE279+Sensitivities!$C$249),AE279)</f>
        <v/>
      </c>
      <c r="AF280" s="21">
        <f>IF(AF$4&gt;0,MIN(1,AF279+Sensitivities!$C$249),AF279)</f>
        <v/>
      </c>
      <c r="AG280" s="21">
        <f>IF(AG$4&gt;0,MIN(1,AG279+Sensitivities!$C$249),AG279)</f>
        <v/>
      </c>
      <c r="AH280" s="21">
        <f>IF(AH$4&gt;0,MIN(1,AH279+Sensitivities!$C$249),AH279)</f>
        <v/>
      </c>
      <c r="AI280" s="21">
        <f>IF(AI$4&gt;0,MIN(1,AI279+Sensitivities!$C$249),AI279)</f>
        <v/>
      </c>
    </row>
    <row r="281">
      <c r="B281" s="2" t="inlineStr">
        <is>
          <t xml:space="preserve">  Storage revenue</t>
        </is>
      </c>
      <c r="D281" s="19">
        <f>D275*D278*12*D280</f>
        <v/>
      </c>
      <c r="E281" s="19">
        <f>E275*E278*12*E280</f>
        <v/>
      </c>
      <c r="F281" s="19">
        <f>F275*F278*12*F280</f>
        <v/>
      </c>
      <c r="G281" s="19">
        <f>G275*G278*12*G280</f>
        <v/>
      </c>
      <c r="H281" s="19">
        <f>H275*H278*12*H280</f>
        <v/>
      </c>
      <c r="I281" s="19">
        <f>I275*I278*12*I280</f>
        <v/>
      </c>
      <c r="J281" s="19">
        <f>J275*J278*12*J280</f>
        <v/>
      </c>
      <c r="K281" s="19">
        <f>K275*K278*12*K280</f>
        <v/>
      </c>
      <c r="L281" s="19">
        <f>L275*L278*12*L280</f>
        <v/>
      </c>
      <c r="M281" s="19">
        <f>M275*M278*12*M280</f>
        <v/>
      </c>
      <c r="N281" s="19">
        <f>N275*N278*12*N280</f>
        <v/>
      </c>
      <c r="O281" s="19">
        <f>O275*O278*12*O280</f>
        <v/>
      </c>
      <c r="P281" s="19">
        <f>P275*P278*12*P280</f>
        <v/>
      </c>
      <c r="Q281" s="19">
        <f>Q275*Q278*12*Q280</f>
        <v/>
      </c>
      <c r="R281" s="19">
        <f>R275*R278*12*R280</f>
        <v/>
      </c>
      <c r="S281" s="19">
        <f>S275*S278*12*S280</f>
        <v/>
      </c>
      <c r="T281" s="19">
        <f>T275*T278*12*T280</f>
        <v/>
      </c>
      <c r="U281" s="19">
        <f>U275*U278*12*U280</f>
        <v/>
      </c>
      <c r="V281" s="19">
        <f>V275*V278*12*V280</f>
        <v/>
      </c>
      <c r="W281" s="19">
        <f>W275*W278*12*W280</f>
        <v/>
      </c>
      <c r="X281" s="19">
        <f>X275*X278*12*X280</f>
        <v/>
      </c>
      <c r="Y281" s="19">
        <f>Y275*Y278*12*Y280</f>
        <v/>
      </c>
      <c r="Z281" s="19">
        <f>Z275*Z278*12*Z280</f>
        <v/>
      </c>
      <c r="AA281" s="19">
        <f>AA275*AA278*12*AA280</f>
        <v/>
      </c>
      <c r="AB281" s="19">
        <f>AB275*AB278*12*AB280</f>
        <v/>
      </c>
      <c r="AC281" s="19">
        <f>AC275*AC278*12*AC280</f>
        <v/>
      </c>
      <c r="AD281" s="19">
        <f>AD275*AD278*12*AD280</f>
        <v/>
      </c>
      <c r="AE281" s="19">
        <f>AE275*AE278*12*AE280</f>
        <v/>
      </c>
      <c r="AF281" s="19">
        <f>AF275*AF278*12*AF280</f>
        <v/>
      </c>
      <c r="AG281" s="19">
        <f>AG275*AG278*12*AG280</f>
        <v/>
      </c>
      <c r="AH281" s="19">
        <f>AH275*AH278*12*AH280</f>
        <v/>
      </c>
      <c r="AI281" s="19">
        <f>AI275*AI278*12*AI280</f>
        <v/>
      </c>
    </row>
    <row r="282">
      <c r="B282" s="2" t="inlineStr">
        <is>
          <t xml:space="preserve">  Ancillary and throughput revenue</t>
        </is>
      </c>
      <c r="D282" s="19">
        <f>D281*i_R_anc</f>
        <v/>
      </c>
      <c r="E282" s="19">
        <f>E281*i_R_anc</f>
        <v/>
      </c>
      <c r="F282" s="19">
        <f>F281*i_R_anc</f>
        <v/>
      </c>
      <c r="G282" s="19">
        <f>G281*i_R_anc</f>
        <v/>
      </c>
      <c r="H282" s="19">
        <f>H281*i_R_anc</f>
        <v/>
      </c>
      <c r="I282" s="19">
        <f>I281*i_R_anc</f>
        <v/>
      </c>
      <c r="J282" s="19">
        <f>J281*i_R_anc</f>
        <v/>
      </c>
      <c r="K282" s="19">
        <f>K281*i_R_anc</f>
        <v/>
      </c>
      <c r="L282" s="19">
        <f>L281*i_R_anc</f>
        <v/>
      </c>
      <c r="M282" s="19">
        <f>M281*i_R_anc</f>
        <v/>
      </c>
      <c r="N282" s="19">
        <f>N281*i_R_anc</f>
        <v/>
      </c>
      <c r="O282" s="19">
        <f>O281*i_R_anc</f>
        <v/>
      </c>
      <c r="P282" s="19">
        <f>P281*i_R_anc</f>
        <v/>
      </c>
      <c r="Q282" s="19">
        <f>Q281*i_R_anc</f>
        <v/>
      </c>
      <c r="R282" s="19">
        <f>R281*i_R_anc</f>
        <v/>
      </c>
      <c r="S282" s="19">
        <f>S281*i_R_anc</f>
        <v/>
      </c>
      <c r="T282" s="19">
        <f>T281*i_R_anc</f>
        <v/>
      </c>
      <c r="U282" s="19">
        <f>U281*i_R_anc</f>
        <v/>
      </c>
      <c r="V282" s="19">
        <f>V281*i_R_anc</f>
        <v/>
      </c>
      <c r="W282" s="19">
        <f>W281*i_R_anc</f>
        <v/>
      </c>
      <c r="X282" s="19">
        <f>X281*i_R_anc</f>
        <v/>
      </c>
      <c r="Y282" s="19">
        <f>Y281*i_R_anc</f>
        <v/>
      </c>
      <c r="Z282" s="19">
        <f>Z281*i_R_anc</f>
        <v/>
      </c>
      <c r="AA282" s="19">
        <f>AA281*i_R_anc</f>
        <v/>
      </c>
      <c r="AB282" s="19">
        <f>AB281*i_R_anc</f>
        <v/>
      </c>
      <c r="AC282" s="19">
        <f>AC281*i_R_anc</f>
        <v/>
      </c>
      <c r="AD282" s="19">
        <f>AD281*i_R_anc</f>
        <v/>
      </c>
      <c r="AE282" s="19">
        <f>AE281*i_R_anc</f>
        <v/>
      </c>
      <c r="AF282" s="19">
        <f>AF281*i_R_anc</f>
        <v/>
      </c>
      <c r="AG282" s="19">
        <f>AG281*i_R_anc</f>
        <v/>
      </c>
      <c r="AH282" s="19">
        <f>AH281*i_R_anc</f>
        <v/>
      </c>
      <c r="AI282" s="19">
        <f>AI281*i_R_anc</f>
        <v/>
      </c>
    </row>
    <row r="283">
      <c r="B283" s="3" t="inlineStr">
        <is>
          <t xml:space="preserve">  Revenue</t>
        </is>
      </c>
      <c r="D283" s="31">
        <f>D281+D282</f>
        <v/>
      </c>
      <c r="E283" s="31">
        <f>E281+E282</f>
        <v/>
      </c>
      <c r="F283" s="31">
        <f>F281+F282</f>
        <v/>
      </c>
      <c r="G283" s="31">
        <f>G281+G282</f>
        <v/>
      </c>
      <c r="H283" s="31">
        <f>H281+H282</f>
        <v/>
      </c>
      <c r="I283" s="31">
        <f>I281+I282</f>
        <v/>
      </c>
      <c r="J283" s="31">
        <f>J281+J282</f>
        <v/>
      </c>
      <c r="K283" s="31">
        <f>K281+K282</f>
        <v/>
      </c>
      <c r="L283" s="31">
        <f>L281+L282</f>
        <v/>
      </c>
      <c r="M283" s="31">
        <f>M281+M282</f>
        <v/>
      </c>
      <c r="N283" s="31">
        <f>N281+N282</f>
        <v/>
      </c>
      <c r="O283" s="31">
        <f>O281+O282</f>
        <v/>
      </c>
      <c r="P283" s="31">
        <f>P281+P282</f>
        <v/>
      </c>
      <c r="Q283" s="31">
        <f>Q281+Q282</f>
        <v/>
      </c>
      <c r="R283" s="31">
        <f>R281+R282</f>
        <v/>
      </c>
      <c r="S283" s="31">
        <f>S281+S282</f>
        <v/>
      </c>
      <c r="T283" s="31">
        <f>T281+T282</f>
        <v/>
      </c>
      <c r="U283" s="31">
        <f>U281+U282</f>
        <v/>
      </c>
      <c r="V283" s="31">
        <f>V281+V282</f>
        <v/>
      </c>
      <c r="W283" s="31">
        <f>W281+W282</f>
        <v/>
      </c>
      <c r="X283" s="31">
        <f>X281+X282</f>
        <v/>
      </c>
      <c r="Y283" s="31">
        <f>Y281+Y282</f>
        <v/>
      </c>
      <c r="Z283" s="31">
        <f>Z281+Z282</f>
        <v/>
      </c>
      <c r="AA283" s="31">
        <f>AA281+AA282</f>
        <v/>
      </c>
      <c r="AB283" s="31">
        <f>AB281+AB282</f>
        <v/>
      </c>
      <c r="AC283" s="31">
        <f>AC281+AC282</f>
        <v/>
      </c>
      <c r="AD283" s="31">
        <f>AD281+AD282</f>
        <v/>
      </c>
      <c r="AE283" s="31">
        <f>AE281+AE282</f>
        <v/>
      </c>
      <c r="AF283" s="31">
        <f>AF281+AF282</f>
        <v/>
      </c>
      <c r="AG283" s="31">
        <f>AG281+AG282</f>
        <v/>
      </c>
      <c r="AH283" s="31">
        <f>AH281+AH282</f>
        <v/>
      </c>
      <c r="AI283" s="31">
        <f>AI281+AI282</f>
        <v/>
      </c>
    </row>
    <row r="284">
      <c r="B284" s="2" t="inlineStr">
        <is>
          <t xml:space="preserve">  Fixed cost</t>
        </is>
      </c>
      <c r="D284" s="19">
        <f>D275*i_R_fix*D254</f>
        <v/>
      </c>
      <c r="E284" s="19">
        <f>E275*i_R_fix*E254</f>
        <v/>
      </c>
      <c r="F284" s="19">
        <f>F275*i_R_fix*F254</f>
        <v/>
      </c>
      <c r="G284" s="19">
        <f>G275*i_R_fix*G254</f>
        <v/>
      </c>
      <c r="H284" s="19">
        <f>H275*i_R_fix*H254</f>
        <v/>
      </c>
      <c r="I284" s="19">
        <f>I275*i_R_fix*I254</f>
        <v/>
      </c>
      <c r="J284" s="19">
        <f>J275*i_R_fix*J254</f>
        <v/>
      </c>
      <c r="K284" s="19">
        <f>K275*i_R_fix*K254</f>
        <v/>
      </c>
      <c r="L284" s="19">
        <f>L275*i_R_fix*L254</f>
        <v/>
      </c>
      <c r="M284" s="19">
        <f>M275*i_R_fix*M254</f>
        <v/>
      </c>
      <c r="N284" s="19">
        <f>N275*i_R_fix*N254</f>
        <v/>
      </c>
      <c r="O284" s="19">
        <f>O275*i_R_fix*O254</f>
        <v/>
      </c>
      <c r="P284" s="19">
        <f>P275*i_R_fix*P254</f>
        <v/>
      </c>
      <c r="Q284" s="19">
        <f>Q275*i_R_fix*Q254</f>
        <v/>
      </c>
      <c r="R284" s="19">
        <f>R275*i_R_fix*R254</f>
        <v/>
      </c>
      <c r="S284" s="19">
        <f>S275*i_R_fix*S254</f>
        <v/>
      </c>
      <c r="T284" s="19">
        <f>T275*i_R_fix*T254</f>
        <v/>
      </c>
      <c r="U284" s="19">
        <f>U275*i_R_fix*U254</f>
        <v/>
      </c>
      <c r="V284" s="19">
        <f>V275*i_R_fix*V254</f>
        <v/>
      </c>
      <c r="W284" s="19">
        <f>W275*i_R_fix*W254</f>
        <v/>
      </c>
      <c r="X284" s="19">
        <f>X275*i_R_fix*X254</f>
        <v/>
      </c>
      <c r="Y284" s="19">
        <f>Y275*i_R_fix*Y254</f>
        <v/>
      </c>
      <c r="Z284" s="19">
        <f>Z275*i_R_fix*Z254</f>
        <v/>
      </c>
      <c r="AA284" s="19">
        <f>AA275*i_R_fix*AA254</f>
        <v/>
      </c>
      <c r="AB284" s="19">
        <f>AB275*i_R_fix*AB254</f>
        <v/>
      </c>
      <c r="AC284" s="19">
        <f>AC275*i_R_fix*AC254</f>
        <v/>
      </c>
      <c r="AD284" s="19">
        <f>AD275*i_R_fix*AD254</f>
        <v/>
      </c>
      <c r="AE284" s="19">
        <f>AE275*i_R_fix*AE254</f>
        <v/>
      </c>
      <c r="AF284" s="19">
        <f>AF275*i_R_fix*AF254</f>
        <v/>
      </c>
      <c r="AG284" s="19">
        <f>AG275*i_R_fix*AG254</f>
        <v/>
      </c>
      <c r="AH284" s="19">
        <f>AH275*i_R_fix*AH254</f>
        <v/>
      </c>
      <c r="AI284" s="19">
        <f>AI275*i_R_fix*AI254</f>
        <v/>
      </c>
    </row>
    <row r="285">
      <c r="B285" s="2" t="inlineStr">
        <is>
          <t xml:space="preserve">  Variable cost</t>
        </is>
      </c>
      <c r="D285" s="19">
        <f>i_R_var*D283</f>
        <v/>
      </c>
      <c r="E285" s="19">
        <f>i_R_var*E283</f>
        <v/>
      </c>
      <c r="F285" s="19">
        <f>i_R_var*F283</f>
        <v/>
      </c>
      <c r="G285" s="19">
        <f>i_R_var*G283</f>
        <v/>
      </c>
      <c r="H285" s="19">
        <f>i_R_var*H283</f>
        <v/>
      </c>
      <c r="I285" s="19">
        <f>i_R_var*I283</f>
        <v/>
      </c>
      <c r="J285" s="19">
        <f>i_R_var*J283</f>
        <v/>
      </c>
      <c r="K285" s="19">
        <f>i_R_var*K283</f>
        <v/>
      </c>
      <c r="L285" s="19">
        <f>i_R_var*L283</f>
        <v/>
      </c>
      <c r="M285" s="19">
        <f>i_R_var*M283</f>
        <v/>
      </c>
      <c r="N285" s="19">
        <f>i_R_var*N283</f>
        <v/>
      </c>
      <c r="O285" s="19">
        <f>i_R_var*O283</f>
        <v/>
      </c>
      <c r="P285" s="19">
        <f>i_R_var*P283</f>
        <v/>
      </c>
      <c r="Q285" s="19">
        <f>i_R_var*Q283</f>
        <v/>
      </c>
      <c r="R285" s="19">
        <f>i_R_var*R283</f>
        <v/>
      </c>
      <c r="S285" s="19">
        <f>i_R_var*S283</f>
        <v/>
      </c>
      <c r="T285" s="19">
        <f>i_R_var*T283</f>
        <v/>
      </c>
      <c r="U285" s="19">
        <f>i_R_var*U283</f>
        <v/>
      </c>
      <c r="V285" s="19">
        <f>i_R_var*V283</f>
        <v/>
      </c>
      <c r="W285" s="19">
        <f>i_R_var*W283</f>
        <v/>
      </c>
      <c r="X285" s="19">
        <f>i_R_var*X283</f>
        <v/>
      </c>
      <c r="Y285" s="19">
        <f>i_R_var*Y283</f>
        <v/>
      </c>
      <c r="Z285" s="19">
        <f>i_R_var*Z283</f>
        <v/>
      </c>
      <c r="AA285" s="19">
        <f>i_R_var*AA283</f>
        <v/>
      </c>
      <c r="AB285" s="19">
        <f>i_R_var*AB283</f>
        <v/>
      </c>
      <c r="AC285" s="19">
        <f>i_R_var*AC283</f>
        <v/>
      </c>
      <c r="AD285" s="19">
        <f>i_R_var*AD283</f>
        <v/>
      </c>
      <c r="AE285" s="19">
        <f>i_R_var*AE283</f>
        <v/>
      </c>
      <c r="AF285" s="19">
        <f>i_R_var*AF283</f>
        <v/>
      </c>
      <c r="AG285" s="19">
        <f>i_R_var*AG283</f>
        <v/>
      </c>
      <c r="AH285" s="19">
        <f>i_R_var*AH283</f>
        <v/>
      </c>
      <c r="AI285" s="19">
        <f>i_R_var*AI283</f>
        <v/>
      </c>
    </row>
    <row r="286">
      <c r="B286" s="2" t="inlineStr">
        <is>
          <t xml:space="preserve">  Operating cost</t>
        </is>
      </c>
      <c r="D286" s="19">
        <f>D284+D285</f>
        <v/>
      </c>
      <c r="E286" s="19">
        <f>E284+E285</f>
        <v/>
      </c>
      <c r="F286" s="19">
        <f>F284+F285</f>
        <v/>
      </c>
      <c r="G286" s="19">
        <f>G284+G285</f>
        <v/>
      </c>
      <c r="H286" s="19">
        <f>H284+H285</f>
        <v/>
      </c>
      <c r="I286" s="19">
        <f>I284+I285</f>
        <v/>
      </c>
      <c r="J286" s="19">
        <f>J284+J285</f>
        <v/>
      </c>
      <c r="K286" s="19">
        <f>K284+K285</f>
        <v/>
      </c>
      <c r="L286" s="19">
        <f>L284+L285</f>
        <v/>
      </c>
      <c r="M286" s="19">
        <f>M284+M285</f>
        <v/>
      </c>
      <c r="N286" s="19">
        <f>N284+N285</f>
        <v/>
      </c>
      <c r="O286" s="19">
        <f>O284+O285</f>
        <v/>
      </c>
      <c r="P286" s="19">
        <f>P284+P285</f>
        <v/>
      </c>
      <c r="Q286" s="19">
        <f>Q284+Q285</f>
        <v/>
      </c>
      <c r="R286" s="19">
        <f>R284+R285</f>
        <v/>
      </c>
      <c r="S286" s="19">
        <f>S284+S285</f>
        <v/>
      </c>
      <c r="T286" s="19">
        <f>T284+T285</f>
        <v/>
      </c>
      <c r="U286" s="19">
        <f>U284+U285</f>
        <v/>
      </c>
      <c r="V286" s="19">
        <f>V284+V285</f>
        <v/>
      </c>
      <c r="W286" s="19">
        <f>W284+W285</f>
        <v/>
      </c>
      <c r="X286" s="19">
        <f>X284+X285</f>
        <v/>
      </c>
      <c r="Y286" s="19">
        <f>Y284+Y285</f>
        <v/>
      </c>
      <c r="Z286" s="19">
        <f>Z284+Z285</f>
        <v/>
      </c>
      <c r="AA286" s="19">
        <f>AA284+AA285</f>
        <v/>
      </c>
      <c r="AB286" s="19">
        <f>AB284+AB285</f>
        <v/>
      </c>
      <c r="AC286" s="19">
        <f>AC284+AC285</f>
        <v/>
      </c>
      <c r="AD286" s="19">
        <f>AD284+AD285</f>
        <v/>
      </c>
      <c r="AE286" s="19">
        <f>AE284+AE285</f>
        <v/>
      </c>
      <c r="AF286" s="19">
        <f>AF284+AF285</f>
        <v/>
      </c>
      <c r="AG286" s="19">
        <f>AG284+AG285</f>
        <v/>
      </c>
      <c r="AH286" s="19">
        <f>AH284+AH285</f>
        <v/>
      </c>
      <c r="AI286" s="19">
        <f>AI284+AI285</f>
        <v/>
      </c>
    </row>
    <row r="287">
      <c r="B287" s="3" t="inlineStr">
        <is>
          <t xml:space="preserve">  EBITDA</t>
        </is>
      </c>
      <c r="D287" s="31">
        <f>D283-D286</f>
        <v/>
      </c>
      <c r="E287" s="31">
        <f>E283-E286</f>
        <v/>
      </c>
      <c r="F287" s="31">
        <f>F283-F286</f>
        <v/>
      </c>
      <c r="G287" s="31">
        <f>G283-G286</f>
        <v/>
      </c>
      <c r="H287" s="31">
        <f>H283-H286</f>
        <v/>
      </c>
      <c r="I287" s="31">
        <f>I283-I286</f>
        <v/>
      </c>
      <c r="J287" s="31">
        <f>J283-J286</f>
        <v/>
      </c>
      <c r="K287" s="31">
        <f>K283-K286</f>
        <v/>
      </c>
      <c r="L287" s="31">
        <f>L283-L286</f>
        <v/>
      </c>
      <c r="M287" s="31">
        <f>M283-M286</f>
        <v/>
      </c>
      <c r="N287" s="31">
        <f>N283-N286</f>
        <v/>
      </c>
      <c r="O287" s="31">
        <f>O283-O286</f>
        <v/>
      </c>
      <c r="P287" s="31">
        <f>P283-P286</f>
        <v/>
      </c>
      <c r="Q287" s="31">
        <f>Q283-Q286</f>
        <v/>
      </c>
      <c r="R287" s="31">
        <f>R283-R286</f>
        <v/>
      </c>
      <c r="S287" s="31">
        <f>S283-S286</f>
        <v/>
      </c>
      <c r="T287" s="31">
        <f>T283-T286</f>
        <v/>
      </c>
      <c r="U287" s="31">
        <f>U283-U286</f>
        <v/>
      </c>
      <c r="V287" s="31">
        <f>V283-V286</f>
        <v/>
      </c>
      <c r="W287" s="31">
        <f>W283-W286</f>
        <v/>
      </c>
      <c r="X287" s="31">
        <f>X283-X286</f>
        <v/>
      </c>
      <c r="Y287" s="31">
        <f>Y283-Y286</f>
        <v/>
      </c>
      <c r="Z287" s="31">
        <f>Z283-Z286</f>
        <v/>
      </c>
      <c r="AA287" s="31">
        <f>AA283-AA286</f>
        <v/>
      </c>
      <c r="AB287" s="31">
        <f>AB283-AB286</f>
        <v/>
      </c>
      <c r="AC287" s="31">
        <f>AC283-AC286</f>
        <v/>
      </c>
      <c r="AD287" s="31">
        <f>AD283-AD286</f>
        <v/>
      </c>
      <c r="AE287" s="31">
        <f>AE283-AE286</f>
        <v/>
      </c>
      <c r="AF287" s="31">
        <f>AF283-AF286</f>
        <v/>
      </c>
      <c r="AG287" s="31">
        <f>AG283-AG286</f>
        <v/>
      </c>
      <c r="AH287" s="31">
        <f>AH283-AH286</f>
        <v/>
      </c>
      <c r="AI287" s="31">
        <f>AI283-AI286</f>
        <v/>
      </c>
    </row>
    <row r="288">
      <c r="B288" s="2" t="inlineStr">
        <is>
          <t xml:space="preserve">  Maintenance capex</t>
        </is>
      </c>
      <c r="D288" s="19">
        <f>D275*i_R_mc*D254</f>
        <v/>
      </c>
      <c r="E288" s="19">
        <f>E275*i_R_mc*E254</f>
        <v/>
      </c>
      <c r="F288" s="19">
        <f>F275*i_R_mc*F254</f>
        <v/>
      </c>
      <c r="G288" s="19">
        <f>G275*i_R_mc*G254</f>
        <v/>
      </c>
      <c r="H288" s="19">
        <f>H275*i_R_mc*H254</f>
        <v/>
      </c>
      <c r="I288" s="19">
        <f>I275*i_R_mc*I254</f>
        <v/>
      </c>
      <c r="J288" s="19">
        <f>J275*i_R_mc*J254</f>
        <v/>
      </c>
      <c r="K288" s="19">
        <f>K275*i_R_mc*K254</f>
        <v/>
      </c>
      <c r="L288" s="19">
        <f>L275*i_R_mc*L254</f>
        <v/>
      </c>
      <c r="M288" s="19">
        <f>M275*i_R_mc*M254</f>
        <v/>
      </c>
      <c r="N288" s="19">
        <f>N275*i_R_mc*N254</f>
        <v/>
      </c>
      <c r="O288" s="19">
        <f>O275*i_R_mc*O254</f>
        <v/>
      </c>
      <c r="P288" s="19">
        <f>P275*i_R_mc*P254</f>
        <v/>
      </c>
      <c r="Q288" s="19">
        <f>Q275*i_R_mc*Q254</f>
        <v/>
      </c>
      <c r="R288" s="19">
        <f>R275*i_R_mc*R254</f>
        <v/>
      </c>
      <c r="S288" s="19">
        <f>S275*i_R_mc*S254</f>
        <v/>
      </c>
      <c r="T288" s="19">
        <f>T275*i_R_mc*T254</f>
        <v/>
      </c>
      <c r="U288" s="19">
        <f>U275*i_R_mc*U254</f>
        <v/>
      </c>
      <c r="V288" s="19">
        <f>V275*i_R_mc*V254</f>
        <v/>
      </c>
      <c r="W288" s="19">
        <f>W275*i_R_mc*W254</f>
        <v/>
      </c>
      <c r="X288" s="19">
        <f>X275*i_R_mc*X254</f>
        <v/>
      </c>
      <c r="Y288" s="19">
        <f>Y275*i_R_mc*Y254</f>
        <v/>
      </c>
      <c r="Z288" s="19">
        <f>Z275*i_R_mc*Z254</f>
        <v/>
      </c>
      <c r="AA288" s="19">
        <f>AA275*i_R_mc*AA254</f>
        <v/>
      </c>
      <c r="AB288" s="19">
        <f>AB275*i_R_mc*AB254</f>
        <v/>
      </c>
      <c r="AC288" s="19">
        <f>AC275*i_R_mc*AC254</f>
        <v/>
      </c>
      <c r="AD288" s="19">
        <f>AD275*i_R_mc*AD254</f>
        <v/>
      </c>
      <c r="AE288" s="19">
        <f>AE275*i_R_mc*AE254</f>
        <v/>
      </c>
      <c r="AF288" s="19">
        <f>AF275*i_R_mc*AF254</f>
        <v/>
      </c>
      <c r="AG288" s="19">
        <f>AG275*i_R_mc*AG254</f>
        <v/>
      </c>
      <c r="AH288" s="19">
        <f>AH275*i_R_mc*AH254</f>
        <v/>
      </c>
      <c r="AI288" s="19">
        <f>AI275*i_R_mc*AI254</f>
        <v/>
      </c>
    </row>
    <row r="289">
      <c r="B289" s="3" t="inlineStr">
        <is>
          <t>Thamesbridge</t>
        </is>
      </c>
    </row>
    <row r="290">
      <c r="B290" s="2" t="inlineStr">
        <is>
          <t xml:space="preserve">  Capacity in service (million m3)</t>
        </is>
      </c>
      <c r="D290" s="24">
        <f>i_T_cap</f>
        <v/>
      </c>
      <c r="E290" s="24">
        <f>i_T_cap</f>
        <v/>
      </c>
      <c r="F290" s="24">
        <f>i_T_cap</f>
        <v/>
      </c>
      <c r="G290" s="24">
        <f>i_T_cap</f>
        <v/>
      </c>
      <c r="H290" s="24">
        <f>i_T_cap</f>
        <v/>
      </c>
      <c r="I290" s="24">
        <f>i_T_cap</f>
        <v/>
      </c>
      <c r="J290" s="24">
        <f>i_T_cap</f>
        <v/>
      </c>
      <c r="K290" s="24">
        <f>i_T_cap</f>
        <v/>
      </c>
      <c r="L290" s="24">
        <f>i_T_cap</f>
        <v/>
      </c>
      <c r="M290" s="24">
        <f>i_T_cap</f>
        <v/>
      </c>
      <c r="N290" s="24">
        <f>i_T_cap</f>
        <v/>
      </c>
      <c r="O290" s="24">
        <f>i_T_cap</f>
        <v/>
      </c>
      <c r="P290" s="24">
        <f>i_T_cap</f>
        <v/>
      </c>
      <c r="Q290" s="24">
        <f>i_T_cap</f>
        <v/>
      </c>
      <c r="R290" s="24">
        <f>i_T_cap</f>
        <v/>
      </c>
      <c r="S290" s="24">
        <f>i_T_cap</f>
        <v/>
      </c>
      <c r="T290" s="24">
        <f>i_T_cap</f>
        <v/>
      </c>
      <c r="U290" s="24">
        <f>i_T_cap</f>
        <v/>
      </c>
      <c r="V290" s="24">
        <f>i_T_cap</f>
        <v/>
      </c>
      <c r="W290" s="24">
        <f>i_T_cap</f>
        <v/>
      </c>
      <c r="X290" s="24">
        <f>i_T_cap</f>
        <v/>
      </c>
      <c r="Y290" s="24">
        <f>i_T_cap</f>
        <v/>
      </c>
      <c r="Z290" s="24">
        <f>i_T_cap</f>
        <v/>
      </c>
      <c r="AA290" s="24">
        <f>i_T_cap</f>
        <v/>
      </c>
      <c r="AB290" s="24">
        <f>i_T_cap</f>
        <v/>
      </c>
      <c r="AC290" s="24">
        <f>i_T_cap</f>
        <v/>
      </c>
      <c r="AD290" s="24">
        <f>i_T_cap</f>
        <v/>
      </c>
      <c r="AE290" s="24">
        <f>i_T_cap</f>
        <v/>
      </c>
      <c r="AF290" s="24">
        <f>i_T_cap</f>
        <v/>
      </c>
      <c r="AG290" s="24">
        <f>i_T_cap</f>
        <v/>
      </c>
      <c r="AH290" s="24">
        <f>i_T_cap</f>
        <v/>
      </c>
      <c r="AI290" s="24">
        <f>i_T_cap</f>
        <v/>
      </c>
    </row>
    <row r="291">
      <c r="B291" s="2" t="inlineStr">
        <is>
          <t xml:space="preserve">  Share on contracts signed before 2027</t>
        </is>
      </c>
      <c r="D291" s="21">
        <f>SUMIF(i_book_years,D$3,i_T_book)</f>
        <v/>
      </c>
      <c r="E291" s="21">
        <f>SUMIF(i_book_years,E$3,i_T_book)</f>
        <v/>
      </c>
      <c r="F291" s="21">
        <f>SUMIF(i_book_years,F$3,i_T_book)</f>
        <v/>
      </c>
      <c r="G291" s="21">
        <f>SUMIF(i_book_years,G$3,i_T_book)</f>
        <v/>
      </c>
      <c r="H291" s="21">
        <f>SUMIF(i_book_years,H$3,i_T_book)</f>
        <v/>
      </c>
      <c r="I291" s="21">
        <f>SUMIF(i_book_years,I$3,i_T_book)</f>
        <v/>
      </c>
      <c r="J291" s="21">
        <f>SUMIF(i_book_years,J$3,i_T_book)</f>
        <v/>
      </c>
      <c r="K291" s="21">
        <f>SUMIF(i_book_years,K$3,i_T_book)</f>
        <v/>
      </c>
      <c r="L291" s="21">
        <f>SUMIF(i_book_years,L$3,i_T_book)</f>
        <v/>
      </c>
      <c r="M291" s="21">
        <f>SUMIF(i_book_years,M$3,i_T_book)</f>
        <v/>
      </c>
      <c r="N291" s="21">
        <f>SUMIF(i_book_years,N$3,i_T_book)</f>
        <v/>
      </c>
      <c r="O291" s="21">
        <f>SUMIF(i_book_years,O$3,i_T_book)</f>
        <v/>
      </c>
      <c r="P291" s="21">
        <f>SUMIF(i_book_years,P$3,i_T_book)</f>
        <v/>
      </c>
      <c r="Q291" s="21">
        <f>SUMIF(i_book_years,Q$3,i_T_book)</f>
        <v/>
      </c>
      <c r="R291" s="21">
        <f>SUMIF(i_book_years,R$3,i_T_book)</f>
        <v/>
      </c>
      <c r="S291" s="21">
        <f>SUMIF(i_book_years,S$3,i_T_book)</f>
        <v/>
      </c>
      <c r="T291" s="21">
        <f>SUMIF(i_book_years,T$3,i_T_book)</f>
        <v/>
      </c>
      <c r="U291" s="21">
        <f>SUMIF(i_book_years,U$3,i_T_book)</f>
        <v/>
      </c>
      <c r="V291" s="21">
        <f>SUMIF(i_book_years,V$3,i_T_book)</f>
        <v/>
      </c>
      <c r="W291" s="21">
        <f>SUMIF(i_book_years,W$3,i_T_book)</f>
        <v/>
      </c>
      <c r="X291" s="21">
        <f>SUMIF(i_book_years,X$3,i_T_book)</f>
        <v/>
      </c>
      <c r="Y291" s="21">
        <f>SUMIF(i_book_years,Y$3,i_T_book)</f>
        <v/>
      </c>
      <c r="Z291" s="21">
        <f>SUMIF(i_book_years,Z$3,i_T_book)</f>
        <v/>
      </c>
      <c r="AA291" s="21">
        <f>SUMIF(i_book_years,AA$3,i_T_book)</f>
        <v/>
      </c>
      <c r="AB291" s="21">
        <f>SUMIF(i_book_years,AB$3,i_T_book)</f>
        <v/>
      </c>
      <c r="AC291" s="21">
        <f>SUMIF(i_book_years,AC$3,i_T_book)</f>
        <v/>
      </c>
      <c r="AD291" s="21">
        <f>SUMIF(i_book_years,AD$3,i_T_book)</f>
        <v/>
      </c>
      <c r="AE291" s="21">
        <f>SUMIF(i_book_years,AE$3,i_T_book)</f>
        <v/>
      </c>
      <c r="AF291" s="21">
        <f>SUMIF(i_book_years,AF$3,i_T_book)</f>
        <v/>
      </c>
      <c r="AG291" s="21">
        <f>SUMIF(i_book_years,AG$3,i_T_book)</f>
        <v/>
      </c>
      <c r="AH291" s="21">
        <f>SUMIF(i_book_years,AH$3,i_T_book)</f>
        <v/>
      </c>
      <c r="AI291" s="21">
        <f>SUMIF(i_book_years,AI$3,i_T_book)</f>
        <v/>
      </c>
    </row>
    <row r="292">
      <c r="B292" s="2" t="inlineStr">
        <is>
          <t xml:space="preserve">  Recontracting factor against current rates</t>
        </is>
      </c>
      <c r="D292" s="21">
        <f>IF(D$4=0,0,IF(Sensitivities!$C$244=1,i_T_mtm,i_T_mtm_plan)+Sensitivities!$C$250)</f>
        <v/>
      </c>
      <c r="E292" s="21">
        <f>IF(E$4=0,0,IF(Sensitivities!$C$244=1,i_T_mtm,i_T_mtm_plan)+Sensitivities!$C$250)</f>
        <v/>
      </c>
      <c r="F292" s="21">
        <f>IF(F$4=0,0,IF(Sensitivities!$C$244=1,i_T_mtm,i_T_mtm_plan)+Sensitivities!$C$250)</f>
        <v/>
      </c>
      <c r="G292" s="21">
        <f>IF(G$4=0,0,IF(Sensitivities!$C$244=1,i_T_mtm,i_T_mtm_plan)+Sensitivities!$C$250)</f>
        <v/>
      </c>
      <c r="H292" s="21">
        <f>IF(H$4=0,0,IF(Sensitivities!$C$244=1,i_T_mtm,i_T_mtm_plan)+Sensitivities!$C$250)</f>
        <v/>
      </c>
      <c r="I292" s="21">
        <f>IF(I$4=0,0,IF(Sensitivities!$C$244=1,i_T_mtm,i_T_mtm_plan)+Sensitivities!$C$250)</f>
        <v/>
      </c>
      <c r="J292" s="21">
        <f>IF(J$4=0,0,IF(Sensitivities!$C$244=1,i_T_mtm,i_T_mtm_plan)+Sensitivities!$C$250)</f>
        <v/>
      </c>
      <c r="K292" s="21">
        <f>IF(K$4=0,0,IF(Sensitivities!$C$244=1,i_T_mtm,i_T_mtm_plan)+Sensitivities!$C$250)</f>
        <v/>
      </c>
      <c r="L292" s="21">
        <f>IF(L$4=0,0,IF(Sensitivities!$C$244=1,i_T_mtm,i_T_mtm_plan)+Sensitivities!$C$250)</f>
        <v/>
      </c>
      <c r="M292" s="21">
        <f>IF(M$4=0,0,IF(Sensitivities!$C$244=1,i_T_mtm,i_T_mtm_plan)+Sensitivities!$C$250)</f>
        <v/>
      </c>
      <c r="N292" s="21">
        <f>IF(N$4=0,0,IF(Sensitivities!$C$244=1,i_T_mtm,i_T_mtm_plan)+Sensitivities!$C$250)</f>
        <v/>
      </c>
      <c r="O292" s="21">
        <f>IF(O$4=0,0,IF(Sensitivities!$C$244=1,i_T_mtm,i_T_mtm_plan)+Sensitivities!$C$250)</f>
        <v/>
      </c>
      <c r="P292" s="21">
        <f>IF(P$4=0,0,IF(Sensitivities!$C$244=1,i_T_mtm,i_T_mtm_plan)+Sensitivities!$C$250)</f>
        <v/>
      </c>
      <c r="Q292" s="21">
        <f>IF(Q$4=0,0,IF(Sensitivities!$C$244=1,i_T_mtm,i_T_mtm_plan)+Sensitivities!$C$250)</f>
        <v/>
      </c>
      <c r="R292" s="21">
        <f>IF(R$4=0,0,IF(Sensitivities!$C$244=1,i_T_mtm,i_T_mtm_plan)+Sensitivities!$C$250)</f>
        <v/>
      </c>
      <c r="S292" s="21">
        <f>IF(S$4=0,0,IF(Sensitivities!$C$244=1,i_T_mtm,i_T_mtm_plan)+Sensitivities!$C$250)</f>
        <v/>
      </c>
      <c r="T292" s="21">
        <f>IF(T$4=0,0,IF(Sensitivities!$C$244=1,i_T_mtm,i_T_mtm_plan)+Sensitivities!$C$250)</f>
        <v/>
      </c>
      <c r="U292" s="21">
        <f>IF(U$4=0,0,IF(Sensitivities!$C$244=1,i_T_mtm,i_T_mtm_plan)+Sensitivities!$C$250)</f>
        <v/>
      </c>
      <c r="V292" s="21">
        <f>IF(V$4=0,0,IF(Sensitivities!$C$244=1,i_T_mtm,i_T_mtm_plan)+Sensitivities!$C$250)</f>
        <v/>
      </c>
      <c r="W292" s="21">
        <f>IF(W$4=0,0,IF(Sensitivities!$C$244=1,i_T_mtm,i_T_mtm_plan)+Sensitivities!$C$250)</f>
        <v/>
      </c>
      <c r="X292" s="21">
        <f>IF(X$4=0,0,IF(Sensitivities!$C$244=1,i_T_mtm,i_T_mtm_plan)+Sensitivities!$C$250)</f>
        <v/>
      </c>
      <c r="Y292" s="21">
        <f>IF(Y$4=0,0,IF(Sensitivities!$C$244=1,i_T_mtm,i_T_mtm_plan)+Sensitivities!$C$250)</f>
        <v/>
      </c>
      <c r="Z292" s="21">
        <f>IF(Z$4=0,0,IF(Sensitivities!$C$244=1,i_T_mtm,i_T_mtm_plan)+Sensitivities!$C$250)</f>
        <v/>
      </c>
      <c r="AA292" s="21">
        <f>IF(AA$4=0,0,IF(Sensitivities!$C$244=1,i_T_mtm,i_T_mtm_plan)+Sensitivities!$C$250)</f>
        <v/>
      </c>
      <c r="AB292" s="21">
        <f>IF(AB$4=0,0,IF(Sensitivities!$C$244=1,i_T_mtm,i_T_mtm_plan)+Sensitivities!$C$250)</f>
        <v/>
      </c>
      <c r="AC292" s="21">
        <f>IF(AC$4=0,0,IF(Sensitivities!$C$244=1,i_T_mtm,i_T_mtm_plan)+Sensitivities!$C$250)</f>
        <v/>
      </c>
      <c r="AD292" s="21">
        <f>IF(AD$4=0,0,IF(Sensitivities!$C$244=1,i_T_mtm,i_T_mtm_plan)+Sensitivities!$C$250)</f>
        <v/>
      </c>
      <c r="AE292" s="21">
        <f>IF(AE$4=0,0,IF(Sensitivities!$C$244=1,i_T_mtm,i_T_mtm_plan)+Sensitivities!$C$250)</f>
        <v/>
      </c>
      <c r="AF292" s="21">
        <f>IF(AF$4=0,0,IF(Sensitivities!$C$244=1,i_T_mtm,i_T_mtm_plan)+Sensitivities!$C$250)</f>
        <v/>
      </c>
      <c r="AG292" s="21">
        <f>IF(AG$4=0,0,IF(Sensitivities!$C$244=1,i_T_mtm,i_T_mtm_plan)+Sensitivities!$C$250)</f>
        <v/>
      </c>
      <c r="AH292" s="21">
        <f>IF(AH$4=0,0,IF(Sensitivities!$C$244=1,i_T_mtm,i_T_mtm_plan)+Sensitivities!$C$250)</f>
        <v/>
      </c>
      <c r="AI292" s="21">
        <f>IF(AI$4=0,0,IF(Sensitivities!$C$244=1,i_T_mtm,i_T_mtm_plan)+Sensitivities!$C$250)</f>
        <v/>
      </c>
    </row>
    <row r="293">
      <c r="B293" s="2" t="inlineStr">
        <is>
          <t xml:space="preserve">  Average rate ($ per m3 per month)</t>
        </is>
      </c>
      <c r="D293" s="24">
        <f>i_T_rate*D255*(D291+(1-D291)*(1+D292))</f>
        <v/>
      </c>
      <c r="E293" s="24">
        <f>i_T_rate*E255*(E291+(1-E291)*(1+E292))</f>
        <v/>
      </c>
      <c r="F293" s="24">
        <f>i_T_rate*F255*(F291+(1-F291)*(1+F292))</f>
        <v/>
      </c>
      <c r="G293" s="24">
        <f>i_T_rate*G255*(G291+(1-G291)*(1+G292))</f>
        <v/>
      </c>
      <c r="H293" s="24">
        <f>i_T_rate*H255*(H291+(1-H291)*(1+H292))</f>
        <v/>
      </c>
      <c r="I293" s="24">
        <f>i_T_rate*I255*(I291+(1-I291)*(1+I292))</f>
        <v/>
      </c>
      <c r="J293" s="24">
        <f>i_T_rate*J255*(J291+(1-J291)*(1+J292))</f>
        <v/>
      </c>
      <c r="K293" s="24">
        <f>i_T_rate*K255*(K291+(1-K291)*(1+K292))</f>
        <v/>
      </c>
      <c r="L293" s="24">
        <f>i_T_rate*L255*(L291+(1-L291)*(1+L292))</f>
        <v/>
      </c>
      <c r="M293" s="24">
        <f>i_T_rate*M255*(M291+(1-M291)*(1+M292))</f>
        <v/>
      </c>
      <c r="N293" s="24">
        <f>i_T_rate*N255*(N291+(1-N291)*(1+N292))</f>
        <v/>
      </c>
      <c r="O293" s="24">
        <f>i_T_rate*O255*(O291+(1-O291)*(1+O292))</f>
        <v/>
      </c>
      <c r="P293" s="24">
        <f>i_T_rate*P255*(P291+(1-P291)*(1+P292))</f>
        <v/>
      </c>
      <c r="Q293" s="24">
        <f>i_T_rate*Q255*(Q291+(1-Q291)*(1+Q292))</f>
        <v/>
      </c>
      <c r="R293" s="24">
        <f>i_T_rate*R255*(R291+(1-R291)*(1+R292))</f>
        <v/>
      </c>
      <c r="S293" s="24">
        <f>i_T_rate*S255*(S291+(1-S291)*(1+S292))</f>
        <v/>
      </c>
      <c r="T293" s="24">
        <f>i_T_rate*T255*(T291+(1-T291)*(1+T292))</f>
        <v/>
      </c>
      <c r="U293" s="24">
        <f>i_T_rate*U255*(U291+(1-U291)*(1+U292))</f>
        <v/>
      </c>
      <c r="V293" s="24">
        <f>i_T_rate*V255*(V291+(1-V291)*(1+V292))</f>
        <v/>
      </c>
      <c r="W293" s="24">
        <f>i_T_rate*W255*(W291+(1-W291)*(1+W292))</f>
        <v/>
      </c>
      <c r="X293" s="24">
        <f>i_T_rate*X255*(X291+(1-X291)*(1+X292))</f>
        <v/>
      </c>
      <c r="Y293" s="24">
        <f>i_T_rate*Y255*(Y291+(1-Y291)*(1+Y292))</f>
        <v/>
      </c>
      <c r="Z293" s="24">
        <f>i_T_rate*Z255*(Z291+(1-Z291)*(1+Z292))</f>
        <v/>
      </c>
      <c r="AA293" s="24">
        <f>i_T_rate*AA255*(AA291+(1-AA291)*(1+AA292))</f>
        <v/>
      </c>
      <c r="AB293" s="24">
        <f>i_T_rate*AB255*(AB291+(1-AB291)*(1+AB292))</f>
        <v/>
      </c>
      <c r="AC293" s="24">
        <f>i_T_rate*AC255*(AC291+(1-AC291)*(1+AC292))</f>
        <v/>
      </c>
      <c r="AD293" s="24">
        <f>i_T_rate*AD255*(AD291+(1-AD291)*(1+AD292))</f>
        <v/>
      </c>
      <c r="AE293" s="24">
        <f>i_T_rate*AE255*(AE291+(1-AE291)*(1+AE292))</f>
        <v/>
      </c>
      <c r="AF293" s="24">
        <f>i_T_rate*AF255*(AF291+(1-AF291)*(1+AF292))</f>
        <v/>
      </c>
      <c r="AG293" s="24">
        <f>i_T_rate*AG255*(AG291+(1-AG291)*(1+AG292))</f>
        <v/>
      </c>
      <c r="AH293" s="24">
        <f>i_T_rate*AH255*(AH291+(1-AH291)*(1+AH292))</f>
        <v/>
      </c>
      <c r="AI293" s="24">
        <f>i_T_rate*AI255*(AI291+(1-AI291)*(1+AI292))</f>
        <v/>
      </c>
    </row>
    <row r="294">
      <c r="B294" s="2" t="inlineStr">
        <is>
          <t xml:space="preserve">  Occupancy after the transition decline and floor</t>
        </is>
      </c>
      <c r="D294" s="21">
        <f>IF(D$3&gt;i_trans_start,MAX(i_T_floor,i_T_occ-i_T_dec*(D$3-i_trans_start)),i_T_occ)</f>
        <v/>
      </c>
      <c r="E294" s="21">
        <f>IF(E$3&gt;i_trans_start,MAX(i_T_floor,i_T_occ-i_T_dec*(E$3-i_trans_start)),i_T_occ)</f>
        <v/>
      </c>
      <c r="F294" s="21">
        <f>IF(F$3&gt;i_trans_start,MAX(i_T_floor,i_T_occ-i_T_dec*(F$3-i_trans_start)),i_T_occ)</f>
        <v/>
      </c>
      <c r="G294" s="21">
        <f>IF(G$3&gt;i_trans_start,MAX(i_T_floor,i_T_occ-i_T_dec*(G$3-i_trans_start)),i_T_occ)</f>
        <v/>
      </c>
      <c r="H294" s="21">
        <f>IF(H$3&gt;i_trans_start,MAX(i_T_floor,i_T_occ-i_T_dec*(H$3-i_trans_start)),i_T_occ)</f>
        <v/>
      </c>
      <c r="I294" s="21">
        <f>IF(I$3&gt;i_trans_start,MAX(i_T_floor,i_T_occ-i_T_dec*(I$3-i_trans_start)),i_T_occ)</f>
        <v/>
      </c>
      <c r="J294" s="21">
        <f>IF(J$3&gt;i_trans_start,MAX(i_T_floor,i_T_occ-i_T_dec*(J$3-i_trans_start)),i_T_occ)</f>
        <v/>
      </c>
      <c r="K294" s="21">
        <f>IF(K$3&gt;i_trans_start,MAX(i_T_floor,i_T_occ-i_T_dec*(K$3-i_trans_start)),i_T_occ)</f>
        <v/>
      </c>
      <c r="L294" s="21">
        <f>IF(L$3&gt;i_trans_start,MAX(i_T_floor,i_T_occ-i_T_dec*(L$3-i_trans_start)),i_T_occ)</f>
        <v/>
      </c>
      <c r="M294" s="21">
        <f>IF(M$3&gt;i_trans_start,MAX(i_T_floor,i_T_occ-i_T_dec*(M$3-i_trans_start)),i_T_occ)</f>
        <v/>
      </c>
      <c r="N294" s="21">
        <f>IF(N$3&gt;i_trans_start,MAX(i_T_floor,i_T_occ-i_T_dec*(N$3-i_trans_start)),i_T_occ)</f>
        <v/>
      </c>
      <c r="O294" s="21">
        <f>IF(O$3&gt;i_trans_start,MAX(i_T_floor,i_T_occ-i_T_dec*(O$3-i_trans_start)),i_T_occ)</f>
        <v/>
      </c>
      <c r="P294" s="21">
        <f>IF(P$3&gt;i_trans_start,MAX(i_T_floor,i_T_occ-i_T_dec*(P$3-i_trans_start)),i_T_occ)</f>
        <v/>
      </c>
      <c r="Q294" s="21">
        <f>IF(Q$3&gt;i_trans_start,MAX(i_T_floor,i_T_occ-i_T_dec*(Q$3-i_trans_start)),i_T_occ)</f>
        <v/>
      </c>
      <c r="R294" s="21">
        <f>IF(R$3&gt;i_trans_start,MAX(i_T_floor,i_T_occ-i_T_dec*(R$3-i_trans_start)),i_T_occ)</f>
        <v/>
      </c>
      <c r="S294" s="21">
        <f>IF(S$3&gt;i_trans_start,MAX(i_T_floor,i_T_occ-i_T_dec*(S$3-i_trans_start)),i_T_occ)</f>
        <v/>
      </c>
      <c r="T294" s="21">
        <f>IF(T$3&gt;i_trans_start,MAX(i_T_floor,i_T_occ-i_T_dec*(T$3-i_trans_start)),i_T_occ)</f>
        <v/>
      </c>
      <c r="U294" s="21">
        <f>IF(U$3&gt;i_trans_start,MAX(i_T_floor,i_T_occ-i_T_dec*(U$3-i_trans_start)),i_T_occ)</f>
        <v/>
      </c>
      <c r="V294" s="21">
        <f>IF(V$3&gt;i_trans_start,MAX(i_T_floor,i_T_occ-i_T_dec*(V$3-i_trans_start)),i_T_occ)</f>
        <v/>
      </c>
      <c r="W294" s="21">
        <f>IF(W$3&gt;i_trans_start,MAX(i_T_floor,i_T_occ-i_T_dec*(W$3-i_trans_start)),i_T_occ)</f>
        <v/>
      </c>
      <c r="X294" s="21">
        <f>IF(X$3&gt;i_trans_start,MAX(i_T_floor,i_T_occ-i_T_dec*(X$3-i_trans_start)),i_T_occ)</f>
        <v/>
      </c>
      <c r="Y294" s="21">
        <f>IF(Y$3&gt;i_trans_start,MAX(i_T_floor,i_T_occ-i_T_dec*(Y$3-i_trans_start)),i_T_occ)</f>
        <v/>
      </c>
      <c r="Z294" s="21">
        <f>IF(Z$3&gt;i_trans_start,MAX(i_T_floor,i_T_occ-i_T_dec*(Z$3-i_trans_start)),i_T_occ)</f>
        <v/>
      </c>
      <c r="AA294" s="21">
        <f>IF(AA$3&gt;i_trans_start,MAX(i_T_floor,i_T_occ-i_T_dec*(AA$3-i_trans_start)),i_T_occ)</f>
        <v/>
      </c>
      <c r="AB294" s="21">
        <f>IF(AB$3&gt;i_trans_start,MAX(i_T_floor,i_T_occ-i_T_dec*(AB$3-i_trans_start)),i_T_occ)</f>
        <v/>
      </c>
      <c r="AC294" s="21">
        <f>IF(AC$3&gt;i_trans_start,MAX(i_T_floor,i_T_occ-i_T_dec*(AC$3-i_trans_start)),i_T_occ)</f>
        <v/>
      </c>
      <c r="AD294" s="21">
        <f>IF(AD$3&gt;i_trans_start,MAX(i_T_floor,i_T_occ-i_T_dec*(AD$3-i_trans_start)),i_T_occ)</f>
        <v/>
      </c>
      <c r="AE294" s="21">
        <f>IF(AE$3&gt;i_trans_start,MAX(i_T_floor,i_T_occ-i_T_dec*(AE$3-i_trans_start)),i_T_occ)</f>
        <v/>
      </c>
      <c r="AF294" s="21">
        <f>IF(AF$3&gt;i_trans_start,MAX(i_T_floor,i_T_occ-i_T_dec*(AF$3-i_trans_start)),i_T_occ)</f>
        <v/>
      </c>
      <c r="AG294" s="21">
        <f>IF(AG$3&gt;i_trans_start,MAX(i_T_floor,i_T_occ-i_T_dec*(AG$3-i_trans_start)),i_T_occ)</f>
        <v/>
      </c>
      <c r="AH294" s="21">
        <f>IF(AH$3&gt;i_trans_start,MAX(i_T_floor,i_T_occ-i_T_dec*(AH$3-i_trans_start)),i_T_occ)</f>
        <v/>
      </c>
      <c r="AI294" s="21">
        <f>IF(AI$3&gt;i_trans_start,MAX(i_T_floor,i_T_occ-i_T_dec*(AI$3-i_trans_start)),i_T_occ)</f>
        <v/>
      </c>
    </row>
    <row r="295">
      <c r="B295" s="2" t="inlineStr">
        <is>
          <t xml:space="preserve">  Occupancy (with the shift switch from 2027)</t>
        </is>
      </c>
      <c r="D295" s="21">
        <f>IF(D$4&gt;0,MIN(1,D294+Sensitivities!$C$249),D294)</f>
        <v/>
      </c>
      <c r="E295" s="21">
        <f>IF(E$4&gt;0,MIN(1,E294+Sensitivities!$C$249),E294)</f>
        <v/>
      </c>
      <c r="F295" s="21">
        <f>IF(F$4&gt;0,MIN(1,F294+Sensitivities!$C$249),F294)</f>
        <v/>
      </c>
      <c r="G295" s="21">
        <f>IF(G$4&gt;0,MIN(1,G294+Sensitivities!$C$249),G294)</f>
        <v/>
      </c>
      <c r="H295" s="21">
        <f>IF(H$4&gt;0,MIN(1,H294+Sensitivities!$C$249),H294)</f>
        <v/>
      </c>
      <c r="I295" s="21">
        <f>IF(I$4&gt;0,MIN(1,I294+Sensitivities!$C$249),I294)</f>
        <v/>
      </c>
      <c r="J295" s="21">
        <f>IF(J$4&gt;0,MIN(1,J294+Sensitivities!$C$249),J294)</f>
        <v/>
      </c>
      <c r="K295" s="21">
        <f>IF(K$4&gt;0,MIN(1,K294+Sensitivities!$C$249),K294)</f>
        <v/>
      </c>
      <c r="L295" s="21">
        <f>IF(L$4&gt;0,MIN(1,L294+Sensitivities!$C$249),L294)</f>
        <v/>
      </c>
      <c r="M295" s="21">
        <f>IF(M$4&gt;0,MIN(1,M294+Sensitivities!$C$249),M294)</f>
        <v/>
      </c>
      <c r="N295" s="21">
        <f>IF(N$4&gt;0,MIN(1,N294+Sensitivities!$C$249),N294)</f>
        <v/>
      </c>
      <c r="O295" s="21">
        <f>IF(O$4&gt;0,MIN(1,O294+Sensitivities!$C$249),O294)</f>
        <v/>
      </c>
      <c r="P295" s="21">
        <f>IF(P$4&gt;0,MIN(1,P294+Sensitivities!$C$249),P294)</f>
        <v/>
      </c>
      <c r="Q295" s="21">
        <f>IF(Q$4&gt;0,MIN(1,Q294+Sensitivities!$C$249),Q294)</f>
        <v/>
      </c>
      <c r="R295" s="21">
        <f>IF(R$4&gt;0,MIN(1,R294+Sensitivities!$C$249),R294)</f>
        <v/>
      </c>
      <c r="S295" s="21">
        <f>IF(S$4&gt;0,MIN(1,S294+Sensitivities!$C$249),S294)</f>
        <v/>
      </c>
      <c r="T295" s="21">
        <f>IF(T$4&gt;0,MIN(1,T294+Sensitivities!$C$249),T294)</f>
        <v/>
      </c>
      <c r="U295" s="21">
        <f>IF(U$4&gt;0,MIN(1,U294+Sensitivities!$C$249),U294)</f>
        <v/>
      </c>
      <c r="V295" s="21">
        <f>IF(V$4&gt;0,MIN(1,V294+Sensitivities!$C$249),V294)</f>
        <v/>
      </c>
      <c r="W295" s="21">
        <f>IF(W$4&gt;0,MIN(1,W294+Sensitivities!$C$249),W294)</f>
        <v/>
      </c>
      <c r="X295" s="21">
        <f>IF(X$4&gt;0,MIN(1,X294+Sensitivities!$C$249),X294)</f>
        <v/>
      </c>
      <c r="Y295" s="21">
        <f>IF(Y$4&gt;0,MIN(1,Y294+Sensitivities!$C$249),Y294)</f>
        <v/>
      </c>
      <c r="Z295" s="21">
        <f>IF(Z$4&gt;0,MIN(1,Z294+Sensitivities!$C$249),Z294)</f>
        <v/>
      </c>
      <c r="AA295" s="21">
        <f>IF(AA$4&gt;0,MIN(1,AA294+Sensitivities!$C$249),AA294)</f>
        <v/>
      </c>
      <c r="AB295" s="21">
        <f>IF(AB$4&gt;0,MIN(1,AB294+Sensitivities!$C$249),AB294)</f>
        <v/>
      </c>
      <c r="AC295" s="21">
        <f>IF(AC$4&gt;0,MIN(1,AC294+Sensitivities!$C$249),AC294)</f>
        <v/>
      </c>
      <c r="AD295" s="21">
        <f>IF(AD$4&gt;0,MIN(1,AD294+Sensitivities!$C$249),AD294)</f>
        <v/>
      </c>
      <c r="AE295" s="21">
        <f>IF(AE$4&gt;0,MIN(1,AE294+Sensitivities!$C$249),AE294)</f>
        <v/>
      </c>
      <c r="AF295" s="21">
        <f>IF(AF$4&gt;0,MIN(1,AF294+Sensitivities!$C$249),AF294)</f>
        <v/>
      </c>
      <c r="AG295" s="21">
        <f>IF(AG$4&gt;0,MIN(1,AG294+Sensitivities!$C$249),AG294)</f>
        <v/>
      </c>
      <c r="AH295" s="21">
        <f>IF(AH$4&gt;0,MIN(1,AH294+Sensitivities!$C$249),AH294)</f>
        <v/>
      </c>
      <c r="AI295" s="21">
        <f>IF(AI$4&gt;0,MIN(1,AI294+Sensitivities!$C$249),AI294)</f>
        <v/>
      </c>
    </row>
    <row r="296">
      <c r="B296" s="2" t="inlineStr">
        <is>
          <t xml:space="preserve">  Storage revenue</t>
        </is>
      </c>
      <c r="D296" s="19">
        <f>D290*D293*12*D295</f>
        <v/>
      </c>
      <c r="E296" s="19">
        <f>E290*E293*12*E295</f>
        <v/>
      </c>
      <c r="F296" s="19">
        <f>F290*F293*12*F295</f>
        <v/>
      </c>
      <c r="G296" s="19">
        <f>G290*G293*12*G295</f>
        <v/>
      </c>
      <c r="H296" s="19">
        <f>H290*H293*12*H295</f>
        <v/>
      </c>
      <c r="I296" s="19">
        <f>I290*I293*12*I295</f>
        <v/>
      </c>
      <c r="J296" s="19">
        <f>J290*J293*12*J295</f>
        <v/>
      </c>
      <c r="K296" s="19">
        <f>K290*K293*12*K295</f>
        <v/>
      </c>
      <c r="L296" s="19">
        <f>L290*L293*12*L295</f>
        <v/>
      </c>
      <c r="M296" s="19">
        <f>M290*M293*12*M295</f>
        <v/>
      </c>
      <c r="N296" s="19">
        <f>N290*N293*12*N295</f>
        <v/>
      </c>
      <c r="O296" s="19">
        <f>O290*O293*12*O295</f>
        <v/>
      </c>
      <c r="P296" s="19">
        <f>P290*P293*12*P295</f>
        <v/>
      </c>
      <c r="Q296" s="19">
        <f>Q290*Q293*12*Q295</f>
        <v/>
      </c>
      <c r="R296" s="19">
        <f>R290*R293*12*R295</f>
        <v/>
      </c>
      <c r="S296" s="19">
        <f>S290*S293*12*S295</f>
        <v/>
      </c>
      <c r="T296" s="19">
        <f>T290*T293*12*T295</f>
        <v/>
      </c>
      <c r="U296" s="19">
        <f>U290*U293*12*U295</f>
        <v/>
      </c>
      <c r="V296" s="19">
        <f>V290*V293*12*V295</f>
        <v/>
      </c>
      <c r="W296" s="19">
        <f>W290*W293*12*W295</f>
        <v/>
      </c>
      <c r="X296" s="19">
        <f>X290*X293*12*X295</f>
        <v/>
      </c>
      <c r="Y296" s="19">
        <f>Y290*Y293*12*Y295</f>
        <v/>
      </c>
      <c r="Z296" s="19">
        <f>Z290*Z293*12*Z295</f>
        <v/>
      </c>
      <c r="AA296" s="19">
        <f>AA290*AA293*12*AA295</f>
        <v/>
      </c>
      <c r="AB296" s="19">
        <f>AB290*AB293*12*AB295</f>
        <v/>
      </c>
      <c r="AC296" s="19">
        <f>AC290*AC293*12*AC295</f>
        <v/>
      </c>
      <c r="AD296" s="19">
        <f>AD290*AD293*12*AD295</f>
        <v/>
      </c>
      <c r="AE296" s="19">
        <f>AE290*AE293*12*AE295</f>
        <v/>
      </c>
      <c r="AF296" s="19">
        <f>AF290*AF293*12*AF295</f>
        <v/>
      </c>
      <c r="AG296" s="19">
        <f>AG290*AG293*12*AG295</f>
        <v/>
      </c>
      <c r="AH296" s="19">
        <f>AH290*AH293*12*AH295</f>
        <v/>
      </c>
      <c r="AI296" s="19">
        <f>AI290*AI293*12*AI295</f>
        <v/>
      </c>
    </row>
    <row r="297">
      <c r="B297" s="2" t="inlineStr">
        <is>
          <t xml:space="preserve">  Ancillary and throughput revenue</t>
        </is>
      </c>
      <c r="D297" s="19">
        <f>D296*i_T_anc</f>
        <v/>
      </c>
      <c r="E297" s="19">
        <f>E296*i_T_anc</f>
        <v/>
      </c>
      <c r="F297" s="19">
        <f>F296*i_T_anc</f>
        <v/>
      </c>
      <c r="G297" s="19">
        <f>G296*i_T_anc</f>
        <v/>
      </c>
      <c r="H297" s="19">
        <f>H296*i_T_anc</f>
        <v/>
      </c>
      <c r="I297" s="19">
        <f>I296*i_T_anc</f>
        <v/>
      </c>
      <c r="J297" s="19">
        <f>J296*i_T_anc</f>
        <v/>
      </c>
      <c r="K297" s="19">
        <f>K296*i_T_anc</f>
        <v/>
      </c>
      <c r="L297" s="19">
        <f>L296*i_T_anc</f>
        <v/>
      </c>
      <c r="M297" s="19">
        <f>M296*i_T_anc</f>
        <v/>
      </c>
      <c r="N297" s="19">
        <f>N296*i_T_anc</f>
        <v/>
      </c>
      <c r="O297" s="19">
        <f>O296*i_T_anc</f>
        <v/>
      </c>
      <c r="P297" s="19">
        <f>P296*i_T_anc</f>
        <v/>
      </c>
      <c r="Q297" s="19">
        <f>Q296*i_T_anc</f>
        <v/>
      </c>
      <c r="R297" s="19">
        <f>R296*i_T_anc</f>
        <v/>
      </c>
      <c r="S297" s="19">
        <f>S296*i_T_anc</f>
        <v/>
      </c>
      <c r="T297" s="19">
        <f>T296*i_T_anc</f>
        <v/>
      </c>
      <c r="U297" s="19">
        <f>U296*i_T_anc</f>
        <v/>
      </c>
      <c r="V297" s="19">
        <f>V296*i_T_anc</f>
        <v/>
      </c>
      <c r="W297" s="19">
        <f>W296*i_T_anc</f>
        <v/>
      </c>
      <c r="X297" s="19">
        <f>X296*i_T_anc</f>
        <v/>
      </c>
      <c r="Y297" s="19">
        <f>Y296*i_T_anc</f>
        <v/>
      </c>
      <c r="Z297" s="19">
        <f>Z296*i_T_anc</f>
        <v/>
      </c>
      <c r="AA297" s="19">
        <f>AA296*i_T_anc</f>
        <v/>
      </c>
      <c r="AB297" s="19">
        <f>AB296*i_T_anc</f>
        <v/>
      </c>
      <c r="AC297" s="19">
        <f>AC296*i_T_anc</f>
        <v/>
      </c>
      <c r="AD297" s="19">
        <f>AD296*i_T_anc</f>
        <v/>
      </c>
      <c r="AE297" s="19">
        <f>AE296*i_T_anc</f>
        <v/>
      </c>
      <c r="AF297" s="19">
        <f>AF296*i_T_anc</f>
        <v/>
      </c>
      <c r="AG297" s="19">
        <f>AG296*i_T_anc</f>
        <v/>
      </c>
      <c r="AH297" s="19">
        <f>AH296*i_T_anc</f>
        <v/>
      </c>
      <c r="AI297" s="19">
        <f>AI296*i_T_anc</f>
        <v/>
      </c>
    </row>
    <row r="298">
      <c r="B298" s="3" t="inlineStr">
        <is>
          <t xml:space="preserve">  Revenue</t>
        </is>
      </c>
      <c r="D298" s="31">
        <f>D296+D297</f>
        <v/>
      </c>
      <c r="E298" s="31">
        <f>E296+E297</f>
        <v/>
      </c>
      <c r="F298" s="31">
        <f>F296+F297</f>
        <v/>
      </c>
      <c r="G298" s="31">
        <f>G296+G297</f>
        <v/>
      </c>
      <c r="H298" s="31">
        <f>H296+H297</f>
        <v/>
      </c>
      <c r="I298" s="31">
        <f>I296+I297</f>
        <v/>
      </c>
      <c r="J298" s="31">
        <f>J296+J297</f>
        <v/>
      </c>
      <c r="K298" s="31">
        <f>K296+K297</f>
        <v/>
      </c>
      <c r="L298" s="31">
        <f>L296+L297</f>
        <v/>
      </c>
      <c r="M298" s="31">
        <f>M296+M297</f>
        <v/>
      </c>
      <c r="N298" s="31">
        <f>N296+N297</f>
        <v/>
      </c>
      <c r="O298" s="31">
        <f>O296+O297</f>
        <v/>
      </c>
      <c r="P298" s="31">
        <f>P296+P297</f>
        <v/>
      </c>
      <c r="Q298" s="31">
        <f>Q296+Q297</f>
        <v/>
      </c>
      <c r="R298" s="31">
        <f>R296+R297</f>
        <v/>
      </c>
      <c r="S298" s="31">
        <f>S296+S297</f>
        <v/>
      </c>
      <c r="T298" s="31">
        <f>T296+T297</f>
        <v/>
      </c>
      <c r="U298" s="31">
        <f>U296+U297</f>
        <v/>
      </c>
      <c r="V298" s="31">
        <f>V296+V297</f>
        <v/>
      </c>
      <c r="W298" s="31">
        <f>W296+W297</f>
        <v/>
      </c>
      <c r="X298" s="31">
        <f>X296+X297</f>
        <v/>
      </c>
      <c r="Y298" s="31">
        <f>Y296+Y297</f>
        <v/>
      </c>
      <c r="Z298" s="31">
        <f>Z296+Z297</f>
        <v/>
      </c>
      <c r="AA298" s="31">
        <f>AA296+AA297</f>
        <v/>
      </c>
      <c r="AB298" s="31">
        <f>AB296+AB297</f>
        <v/>
      </c>
      <c r="AC298" s="31">
        <f>AC296+AC297</f>
        <v/>
      </c>
      <c r="AD298" s="31">
        <f>AD296+AD297</f>
        <v/>
      </c>
      <c r="AE298" s="31">
        <f>AE296+AE297</f>
        <v/>
      </c>
      <c r="AF298" s="31">
        <f>AF296+AF297</f>
        <v/>
      </c>
      <c r="AG298" s="31">
        <f>AG296+AG297</f>
        <v/>
      </c>
      <c r="AH298" s="31">
        <f>AH296+AH297</f>
        <v/>
      </c>
      <c r="AI298" s="31">
        <f>AI296+AI297</f>
        <v/>
      </c>
    </row>
    <row r="299">
      <c r="B299" s="2" t="inlineStr">
        <is>
          <t xml:space="preserve">  Fixed cost</t>
        </is>
      </c>
      <c r="D299" s="19">
        <f>D290*i_T_fix*D254</f>
        <v/>
      </c>
      <c r="E299" s="19">
        <f>E290*i_T_fix*E254</f>
        <v/>
      </c>
      <c r="F299" s="19">
        <f>F290*i_T_fix*F254</f>
        <v/>
      </c>
      <c r="G299" s="19">
        <f>G290*i_T_fix*G254</f>
        <v/>
      </c>
      <c r="H299" s="19">
        <f>H290*i_T_fix*H254</f>
        <v/>
      </c>
      <c r="I299" s="19">
        <f>I290*i_T_fix*I254</f>
        <v/>
      </c>
      <c r="J299" s="19">
        <f>J290*i_T_fix*J254</f>
        <v/>
      </c>
      <c r="K299" s="19">
        <f>K290*i_T_fix*K254</f>
        <v/>
      </c>
      <c r="L299" s="19">
        <f>L290*i_T_fix*L254</f>
        <v/>
      </c>
      <c r="M299" s="19">
        <f>M290*i_T_fix*M254</f>
        <v/>
      </c>
      <c r="N299" s="19">
        <f>N290*i_T_fix*N254</f>
        <v/>
      </c>
      <c r="O299" s="19">
        <f>O290*i_T_fix*O254</f>
        <v/>
      </c>
      <c r="P299" s="19">
        <f>P290*i_T_fix*P254</f>
        <v/>
      </c>
      <c r="Q299" s="19">
        <f>Q290*i_T_fix*Q254</f>
        <v/>
      </c>
      <c r="R299" s="19">
        <f>R290*i_T_fix*R254</f>
        <v/>
      </c>
      <c r="S299" s="19">
        <f>S290*i_T_fix*S254</f>
        <v/>
      </c>
      <c r="T299" s="19">
        <f>T290*i_T_fix*T254</f>
        <v/>
      </c>
      <c r="U299" s="19">
        <f>U290*i_T_fix*U254</f>
        <v/>
      </c>
      <c r="V299" s="19">
        <f>V290*i_T_fix*V254</f>
        <v/>
      </c>
      <c r="W299" s="19">
        <f>W290*i_T_fix*W254</f>
        <v/>
      </c>
      <c r="X299" s="19">
        <f>X290*i_T_fix*X254</f>
        <v/>
      </c>
      <c r="Y299" s="19">
        <f>Y290*i_T_fix*Y254</f>
        <v/>
      </c>
      <c r="Z299" s="19">
        <f>Z290*i_T_fix*Z254</f>
        <v/>
      </c>
      <c r="AA299" s="19">
        <f>AA290*i_T_fix*AA254</f>
        <v/>
      </c>
      <c r="AB299" s="19">
        <f>AB290*i_T_fix*AB254</f>
        <v/>
      </c>
      <c r="AC299" s="19">
        <f>AC290*i_T_fix*AC254</f>
        <v/>
      </c>
      <c r="AD299" s="19">
        <f>AD290*i_T_fix*AD254</f>
        <v/>
      </c>
      <c r="AE299" s="19">
        <f>AE290*i_T_fix*AE254</f>
        <v/>
      </c>
      <c r="AF299" s="19">
        <f>AF290*i_T_fix*AF254</f>
        <v/>
      </c>
      <c r="AG299" s="19">
        <f>AG290*i_T_fix*AG254</f>
        <v/>
      </c>
      <c r="AH299" s="19">
        <f>AH290*i_T_fix*AH254</f>
        <v/>
      </c>
      <c r="AI299" s="19">
        <f>AI290*i_T_fix*AI254</f>
        <v/>
      </c>
    </row>
    <row r="300">
      <c r="B300" s="2" t="inlineStr">
        <is>
          <t xml:space="preserve">  Variable cost</t>
        </is>
      </c>
      <c r="D300" s="19">
        <f>i_T_var*D298</f>
        <v/>
      </c>
      <c r="E300" s="19">
        <f>i_T_var*E298</f>
        <v/>
      </c>
      <c r="F300" s="19">
        <f>i_T_var*F298</f>
        <v/>
      </c>
      <c r="G300" s="19">
        <f>i_T_var*G298</f>
        <v/>
      </c>
      <c r="H300" s="19">
        <f>i_T_var*H298</f>
        <v/>
      </c>
      <c r="I300" s="19">
        <f>i_T_var*I298</f>
        <v/>
      </c>
      <c r="J300" s="19">
        <f>i_T_var*J298</f>
        <v/>
      </c>
      <c r="K300" s="19">
        <f>i_T_var*K298</f>
        <v/>
      </c>
      <c r="L300" s="19">
        <f>i_T_var*L298</f>
        <v/>
      </c>
      <c r="M300" s="19">
        <f>i_T_var*M298</f>
        <v/>
      </c>
      <c r="N300" s="19">
        <f>i_T_var*N298</f>
        <v/>
      </c>
      <c r="O300" s="19">
        <f>i_T_var*O298</f>
        <v/>
      </c>
      <c r="P300" s="19">
        <f>i_T_var*P298</f>
        <v/>
      </c>
      <c r="Q300" s="19">
        <f>i_T_var*Q298</f>
        <v/>
      </c>
      <c r="R300" s="19">
        <f>i_T_var*R298</f>
        <v/>
      </c>
      <c r="S300" s="19">
        <f>i_T_var*S298</f>
        <v/>
      </c>
      <c r="T300" s="19">
        <f>i_T_var*T298</f>
        <v/>
      </c>
      <c r="U300" s="19">
        <f>i_T_var*U298</f>
        <v/>
      </c>
      <c r="V300" s="19">
        <f>i_T_var*V298</f>
        <v/>
      </c>
      <c r="W300" s="19">
        <f>i_T_var*W298</f>
        <v/>
      </c>
      <c r="X300" s="19">
        <f>i_T_var*X298</f>
        <v/>
      </c>
      <c r="Y300" s="19">
        <f>i_T_var*Y298</f>
        <v/>
      </c>
      <c r="Z300" s="19">
        <f>i_T_var*Z298</f>
        <v/>
      </c>
      <c r="AA300" s="19">
        <f>i_T_var*AA298</f>
        <v/>
      </c>
      <c r="AB300" s="19">
        <f>i_T_var*AB298</f>
        <v/>
      </c>
      <c r="AC300" s="19">
        <f>i_T_var*AC298</f>
        <v/>
      </c>
      <c r="AD300" s="19">
        <f>i_T_var*AD298</f>
        <v/>
      </c>
      <c r="AE300" s="19">
        <f>i_T_var*AE298</f>
        <v/>
      </c>
      <c r="AF300" s="19">
        <f>i_T_var*AF298</f>
        <v/>
      </c>
      <c r="AG300" s="19">
        <f>i_T_var*AG298</f>
        <v/>
      </c>
      <c r="AH300" s="19">
        <f>i_T_var*AH298</f>
        <v/>
      </c>
      <c r="AI300" s="19">
        <f>i_T_var*AI298</f>
        <v/>
      </c>
    </row>
    <row r="301">
      <c r="B301" s="2" t="inlineStr">
        <is>
          <t xml:space="preserve">  Operating cost</t>
        </is>
      </c>
      <c r="D301" s="19">
        <f>D299+D300</f>
        <v/>
      </c>
      <c r="E301" s="19">
        <f>E299+E300</f>
        <v/>
      </c>
      <c r="F301" s="19">
        <f>F299+F300</f>
        <v/>
      </c>
      <c r="G301" s="19">
        <f>G299+G300</f>
        <v/>
      </c>
      <c r="H301" s="19">
        <f>H299+H300</f>
        <v/>
      </c>
      <c r="I301" s="19">
        <f>I299+I300</f>
        <v/>
      </c>
      <c r="J301" s="19">
        <f>J299+J300</f>
        <v/>
      </c>
      <c r="K301" s="19">
        <f>K299+K300</f>
        <v/>
      </c>
      <c r="L301" s="19">
        <f>L299+L300</f>
        <v/>
      </c>
      <c r="M301" s="19">
        <f>M299+M300</f>
        <v/>
      </c>
      <c r="N301" s="19">
        <f>N299+N300</f>
        <v/>
      </c>
      <c r="O301" s="19">
        <f>O299+O300</f>
        <v/>
      </c>
      <c r="P301" s="19">
        <f>P299+P300</f>
        <v/>
      </c>
      <c r="Q301" s="19">
        <f>Q299+Q300</f>
        <v/>
      </c>
      <c r="R301" s="19">
        <f>R299+R300</f>
        <v/>
      </c>
      <c r="S301" s="19">
        <f>S299+S300</f>
        <v/>
      </c>
      <c r="T301" s="19">
        <f>T299+T300</f>
        <v/>
      </c>
      <c r="U301" s="19">
        <f>U299+U300</f>
        <v/>
      </c>
      <c r="V301" s="19">
        <f>V299+V300</f>
        <v/>
      </c>
      <c r="W301" s="19">
        <f>W299+W300</f>
        <v/>
      </c>
      <c r="X301" s="19">
        <f>X299+X300</f>
        <v/>
      </c>
      <c r="Y301" s="19">
        <f>Y299+Y300</f>
        <v/>
      </c>
      <c r="Z301" s="19">
        <f>Z299+Z300</f>
        <v/>
      </c>
      <c r="AA301" s="19">
        <f>AA299+AA300</f>
        <v/>
      </c>
      <c r="AB301" s="19">
        <f>AB299+AB300</f>
        <v/>
      </c>
      <c r="AC301" s="19">
        <f>AC299+AC300</f>
        <v/>
      </c>
      <c r="AD301" s="19">
        <f>AD299+AD300</f>
        <v/>
      </c>
      <c r="AE301" s="19">
        <f>AE299+AE300</f>
        <v/>
      </c>
      <c r="AF301" s="19">
        <f>AF299+AF300</f>
        <v/>
      </c>
      <c r="AG301" s="19">
        <f>AG299+AG300</f>
        <v/>
      </c>
      <c r="AH301" s="19">
        <f>AH299+AH300</f>
        <v/>
      </c>
      <c r="AI301" s="19">
        <f>AI299+AI300</f>
        <v/>
      </c>
    </row>
    <row r="302">
      <c r="B302" s="3" t="inlineStr">
        <is>
          <t xml:space="preserve">  EBITDA</t>
        </is>
      </c>
      <c r="D302" s="31">
        <f>D298-D301</f>
        <v/>
      </c>
      <c r="E302" s="31">
        <f>E298-E301</f>
        <v/>
      </c>
      <c r="F302" s="31">
        <f>F298-F301</f>
        <v/>
      </c>
      <c r="G302" s="31">
        <f>G298-G301</f>
        <v/>
      </c>
      <c r="H302" s="31">
        <f>H298-H301</f>
        <v/>
      </c>
      <c r="I302" s="31">
        <f>I298-I301</f>
        <v/>
      </c>
      <c r="J302" s="31">
        <f>J298-J301</f>
        <v/>
      </c>
      <c r="K302" s="31">
        <f>K298-K301</f>
        <v/>
      </c>
      <c r="L302" s="31">
        <f>L298-L301</f>
        <v/>
      </c>
      <c r="M302" s="31">
        <f>M298-M301</f>
        <v/>
      </c>
      <c r="N302" s="31">
        <f>N298-N301</f>
        <v/>
      </c>
      <c r="O302" s="31">
        <f>O298-O301</f>
        <v/>
      </c>
      <c r="P302" s="31">
        <f>P298-P301</f>
        <v/>
      </c>
      <c r="Q302" s="31">
        <f>Q298-Q301</f>
        <v/>
      </c>
      <c r="R302" s="31">
        <f>R298-R301</f>
        <v/>
      </c>
      <c r="S302" s="31">
        <f>S298-S301</f>
        <v/>
      </c>
      <c r="T302" s="31">
        <f>T298-T301</f>
        <v/>
      </c>
      <c r="U302" s="31">
        <f>U298-U301</f>
        <v/>
      </c>
      <c r="V302" s="31">
        <f>V298-V301</f>
        <v/>
      </c>
      <c r="W302" s="31">
        <f>W298-W301</f>
        <v/>
      </c>
      <c r="X302" s="31">
        <f>X298-X301</f>
        <v/>
      </c>
      <c r="Y302" s="31">
        <f>Y298-Y301</f>
        <v/>
      </c>
      <c r="Z302" s="31">
        <f>Z298-Z301</f>
        <v/>
      </c>
      <c r="AA302" s="31">
        <f>AA298-AA301</f>
        <v/>
      </c>
      <c r="AB302" s="31">
        <f>AB298-AB301</f>
        <v/>
      </c>
      <c r="AC302" s="31">
        <f>AC298-AC301</f>
        <v/>
      </c>
      <c r="AD302" s="31">
        <f>AD298-AD301</f>
        <v/>
      </c>
      <c r="AE302" s="31">
        <f>AE298-AE301</f>
        <v/>
      </c>
      <c r="AF302" s="31">
        <f>AF298-AF301</f>
        <v/>
      </c>
      <c r="AG302" s="31">
        <f>AG298-AG301</f>
        <v/>
      </c>
      <c r="AH302" s="31">
        <f>AH298-AH301</f>
        <v/>
      </c>
      <c r="AI302" s="31">
        <f>AI298-AI301</f>
        <v/>
      </c>
    </row>
    <row r="303">
      <c r="B303" s="2" t="inlineStr">
        <is>
          <t xml:space="preserve">  Maintenance capex</t>
        </is>
      </c>
      <c r="D303" s="19">
        <f>D290*i_T_mc*D254</f>
        <v/>
      </c>
      <c r="E303" s="19">
        <f>E290*i_T_mc*E254</f>
        <v/>
      </c>
      <c r="F303" s="19">
        <f>F290*i_T_mc*F254</f>
        <v/>
      </c>
      <c r="G303" s="19">
        <f>G290*i_T_mc*G254</f>
        <v/>
      </c>
      <c r="H303" s="19">
        <f>H290*i_T_mc*H254</f>
        <v/>
      </c>
      <c r="I303" s="19">
        <f>I290*i_T_mc*I254</f>
        <v/>
      </c>
      <c r="J303" s="19">
        <f>J290*i_T_mc*J254</f>
        <v/>
      </c>
      <c r="K303" s="19">
        <f>K290*i_T_mc*K254</f>
        <v/>
      </c>
      <c r="L303" s="19">
        <f>L290*i_T_mc*L254</f>
        <v/>
      </c>
      <c r="M303" s="19">
        <f>M290*i_T_mc*M254</f>
        <v/>
      </c>
      <c r="N303" s="19">
        <f>N290*i_T_mc*N254</f>
        <v/>
      </c>
      <c r="O303" s="19">
        <f>O290*i_T_mc*O254</f>
        <v/>
      </c>
      <c r="P303" s="19">
        <f>P290*i_T_mc*P254</f>
        <v/>
      </c>
      <c r="Q303" s="19">
        <f>Q290*i_T_mc*Q254</f>
        <v/>
      </c>
      <c r="R303" s="19">
        <f>R290*i_T_mc*R254</f>
        <v/>
      </c>
      <c r="S303" s="19">
        <f>S290*i_T_mc*S254</f>
        <v/>
      </c>
      <c r="T303" s="19">
        <f>T290*i_T_mc*T254</f>
        <v/>
      </c>
      <c r="U303" s="19">
        <f>U290*i_T_mc*U254</f>
        <v/>
      </c>
      <c r="V303" s="19">
        <f>V290*i_T_mc*V254</f>
        <v/>
      </c>
      <c r="W303" s="19">
        <f>W290*i_T_mc*W254</f>
        <v/>
      </c>
      <c r="X303" s="19">
        <f>X290*i_T_mc*X254</f>
        <v/>
      </c>
      <c r="Y303" s="19">
        <f>Y290*i_T_mc*Y254</f>
        <v/>
      </c>
      <c r="Z303" s="19">
        <f>Z290*i_T_mc*Z254</f>
        <v/>
      </c>
      <c r="AA303" s="19">
        <f>AA290*i_T_mc*AA254</f>
        <v/>
      </c>
      <c r="AB303" s="19">
        <f>AB290*i_T_mc*AB254</f>
        <v/>
      </c>
      <c r="AC303" s="19">
        <f>AC290*i_T_mc*AC254</f>
        <v/>
      </c>
      <c r="AD303" s="19">
        <f>AD290*i_T_mc*AD254</f>
        <v/>
      </c>
      <c r="AE303" s="19">
        <f>AE290*i_T_mc*AE254</f>
        <v/>
      </c>
      <c r="AF303" s="19">
        <f>AF290*i_T_mc*AF254</f>
        <v/>
      </c>
      <c r="AG303" s="19">
        <f>AG290*i_T_mc*AG254</f>
        <v/>
      </c>
      <c r="AH303" s="19">
        <f>AH290*i_T_mc*AH254</f>
        <v/>
      </c>
      <c r="AI303" s="19">
        <f>AI290*i_T_mc*AI254</f>
        <v/>
      </c>
    </row>
    <row r="304">
      <c r="B304" s="3" t="inlineStr">
        <is>
          <t>Sabine Bend</t>
        </is>
      </c>
    </row>
    <row r="305">
      <c r="B305" s="2" t="inlineStr">
        <is>
          <t xml:space="preserve">  Capacity in service (million m3)</t>
        </is>
      </c>
      <c r="D305" s="24">
        <f>i_G_cap</f>
        <v/>
      </c>
      <c r="E305" s="24">
        <f>i_G_cap</f>
        <v/>
      </c>
      <c r="F305" s="24">
        <f>i_G_cap</f>
        <v/>
      </c>
      <c r="G305" s="24">
        <f>i_G_cap</f>
        <v/>
      </c>
      <c r="H305" s="24">
        <f>i_G_cap</f>
        <v/>
      </c>
      <c r="I305" s="24">
        <f>i_G_cap</f>
        <v/>
      </c>
      <c r="J305" s="24">
        <f>i_G_cap</f>
        <v/>
      </c>
      <c r="K305" s="24">
        <f>i_G_cap</f>
        <v/>
      </c>
      <c r="L305" s="24">
        <f>i_G_cap</f>
        <v/>
      </c>
      <c r="M305" s="24">
        <f>i_G_cap</f>
        <v/>
      </c>
      <c r="N305" s="24">
        <f>i_G_cap</f>
        <v/>
      </c>
      <c r="O305" s="24">
        <f>i_G_cap</f>
        <v/>
      </c>
      <c r="P305" s="24">
        <f>i_G_cap</f>
        <v/>
      </c>
      <c r="Q305" s="24">
        <f>i_G_cap</f>
        <v/>
      </c>
      <c r="R305" s="24">
        <f>i_G_cap</f>
        <v/>
      </c>
      <c r="S305" s="24">
        <f>i_G_cap</f>
        <v/>
      </c>
      <c r="T305" s="24">
        <f>i_G_cap</f>
        <v/>
      </c>
      <c r="U305" s="24">
        <f>i_G_cap</f>
        <v/>
      </c>
      <c r="V305" s="24">
        <f>i_G_cap</f>
        <v/>
      </c>
      <c r="W305" s="24">
        <f>i_G_cap</f>
        <v/>
      </c>
      <c r="X305" s="24">
        <f>i_G_cap</f>
        <v/>
      </c>
      <c r="Y305" s="24">
        <f>i_G_cap</f>
        <v/>
      </c>
      <c r="Z305" s="24">
        <f>i_G_cap</f>
        <v/>
      </c>
      <c r="AA305" s="24">
        <f>i_G_cap</f>
        <v/>
      </c>
      <c r="AB305" s="24">
        <f>i_G_cap</f>
        <v/>
      </c>
      <c r="AC305" s="24">
        <f>i_G_cap</f>
        <v/>
      </c>
      <c r="AD305" s="24">
        <f>i_G_cap</f>
        <v/>
      </c>
      <c r="AE305" s="24">
        <f>i_G_cap</f>
        <v/>
      </c>
      <c r="AF305" s="24">
        <f>i_G_cap</f>
        <v/>
      </c>
      <c r="AG305" s="24">
        <f>i_G_cap</f>
        <v/>
      </c>
      <c r="AH305" s="24">
        <f>i_G_cap</f>
        <v/>
      </c>
      <c r="AI305" s="24">
        <f>i_G_cap</f>
        <v/>
      </c>
    </row>
    <row r="306">
      <c r="B306" s="2" t="inlineStr">
        <is>
          <t xml:space="preserve">  Share on contracts signed before 2027</t>
        </is>
      </c>
      <c r="D306" s="21">
        <f>SUMIF(i_book_years,D$3,i_G_book)</f>
        <v/>
      </c>
      <c r="E306" s="21">
        <f>SUMIF(i_book_years,E$3,i_G_book)</f>
        <v/>
      </c>
      <c r="F306" s="21">
        <f>SUMIF(i_book_years,F$3,i_G_book)</f>
        <v/>
      </c>
      <c r="G306" s="21">
        <f>SUMIF(i_book_years,G$3,i_G_book)</f>
        <v/>
      </c>
      <c r="H306" s="21">
        <f>SUMIF(i_book_years,H$3,i_G_book)</f>
        <v/>
      </c>
      <c r="I306" s="21">
        <f>SUMIF(i_book_years,I$3,i_G_book)</f>
        <v/>
      </c>
      <c r="J306" s="21">
        <f>SUMIF(i_book_years,J$3,i_G_book)</f>
        <v/>
      </c>
      <c r="K306" s="21">
        <f>SUMIF(i_book_years,K$3,i_G_book)</f>
        <v/>
      </c>
      <c r="L306" s="21">
        <f>SUMIF(i_book_years,L$3,i_G_book)</f>
        <v/>
      </c>
      <c r="M306" s="21">
        <f>SUMIF(i_book_years,M$3,i_G_book)</f>
        <v/>
      </c>
      <c r="N306" s="21">
        <f>SUMIF(i_book_years,N$3,i_G_book)</f>
        <v/>
      </c>
      <c r="O306" s="21">
        <f>SUMIF(i_book_years,O$3,i_G_book)</f>
        <v/>
      </c>
      <c r="P306" s="21">
        <f>SUMIF(i_book_years,P$3,i_G_book)</f>
        <v/>
      </c>
      <c r="Q306" s="21">
        <f>SUMIF(i_book_years,Q$3,i_G_book)</f>
        <v/>
      </c>
      <c r="R306" s="21">
        <f>SUMIF(i_book_years,R$3,i_G_book)</f>
        <v/>
      </c>
      <c r="S306" s="21">
        <f>SUMIF(i_book_years,S$3,i_G_book)</f>
        <v/>
      </c>
      <c r="T306" s="21">
        <f>SUMIF(i_book_years,T$3,i_G_book)</f>
        <v/>
      </c>
      <c r="U306" s="21">
        <f>SUMIF(i_book_years,U$3,i_G_book)</f>
        <v/>
      </c>
      <c r="V306" s="21">
        <f>SUMIF(i_book_years,V$3,i_G_book)</f>
        <v/>
      </c>
      <c r="W306" s="21">
        <f>SUMIF(i_book_years,W$3,i_G_book)</f>
        <v/>
      </c>
      <c r="X306" s="21">
        <f>SUMIF(i_book_years,X$3,i_G_book)</f>
        <v/>
      </c>
      <c r="Y306" s="21">
        <f>SUMIF(i_book_years,Y$3,i_G_book)</f>
        <v/>
      </c>
      <c r="Z306" s="21">
        <f>SUMIF(i_book_years,Z$3,i_G_book)</f>
        <v/>
      </c>
      <c r="AA306" s="21">
        <f>SUMIF(i_book_years,AA$3,i_G_book)</f>
        <v/>
      </c>
      <c r="AB306" s="21">
        <f>SUMIF(i_book_years,AB$3,i_G_book)</f>
        <v/>
      </c>
      <c r="AC306" s="21">
        <f>SUMIF(i_book_years,AC$3,i_G_book)</f>
        <v/>
      </c>
      <c r="AD306" s="21">
        <f>SUMIF(i_book_years,AD$3,i_G_book)</f>
        <v/>
      </c>
      <c r="AE306" s="21">
        <f>SUMIF(i_book_years,AE$3,i_G_book)</f>
        <v/>
      </c>
      <c r="AF306" s="21">
        <f>SUMIF(i_book_years,AF$3,i_G_book)</f>
        <v/>
      </c>
      <c r="AG306" s="21">
        <f>SUMIF(i_book_years,AG$3,i_G_book)</f>
        <v/>
      </c>
      <c r="AH306" s="21">
        <f>SUMIF(i_book_years,AH$3,i_G_book)</f>
        <v/>
      </c>
      <c r="AI306" s="21">
        <f>SUMIF(i_book_years,AI$3,i_G_book)</f>
        <v/>
      </c>
    </row>
    <row r="307">
      <c r="B307" s="2" t="inlineStr">
        <is>
          <t xml:space="preserve">  Recontracting factor against current rates</t>
        </is>
      </c>
      <c r="D307" s="21">
        <f>IF(D$4=0,0,IF(Sensitivities!$C$244=1,i_G_mtm,i_G_mtm_plan)+Sensitivities!$C$250)</f>
        <v/>
      </c>
      <c r="E307" s="21">
        <f>IF(E$4=0,0,IF(Sensitivities!$C$244=1,i_G_mtm,i_G_mtm_plan)+Sensitivities!$C$250)</f>
        <v/>
      </c>
      <c r="F307" s="21">
        <f>IF(F$4=0,0,IF(Sensitivities!$C$244=1,i_G_mtm,i_G_mtm_plan)+Sensitivities!$C$250)</f>
        <v/>
      </c>
      <c r="G307" s="21">
        <f>IF(G$4=0,0,IF(Sensitivities!$C$244=1,i_G_mtm,i_G_mtm_plan)+Sensitivities!$C$250)</f>
        <v/>
      </c>
      <c r="H307" s="21">
        <f>IF(H$4=0,0,IF(Sensitivities!$C$244=1,i_G_mtm,i_G_mtm_plan)+Sensitivities!$C$250)</f>
        <v/>
      </c>
      <c r="I307" s="21">
        <f>IF(I$4=0,0,IF(Sensitivities!$C$244=1,i_G_mtm,i_G_mtm_plan)+Sensitivities!$C$250)</f>
        <v/>
      </c>
      <c r="J307" s="21">
        <f>IF(J$4=0,0,IF(Sensitivities!$C$244=1,i_G_mtm,i_G_mtm_plan)+Sensitivities!$C$250)</f>
        <v/>
      </c>
      <c r="K307" s="21">
        <f>IF(K$4=0,0,IF(Sensitivities!$C$244=1,i_G_mtm,i_G_mtm_plan)+Sensitivities!$C$250)</f>
        <v/>
      </c>
      <c r="L307" s="21">
        <f>IF(L$4=0,0,IF(Sensitivities!$C$244=1,i_G_mtm,i_G_mtm_plan)+Sensitivities!$C$250)</f>
        <v/>
      </c>
      <c r="M307" s="21">
        <f>IF(M$4=0,0,IF(Sensitivities!$C$244=1,i_G_mtm,i_G_mtm_plan)+Sensitivities!$C$250)</f>
        <v/>
      </c>
      <c r="N307" s="21">
        <f>IF(N$4=0,0,IF(Sensitivities!$C$244=1,i_G_mtm,i_G_mtm_plan)+Sensitivities!$C$250)</f>
        <v/>
      </c>
      <c r="O307" s="21">
        <f>IF(O$4=0,0,IF(Sensitivities!$C$244=1,i_G_mtm,i_G_mtm_plan)+Sensitivities!$C$250)</f>
        <v/>
      </c>
      <c r="P307" s="21">
        <f>IF(P$4=0,0,IF(Sensitivities!$C$244=1,i_G_mtm,i_G_mtm_plan)+Sensitivities!$C$250)</f>
        <v/>
      </c>
      <c r="Q307" s="21">
        <f>IF(Q$4=0,0,IF(Sensitivities!$C$244=1,i_G_mtm,i_G_mtm_plan)+Sensitivities!$C$250)</f>
        <v/>
      </c>
      <c r="R307" s="21">
        <f>IF(R$4=0,0,IF(Sensitivities!$C$244=1,i_G_mtm,i_G_mtm_plan)+Sensitivities!$C$250)</f>
        <v/>
      </c>
      <c r="S307" s="21">
        <f>IF(S$4=0,0,IF(Sensitivities!$C$244=1,i_G_mtm,i_G_mtm_plan)+Sensitivities!$C$250)</f>
        <v/>
      </c>
      <c r="T307" s="21">
        <f>IF(T$4=0,0,IF(Sensitivities!$C$244=1,i_G_mtm,i_G_mtm_plan)+Sensitivities!$C$250)</f>
        <v/>
      </c>
      <c r="U307" s="21">
        <f>IF(U$4=0,0,IF(Sensitivities!$C$244=1,i_G_mtm,i_G_mtm_plan)+Sensitivities!$C$250)</f>
        <v/>
      </c>
      <c r="V307" s="21">
        <f>IF(V$4=0,0,IF(Sensitivities!$C$244=1,i_G_mtm,i_G_mtm_plan)+Sensitivities!$C$250)</f>
        <v/>
      </c>
      <c r="W307" s="21">
        <f>IF(W$4=0,0,IF(Sensitivities!$C$244=1,i_G_mtm,i_G_mtm_plan)+Sensitivities!$C$250)</f>
        <v/>
      </c>
      <c r="X307" s="21">
        <f>IF(X$4=0,0,IF(Sensitivities!$C$244=1,i_G_mtm,i_G_mtm_plan)+Sensitivities!$C$250)</f>
        <v/>
      </c>
      <c r="Y307" s="21">
        <f>IF(Y$4=0,0,IF(Sensitivities!$C$244=1,i_G_mtm,i_G_mtm_plan)+Sensitivities!$C$250)</f>
        <v/>
      </c>
      <c r="Z307" s="21">
        <f>IF(Z$4=0,0,IF(Sensitivities!$C$244=1,i_G_mtm,i_G_mtm_plan)+Sensitivities!$C$250)</f>
        <v/>
      </c>
      <c r="AA307" s="21">
        <f>IF(AA$4=0,0,IF(Sensitivities!$C$244=1,i_G_mtm,i_G_mtm_plan)+Sensitivities!$C$250)</f>
        <v/>
      </c>
      <c r="AB307" s="21">
        <f>IF(AB$4=0,0,IF(Sensitivities!$C$244=1,i_G_mtm,i_G_mtm_plan)+Sensitivities!$C$250)</f>
        <v/>
      </c>
      <c r="AC307" s="21">
        <f>IF(AC$4=0,0,IF(Sensitivities!$C$244=1,i_G_mtm,i_G_mtm_plan)+Sensitivities!$C$250)</f>
        <v/>
      </c>
      <c r="AD307" s="21">
        <f>IF(AD$4=0,0,IF(Sensitivities!$C$244=1,i_G_mtm,i_G_mtm_plan)+Sensitivities!$C$250)</f>
        <v/>
      </c>
      <c r="AE307" s="21">
        <f>IF(AE$4=0,0,IF(Sensitivities!$C$244=1,i_G_mtm,i_G_mtm_plan)+Sensitivities!$C$250)</f>
        <v/>
      </c>
      <c r="AF307" s="21">
        <f>IF(AF$4=0,0,IF(Sensitivities!$C$244=1,i_G_mtm,i_G_mtm_plan)+Sensitivities!$C$250)</f>
        <v/>
      </c>
      <c r="AG307" s="21">
        <f>IF(AG$4=0,0,IF(Sensitivities!$C$244=1,i_G_mtm,i_G_mtm_plan)+Sensitivities!$C$250)</f>
        <v/>
      </c>
      <c r="AH307" s="21">
        <f>IF(AH$4=0,0,IF(Sensitivities!$C$244=1,i_G_mtm,i_G_mtm_plan)+Sensitivities!$C$250)</f>
        <v/>
      </c>
      <c r="AI307" s="21">
        <f>IF(AI$4=0,0,IF(Sensitivities!$C$244=1,i_G_mtm,i_G_mtm_plan)+Sensitivities!$C$250)</f>
        <v/>
      </c>
    </row>
    <row r="308">
      <c r="B308" s="2" t="inlineStr">
        <is>
          <t xml:space="preserve">  Average rate ($ per m3 per month)</t>
        </is>
      </c>
      <c r="D308" s="24">
        <f>i_G_rate*D255*(D306+(1-D306)*(1+D307))</f>
        <v/>
      </c>
      <c r="E308" s="24">
        <f>i_G_rate*E255*(E306+(1-E306)*(1+E307))</f>
        <v/>
      </c>
      <c r="F308" s="24">
        <f>i_G_rate*F255*(F306+(1-F306)*(1+F307))</f>
        <v/>
      </c>
      <c r="G308" s="24">
        <f>i_G_rate*G255*(G306+(1-G306)*(1+G307))</f>
        <v/>
      </c>
      <c r="H308" s="24">
        <f>i_G_rate*H255*(H306+(1-H306)*(1+H307))</f>
        <v/>
      </c>
      <c r="I308" s="24">
        <f>i_G_rate*I255*(I306+(1-I306)*(1+I307))</f>
        <v/>
      </c>
      <c r="J308" s="24">
        <f>i_G_rate*J255*(J306+(1-J306)*(1+J307))</f>
        <v/>
      </c>
      <c r="K308" s="24">
        <f>i_G_rate*K255*(K306+(1-K306)*(1+K307))</f>
        <v/>
      </c>
      <c r="L308" s="24">
        <f>i_G_rate*L255*(L306+(1-L306)*(1+L307))</f>
        <v/>
      </c>
      <c r="M308" s="24">
        <f>i_G_rate*M255*(M306+(1-M306)*(1+M307))</f>
        <v/>
      </c>
      <c r="N308" s="24">
        <f>i_G_rate*N255*(N306+(1-N306)*(1+N307))</f>
        <v/>
      </c>
      <c r="O308" s="24">
        <f>i_G_rate*O255*(O306+(1-O306)*(1+O307))</f>
        <v/>
      </c>
      <c r="P308" s="24">
        <f>i_G_rate*P255*(P306+(1-P306)*(1+P307))</f>
        <v/>
      </c>
      <c r="Q308" s="24">
        <f>i_G_rate*Q255*(Q306+(1-Q306)*(1+Q307))</f>
        <v/>
      </c>
      <c r="R308" s="24">
        <f>i_G_rate*R255*(R306+(1-R306)*(1+R307))</f>
        <v/>
      </c>
      <c r="S308" s="24">
        <f>i_G_rate*S255*(S306+(1-S306)*(1+S307))</f>
        <v/>
      </c>
      <c r="T308" s="24">
        <f>i_G_rate*T255*(T306+(1-T306)*(1+T307))</f>
        <v/>
      </c>
      <c r="U308" s="24">
        <f>i_G_rate*U255*(U306+(1-U306)*(1+U307))</f>
        <v/>
      </c>
      <c r="V308" s="24">
        <f>i_G_rate*V255*(V306+(1-V306)*(1+V307))</f>
        <v/>
      </c>
      <c r="W308" s="24">
        <f>i_G_rate*W255*(W306+(1-W306)*(1+W307))</f>
        <v/>
      </c>
      <c r="X308" s="24">
        <f>i_G_rate*X255*(X306+(1-X306)*(1+X307))</f>
        <v/>
      </c>
      <c r="Y308" s="24">
        <f>i_G_rate*Y255*(Y306+(1-Y306)*(1+Y307))</f>
        <v/>
      </c>
      <c r="Z308" s="24">
        <f>i_G_rate*Z255*(Z306+(1-Z306)*(1+Z307))</f>
        <v/>
      </c>
      <c r="AA308" s="24">
        <f>i_G_rate*AA255*(AA306+(1-AA306)*(1+AA307))</f>
        <v/>
      </c>
      <c r="AB308" s="24">
        <f>i_G_rate*AB255*(AB306+(1-AB306)*(1+AB307))</f>
        <v/>
      </c>
      <c r="AC308" s="24">
        <f>i_G_rate*AC255*(AC306+(1-AC306)*(1+AC307))</f>
        <v/>
      </c>
      <c r="AD308" s="24">
        <f>i_G_rate*AD255*(AD306+(1-AD306)*(1+AD307))</f>
        <v/>
      </c>
      <c r="AE308" s="24">
        <f>i_G_rate*AE255*(AE306+(1-AE306)*(1+AE307))</f>
        <v/>
      </c>
      <c r="AF308" s="24">
        <f>i_G_rate*AF255*(AF306+(1-AF306)*(1+AF307))</f>
        <v/>
      </c>
      <c r="AG308" s="24">
        <f>i_G_rate*AG255*(AG306+(1-AG306)*(1+AG307))</f>
        <v/>
      </c>
      <c r="AH308" s="24">
        <f>i_G_rate*AH255*(AH306+(1-AH306)*(1+AH307))</f>
        <v/>
      </c>
      <c r="AI308" s="24">
        <f>i_G_rate*AI255*(AI306+(1-AI306)*(1+AI307))</f>
        <v/>
      </c>
    </row>
    <row r="309">
      <c r="B309" s="2" t="inlineStr">
        <is>
          <t xml:space="preserve">  Occupancy after the transition decline and floor</t>
        </is>
      </c>
      <c r="D309" s="21">
        <f>IF(D$3&gt;i_trans_start,MAX(i_G_floor,i_G_occ-i_G_dec*(D$3-i_trans_start)),i_G_occ)</f>
        <v/>
      </c>
      <c r="E309" s="21">
        <f>IF(E$3&gt;i_trans_start,MAX(i_G_floor,i_G_occ-i_G_dec*(E$3-i_trans_start)),i_G_occ)</f>
        <v/>
      </c>
      <c r="F309" s="21">
        <f>IF(F$3&gt;i_trans_start,MAX(i_G_floor,i_G_occ-i_G_dec*(F$3-i_trans_start)),i_G_occ)</f>
        <v/>
      </c>
      <c r="G309" s="21">
        <f>IF(G$3&gt;i_trans_start,MAX(i_G_floor,i_G_occ-i_G_dec*(G$3-i_trans_start)),i_G_occ)</f>
        <v/>
      </c>
      <c r="H309" s="21">
        <f>IF(H$3&gt;i_trans_start,MAX(i_G_floor,i_G_occ-i_G_dec*(H$3-i_trans_start)),i_G_occ)</f>
        <v/>
      </c>
      <c r="I309" s="21">
        <f>IF(I$3&gt;i_trans_start,MAX(i_G_floor,i_G_occ-i_G_dec*(I$3-i_trans_start)),i_G_occ)</f>
        <v/>
      </c>
      <c r="J309" s="21">
        <f>IF(J$3&gt;i_trans_start,MAX(i_G_floor,i_G_occ-i_G_dec*(J$3-i_trans_start)),i_G_occ)</f>
        <v/>
      </c>
      <c r="K309" s="21">
        <f>IF(K$3&gt;i_trans_start,MAX(i_G_floor,i_G_occ-i_G_dec*(K$3-i_trans_start)),i_G_occ)</f>
        <v/>
      </c>
      <c r="L309" s="21">
        <f>IF(L$3&gt;i_trans_start,MAX(i_G_floor,i_G_occ-i_G_dec*(L$3-i_trans_start)),i_G_occ)</f>
        <v/>
      </c>
      <c r="M309" s="21">
        <f>IF(M$3&gt;i_trans_start,MAX(i_G_floor,i_G_occ-i_G_dec*(M$3-i_trans_start)),i_G_occ)</f>
        <v/>
      </c>
      <c r="N309" s="21">
        <f>IF(N$3&gt;i_trans_start,MAX(i_G_floor,i_G_occ-i_G_dec*(N$3-i_trans_start)),i_G_occ)</f>
        <v/>
      </c>
      <c r="O309" s="21">
        <f>IF(O$3&gt;i_trans_start,MAX(i_G_floor,i_G_occ-i_G_dec*(O$3-i_trans_start)),i_G_occ)</f>
        <v/>
      </c>
      <c r="P309" s="21">
        <f>IF(P$3&gt;i_trans_start,MAX(i_G_floor,i_G_occ-i_G_dec*(P$3-i_trans_start)),i_G_occ)</f>
        <v/>
      </c>
      <c r="Q309" s="21">
        <f>IF(Q$3&gt;i_trans_start,MAX(i_G_floor,i_G_occ-i_G_dec*(Q$3-i_trans_start)),i_G_occ)</f>
        <v/>
      </c>
      <c r="R309" s="21">
        <f>IF(R$3&gt;i_trans_start,MAX(i_G_floor,i_G_occ-i_G_dec*(R$3-i_trans_start)),i_G_occ)</f>
        <v/>
      </c>
      <c r="S309" s="21">
        <f>IF(S$3&gt;i_trans_start,MAX(i_G_floor,i_G_occ-i_G_dec*(S$3-i_trans_start)),i_G_occ)</f>
        <v/>
      </c>
      <c r="T309" s="21">
        <f>IF(T$3&gt;i_trans_start,MAX(i_G_floor,i_G_occ-i_G_dec*(T$3-i_trans_start)),i_G_occ)</f>
        <v/>
      </c>
      <c r="U309" s="21">
        <f>IF(U$3&gt;i_trans_start,MAX(i_G_floor,i_G_occ-i_G_dec*(U$3-i_trans_start)),i_G_occ)</f>
        <v/>
      </c>
      <c r="V309" s="21">
        <f>IF(V$3&gt;i_trans_start,MAX(i_G_floor,i_G_occ-i_G_dec*(V$3-i_trans_start)),i_G_occ)</f>
        <v/>
      </c>
      <c r="W309" s="21">
        <f>IF(W$3&gt;i_trans_start,MAX(i_G_floor,i_G_occ-i_G_dec*(W$3-i_trans_start)),i_G_occ)</f>
        <v/>
      </c>
      <c r="X309" s="21">
        <f>IF(X$3&gt;i_trans_start,MAX(i_G_floor,i_G_occ-i_G_dec*(X$3-i_trans_start)),i_G_occ)</f>
        <v/>
      </c>
      <c r="Y309" s="21">
        <f>IF(Y$3&gt;i_trans_start,MAX(i_G_floor,i_G_occ-i_G_dec*(Y$3-i_trans_start)),i_G_occ)</f>
        <v/>
      </c>
      <c r="Z309" s="21">
        <f>IF(Z$3&gt;i_trans_start,MAX(i_G_floor,i_G_occ-i_G_dec*(Z$3-i_trans_start)),i_G_occ)</f>
        <v/>
      </c>
      <c r="AA309" s="21">
        <f>IF(AA$3&gt;i_trans_start,MAX(i_G_floor,i_G_occ-i_G_dec*(AA$3-i_trans_start)),i_G_occ)</f>
        <v/>
      </c>
      <c r="AB309" s="21">
        <f>IF(AB$3&gt;i_trans_start,MAX(i_G_floor,i_G_occ-i_G_dec*(AB$3-i_trans_start)),i_G_occ)</f>
        <v/>
      </c>
      <c r="AC309" s="21">
        <f>IF(AC$3&gt;i_trans_start,MAX(i_G_floor,i_G_occ-i_G_dec*(AC$3-i_trans_start)),i_G_occ)</f>
        <v/>
      </c>
      <c r="AD309" s="21">
        <f>IF(AD$3&gt;i_trans_start,MAX(i_G_floor,i_G_occ-i_G_dec*(AD$3-i_trans_start)),i_G_occ)</f>
        <v/>
      </c>
      <c r="AE309" s="21">
        <f>IF(AE$3&gt;i_trans_start,MAX(i_G_floor,i_G_occ-i_G_dec*(AE$3-i_trans_start)),i_G_occ)</f>
        <v/>
      </c>
      <c r="AF309" s="21">
        <f>IF(AF$3&gt;i_trans_start,MAX(i_G_floor,i_G_occ-i_G_dec*(AF$3-i_trans_start)),i_G_occ)</f>
        <v/>
      </c>
      <c r="AG309" s="21">
        <f>IF(AG$3&gt;i_trans_start,MAX(i_G_floor,i_G_occ-i_G_dec*(AG$3-i_trans_start)),i_G_occ)</f>
        <v/>
      </c>
      <c r="AH309" s="21">
        <f>IF(AH$3&gt;i_trans_start,MAX(i_G_floor,i_G_occ-i_G_dec*(AH$3-i_trans_start)),i_G_occ)</f>
        <v/>
      </c>
      <c r="AI309" s="21">
        <f>IF(AI$3&gt;i_trans_start,MAX(i_G_floor,i_G_occ-i_G_dec*(AI$3-i_trans_start)),i_G_occ)</f>
        <v/>
      </c>
    </row>
    <row r="310">
      <c r="B310" s="2" t="inlineStr">
        <is>
          <t xml:space="preserve">  Occupancy (with the shift switch from 2027)</t>
        </is>
      </c>
      <c r="D310" s="21">
        <f>IF(D$4&gt;0,MIN(1,D309+Sensitivities!$C$249),D309)</f>
        <v/>
      </c>
      <c r="E310" s="21">
        <f>IF(E$4&gt;0,MIN(1,E309+Sensitivities!$C$249),E309)</f>
        <v/>
      </c>
      <c r="F310" s="21">
        <f>IF(F$4&gt;0,MIN(1,F309+Sensitivities!$C$249),F309)</f>
        <v/>
      </c>
      <c r="G310" s="21">
        <f>IF(G$4&gt;0,MIN(1,G309+Sensitivities!$C$249),G309)</f>
        <v/>
      </c>
      <c r="H310" s="21">
        <f>IF(H$4&gt;0,MIN(1,H309+Sensitivities!$C$249),H309)</f>
        <v/>
      </c>
      <c r="I310" s="21">
        <f>IF(I$4&gt;0,MIN(1,I309+Sensitivities!$C$249),I309)</f>
        <v/>
      </c>
      <c r="J310" s="21">
        <f>IF(J$4&gt;0,MIN(1,J309+Sensitivities!$C$249),J309)</f>
        <v/>
      </c>
      <c r="K310" s="21">
        <f>IF(K$4&gt;0,MIN(1,K309+Sensitivities!$C$249),K309)</f>
        <v/>
      </c>
      <c r="L310" s="21">
        <f>IF(L$4&gt;0,MIN(1,L309+Sensitivities!$C$249),L309)</f>
        <v/>
      </c>
      <c r="M310" s="21">
        <f>IF(M$4&gt;0,MIN(1,M309+Sensitivities!$C$249),M309)</f>
        <v/>
      </c>
      <c r="N310" s="21">
        <f>IF(N$4&gt;0,MIN(1,N309+Sensitivities!$C$249),N309)</f>
        <v/>
      </c>
      <c r="O310" s="21">
        <f>IF(O$4&gt;0,MIN(1,O309+Sensitivities!$C$249),O309)</f>
        <v/>
      </c>
      <c r="P310" s="21">
        <f>IF(P$4&gt;0,MIN(1,P309+Sensitivities!$C$249),P309)</f>
        <v/>
      </c>
      <c r="Q310" s="21">
        <f>IF(Q$4&gt;0,MIN(1,Q309+Sensitivities!$C$249),Q309)</f>
        <v/>
      </c>
      <c r="R310" s="21">
        <f>IF(R$4&gt;0,MIN(1,R309+Sensitivities!$C$249),R309)</f>
        <v/>
      </c>
      <c r="S310" s="21">
        <f>IF(S$4&gt;0,MIN(1,S309+Sensitivities!$C$249),S309)</f>
        <v/>
      </c>
      <c r="T310" s="21">
        <f>IF(T$4&gt;0,MIN(1,T309+Sensitivities!$C$249),T309)</f>
        <v/>
      </c>
      <c r="U310" s="21">
        <f>IF(U$4&gt;0,MIN(1,U309+Sensitivities!$C$249),U309)</f>
        <v/>
      </c>
      <c r="V310" s="21">
        <f>IF(V$4&gt;0,MIN(1,V309+Sensitivities!$C$249),V309)</f>
        <v/>
      </c>
      <c r="W310" s="21">
        <f>IF(W$4&gt;0,MIN(1,W309+Sensitivities!$C$249),W309)</f>
        <v/>
      </c>
      <c r="X310" s="21">
        <f>IF(X$4&gt;0,MIN(1,X309+Sensitivities!$C$249),X309)</f>
        <v/>
      </c>
      <c r="Y310" s="21">
        <f>IF(Y$4&gt;0,MIN(1,Y309+Sensitivities!$C$249),Y309)</f>
        <v/>
      </c>
      <c r="Z310" s="21">
        <f>IF(Z$4&gt;0,MIN(1,Z309+Sensitivities!$C$249),Z309)</f>
        <v/>
      </c>
      <c r="AA310" s="21">
        <f>IF(AA$4&gt;0,MIN(1,AA309+Sensitivities!$C$249),AA309)</f>
        <v/>
      </c>
      <c r="AB310" s="21">
        <f>IF(AB$4&gt;0,MIN(1,AB309+Sensitivities!$C$249),AB309)</f>
        <v/>
      </c>
      <c r="AC310" s="21">
        <f>IF(AC$4&gt;0,MIN(1,AC309+Sensitivities!$C$249),AC309)</f>
        <v/>
      </c>
      <c r="AD310" s="21">
        <f>IF(AD$4&gt;0,MIN(1,AD309+Sensitivities!$C$249),AD309)</f>
        <v/>
      </c>
      <c r="AE310" s="21">
        <f>IF(AE$4&gt;0,MIN(1,AE309+Sensitivities!$C$249),AE309)</f>
        <v/>
      </c>
      <c r="AF310" s="21">
        <f>IF(AF$4&gt;0,MIN(1,AF309+Sensitivities!$C$249),AF309)</f>
        <v/>
      </c>
      <c r="AG310" s="21">
        <f>IF(AG$4&gt;0,MIN(1,AG309+Sensitivities!$C$249),AG309)</f>
        <v/>
      </c>
      <c r="AH310" s="21">
        <f>IF(AH$4&gt;0,MIN(1,AH309+Sensitivities!$C$249),AH309)</f>
        <v/>
      </c>
      <c r="AI310" s="21">
        <f>IF(AI$4&gt;0,MIN(1,AI309+Sensitivities!$C$249),AI309)</f>
        <v/>
      </c>
    </row>
    <row r="311">
      <c r="B311" s="2" t="inlineStr">
        <is>
          <t xml:space="preserve">  Storage revenue</t>
        </is>
      </c>
      <c r="D311" s="19">
        <f>D305*D308*12*D310</f>
        <v/>
      </c>
      <c r="E311" s="19">
        <f>E305*E308*12*E310</f>
        <v/>
      </c>
      <c r="F311" s="19">
        <f>F305*F308*12*F310</f>
        <v/>
      </c>
      <c r="G311" s="19">
        <f>G305*G308*12*G310</f>
        <v/>
      </c>
      <c r="H311" s="19">
        <f>H305*H308*12*H310</f>
        <v/>
      </c>
      <c r="I311" s="19">
        <f>I305*I308*12*I310</f>
        <v/>
      </c>
      <c r="J311" s="19">
        <f>J305*J308*12*J310</f>
        <v/>
      </c>
      <c r="K311" s="19">
        <f>K305*K308*12*K310</f>
        <v/>
      </c>
      <c r="L311" s="19">
        <f>L305*L308*12*L310</f>
        <v/>
      </c>
      <c r="M311" s="19">
        <f>M305*M308*12*M310</f>
        <v/>
      </c>
      <c r="N311" s="19">
        <f>N305*N308*12*N310</f>
        <v/>
      </c>
      <c r="O311" s="19">
        <f>O305*O308*12*O310</f>
        <v/>
      </c>
      <c r="P311" s="19">
        <f>P305*P308*12*P310</f>
        <v/>
      </c>
      <c r="Q311" s="19">
        <f>Q305*Q308*12*Q310</f>
        <v/>
      </c>
      <c r="R311" s="19">
        <f>R305*R308*12*R310</f>
        <v/>
      </c>
      <c r="S311" s="19">
        <f>S305*S308*12*S310</f>
        <v/>
      </c>
      <c r="T311" s="19">
        <f>T305*T308*12*T310</f>
        <v/>
      </c>
      <c r="U311" s="19">
        <f>U305*U308*12*U310</f>
        <v/>
      </c>
      <c r="V311" s="19">
        <f>V305*V308*12*V310</f>
        <v/>
      </c>
      <c r="W311" s="19">
        <f>W305*W308*12*W310</f>
        <v/>
      </c>
      <c r="X311" s="19">
        <f>X305*X308*12*X310</f>
        <v/>
      </c>
      <c r="Y311" s="19">
        <f>Y305*Y308*12*Y310</f>
        <v/>
      </c>
      <c r="Z311" s="19">
        <f>Z305*Z308*12*Z310</f>
        <v/>
      </c>
      <c r="AA311" s="19">
        <f>AA305*AA308*12*AA310</f>
        <v/>
      </c>
      <c r="AB311" s="19">
        <f>AB305*AB308*12*AB310</f>
        <v/>
      </c>
      <c r="AC311" s="19">
        <f>AC305*AC308*12*AC310</f>
        <v/>
      </c>
      <c r="AD311" s="19">
        <f>AD305*AD308*12*AD310</f>
        <v/>
      </c>
      <c r="AE311" s="19">
        <f>AE305*AE308*12*AE310</f>
        <v/>
      </c>
      <c r="AF311" s="19">
        <f>AF305*AF308*12*AF310</f>
        <v/>
      </c>
      <c r="AG311" s="19">
        <f>AG305*AG308*12*AG310</f>
        <v/>
      </c>
      <c r="AH311" s="19">
        <f>AH305*AH308*12*AH310</f>
        <v/>
      </c>
      <c r="AI311" s="19">
        <f>AI305*AI308*12*AI310</f>
        <v/>
      </c>
    </row>
    <row r="312">
      <c r="B312" s="2" t="inlineStr">
        <is>
          <t xml:space="preserve">  Ancillary and throughput revenue</t>
        </is>
      </c>
      <c r="D312" s="19">
        <f>D311*i_G_anc</f>
        <v/>
      </c>
      <c r="E312" s="19">
        <f>E311*i_G_anc</f>
        <v/>
      </c>
      <c r="F312" s="19">
        <f>F311*i_G_anc</f>
        <v/>
      </c>
      <c r="G312" s="19">
        <f>G311*i_G_anc</f>
        <v/>
      </c>
      <c r="H312" s="19">
        <f>H311*i_G_anc</f>
        <v/>
      </c>
      <c r="I312" s="19">
        <f>I311*i_G_anc</f>
        <v/>
      </c>
      <c r="J312" s="19">
        <f>J311*i_G_anc</f>
        <v/>
      </c>
      <c r="K312" s="19">
        <f>K311*i_G_anc</f>
        <v/>
      </c>
      <c r="L312" s="19">
        <f>L311*i_G_anc</f>
        <v/>
      </c>
      <c r="M312" s="19">
        <f>M311*i_G_anc</f>
        <v/>
      </c>
      <c r="N312" s="19">
        <f>N311*i_G_anc</f>
        <v/>
      </c>
      <c r="O312" s="19">
        <f>O311*i_G_anc</f>
        <v/>
      </c>
      <c r="P312" s="19">
        <f>P311*i_G_anc</f>
        <v/>
      </c>
      <c r="Q312" s="19">
        <f>Q311*i_G_anc</f>
        <v/>
      </c>
      <c r="R312" s="19">
        <f>R311*i_G_anc</f>
        <v/>
      </c>
      <c r="S312" s="19">
        <f>S311*i_G_anc</f>
        <v/>
      </c>
      <c r="T312" s="19">
        <f>T311*i_G_anc</f>
        <v/>
      </c>
      <c r="U312" s="19">
        <f>U311*i_G_anc</f>
        <v/>
      </c>
      <c r="V312" s="19">
        <f>V311*i_G_anc</f>
        <v/>
      </c>
      <c r="W312" s="19">
        <f>W311*i_G_anc</f>
        <v/>
      </c>
      <c r="X312" s="19">
        <f>X311*i_G_anc</f>
        <v/>
      </c>
      <c r="Y312" s="19">
        <f>Y311*i_G_anc</f>
        <v/>
      </c>
      <c r="Z312" s="19">
        <f>Z311*i_G_anc</f>
        <v/>
      </c>
      <c r="AA312" s="19">
        <f>AA311*i_G_anc</f>
        <v/>
      </c>
      <c r="AB312" s="19">
        <f>AB311*i_G_anc</f>
        <v/>
      </c>
      <c r="AC312" s="19">
        <f>AC311*i_G_anc</f>
        <v/>
      </c>
      <c r="AD312" s="19">
        <f>AD311*i_G_anc</f>
        <v/>
      </c>
      <c r="AE312" s="19">
        <f>AE311*i_G_anc</f>
        <v/>
      </c>
      <c r="AF312" s="19">
        <f>AF311*i_G_anc</f>
        <v/>
      </c>
      <c r="AG312" s="19">
        <f>AG311*i_G_anc</f>
        <v/>
      </c>
      <c r="AH312" s="19">
        <f>AH311*i_G_anc</f>
        <v/>
      </c>
      <c r="AI312" s="19">
        <f>AI311*i_G_anc</f>
        <v/>
      </c>
    </row>
    <row r="313">
      <c r="B313" s="3" t="inlineStr">
        <is>
          <t xml:space="preserve">  Revenue</t>
        </is>
      </c>
      <c r="D313" s="31">
        <f>D311+D312</f>
        <v/>
      </c>
      <c r="E313" s="31">
        <f>E311+E312</f>
        <v/>
      </c>
      <c r="F313" s="31">
        <f>F311+F312</f>
        <v/>
      </c>
      <c r="G313" s="31">
        <f>G311+G312</f>
        <v/>
      </c>
      <c r="H313" s="31">
        <f>H311+H312</f>
        <v/>
      </c>
      <c r="I313" s="31">
        <f>I311+I312</f>
        <v/>
      </c>
      <c r="J313" s="31">
        <f>J311+J312</f>
        <v/>
      </c>
      <c r="K313" s="31">
        <f>K311+K312</f>
        <v/>
      </c>
      <c r="L313" s="31">
        <f>L311+L312</f>
        <v/>
      </c>
      <c r="M313" s="31">
        <f>M311+M312</f>
        <v/>
      </c>
      <c r="N313" s="31">
        <f>N311+N312</f>
        <v/>
      </c>
      <c r="O313" s="31">
        <f>O311+O312</f>
        <v/>
      </c>
      <c r="P313" s="31">
        <f>P311+P312</f>
        <v/>
      </c>
      <c r="Q313" s="31">
        <f>Q311+Q312</f>
        <v/>
      </c>
      <c r="R313" s="31">
        <f>R311+R312</f>
        <v/>
      </c>
      <c r="S313" s="31">
        <f>S311+S312</f>
        <v/>
      </c>
      <c r="T313" s="31">
        <f>T311+T312</f>
        <v/>
      </c>
      <c r="U313" s="31">
        <f>U311+U312</f>
        <v/>
      </c>
      <c r="V313" s="31">
        <f>V311+V312</f>
        <v/>
      </c>
      <c r="W313" s="31">
        <f>W311+W312</f>
        <v/>
      </c>
      <c r="X313" s="31">
        <f>X311+X312</f>
        <v/>
      </c>
      <c r="Y313" s="31">
        <f>Y311+Y312</f>
        <v/>
      </c>
      <c r="Z313" s="31">
        <f>Z311+Z312</f>
        <v/>
      </c>
      <c r="AA313" s="31">
        <f>AA311+AA312</f>
        <v/>
      </c>
      <c r="AB313" s="31">
        <f>AB311+AB312</f>
        <v/>
      </c>
      <c r="AC313" s="31">
        <f>AC311+AC312</f>
        <v/>
      </c>
      <c r="AD313" s="31">
        <f>AD311+AD312</f>
        <v/>
      </c>
      <c r="AE313" s="31">
        <f>AE311+AE312</f>
        <v/>
      </c>
      <c r="AF313" s="31">
        <f>AF311+AF312</f>
        <v/>
      </c>
      <c r="AG313" s="31">
        <f>AG311+AG312</f>
        <v/>
      </c>
      <c r="AH313" s="31">
        <f>AH311+AH312</f>
        <v/>
      </c>
      <c r="AI313" s="31">
        <f>AI311+AI312</f>
        <v/>
      </c>
    </row>
    <row r="314">
      <c r="B314" s="2" t="inlineStr">
        <is>
          <t xml:space="preserve">  Fixed cost</t>
        </is>
      </c>
      <c r="D314" s="19">
        <f>D305*i_G_fix*D254</f>
        <v/>
      </c>
      <c r="E314" s="19">
        <f>E305*i_G_fix*E254</f>
        <v/>
      </c>
      <c r="F314" s="19">
        <f>F305*i_G_fix*F254</f>
        <v/>
      </c>
      <c r="G314" s="19">
        <f>G305*i_G_fix*G254</f>
        <v/>
      </c>
      <c r="H314" s="19">
        <f>H305*i_G_fix*H254</f>
        <v/>
      </c>
      <c r="I314" s="19">
        <f>I305*i_G_fix*I254</f>
        <v/>
      </c>
      <c r="J314" s="19">
        <f>J305*i_G_fix*J254</f>
        <v/>
      </c>
      <c r="K314" s="19">
        <f>K305*i_G_fix*K254</f>
        <v/>
      </c>
      <c r="L314" s="19">
        <f>L305*i_G_fix*L254</f>
        <v/>
      </c>
      <c r="M314" s="19">
        <f>M305*i_G_fix*M254</f>
        <v/>
      </c>
      <c r="N314" s="19">
        <f>N305*i_G_fix*N254</f>
        <v/>
      </c>
      <c r="O314" s="19">
        <f>O305*i_G_fix*O254</f>
        <v/>
      </c>
      <c r="P314" s="19">
        <f>P305*i_G_fix*P254</f>
        <v/>
      </c>
      <c r="Q314" s="19">
        <f>Q305*i_G_fix*Q254</f>
        <v/>
      </c>
      <c r="R314" s="19">
        <f>R305*i_G_fix*R254</f>
        <v/>
      </c>
      <c r="S314" s="19">
        <f>S305*i_G_fix*S254</f>
        <v/>
      </c>
      <c r="T314" s="19">
        <f>T305*i_G_fix*T254</f>
        <v/>
      </c>
      <c r="U314" s="19">
        <f>U305*i_G_fix*U254</f>
        <v/>
      </c>
      <c r="V314" s="19">
        <f>V305*i_G_fix*V254</f>
        <v/>
      </c>
      <c r="W314" s="19">
        <f>W305*i_G_fix*W254</f>
        <v/>
      </c>
      <c r="X314" s="19">
        <f>X305*i_G_fix*X254</f>
        <v/>
      </c>
      <c r="Y314" s="19">
        <f>Y305*i_G_fix*Y254</f>
        <v/>
      </c>
      <c r="Z314" s="19">
        <f>Z305*i_G_fix*Z254</f>
        <v/>
      </c>
      <c r="AA314" s="19">
        <f>AA305*i_G_fix*AA254</f>
        <v/>
      </c>
      <c r="AB314" s="19">
        <f>AB305*i_G_fix*AB254</f>
        <v/>
      </c>
      <c r="AC314" s="19">
        <f>AC305*i_G_fix*AC254</f>
        <v/>
      </c>
      <c r="AD314" s="19">
        <f>AD305*i_G_fix*AD254</f>
        <v/>
      </c>
      <c r="AE314" s="19">
        <f>AE305*i_G_fix*AE254</f>
        <v/>
      </c>
      <c r="AF314" s="19">
        <f>AF305*i_G_fix*AF254</f>
        <v/>
      </c>
      <c r="AG314" s="19">
        <f>AG305*i_G_fix*AG254</f>
        <v/>
      </c>
      <c r="AH314" s="19">
        <f>AH305*i_G_fix*AH254</f>
        <v/>
      </c>
      <c r="AI314" s="19">
        <f>AI305*i_G_fix*AI254</f>
        <v/>
      </c>
    </row>
    <row r="315">
      <c r="B315" s="2" t="inlineStr">
        <is>
          <t xml:space="preserve">  Variable cost</t>
        </is>
      </c>
      <c r="D315" s="19">
        <f>i_G_var*D313</f>
        <v/>
      </c>
      <c r="E315" s="19">
        <f>i_G_var*E313</f>
        <v/>
      </c>
      <c r="F315" s="19">
        <f>i_G_var*F313</f>
        <v/>
      </c>
      <c r="G315" s="19">
        <f>i_G_var*G313</f>
        <v/>
      </c>
      <c r="H315" s="19">
        <f>i_G_var*H313</f>
        <v/>
      </c>
      <c r="I315" s="19">
        <f>i_G_var*I313</f>
        <v/>
      </c>
      <c r="J315" s="19">
        <f>i_G_var*J313</f>
        <v/>
      </c>
      <c r="K315" s="19">
        <f>i_G_var*K313</f>
        <v/>
      </c>
      <c r="L315" s="19">
        <f>i_G_var*L313</f>
        <v/>
      </c>
      <c r="M315" s="19">
        <f>i_G_var*M313</f>
        <v/>
      </c>
      <c r="N315" s="19">
        <f>i_G_var*N313</f>
        <v/>
      </c>
      <c r="O315" s="19">
        <f>i_G_var*O313</f>
        <v/>
      </c>
      <c r="P315" s="19">
        <f>i_G_var*P313</f>
        <v/>
      </c>
      <c r="Q315" s="19">
        <f>i_G_var*Q313</f>
        <v/>
      </c>
      <c r="R315" s="19">
        <f>i_G_var*R313</f>
        <v/>
      </c>
      <c r="S315" s="19">
        <f>i_G_var*S313</f>
        <v/>
      </c>
      <c r="T315" s="19">
        <f>i_G_var*T313</f>
        <v/>
      </c>
      <c r="U315" s="19">
        <f>i_G_var*U313</f>
        <v/>
      </c>
      <c r="V315" s="19">
        <f>i_G_var*V313</f>
        <v/>
      </c>
      <c r="W315" s="19">
        <f>i_G_var*W313</f>
        <v/>
      </c>
      <c r="X315" s="19">
        <f>i_G_var*X313</f>
        <v/>
      </c>
      <c r="Y315" s="19">
        <f>i_G_var*Y313</f>
        <v/>
      </c>
      <c r="Z315" s="19">
        <f>i_G_var*Z313</f>
        <v/>
      </c>
      <c r="AA315" s="19">
        <f>i_G_var*AA313</f>
        <v/>
      </c>
      <c r="AB315" s="19">
        <f>i_G_var*AB313</f>
        <v/>
      </c>
      <c r="AC315" s="19">
        <f>i_G_var*AC313</f>
        <v/>
      </c>
      <c r="AD315" s="19">
        <f>i_G_var*AD313</f>
        <v/>
      </c>
      <c r="AE315" s="19">
        <f>i_G_var*AE313</f>
        <v/>
      </c>
      <c r="AF315" s="19">
        <f>i_G_var*AF313</f>
        <v/>
      </c>
      <c r="AG315" s="19">
        <f>i_G_var*AG313</f>
        <v/>
      </c>
      <c r="AH315" s="19">
        <f>i_G_var*AH313</f>
        <v/>
      </c>
      <c r="AI315" s="19">
        <f>i_G_var*AI313</f>
        <v/>
      </c>
    </row>
    <row r="316">
      <c r="B316" s="2" t="inlineStr">
        <is>
          <t xml:space="preserve">  Extra windstorm insurance</t>
        </is>
      </c>
      <c r="D316" s="19">
        <f>IF(D$4&gt;0,Sensitivities!$C$247*i_g_ins*D254,0)</f>
        <v/>
      </c>
      <c r="E316" s="19">
        <f>IF(E$4&gt;0,Sensitivities!$C$247*i_g_ins*E254,0)</f>
        <v/>
      </c>
      <c r="F316" s="19">
        <f>IF(F$4&gt;0,Sensitivities!$C$247*i_g_ins*F254,0)</f>
        <v/>
      </c>
      <c r="G316" s="19">
        <f>IF(G$4&gt;0,Sensitivities!$C$247*i_g_ins*G254,0)</f>
        <v/>
      </c>
      <c r="H316" s="19">
        <f>IF(H$4&gt;0,Sensitivities!$C$247*i_g_ins*H254,0)</f>
        <v/>
      </c>
      <c r="I316" s="19">
        <f>IF(I$4&gt;0,Sensitivities!$C$247*i_g_ins*I254,0)</f>
        <v/>
      </c>
      <c r="J316" s="19">
        <f>IF(J$4&gt;0,Sensitivities!$C$247*i_g_ins*J254,0)</f>
        <v/>
      </c>
      <c r="K316" s="19">
        <f>IF(K$4&gt;0,Sensitivities!$C$247*i_g_ins*K254,0)</f>
        <v/>
      </c>
      <c r="L316" s="19">
        <f>IF(L$4&gt;0,Sensitivities!$C$247*i_g_ins*L254,0)</f>
        <v/>
      </c>
      <c r="M316" s="19">
        <f>IF(M$4&gt;0,Sensitivities!$C$247*i_g_ins*M254,0)</f>
        <v/>
      </c>
      <c r="N316" s="19">
        <f>IF(N$4&gt;0,Sensitivities!$C$247*i_g_ins*N254,0)</f>
        <v/>
      </c>
      <c r="O316" s="19">
        <f>IF(O$4&gt;0,Sensitivities!$C$247*i_g_ins*O254,0)</f>
        <v/>
      </c>
      <c r="P316" s="19">
        <f>IF(P$4&gt;0,Sensitivities!$C$247*i_g_ins*P254,0)</f>
        <v/>
      </c>
      <c r="Q316" s="19">
        <f>IF(Q$4&gt;0,Sensitivities!$C$247*i_g_ins*Q254,0)</f>
        <v/>
      </c>
      <c r="R316" s="19">
        <f>IF(R$4&gt;0,Sensitivities!$C$247*i_g_ins*R254,0)</f>
        <v/>
      </c>
      <c r="S316" s="19">
        <f>IF(S$4&gt;0,Sensitivities!$C$247*i_g_ins*S254,0)</f>
        <v/>
      </c>
      <c r="T316" s="19">
        <f>IF(T$4&gt;0,Sensitivities!$C$247*i_g_ins*T254,0)</f>
        <v/>
      </c>
      <c r="U316" s="19">
        <f>IF(U$4&gt;0,Sensitivities!$C$247*i_g_ins*U254,0)</f>
        <v/>
      </c>
      <c r="V316" s="19">
        <f>IF(V$4&gt;0,Sensitivities!$C$247*i_g_ins*V254,0)</f>
        <v/>
      </c>
      <c r="W316" s="19">
        <f>IF(W$4&gt;0,Sensitivities!$C$247*i_g_ins*W254,0)</f>
        <v/>
      </c>
      <c r="X316" s="19">
        <f>IF(X$4&gt;0,Sensitivities!$C$247*i_g_ins*X254,0)</f>
        <v/>
      </c>
      <c r="Y316" s="19">
        <f>IF(Y$4&gt;0,Sensitivities!$C$247*i_g_ins*Y254,0)</f>
        <v/>
      </c>
      <c r="Z316" s="19">
        <f>IF(Z$4&gt;0,Sensitivities!$C$247*i_g_ins*Z254,0)</f>
        <v/>
      </c>
      <c r="AA316" s="19">
        <f>IF(AA$4&gt;0,Sensitivities!$C$247*i_g_ins*AA254,0)</f>
        <v/>
      </c>
      <c r="AB316" s="19">
        <f>IF(AB$4&gt;0,Sensitivities!$C$247*i_g_ins*AB254,0)</f>
        <v/>
      </c>
      <c r="AC316" s="19">
        <f>IF(AC$4&gt;0,Sensitivities!$C$247*i_g_ins*AC254,0)</f>
        <v/>
      </c>
      <c r="AD316" s="19">
        <f>IF(AD$4&gt;0,Sensitivities!$C$247*i_g_ins*AD254,0)</f>
        <v/>
      </c>
      <c r="AE316" s="19">
        <f>IF(AE$4&gt;0,Sensitivities!$C$247*i_g_ins*AE254,0)</f>
        <v/>
      </c>
      <c r="AF316" s="19">
        <f>IF(AF$4&gt;0,Sensitivities!$C$247*i_g_ins*AF254,0)</f>
        <v/>
      </c>
      <c r="AG316" s="19">
        <f>IF(AG$4&gt;0,Sensitivities!$C$247*i_g_ins*AG254,0)</f>
        <v/>
      </c>
      <c r="AH316" s="19">
        <f>IF(AH$4&gt;0,Sensitivities!$C$247*i_g_ins*AH254,0)</f>
        <v/>
      </c>
      <c r="AI316" s="19">
        <f>IF(AI$4&gt;0,Sensitivities!$C$247*i_g_ins*AI254,0)</f>
        <v/>
      </c>
    </row>
    <row r="317">
      <c r="B317" s="2" t="inlineStr">
        <is>
          <t xml:space="preserve">  Operating cost</t>
        </is>
      </c>
      <c r="D317" s="19">
        <f>D314+D315+D316</f>
        <v/>
      </c>
      <c r="E317" s="19">
        <f>E314+E315+E316</f>
        <v/>
      </c>
      <c r="F317" s="19">
        <f>F314+F315+F316</f>
        <v/>
      </c>
      <c r="G317" s="19">
        <f>G314+G315+G316</f>
        <v/>
      </c>
      <c r="H317" s="19">
        <f>H314+H315+H316</f>
        <v/>
      </c>
      <c r="I317" s="19">
        <f>I314+I315+I316</f>
        <v/>
      </c>
      <c r="J317" s="19">
        <f>J314+J315+J316</f>
        <v/>
      </c>
      <c r="K317" s="19">
        <f>K314+K315+K316</f>
        <v/>
      </c>
      <c r="L317" s="19">
        <f>L314+L315+L316</f>
        <v/>
      </c>
      <c r="M317" s="19">
        <f>M314+M315+M316</f>
        <v/>
      </c>
      <c r="N317" s="19">
        <f>N314+N315+N316</f>
        <v/>
      </c>
      <c r="O317" s="19">
        <f>O314+O315+O316</f>
        <v/>
      </c>
      <c r="P317" s="19">
        <f>P314+P315+P316</f>
        <v/>
      </c>
      <c r="Q317" s="19">
        <f>Q314+Q315+Q316</f>
        <v/>
      </c>
      <c r="R317" s="19">
        <f>R314+R315+R316</f>
        <v/>
      </c>
      <c r="S317" s="19">
        <f>S314+S315+S316</f>
        <v/>
      </c>
      <c r="T317" s="19">
        <f>T314+T315+T316</f>
        <v/>
      </c>
      <c r="U317" s="19">
        <f>U314+U315+U316</f>
        <v/>
      </c>
      <c r="V317" s="19">
        <f>V314+V315+V316</f>
        <v/>
      </c>
      <c r="W317" s="19">
        <f>W314+W315+W316</f>
        <v/>
      </c>
      <c r="X317" s="19">
        <f>X314+X315+X316</f>
        <v/>
      </c>
      <c r="Y317" s="19">
        <f>Y314+Y315+Y316</f>
        <v/>
      </c>
      <c r="Z317" s="19">
        <f>Z314+Z315+Z316</f>
        <v/>
      </c>
      <c r="AA317" s="19">
        <f>AA314+AA315+AA316</f>
        <v/>
      </c>
      <c r="AB317" s="19">
        <f>AB314+AB315+AB316</f>
        <v/>
      </c>
      <c r="AC317" s="19">
        <f>AC314+AC315+AC316</f>
        <v/>
      </c>
      <c r="AD317" s="19">
        <f>AD314+AD315+AD316</f>
        <v/>
      </c>
      <c r="AE317" s="19">
        <f>AE314+AE315+AE316</f>
        <v/>
      </c>
      <c r="AF317" s="19">
        <f>AF314+AF315+AF316</f>
        <v/>
      </c>
      <c r="AG317" s="19">
        <f>AG314+AG315+AG316</f>
        <v/>
      </c>
      <c r="AH317" s="19">
        <f>AH314+AH315+AH316</f>
        <v/>
      </c>
      <c r="AI317" s="19">
        <f>AI314+AI315+AI316</f>
        <v/>
      </c>
    </row>
    <row r="318">
      <c r="B318" s="3" t="inlineStr">
        <is>
          <t xml:space="preserve">  EBITDA</t>
        </is>
      </c>
      <c r="D318" s="31">
        <f>D313-D317</f>
        <v/>
      </c>
      <c r="E318" s="31">
        <f>E313-E317</f>
        <v/>
      </c>
      <c r="F318" s="31">
        <f>F313-F317</f>
        <v/>
      </c>
      <c r="G318" s="31">
        <f>G313-G317</f>
        <v/>
      </c>
      <c r="H318" s="31">
        <f>H313-H317</f>
        <v/>
      </c>
      <c r="I318" s="31">
        <f>I313-I317</f>
        <v/>
      </c>
      <c r="J318" s="31">
        <f>J313-J317</f>
        <v/>
      </c>
      <c r="K318" s="31">
        <f>K313-K317</f>
        <v/>
      </c>
      <c r="L318" s="31">
        <f>L313-L317</f>
        <v/>
      </c>
      <c r="M318" s="31">
        <f>M313-M317</f>
        <v/>
      </c>
      <c r="N318" s="31">
        <f>N313-N317</f>
        <v/>
      </c>
      <c r="O318" s="31">
        <f>O313-O317</f>
        <v/>
      </c>
      <c r="P318" s="31">
        <f>P313-P317</f>
        <v/>
      </c>
      <c r="Q318" s="31">
        <f>Q313-Q317</f>
        <v/>
      </c>
      <c r="R318" s="31">
        <f>R313-R317</f>
        <v/>
      </c>
      <c r="S318" s="31">
        <f>S313-S317</f>
        <v/>
      </c>
      <c r="T318" s="31">
        <f>T313-T317</f>
        <v/>
      </c>
      <c r="U318" s="31">
        <f>U313-U317</f>
        <v/>
      </c>
      <c r="V318" s="31">
        <f>V313-V317</f>
        <v/>
      </c>
      <c r="W318" s="31">
        <f>W313-W317</f>
        <v/>
      </c>
      <c r="X318" s="31">
        <f>X313-X317</f>
        <v/>
      </c>
      <c r="Y318" s="31">
        <f>Y313-Y317</f>
        <v/>
      </c>
      <c r="Z318" s="31">
        <f>Z313-Z317</f>
        <v/>
      </c>
      <c r="AA318" s="31">
        <f>AA313-AA317</f>
        <v/>
      </c>
      <c r="AB318" s="31">
        <f>AB313-AB317</f>
        <v/>
      </c>
      <c r="AC318" s="31">
        <f>AC313-AC317</f>
        <v/>
      </c>
      <c r="AD318" s="31">
        <f>AD313-AD317</f>
        <v/>
      </c>
      <c r="AE318" s="31">
        <f>AE313-AE317</f>
        <v/>
      </c>
      <c r="AF318" s="31">
        <f>AF313-AF317</f>
        <v/>
      </c>
      <c r="AG318" s="31">
        <f>AG313-AG317</f>
        <v/>
      </c>
      <c r="AH318" s="31">
        <f>AH313-AH317</f>
        <v/>
      </c>
      <c r="AI318" s="31">
        <f>AI313-AI317</f>
        <v/>
      </c>
    </row>
    <row r="319">
      <c r="B319" s="2" t="inlineStr">
        <is>
          <t xml:space="preserve">  Maintenance capex</t>
        </is>
      </c>
      <c r="D319" s="19">
        <f>D305*i_G_mc*D254</f>
        <v/>
      </c>
      <c r="E319" s="19">
        <f>E305*i_G_mc*E254</f>
        <v/>
      </c>
      <c r="F319" s="19">
        <f>F305*i_G_mc*F254</f>
        <v/>
      </c>
      <c r="G319" s="19">
        <f>G305*i_G_mc*G254</f>
        <v/>
      </c>
      <c r="H319" s="19">
        <f>H305*i_G_mc*H254</f>
        <v/>
      </c>
      <c r="I319" s="19">
        <f>I305*i_G_mc*I254</f>
        <v/>
      </c>
      <c r="J319" s="19">
        <f>J305*i_G_mc*J254</f>
        <v/>
      </c>
      <c r="K319" s="19">
        <f>K305*i_G_mc*K254</f>
        <v/>
      </c>
      <c r="L319" s="19">
        <f>L305*i_G_mc*L254</f>
        <v/>
      </c>
      <c r="M319" s="19">
        <f>M305*i_G_mc*M254</f>
        <v/>
      </c>
      <c r="N319" s="19">
        <f>N305*i_G_mc*N254</f>
        <v/>
      </c>
      <c r="O319" s="19">
        <f>O305*i_G_mc*O254</f>
        <v/>
      </c>
      <c r="P319" s="19">
        <f>P305*i_G_mc*P254</f>
        <v/>
      </c>
      <c r="Q319" s="19">
        <f>Q305*i_G_mc*Q254</f>
        <v/>
      </c>
      <c r="R319" s="19">
        <f>R305*i_G_mc*R254</f>
        <v/>
      </c>
      <c r="S319" s="19">
        <f>S305*i_G_mc*S254</f>
        <v/>
      </c>
      <c r="T319" s="19">
        <f>T305*i_G_mc*T254</f>
        <v/>
      </c>
      <c r="U319" s="19">
        <f>U305*i_G_mc*U254</f>
        <v/>
      </c>
      <c r="V319" s="19">
        <f>V305*i_G_mc*V254</f>
        <v/>
      </c>
      <c r="W319" s="19">
        <f>W305*i_G_mc*W254</f>
        <v/>
      </c>
      <c r="X319" s="19">
        <f>X305*i_G_mc*X254</f>
        <v/>
      </c>
      <c r="Y319" s="19">
        <f>Y305*i_G_mc*Y254</f>
        <v/>
      </c>
      <c r="Z319" s="19">
        <f>Z305*i_G_mc*Z254</f>
        <v/>
      </c>
      <c r="AA319" s="19">
        <f>AA305*i_G_mc*AA254</f>
        <v/>
      </c>
      <c r="AB319" s="19">
        <f>AB305*i_G_mc*AB254</f>
        <v/>
      </c>
      <c r="AC319" s="19">
        <f>AC305*i_G_mc*AC254</f>
        <v/>
      </c>
      <c r="AD319" s="19">
        <f>AD305*i_G_mc*AD254</f>
        <v/>
      </c>
      <c r="AE319" s="19">
        <f>AE305*i_G_mc*AE254</f>
        <v/>
      </c>
      <c r="AF319" s="19">
        <f>AF305*i_G_mc*AF254</f>
        <v/>
      </c>
      <c r="AG319" s="19">
        <f>AG305*i_G_mc*AG254</f>
        <v/>
      </c>
      <c r="AH319" s="19">
        <f>AH305*i_G_mc*AH254</f>
        <v/>
      </c>
      <c r="AI319" s="19">
        <f>AI305*i_G_mc*AI254</f>
        <v/>
      </c>
    </row>
    <row r="320">
      <c r="B320" s="3" t="inlineStr">
        <is>
          <t>Sabine Bend expansion (renewable fuels)</t>
        </is>
      </c>
    </row>
    <row r="321">
      <c r="B321" s="2" t="inlineStr">
        <is>
          <t xml:space="preserve">  Growth capex</t>
        </is>
      </c>
      <c r="D321" s="19">
        <f>Sensitivities!$C$248*SUMIF(i_exp_capex_years,D$3,i_exp_capex_vals)*D254</f>
        <v/>
      </c>
      <c r="E321" s="19">
        <f>Sensitivities!$C$248*SUMIF(i_exp_capex_years,E$3,i_exp_capex_vals)*E254</f>
        <v/>
      </c>
      <c r="F321" s="19">
        <f>Sensitivities!$C$248*SUMIF(i_exp_capex_years,F$3,i_exp_capex_vals)*F254</f>
        <v/>
      </c>
      <c r="G321" s="19">
        <f>Sensitivities!$C$248*SUMIF(i_exp_capex_years,G$3,i_exp_capex_vals)*G254</f>
        <v/>
      </c>
      <c r="H321" s="19">
        <f>Sensitivities!$C$248*SUMIF(i_exp_capex_years,H$3,i_exp_capex_vals)*H254</f>
        <v/>
      </c>
      <c r="I321" s="19">
        <f>Sensitivities!$C$248*SUMIF(i_exp_capex_years,I$3,i_exp_capex_vals)*I254</f>
        <v/>
      </c>
      <c r="J321" s="19">
        <f>Sensitivities!$C$248*SUMIF(i_exp_capex_years,J$3,i_exp_capex_vals)*J254</f>
        <v/>
      </c>
      <c r="K321" s="19">
        <f>Sensitivities!$C$248*SUMIF(i_exp_capex_years,K$3,i_exp_capex_vals)*K254</f>
        <v/>
      </c>
      <c r="L321" s="19">
        <f>Sensitivities!$C$248*SUMIF(i_exp_capex_years,L$3,i_exp_capex_vals)*L254</f>
        <v/>
      </c>
      <c r="M321" s="19">
        <f>Sensitivities!$C$248*SUMIF(i_exp_capex_years,M$3,i_exp_capex_vals)*M254</f>
        <v/>
      </c>
      <c r="N321" s="19">
        <f>Sensitivities!$C$248*SUMIF(i_exp_capex_years,N$3,i_exp_capex_vals)*N254</f>
        <v/>
      </c>
      <c r="O321" s="19">
        <f>Sensitivities!$C$248*SUMIF(i_exp_capex_years,O$3,i_exp_capex_vals)*O254</f>
        <v/>
      </c>
      <c r="P321" s="19">
        <f>Sensitivities!$C$248*SUMIF(i_exp_capex_years,P$3,i_exp_capex_vals)*P254</f>
        <v/>
      </c>
      <c r="Q321" s="19">
        <f>Sensitivities!$C$248*SUMIF(i_exp_capex_years,Q$3,i_exp_capex_vals)*Q254</f>
        <v/>
      </c>
      <c r="R321" s="19">
        <f>Sensitivities!$C$248*SUMIF(i_exp_capex_years,R$3,i_exp_capex_vals)*R254</f>
        <v/>
      </c>
      <c r="S321" s="19">
        <f>Sensitivities!$C$248*SUMIF(i_exp_capex_years,S$3,i_exp_capex_vals)*S254</f>
        <v/>
      </c>
      <c r="T321" s="19">
        <f>Sensitivities!$C$248*SUMIF(i_exp_capex_years,T$3,i_exp_capex_vals)*T254</f>
        <v/>
      </c>
      <c r="U321" s="19">
        <f>Sensitivities!$C$248*SUMIF(i_exp_capex_years,U$3,i_exp_capex_vals)*U254</f>
        <v/>
      </c>
      <c r="V321" s="19">
        <f>Sensitivities!$C$248*SUMIF(i_exp_capex_years,V$3,i_exp_capex_vals)*V254</f>
        <v/>
      </c>
      <c r="W321" s="19">
        <f>Sensitivities!$C$248*SUMIF(i_exp_capex_years,W$3,i_exp_capex_vals)*W254</f>
        <v/>
      </c>
      <c r="X321" s="19">
        <f>Sensitivities!$C$248*SUMIF(i_exp_capex_years,X$3,i_exp_capex_vals)*X254</f>
        <v/>
      </c>
      <c r="Y321" s="19">
        <f>Sensitivities!$C$248*SUMIF(i_exp_capex_years,Y$3,i_exp_capex_vals)*Y254</f>
        <v/>
      </c>
      <c r="Z321" s="19">
        <f>Sensitivities!$C$248*SUMIF(i_exp_capex_years,Z$3,i_exp_capex_vals)*Z254</f>
        <v/>
      </c>
      <c r="AA321" s="19">
        <f>Sensitivities!$C$248*SUMIF(i_exp_capex_years,AA$3,i_exp_capex_vals)*AA254</f>
        <v/>
      </c>
      <c r="AB321" s="19">
        <f>Sensitivities!$C$248*SUMIF(i_exp_capex_years,AB$3,i_exp_capex_vals)*AB254</f>
        <v/>
      </c>
      <c r="AC321" s="19">
        <f>Sensitivities!$C$248*SUMIF(i_exp_capex_years,AC$3,i_exp_capex_vals)*AC254</f>
        <v/>
      </c>
      <c r="AD321" s="19">
        <f>Sensitivities!$C$248*SUMIF(i_exp_capex_years,AD$3,i_exp_capex_vals)*AD254</f>
        <v/>
      </c>
      <c r="AE321" s="19">
        <f>Sensitivities!$C$248*SUMIF(i_exp_capex_years,AE$3,i_exp_capex_vals)*AE254</f>
        <v/>
      </c>
      <c r="AF321" s="19">
        <f>Sensitivities!$C$248*SUMIF(i_exp_capex_years,AF$3,i_exp_capex_vals)*AF254</f>
        <v/>
      </c>
      <c r="AG321" s="19">
        <f>Sensitivities!$C$248*SUMIF(i_exp_capex_years,AG$3,i_exp_capex_vals)*AG254</f>
        <v/>
      </c>
      <c r="AH321" s="19">
        <f>Sensitivities!$C$248*SUMIF(i_exp_capex_years,AH$3,i_exp_capex_vals)*AH254</f>
        <v/>
      </c>
      <c r="AI321" s="19">
        <f>Sensitivities!$C$248*SUMIF(i_exp_capex_years,AI$3,i_exp_capex_vals)*AI254</f>
        <v/>
      </c>
    </row>
    <row r="322">
      <c r="B322" s="2" t="inlineStr">
        <is>
          <t xml:space="preserve">  Operating (1/0)</t>
        </is>
      </c>
      <c r="D322" s="22">
        <f>IF(D$3&gt;=i_exp_start,Sensitivities!$C$248,0)</f>
        <v/>
      </c>
      <c r="E322" s="22">
        <f>IF(E$3&gt;=i_exp_start,Sensitivities!$C$248,0)</f>
        <v/>
      </c>
      <c r="F322" s="22">
        <f>IF(F$3&gt;=i_exp_start,Sensitivities!$C$248,0)</f>
        <v/>
      </c>
      <c r="G322" s="22">
        <f>IF(G$3&gt;=i_exp_start,Sensitivities!$C$248,0)</f>
        <v/>
      </c>
      <c r="H322" s="22">
        <f>IF(H$3&gt;=i_exp_start,Sensitivities!$C$248,0)</f>
        <v/>
      </c>
      <c r="I322" s="22">
        <f>IF(I$3&gt;=i_exp_start,Sensitivities!$C$248,0)</f>
        <v/>
      </c>
      <c r="J322" s="22">
        <f>IF(J$3&gt;=i_exp_start,Sensitivities!$C$248,0)</f>
        <v/>
      </c>
      <c r="K322" s="22">
        <f>IF(K$3&gt;=i_exp_start,Sensitivities!$C$248,0)</f>
        <v/>
      </c>
      <c r="L322" s="22">
        <f>IF(L$3&gt;=i_exp_start,Sensitivities!$C$248,0)</f>
        <v/>
      </c>
      <c r="M322" s="22">
        <f>IF(M$3&gt;=i_exp_start,Sensitivities!$C$248,0)</f>
        <v/>
      </c>
      <c r="N322" s="22">
        <f>IF(N$3&gt;=i_exp_start,Sensitivities!$C$248,0)</f>
        <v/>
      </c>
      <c r="O322" s="22">
        <f>IF(O$3&gt;=i_exp_start,Sensitivities!$C$248,0)</f>
        <v/>
      </c>
      <c r="P322" s="22">
        <f>IF(P$3&gt;=i_exp_start,Sensitivities!$C$248,0)</f>
        <v/>
      </c>
      <c r="Q322" s="22">
        <f>IF(Q$3&gt;=i_exp_start,Sensitivities!$C$248,0)</f>
        <v/>
      </c>
      <c r="R322" s="22">
        <f>IF(R$3&gt;=i_exp_start,Sensitivities!$C$248,0)</f>
        <v/>
      </c>
      <c r="S322" s="22">
        <f>IF(S$3&gt;=i_exp_start,Sensitivities!$C$248,0)</f>
        <v/>
      </c>
      <c r="T322" s="22">
        <f>IF(T$3&gt;=i_exp_start,Sensitivities!$C$248,0)</f>
        <v/>
      </c>
      <c r="U322" s="22">
        <f>IF(U$3&gt;=i_exp_start,Sensitivities!$C$248,0)</f>
        <v/>
      </c>
      <c r="V322" s="22">
        <f>IF(V$3&gt;=i_exp_start,Sensitivities!$C$248,0)</f>
        <v/>
      </c>
      <c r="W322" s="22">
        <f>IF(W$3&gt;=i_exp_start,Sensitivities!$C$248,0)</f>
        <v/>
      </c>
      <c r="X322" s="22">
        <f>IF(X$3&gt;=i_exp_start,Sensitivities!$C$248,0)</f>
        <v/>
      </c>
      <c r="Y322" s="22">
        <f>IF(Y$3&gt;=i_exp_start,Sensitivities!$C$248,0)</f>
        <v/>
      </c>
      <c r="Z322" s="22">
        <f>IF(Z$3&gt;=i_exp_start,Sensitivities!$C$248,0)</f>
        <v/>
      </c>
      <c r="AA322" s="22">
        <f>IF(AA$3&gt;=i_exp_start,Sensitivities!$C$248,0)</f>
        <v/>
      </c>
      <c r="AB322" s="22">
        <f>IF(AB$3&gt;=i_exp_start,Sensitivities!$C$248,0)</f>
        <v/>
      </c>
      <c r="AC322" s="22">
        <f>IF(AC$3&gt;=i_exp_start,Sensitivities!$C$248,0)</f>
        <v/>
      </c>
      <c r="AD322" s="22">
        <f>IF(AD$3&gt;=i_exp_start,Sensitivities!$C$248,0)</f>
        <v/>
      </c>
      <c r="AE322" s="22">
        <f>IF(AE$3&gt;=i_exp_start,Sensitivities!$C$248,0)</f>
        <v/>
      </c>
      <c r="AF322" s="22">
        <f>IF(AF$3&gt;=i_exp_start,Sensitivities!$C$248,0)</f>
        <v/>
      </c>
      <c r="AG322" s="22">
        <f>IF(AG$3&gt;=i_exp_start,Sensitivities!$C$248,0)</f>
        <v/>
      </c>
      <c r="AH322" s="22">
        <f>IF(AH$3&gt;=i_exp_start,Sensitivities!$C$248,0)</f>
        <v/>
      </c>
      <c r="AI322" s="22">
        <f>IF(AI$3&gt;=i_exp_start,Sensitivities!$C$248,0)</f>
        <v/>
      </c>
    </row>
    <row r="323">
      <c r="B323" s="2" t="inlineStr">
        <is>
          <t xml:space="preserve">  Under the anchor contract (1/0)</t>
        </is>
      </c>
      <c r="D323" s="22">
        <f>IF(D$3&lt;i_exp_start+i_exp_years,1,0)</f>
        <v/>
      </c>
      <c r="E323" s="22">
        <f>IF(E$3&lt;i_exp_start+i_exp_years,1,0)</f>
        <v/>
      </c>
      <c r="F323" s="22">
        <f>IF(F$3&lt;i_exp_start+i_exp_years,1,0)</f>
        <v/>
      </c>
      <c r="G323" s="22">
        <f>IF(G$3&lt;i_exp_start+i_exp_years,1,0)</f>
        <v/>
      </c>
      <c r="H323" s="22">
        <f>IF(H$3&lt;i_exp_start+i_exp_years,1,0)</f>
        <v/>
      </c>
      <c r="I323" s="22">
        <f>IF(I$3&lt;i_exp_start+i_exp_years,1,0)</f>
        <v/>
      </c>
      <c r="J323" s="22">
        <f>IF(J$3&lt;i_exp_start+i_exp_years,1,0)</f>
        <v/>
      </c>
      <c r="K323" s="22">
        <f>IF(K$3&lt;i_exp_start+i_exp_years,1,0)</f>
        <v/>
      </c>
      <c r="L323" s="22">
        <f>IF(L$3&lt;i_exp_start+i_exp_years,1,0)</f>
        <v/>
      </c>
      <c r="M323" s="22">
        <f>IF(M$3&lt;i_exp_start+i_exp_years,1,0)</f>
        <v/>
      </c>
      <c r="N323" s="22">
        <f>IF(N$3&lt;i_exp_start+i_exp_years,1,0)</f>
        <v/>
      </c>
      <c r="O323" s="22">
        <f>IF(O$3&lt;i_exp_start+i_exp_years,1,0)</f>
        <v/>
      </c>
      <c r="P323" s="22">
        <f>IF(P$3&lt;i_exp_start+i_exp_years,1,0)</f>
        <v/>
      </c>
      <c r="Q323" s="22">
        <f>IF(Q$3&lt;i_exp_start+i_exp_years,1,0)</f>
        <v/>
      </c>
      <c r="R323" s="22">
        <f>IF(R$3&lt;i_exp_start+i_exp_years,1,0)</f>
        <v/>
      </c>
      <c r="S323" s="22">
        <f>IF(S$3&lt;i_exp_start+i_exp_years,1,0)</f>
        <v/>
      </c>
      <c r="T323" s="22">
        <f>IF(T$3&lt;i_exp_start+i_exp_years,1,0)</f>
        <v/>
      </c>
      <c r="U323" s="22">
        <f>IF(U$3&lt;i_exp_start+i_exp_years,1,0)</f>
        <v/>
      </c>
      <c r="V323" s="22">
        <f>IF(V$3&lt;i_exp_start+i_exp_years,1,0)</f>
        <v/>
      </c>
      <c r="W323" s="22">
        <f>IF(W$3&lt;i_exp_start+i_exp_years,1,0)</f>
        <v/>
      </c>
      <c r="X323" s="22">
        <f>IF(X$3&lt;i_exp_start+i_exp_years,1,0)</f>
        <v/>
      </c>
      <c r="Y323" s="22">
        <f>IF(Y$3&lt;i_exp_start+i_exp_years,1,0)</f>
        <v/>
      </c>
      <c r="Z323" s="22">
        <f>IF(Z$3&lt;i_exp_start+i_exp_years,1,0)</f>
        <v/>
      </c>
      <c r="AA323" s="22">
        <f>IF(AA$3&lt;i_exp_start+i_exp_years,1,0)</f>
        <v/>
      </c>
      <c r="AB323" s="22">
        <f>IF(AB$3&lt;i_exp_start+i_exp_years,1,0)</f>
        <v/>
      </c>
      <c r="AC323" s="22">
        <f>IF(AC$3&lt;i_exp_start+i_exp_years,1,0)</f>
        <v/>
      </c>
      <c r="AD323" s="22">
        <f>IF(AD$3&lt;i_exp_start+i_exp_years,1,0)</f>
        <v/>
      </c>
      <c r="AE323" s="22">
        <f>IF(AE$3&lt;i_exp_start+i_exp_years,1,0)</f>
        <v/>
      </c>
      <c r="AF323" s="22">
        <f>IF(AF$3&lt;i_exp_start+i_exp_years,1,0)</f>
        <v/>
      </c>
      <c r="AG323" s="22">
        <f>IF(AG$3&lt;i_exp_start+i_exp_years,1,0)</f>
        <v/>
      </c>
      <c r="AH323" s="22">
        <f>IF(AH$3&lt;i_exp_start+i_exp_years,1,0)</f>
        <v/>
      </c>
      <c r="AI323" s="22">
        <f>IF(AI$3&lt;i_exp_start+i_exp_years,1,0)</f>
        <v/>
      </c>
    </row>
    <row r="324">
      <c r="B324" s="2" t="inlineStr">
        <is>
          <t xml:space="preserve">  Rate ($ per m3 per month)</t>
        </is>
      </c>
      <c r="D324" s="24">
        <f>i_exp_rate*D255*IF(D323=1,1,1+i_exp_mtm)</f>
        <v/>
      </c>
      <c r="E324" s="24">
        <f>i_exp_rate*E255*IF(E323=1,1,1+i_exp_mtm)</f>
        <v/>
      </c>
      <c r="F324" s="24">
        <f>i_exp_rate*F255*IF(F323=1,1,1+i_exp_mtm)</f>
        <v/>
      </c>
      <c r="G324" s="24">
        <f>i_exp_rate*G255*IF(G323=1,1,1+i_exp_mtm)</f>
        <v/>
      </c>
      <c r="H324" s="24">
        <f>i_exp_rate*H255*IF(H323=1,1,1+i_exp_mtm)</f>
        <v/>
      </c>
      <c r="I324" s="24">
        <f>i_exp_rate*I255*IF(I323=1,1,1+i_exp_mtm)</f>
        <v/>
      </c>
      <c r="J324" s="24">
        <f>i_exp_rate*J255*IF(J323=1,1,1+i_exp_mtm)</f>
        <v/>
      </c>
      <c r="K324" s="24">
        <f>i_exp_rate*K255*IF(K323=1,1,1+i_exp_mtm)</f>
        <v/>
      </c>
      <c r="L324" s="24">
        <f>i_exp_rate*L255*IF(L323=1,1,1+i_exp_mtm)</f>
        <v/>
      </c>
      <c r="M324" s="24">
        <f>i_exp_rate*M255*IF(M323=1,1,1+i_exp_mtm)</f>
        <v/>
      </c>
      <c r="N324" s="24">
        <f>i_exp_rate*N255*IF(N323=1,1,1+i_exp_mtm)</f>
        <v/>
      </c>
      <c r="O324" s="24">
        <f>i_exp_rate*O255*IF(O323=1,1,1+i_exp_mtm)</f>
        <v/>
      </c>
      <c r="P324" s="24">
        <f>i_exp_rate*P255*IF(P323=1,1,1+i_exp_mtm)</f>
        <v/>
      </c>
      <c r="Q324" s="24">
        <f>i_exp_rate*Q255*IF(Q323=1,1,1+i_exp_mtm)</f>
        <v/>
      </c>
      <c r="R324" s="24">
        <f>i_exp_rate*R255*IF(R323=1,1,1+i_exp_mtm)</f>
        <v/>
      </c>
      <c r="S324" s="24">
        <f>i_exp_rate*S255*IF(S323=1,1,1+i_exp_mtm)</f>
        <v/>
      </c>
      <c r="T324" s="24">
        <f>i_exp_rate*T255*IF(T323=1,1,1+i_exp_mtm)</f>
        <v/>
      </c>
      <c r="U324" s="24">
        <f>i_exp_rate*U255*IF(U323=1,1,1+i_exp_mtm)</f>
        <v/>
      </c>
      <c r="V324" s="24">
        <f>i_exp_rate*V255*IF(V323=1,1,1+i_exp_mtm)</f>
        <v/>
      </c>
      <c r="W324" s="24">
        <f>i_exp_rate*W255*IF(W323=1,1,1+i_exp_mtm)</f>
        <v/>
      </c>
      <c r="X324" s="24">
        <f>i_exp_rate*X255*IF(X323=1,1,1+i_exp_mtm)</f>
        <v/>
      </c>
      <c r="Y324" s="24">
        <f>i_exp_rate*Y255*IF(Y323=1,1,1+i_exp_mtm)</f>
        <v/>
      </c>
      <c r="Z324" s="24">
        <f>i_exp_rate*Z255*IF(Z323=1,1,1+i_exp_mtm)</f>
        <v/>
      </c>
      <c r="AA324" s="24">
        <f>i_exp_rate*AA255*IF(AA323=1,1,1+i_exp_mtm)</f>
        <v/>
      </c>
      <c r="AB324" s="24">
        <f>i_exp_rate*AB255*IF(AB323=1,1,1+i_exp_mtm)</f>
        <v/>
      </c>
      <c r="AC324" s="24">
        <f>i_exp_rate*AC255*IF(AC323=1,1,1+i_exp_mtm)</f>
        <v/>
      </c>
      <c r="AD324" s="24">
        <f>i_exp_rate*AD255*IF(AD323=1,1,1+i_exp_mtm)</f>
        <v/>
      </c>
      <c r="AE324" s="24">
        <f>i_exp_rate*AE255*IF(AE323=1,1,1+i_exp_mtm)</f>
        <v/>
      </c>
      <c r="AF324" s="24">
        <f>i_exp_rate*AF255*IF(AF323=1,1,1+i_exp_mtm)</f>
        <v/>
      </c>
      <c r="AG324" s="24">
        <f>i_exp_rate*AG255*IF(AG323=1,1,1+i_exp_mtm)</f>
        <v/>
      </c>
      <c r="AH324" s="24">
        <f>i_exp_rate*AH255*IF(AH323=1,1,1+i_exp_mtm)</f>
        <v/>
      </c>
      <c r="AI324" s="24">
        <f>i_exp_rate*AI255*IF(AI323=1,1,1+i_exp_mtm)</f>
        <v/>
      </c>
    </row>
    <row r="325">
      <c r="B325" s="2" t="inlineStr">
        <is>
          <t xml:space="preserve">  Occupancy</t>
        </is>
      </c>
      <c r="D325" s="21">
        <f>IF(D323=1,i_exp_occ_c,i_exp_occ_m)</f>
        <v/>
      </c>
      <c r="E325" s="21">
        <f>IF(E323=1,i_exp_occ_c,i_exp_occ_m)</f>
        <v/>
      </c>
      <c r="F325" s="21">
        <f>IF(F323=1,i_exp_occ_c,i_exp_occ_m)</f>
        <v/>
      </c>
      <c r="G325" s="21">
        <f>IF(G323=1,i_exp_occ_c,i_exp_occ_m)</f>
        <v/>
      </c>
      <c r="H325" s="21">
        <f>IF(H323=1,i_exp_occ_c,i_exp_occ_m)</f>
        <v/>
      </c>
      <c r="I325" s="21">
        <f>IF(I323=1,i_exp_occ_c,i_exp_occ_m)</f>
        <v/>
      </c>
      <c r="J325" s="21">
        <f>IF(J323=1,i_exp_occ_c,i_exp_occ_m)</f>
        <v/>
      </c>
      <c r="K325" s="21">
        <f>IF(K323=1,i_exp_occ_c,i_exp_occ_m)</f>
        <v/>
      </c>
      <c r="L325" s="21">
        <f>IF(L323=1,i_exp_occ_c,i_exp_occ_m)</f>
        <v/>
      </c>
      <c r="M325" s="21">
        <f>IF(M323=1,i_exp_occ_c,i_exp_occ_m)</f>
        <v/>
      </c>
      <c r="N325" s="21">
        <f>IF(N323=1,i_exp_occ_c,i_exp_occ_m)</f>
        <v/>
      </c>
      <c r="O325" s="21">
        <f>IF(O323=1,i_exp_occ_c,i_exp_occ_m)</f>
        <v/>
      </c>
      <c r="P325" s="21">
        <f>IF(P323=1,i_exp_occ_c,i_exp_occ_m)</f>
        <v/>
      </c>
      <c r="Q325" s="21">
        <f>IF(Q323=1,i_exp_occ_c,i_exp_occ_m)</f>
        <v/>
      </c>
      <c r="R325" s="21">
        <f>IF(R323=1,i_exp_occ_c,i_exp_occ_m)</f>
        <v/>
      </c>
      <c r="S325" s="21">
        <f>IF(S323=1,i_exp_occ_c,i_exp_occ_m)</f>
        <v/>
      </c>
      <c r="T325" s="21">
        <f>IF(T323=1,i_exp_occ_c,i_exp_occ_m)</f>
        <v/>
      </c>
      <c r="U325" s="21">
        <f>IF(U323=1,i_exp_occ_c,i_exp_occ_m)</f>
        <v/>
      </c>
      <c r="V325" s="21">
        <f>IF(V323=1,i_exp_occ_c,i_exp_occ_m)</f>
        <v/>
      </c>
      <c r="W325" s="21">
        <f>IF(W323=1,i_exp_occ_c,i_exp_occ_m)</f>
        <v/>
      </c>
      <c r="X325" s="21">
        <f>IF(X323=1,i_exp_occ_c,i_exp_occ_m)</f>
        <v/>
      </c>
      <c r="Y325" s="21">
        <f>IF(Y323=1,i_exp_occ_c,i_exp_occ_m)</f>
        <v/>
      </c>
      <c r="Z325" s="21">
        <f>IF(Z323=1,i_exp_occ_c,i_exp_occ_m)</f>
        <v/>
      </c>
      <c r="AA325" s="21">
        <f>IF(AA323=1,i_exp_occ_c,i_exp_occ_m)</f>
        <v/>
      </c>
      <c r="AB325" s="21">
        <f>IF(AB323=1,i_exp_occ_c,i_exp_occ_m)</f>
        <v/>
      </c>
      <c r="AC325" s="21">
        <f>IF(AC323=1,i_exp_occ_c,i_exp_occ_m)</f>
        <v/>
      </c>
      <c r="AD325" s="21">
        <f>IF(AD323=1,i_exp_occ_c,i_exp_occ_m)</f>
        <v/>
      </c>
      <c r="AE325" s="21">
        <f>IF(AE323=1,i_exp_occ_c,i_exp_occ_m)</f>
        <v/>
      </c>
      <c r="AF325" s="21">
        <f>IF(AF323=1,i_exp_occ_c,i_exp_occ_m)</f>
        <v/>
      </c>
      <c r="AG325" s="21">
        <f>IF(AG323=1,i_exp_occ_c,i_exp_occ_m)</f>
        <v/>
      </c>
      <c r="AH325" s="21">
        <f>IF(AH323=1,i_exp_occ_c,i_exp_occ_m)</f>
        <v/>
      </c>
      <c r="AI325" s="21">
        <f>IF(AI323=1,i_exp_occ_c,i_exp_occ_m)</f>
        <v/>
      </c>
    </row>
    <row r="326">
      <c r="B326" s="2" t="inlineStr">
        <is>
          <t xml:space="preserve">  Storage revenue</t>
        </is>
      </c>
      <c r="D326" s="19">
        <f>D322*i_exp_cap*D324*12*D325</f>
        <v/>
      </c>
      <c r="E326" s="19">
        <f>E322*i_exp_cap*E324*12*E325</f>
        <v/>
      </c>
      <c r="F326" s="19">
        <f>F322*i_exp_cap*F324*12*F325</f>
        <v/>
      </c>
      <c r="G326" s="19">
        <f>G322*i_exp_cap*G324*12*G325</f>
        <v/>
      </c>
      <c r="H326" s="19">
        <f>H322*i_exp_cap*H324*12*H325</f>
        <v/>
      </c>
      <c r="I326" s="19">
        <f>I322*i_exp_cap*I324*12*I325</f>
        <v/>
      </c>
      <c r="J326" s="19">
        <f>J322*i_exp_cap*J324*12*J325</f>
        <v/>
      </c>
      <c r="K326" s="19">
        <f>K322*i_exp_cap*K324*12*K325</f>
        <v/>
      </c>
      <c r="L326" s="19">
        <f>L322*i_exp_cap*L324*12*L325</f>
        <v/>
      </c>
      <c r="M326" s="19">
        <f>M322*i_exp_cap*M324*12*M325</f>
        <v/>
      </c>
      <c r="N326" s="19">
        <f>N322*i_exp_cap*N324*12*N325</f>
        <v/>
      </c>
      <c r="O326" s="19">
        <f>O322*i_exp_cap*O324*12*O325</f>
        <v/>
      </c>
      <c r="P326" s="19">
        <f>P322*i_exp_cap*P324*12*P325</f>
        <v/>
      </c>
      <c r="Q326" s="19">
        <f>Q322*i_exp_cap*Q324*12*Q325</f>
        <v/>
      </c>
      <c r="R326" s="19">
        <f>R322*i_exp_cap*R324*12*R325</f>
        <v/>
      </c>
      <c r="S326" s="19">
        <f>S322*i_exp_cap*S324*12*S325</f>
        <v/>
      </c>
      <c r="T326" s="19">
        <f>T322*i_exp_cap*T324*12*T325</f>
        <v/>
      </c>
      <c r="U326" s="19">
        <f>U322*i_exp_cap*U324*12*U325</f>
        <v/>
      </c>
      <c r="V326" s="19">
        <f>V322*i_exp_cap*V324*12*V325</f>
        <v/>
      </c>
      <c r="W326" s="19">
        <f>W322*i_exp_cap*W324*12*W325</f>
        <v/>
      </c>
      <c r="X326" s="19">
        <f>X322*i_exp_cap*X324*12*X325</f>
        <v/>
      </c>
      <c r="Y326" s="19">
        <f>Y322*i_exp_cap*Y324*12*Y325</f>
        <v/>
      </c>
      <c r="Z326" s="19">
        <f>Z322*i_exp_cap*Z324*12*Z325</f>
        <v/>
      </c>
      <c r="AA326" s="19">
        <f>AA322*i_exp_cap*AA324*12*AA325</f>
        <v/>
      </c>
      <c r="AB326" s="19">
        <f>AB322*i_exp_cap*AB324*12*AB325</f>
        <v/>
      </c>
      <c r="AC326" s="19">
        <f>AC322*i_exp_cap*AC324*12*AC325</f>
        <v/>
      </c>
      <c r="AD326" s="19">
        <f>AD322*i_exp_cap*AD324*12*AD325</f>
        <v/>
      </c>
      <c r="AE326" s="19">
        <f>AE322*i_exp_cap*AE324*12*AE325</f>
        <v/>
      </c>
      <c r="AF326" s="19">
        <f>AF322*i_exp_cap*AF324*12*AF325</f>
        <v/>
      </c>
      <c r="AG326" s="19">
        <f>AG322*i_exp_cap*AG324*12*AG325</f>
        <v/>
      </c>
      <c r="AH326" s="19">
        <f>AH322*i_exp_cap*AH324*12*AH325</f>
        <v/>
      </c>
      <c r="AI326" s="19">
        <f>AI322*i_exp_cap*AI324*12*AI325</f>
        <v/>
      </c>
    </row>
    <row r="327">
      <c r="B327" s="3" t="inlineStr">
        <is>
          <t xml:space="preserve">  Revenue</t>
        </is>
      </c>
      <c r="D327" s="31">
        <f>D326*(1+i_exp_anc)</f>
        <v/>
      </c>
      <c r="E327" s="31">
        <f>E326*(1+i_exp_anc)</f>
        <v/>
      </c>
      <c r="F327" s="31">
        <f>F326*(1+i_exp_anc)</f>
        <v/>
      </c>
      <c r="G327" s="31">
        <f>G326*(1+i_exp_anc)</f>
        <v/>
      </c>
      <c r="H327" s="31">
        <f>H326*(1+i_exp_anc)</f>
        <v/>
      </c>
      <c r="I327" s="31">
        <f>I326*(1+i_exp_anc)</f>
        <v/>
      </c>
      <c r="J327" s="31">
        <f>J326*(1+i_exp_anc)</f>
        <v/>
      </c>
      <c r="K327" s="31">
        <f>K326*(1+i_exp_anc)</f>
        <v/>
      </c>
      <c r="L327" s="31">
        <f>L326*(1+i_exp_anc)</f>
        <v/>
      </c>
      <c r="M327" s="31">
        <f>M326*(1+i_exp_anc)</f>
        <v/>
      </c>
      <c r="N327" s="31">
        <f>N326*(1+i_exp_anc)</f>
        <v/>
      </c>
      <c r="O327" s="31">
        <f>O326*(1+i_exp_anc)</f>
        <v/>
      </c>
      <c r="P327" s="31">
        <f>P326*(1+i_exp_anc)</f>
        <v/>
      </c>
      <c r="Q327" s="31">
        <f>Q326*(1+i_exp_anc)</f>
        <v/>
      </c>
      <c r="R327" s="31">
        <f>R326*(1+i_exp_anc)</f>
        <v/>
      </c>
      <c r="S327" s="31">
        <f>S326*(1+i_exp_anc)</f>
        <v/>
      </c>
      <c r="T327" s="31">
        <f>T326*(1+i_exp_anc)</f>
        <v/>
      </c>
      <c r="U327" s="31">
        <f>U326*(1+i_exp_anc)</f>
        <v/>
      </c>
      <c r="V327" s="31">
        <f>V326*(1+i_exp_anc)</f>
        <v/>
      </c>
      <c r="W327" s="31">
        <f>W326*(1+i_exp_anc)</f>
        <v/>
      </c>
      <c r="X327" s="31">
        <f>X326*(1+i_exp_anc)</f>
        <v/>
      </c>
      <c r="Y327" s="31">
        <f>Y326*(1+i_exp_anc)</f>
        <v/>
      </c>
      <c r="Z327" s="31">
        <f>Z326*(1+i_exp_anc)</f>
        <v/>
      </c>
      <c r="AA327" s="31">
        <f>AA326*(1+i_exp_anc)</f>
        <v/>
      </c>
      <c r="AB327" s="31">
        <f>AB326*(1+i_exp_anc)</f>
        <v/>
      </c>
      <c r="AC327" s="31">
        <f>AC326*(1+i_exp_anc)</f>
        <v/>
      </c>
      <c r="AD327" s="31">
        <f>AD326*(1+i_exp_anc)</f>
        <v/>
      </c>
      <c r="AE327" s="31">
        <f>AE326*(1+i_exp_anc)</f>
        <v/>
      </c>
      <c r="AF327" s="31">
        <f>AF326*(1+i_exp_anc)</f>
        <v/>
      </c>
      <c r="AG327" s="31">
        <f>AG326*(1+i_exp_anc)</f>
        <v/>
      </c>
      <c r="AH327" s="31">
        <f>AH326*(1+i_exp_anc)</f>
        <v/>
      </c>
      <c r="AI327" s="31">
        <f>AI326*(1+i_exp_anc)</f>
        <v/>
      </c>
    </row>
    <row r="328">
      <c r="B328" s="2" t="inlineStr">
        <is>
          <t xml:space="preserve">  Operating cost</t>
        </is>
      </c>
      <c r="D328" s="19">
        <f>D322*i_exp_fix*i_exp_cap*D254+i_exp_var*D327</f>
        <v/>
      </c>
      <c r="E328" s="19">
        <f>E322*i_exp_fix*i_exp_cap*E254+i_exp_var*E327</f>
        <v/>
      </c>
      <c r="F328" s="19">
        <f>F322*i_exp_fix*i_exp_cap*F254+i_exp_var*F327</f>
        <v/>
      </c>
      <c r="G328" s="19">
        <f>G322*i_exp_fix*i_exp_cap*G254+i_exp_var*G327</f>
        <v/>
      </c>
      <c r="H328" s="19">
        <f>H322*i_exp_fix*i_exp_cap*H254+i_exp_var*H327</f>
        <v/>
      </c>
      <c r="I328" s="19">
        <f>I322*i_exp_fix*i_exp_cap*I254+i_exp_var*I327</f>
        <v/>
      </c>
      <c r="J328" s="19">
        <f>J322*i_exp_fix*i_exp_cap*J254+i_exp_var*J327</f>
        <v/>
      </c>
      <c r="K328" s="19">
        <f>K322*i_exp_fix*i_exp_cap*K254+i_exp_var*K327</f>
        <v/>
      </c>
      <c r="L328" s="19">
        <f>L322*i_exp_fix*i_exp_cap*L254+i_exp_var*L327</f>
        <v/>
      </c>
      <c r="M328" s="19">
        <f>M322*i_exp_fix*i_exp_cap*M254+i_exp_var*M327</f>
        <v/>
      </c>
      <c r="N328" s="19">
        <f>N322*i_exp_fix*i_exp_cap*N254+i_exp_var*N327</f>
        <v/>
      </c>
      <c r="O328" s="19">
        <f>O322*i_exp_fix*i_exp_cap*O254+i_exp_var*O327</f>
        <v/>
      </c>
      <c r="P328" s="19">
        <f>P322*i_exp_fix*i_exp_cap*P254+i_exp_var*P327</f>
        <v/>
      </c>
      <c r="Q328" s="19">
        <f>Q322*i_exp_fix*i_exp_cap*Q254+i_exp_var*Q327</f>
        <v/>
      </c>
      <c r="R328" s="19">
        <f>R322*i_exp_fix*i_exp_cap*R254+i_exp_var*R327</f>
        <v/>
      </c>
      <c r="S328" s="19">
        <f>S322*i_exp_fix*i_exp_cap*S254+i_exp_var*S327</f>
        <v/>
      </c>
      <c r="T328" s="19">
        <f>T322*i_exp_fix*i_exp_cap*T254+i_exp_var*T327</f>
        <v/>
      </c>
      <c r="U328" s="19">
        <f>U322*i_exp_fix*i_exp_cap*U254+i_exp_var*U327</f>
        <v/>
      </c>
      <c r="V328" s="19">
        <f>V322*i_exp_fix*i_exp_cap*V254+i_exp_var*V327</f>
        <v/>
      </c>
      <c r="W328" s="19">
        <f>W322*i_exp_fix*i_exp_cap*W254+i_exp_var*W327</f>
        <v/>
      </c>
      <c r="X328" s="19">
        <f>X322*i_exp_fix*i_exp_cap*X254+i_exp_var*X327</f>
        <v/>
      </c>
      <c r="Y328" s="19">
        <f>Y322*i_exp_fix*i_exp_cap*Y254+i_exp_var*Y327</f>
        <v/>
      </c>
      <c r="Z328" s="19">
        <f>Z322*i_exp_fix*i_exp_cap*Z254+i_exp_var*Z327</f>
        <v/>
      </c>
      <c r="AA328" s="19">
        <f>AA322*i_exp_fix*i_exp_cap*AA254+i_exp_var*AA327</f>
        <v/>
      </c>
      <c r="AB328" s="19">
        <f>AB322*i_exp_fix*i_exp_cap*AB254+i_exp_var*AB327</f>
        <v/>
      </c>
      <c r="AC328" s="19">
        <f>AC322*i_exp_fix*i_exp_cap*AC254+i_exp_var*AC327</f>
        <v/>
      </c>
      <c r="AD328" s="19">
        <f>AD322*i_exp_fix*i_exp_cap*AD254+i_exp_var*AD327</f>
        <v/>
      </c>
      <c r="AE328" s="19">
        <f>AE322*i_exp_fix*i_exp_cap*AE254+i_exp_var*AE327</f>
        <v/>
      </c>
      <c r="AF328" s="19">
        <f>AF322*i_exp_fix*i_exp_cap*AF254+i_exp_var*AF327</f>
        <v/>
      </c>
      <c r="AG328" s="19">
        <f>AG322*i_exp_fix*i_exp_cap*AG254+i_exp_var*AG327</f>
        <v/>
      </c>
      <c r="AH328" s="19">
        <f>AH322*i_exp_fix*i_exp_cap*AH254+i_exp_var*AH327</f>
        <v/>
      </c>
      <c r="AI328" s="19">
        <f>AI322*i_exp_fix*i_exp_cap*AI254+i_exp_var*AI327</f>
        <v/>
      </c>
    </row>
    <row r="329">
      <c r="B329" s="3" t="inlineStr">
        <is>
          <t xml:space="preserve">  EBITDA</t>
        </is>
      </c>
      <c r="D329" s="31">
        <f>D327-D328</f>
        <v/>
      </c>
      <c r="E329" s="31">
        <f>E327-E328</f>
        <v/>
      </c>
      <c r="F329" s="31">
        <f>F327-F328</f>
        <v/>
      </c>
      <c r="G329" s="31">
        <f>G327-G328</f>
        <v/>
      </c>
      <c r="H329" s="31">
        <f>H327-H328</f>
        <v/>
      </c>
      <c r="I329" s="31">
        <f>I327-I328</f>
        <v/>
      </c>
      <c r="J329" s="31">
        <f>J327-J328</f>
        <v/>
      </c>
      <c r="K329" s="31">
        <f>K327-K328</f>
        <v/>
      </c>
      <c r="L329" s="31">
        <f>L327-L328</f>
        <v/>
      </c>
      <c r="M329" s="31">
        <f>M327-M328</f>
        <v/>
      </c>
      <c r="N329" s="31">
        <f>N327-N328</f>
        <v/>
      </c>
      <c r="O329" s="31">
        <f>O327-O328</f>
        <v/>
      </c>
      <c r="P329" s="31">
        <f>P327-P328</f>
        <v/>
      </c>
      <c r="Q329" s="31">
        <f>Q327-Q328</f>
        <v/>
      </c>
      <c r="R329" s="31">
        <f>R327-R328</f>
        <v/>
      </c>
      <c r="S329" s="31">
        <f>S327-S328</f>
        <v/>
      </c>
      <c r="T329" s="31">
        <f>T327-T328</f>
        <v/>
      </c>
      <c r="U329" s="31">
        <f>U327-U328</f>
        <v/>
      </c>
      <c r="V329" s="31">
        <f>V327-V328</f>
        <v/>
      </c>
      <c r="W329" s="31">
        <f>W327-W328</f>
        <v/>
      </c>
      <c r="X329" s="31">
        <f>X327-X328</f>
        <v/>
      </c>
      <c r="Y329" s="31">
        <f>Y327-Y328</f>
        <v/>
      </c>
      <c r="Z329" s="31">
        <f>Z327-Z328</f>
        <v/>
      </c>
      <c r="AA329" s="31">
        <f>AA327-AA328</f>
        <v/>
      </c>
      <c r="AB329" s="31">
        <f>AB327-AB328</f>
        <v/>
      </c>
      <c r="AC329" s="31">
        <f>AC327-AC328</f>
        <v/>
      </c>
      <c r="AD329" s="31">
        <f>AD327-AD328</f>
        <v/>
      </c>
      <c r="AE329" s="31">
        <f>AE327-AE328</f>
        <v/>
      </c>
      <c r="AF329" s="31">
        <f>AF327-AF328</f>
        <v/>
      </c>
      <c r="AG329" s="31">
        <f>AG327-AG328</f>
        <v/>
      </c>
      <c r="AH329" s="31">
        <f>AH327-AH328</f>
        <v/>
      </c>
      <c r="AI329" s="31">
        <f>AI327-AI328</f>
        <v/>
      </c>
    </row>
    <row r="330">
      <c r="B330" s="2" t="inlineStr">
        <is>
          <t xml:space="preserve">  Maintenance capex</t>
        </is>
      </c>
      <c r="D330" s="19">
        <f>D322*i_exp_mc*i_exp_cap*D254</f>
        <v/>
      </c>
      <c r="E330" s="19">
        <f>E322*i_exp_mc*i_exp_cap*E254</f>
        <v/>
      </c>
      <c r="F330" s="19">
        <f>F322*i_exp_mc*i_exp_cap*F254</f>
        <v/>
      </c>
      <c r="G330" s="19">
        <f>G322*i_exp_mc*i_exp_cap*G254</f>
        <v/>
      </c>
      <c r="H330" s="19">
        <f>H322*i_exp_mc*i_exp_cap*H254</f>
        <v/>
      </c>
      <c r="I330" s="19">
        <f>I322*i_exp_mc*i_exp_cap*I254</f>
        <v/>
      </c>
      <c r="J330" s="19">
        <f>J322*i_exp_mc*i_exp_cap*J254</f>
        <v/>
      </c>
      <c r="K330" s="19">
        <f>K322*i_exp_mc*i_exp_cap*K254</f>
        <v/>
      </c>
      <c r="L330" s="19">
        <f>L322*i_exp_mc*i_exp_cap*L254</f>
        <v/>
      </c>
      <c r="M330" s="19">
        <f>M322*i_exp_mc*i_exp_cap*M254</f>
        <v/>
      </c>
      <c r="N330" s="19">
        <f>N322*i_exp_mc*i_exp_cap*N254</f>
        <v/>
      </c>
      <c r="O330" s="19">
        <f>O322*i_exp_mc*i_exp_cap*O254</f>
        <v/>
      </c>
      <c r="P330" s="19">
        <f>P322*i_exp_mc*i_exp_cap*P254</f>
        <v/>
      </c>
      <c r="Q330" s="19">
        <f>Q322*i_exp_mc*i_exp_cap*Q254</f>
        <v/>
      </c>
      <c r="R330" s="19">
        <f>R322*i_exp_mc*i_exp_cap*R254</f>
        <v/>
      </c>
      <c r="S330" s="19">
        <f>S322*i_exp_mc*i_exp_cap*S254</f>
        <v/>
      </c>
      <c r="T330" s="19">
        <f>T322*i_exp_mc*i_exp_cap*T254</f>
        <v/>
      </c>
      <c r="U330" s="19">
        <f>U322*i_exp_mc*i_exp_cap*U254</f>
        <v/>
      </c>
      <c r="V330" s="19">
        <f>V322*i_exp_mc*i_exp_cap*V254</f>
        <v/>
      </c>
      <c r="W330" s="19">
        <f>W322*i_exp_mc*i_exp_cap*W254</f>
        <v/>
      </c>
      <c r="X330" s="19">
        <f>X322*i_exp_mc*i_exp_cap*X254</f>
        <v/>
      </c>
      <c r="Y330" s="19">
        <f>Y322*i_exp_mc*i_exp_cap*Y254</f>
        <v/>
      </c>
      <c r="Z330" s="19">
        <f>Z322*i_exp_mc*i_exp_cap*Z254</f>
        <v/>
      </c>
      <c r="AA330" s="19">
        <f>AA322*i_exp_mc*i_exp_cap*AA254</f>
        <v/>
      </c>
      <c r="AB330" s="19">
        <f>AB322*i_exp_mc*i_exp_cap*AB254</f>
        <v/>
      </c>
      <c r="AC330" s="19">
        <f>AC322*i_exp_mc*i_exp_cap*AC254</f>
        <v/>
      </c>
      <c r="AD330" s="19">
        <f>AD322*i_exp_mc*i_exp_cap*AD254</f>
        <v/>
      </c>
      <c r="AE330" s="19">
        <f>AE322*i_exp_mc*i_exp_cap*AE254</f>
        <v/>
      </c>
      <c r="AF330" s="19">
        <f>AF322*i_exp_mc*i_exp_cap*AF254</f>
        <v/>
      </c>
      <c r="AG330" s="19">
        <f>AG322*i_exp_mc*i_exp_cap*AG254</f>
        <v/>
      </c>
      <c r="AH330" s="19">
        <f>AH322*i_exp_mc*i_exp_cap*AH254</f>
        <v/>
      </c>
      <c r="AI330" s="19">
        <f>AI322*i_exp_mc*i_exp_cap*AI254</f>
        <v/>
      </c>
    </row>
    <row r="332">
      <c r="B332" s="5" t="inlineStr">
        <is>
          <t>Consolidated</t>
        </is>
      </c>
    </row>
    <row r="333">
      <c r="B333" s="2" t="inlineStr">
        <is>
          <t>Revenue</t>
        </is>
      </c>
      <c r="D333" s="19">
        <f>D267+D283+D298+D313+D327</f>
        <v/>
      </c>
      <c r="E333" s="19">
        <f>E267+E283+E298+E313+E327</f>
        <v/>
      </c>
      <c r="F333" s="19">
        <f>F267+F283+F298+F313+F327</f>
        <v/>
      </c>
      <c r="G333" s="19">
        <f>G267+G283+G298+G313+G327</f>
        <v/>
      </c>
      <c r="H333" s="19">
        <f>H267+H283+H298+H313+H327</f>
        <v/>
      </c>
      <c r="I333" s="19">
        <f>I267+I283+I298+I313+I327</f>
        <v/>
      </c>
      <c r="J333" s="19">
        <f>J267+J283+J298+J313+J327</f>
        <v/>
      </c>
      <c r="K333" s="19">
        <f>K267+K283+K298+K313+K327</f>
        <v/>
      </c>
      <c r="L333" s="19">
        <f>L267+L283+L298+L313+L327</f>
        <v/>
      </c>
      <c r="M333" s="19">
        <f>M267+M283+M298+M313+M327</f>
        <v/>
      </c>
      <c r="N333" s="19">
        <f>N267+N283+N298+N313+N327</f>
        <v/>
      </c>
      <c r="O333" s="19">
        <f>O267+O283+O298+O313+O327</f>
        <v/>
      </c>
      <c r="P333" s="19">
        <f>P267+P283+P298+P313+P327</f>
        <v/>
      </c>
      <c r="Q333" s="19">
        <f>Q267+Q283+Q298+Q313+Q327</f>
        <v/>
      </c>
      <c r="R333" s="19">
        <f>R267+R283+R298+R313+R327</f>
        <v/>
      </c>
      <c r="S333" s="19">
        <f>S267+S283+S298+S313+S327</f>
        <v/>
      </c>
      <c r="T333" s="19">
        <f>T267+T283+T298+T313+T327</f>
        <v/>
      </c>
      <c r="U333" s="19">
        <f>U267+U283+U298+U313+U327</f>
        <v/>
      </c>
      <c r="V333" s="19">
        <f>V267+V283+V298+V313+V327</f>
        <v/>
      </c>
      <c r="W333" s="19">
        <f>W267+W283+W298+W313+W327</f>
        <v/>
      </c>
      <c r="X333" s="19">
        <f>X267+X283+X298+X313+X327</f>
        <v/>
      </c>
      <c r="Y333" s="19">
        <f>Y267+Y283+Y298+Y313+Y327</f>
        <v/>
      </c>
      <c r="Z333" s="19">
        <f>Z267+Z283+Z298+Z313+Z327</f>
        <v/>
      </c>
      <c r="AA333" s="19">
        <f>AA267+AA283+AA298+AA313+AA327</f>
        <v/>
      </c>
      <c r="AB333" s="19">
        <f>AB267+AB283+AB298+AB313+AB327</f>
        <v/>
      </c>
      <c r="AC333" s="19">
        <f>AC267+AC283+AC298+AC313+AC327</f>
        <v/>
      </c>
      <c r="AD333" s="19">
        <f>AD267+AD283+AD298+AD313+AD327</f>
        <v/>
      </c>
      <c r="AE333" s="19">
        <f>AE267+AE283+AE298+AE313+AE327</f>
        <v/>
      </c>
      <c r="AF333" s="19">
        <f>AF267+AF283+AF298+AF313+AF327</f>
        <v/>
      </c>
      <c r="AG333" s="19">
        <f>AG267+AG283+AG298+AG313+AG327</f>
        <v/>
      </c>
      <c r="AH333" s="19">
        <f>AH267+AH283+AH298+AH313+AH327</f>
        <v/>
      </c>
      <c r="AI333" s="19">
        <f>AI267+AI283+AI298+AI313+AI327</f>
        <v/>
      </c>
    </row>
    <row r="334">
      <c r="B334" s="2" t="inlineStr">
        <is>
          <t>Business unit EBITDA (with the expansion)</t>
        </is>
      </c>
      <c r="D334" s="19">
        <f>D272+D287+D302+D318+D329</f>
        <v/>
      </c>
      <c r="E334" s="19">
        <f>E272+E287+E302+E318+E329</f>
        <v/>
      </c>
      <c r="F334" s="19">
        <f>F272+F287+F302+F318+F329</f>
        <v/>
      </c>
      <c r="G334" s="19">
        <f>G272+G287+G302+G318+G329</f>
        <v/>
      </c>
      <c r="H334" s="19">
        <f>H272+H287+H302+H318+H329</f>
        <v/>
      </c>
      <c r="I334" s="19">
        <f>I272+I287+I302+I318+I329</f>
        <v/>
      </c>
      <c r="J334" s="19">
        <f>J272+J287+J302+J318+J329</f>
        <v/>
      </c>
      <c r="K334" s="19">
        <f>K272+K287+K302+K318+K329</f>
        <v/>
      </c>
      <c r="L334" s="19">
        <f>L272+L287+L302+L318+L329</f>
        <v/>
      </c>
      <c r="M334" s="19">
        <f>M272+M287+M302+M318+M329</f>
        <v/>
      </c>
      <c r="N334" s="19">
        <f>N272+N287+N302+N318+N329</f>
        <v/>
      </c>
      <c r="O334" s="19">
        <f>O272+O287+O302+O318+O329</f>
        <v/>
      </c>
      <c r="P334" s="19">
        <f>P272+P287+P302+P318+P329</f>
        <v/>
      </c>
      <c r="Q334" s="19">
        <f>Q272+Q287+Q302+Q318+Q329</f>
        <v/>
      </c>
      <c r="R334" s="19">
        <f>R272+R287+R302+R318+R329</f>
        <v/>
      </c>
      <c r="S334" s="19">
        <f>S272+S287+S302+S318+S329</f>
        <v/>
      </c>
      <c r="T334" s="19">
        <f>T272+T287+T302+T318+T329</f>
        <v/>
      </c>
      <c r="U334" s="19">
        <f>U272+U287+U302+U318+U329</f>
        <v/>
      </c>
      <c r="V334" s="19">
        <f>V272+V287+V302+V318+V329</f>
        <v/>
      </c>
      <c r="W334" s="19">
        <f>W272+W287+W302+W318+W329</f>
        <v/>
      </c>
      <c r="X334" s="19">
        <f>X272+X287+X302+X318+X329</f>
        <v/>
      </c>
      <c r="Y334" s="19">
        <f>Y272+Y287+Y302+Y318+Y329</f>
        <v/>
      </c>
      <c r="Z334" s="19">
        <f>Z272+Z287+Z302+Z318+Z329</f>
        <v/>
      </c>
      <c r="AA334" s="19">
        <f>AA272+AA287+AA302+AA318+AA329</f>
        <v/>
      </c>
      <c r="AB334" s="19">
        <f>AB272+AB287+AB302+AB318+AB329</f>
        <v/>
      </c>
      <c r="AC334" s="19">
        <f>AC272+AC287+AC302+AC318+AC329</f>
        <v/>
      </c>
      <c r="AD334" s="19">
        <f>AD272+AD287+AD302+AD318+AD329</f>
        <v/>
      </c>
      <c r="AE334" s="19">
        <f>AE272+AE287+AE302+AE318+AE329</f>
        <v/>
      </c>
      <c r="AF334" s="19">
        <f>AF272+AF287+AF302+AF318+AF329</f>
        <v/>
      </c>
      <c r="AG334" s="19">
        <f>AG272+AG287+AG302+AG318+AG329</f>
        <v/>
      </c>
      <c r="AH334" s="19">
        <f>AH272+AH287+AH302+AH318+AH329</f>
        <v/>
      </c>
      <c r="AI334" s="19">
        <f>AI272+AI287+AI302+AI318+AI329</f>
        <v/>
      </c>
    </row>
    <row r="335">
      <c r="B335" s="2" t="inlineStr">
        <is>
          <t>Corporate costs</t>
        </is>
      </c>
      <c r="D335" s="19">
        <f>i_corp*D254*IF(OR(Sensitivities!$C$251=1,D$3&lt;=i_conc_end),1,i_corp_after_w)+IF(D$3&gt;=i_mitig_start,Sensitivities!$C$253*D254,0)</f>
        <v/>
      </c>
      <c r="E335" s="19">
        <f>i_corp*E254*IF(OR(Sensitivities!$C$251=1,E$3&lt;=i_conc_end),1,i_corp_after_w)+IF(E$3&gt;=i_mitig_start,Sensitivities!$C$253*E254,0)</f>
        <v/>
      </c>
      <c r="F335" s="19">
        <f>i_corp*F254*IF(OR(Sensitivities!$C$251=1,F$3&lt;=i_conc_end),1,i_corp_after_w)+IF(F$3&gt;=i_mitig_start,Sensitivities!$C$253*F254,0)</f>
        <v/>
      </c>
      <c r="G335" s="19">
        <f>i_corp*G254*IF(OR(Sensitivities!$C$251=1,G$3&lt;=i_conc_end),1,i_corp_after_w)+IF(G$3&gt;=i_mitig_start,Sensitivities!$C$253*G254,0)</f>
        <v/>
      </c>
      <c r="H335" s="19">
        <f>i_corp*H254*IF(OR(Sensitivities!$C$251=1,H$3&lt;=i_conc_end),1,i_corp_after_w)+IF(H$3&gt;=i_mitig_start,Sensitivities!$C$253*H254,0)</f>
        <v/>
      </c>
      <c r="I335" s="19">
        <f>i_corp*I254*IF(OR(Sensitivities!$C$251=1,I$3&lt;=i_conc_end),1,i_corp_after_w)+IF(I$3&gt;=i_mitig_start,Sensitivities!$C$253*I254,0)</f>
        <v/>
      </c>
      <c r="J335" s="19">
        <f>i_corp*J254*IF(OR(Sensitivities!$C$251=1,J$3&lt;=i_conc_end),1,i_corp_after_w)+IF(J$3&gt;=i_mitig_start,Sensitivities!$C$253*J254,0)</f>
        <v/>
      </c>
      <c r="K335" s="19">
        <f>i_corp*K254*IF(OR(Sensitivities!$C$251=1,K$3&lt;=i_conc_end),1,i_corp_after_w)+IF(K$3&gt;=i_mitig_start,Sensitivities!$C$253*K254,0)</f>
        <v/>
      </c>
      <c r="L335" s="19">
        <f>i_corp*L254*IF(OR(Sensitivities!$C$251=1,L$3&lt;=i_conc_end),1,i_corp_after_w)+IF(L$3&gt;=i_mitig_start,Sensitivities!$C$253*L254,0)</f>
        <v/>
      </c>
      <c r="M335" s="19">
        <f>i_corp*M254*IF(OR(Sensitivities!$C$251=1,M$3&lt;=i_conc_end),1,i_corp_after_w)+IF(M$3&gt;=i_mitig_start,Sensitivities!$C$253*M254,0)</f>
        <v/>
      </c>
      <c r="N335" s="19">
        <f>i_corp*N254*IF(OR(Sensitivities!$C$251=1,N$3&lt;=i_conc_end),1,i_corp_after_w)+IF(N$3&gt;=i_mitig_start,Sensitivities!$C$253*N254,0)</f>
        <v/>
      </c>
      <c r="O335" s="19">
        <f>i_corp*O254*IF(OR(Sensitivities!$C$251=1,O$3&lt;=i_conc_end),1,i_corp_after_w)+IF(O$3&gt;=i_mitig_start,Sensitivities!$C$253*O254,0)</f>
        <v/>
      </c>
      <c r="P335" s="19">
        <f>i_corp*P254*IF(OR(Sensitivities!$C$251=1,P$3&lt;=i_conc_end),1,i_corp_after_w)+IF(P$3&gt;=i_mitig_start,Sensitivities!$C$253*P254,0)</f>
        <v/>
      </c>
      <c r="Q335" s="19">
        <f>i_corp*Q254*IF(OR(Sensitivities!$C$251=1,Q$3&lt;=i_conc_end),1,i_corp_after_w)+IF(Q$3&gt;=i_mitig_start,Sensitivities!$C$253*Q254,0)</f>
        <v/>
      </c>
      <c r="R335" s="19">
        <f>i_corp*R254*IF(OR(Sensitivities!$C$251=1,R$3&lt;=i_conc_end),1,i_corp_after_w)+IF(R$3&gt;=i_mitig_start,Sensitivities!$C$253*R254,0)</f>
        <v/>
      </c>
      <c r="S335" s="19">
        <f>i_corp*S254*IF(OR(Sensitivities!$C$251=1,S$3&lt;=i_conc_end),1,i_corp_after_w)+IF(S$3&gt;=i_mitig_start,Sensitivities!$C$253*S254,0)</f>
        <v/>
      </c>
      <c r="T335" s="19">
        <f>i_corp*T254*IF(OR(Sensitivities!$C$251=1,T$3&lt;=i_conc_end),1,i_corp_after_w)+IF(T$3&gt;=i_mitig_start,Sensitivities!$C$253*T254,0)</f>
        <v/>
      </c>
      <c r="U335" s="19">
        <f>i_corp*U254*IF(OR(Sensitivities!$C$251=1,U$3&lt;=i_conc_end),1,i_corp_after_w)+IF(U$3&gt;=i_mitig_start,Sensitivities!$C$253*U254,0)</f>
        <v/>
      </c>
      <c r="V335" s="19">
        <f>i_corp*V254*IF(OR(Sensitivities!$C$251=1,V$3&lt;=i_conc_end),1,i_corp_after_w)+IF(V$3&gt;=i_mitig_start,Sensitivities!$C$253*V254,0)</f>
        <v/>
      </c>
      <c r="W335" s="19">
        <f>i_corp*W254*IF(OR(Sensitivities!$C$251=1,W$3&lt;=i_conc_end),1,i_corp_after_w)+IF(W$3&gt;=i_mitig_start,Sensitivities!$C$253*W254,0)</f>
        <v/>
      </c>
      <c r="X335" s="19">
        <f>i_corp*X254*IF(OR(Sensitivities!$C$251=1,X$3&lt;=i_conc_end),1,i_corp_after_w)+IF(X$3&gt;=i_mitig_start,Sensitivities!$C$253*X254,0)</f>
        <v/>
      </c>
      <c r="Y335" s="19">
        <f>i_corp*Y254*IF(OR(Sensitivities!$C$251=1,Y$3&lt;=i_conc_end),1,i_corp_after_w)+IF(Y$3&gt;=i_mitig_start,Sensitivities!$C$253*Y254,0)</f>
        <v/>
      </c>
      <c r="Z335" s="19">
        <f>i_corp*Z254*IF(OR(Sensitivities!$C$251=1,Z$3&lt;=i_conc_end),1,i_corp_after_w)+IF(Z$3&gt;=i_mitig_start,Sensitivities!$C$253*Z254,0)</f>
        <v/>
      </c>
      <c r="AA335" s="19">
        <f>i_corp*AA254*IF(OR(Sensitivities!$C$251=1,AA$3&lt;=i_conc_end),1,i_corp_after_w)+IF(AA$3&gt;=i_mitig_start,Sensitivities!$C$253*AA254,0)</f>
        <v/>
      </c>
      <c r="AB335" s="19">
        <f>i_corp*AB254*IF(OR(Sensitivities!$C$251=1,AB$3&lt;=i_conc_end),1,i_corp_after_w)+IF(AB$3&gt;=i_mitig_start,Sensitivities!$C$253*AB254,0)</f>
        <v/>
      </c>
      <c r="AC335" s="19">
        <f>i_corp*AC254*IF(OR(Sensitivities!$C$251=1,AC$3&lt;=i_conc_end),1,i_corp_after_w)+IF(AC$3&gt;=i_mitig_start,Sensitivities!$C$253*AC254,0)</f>
        <v/>
      </c>
      <c r="AD335" s="19">
        <f>i_corp*AD254*IF(OR(Sensitivities!$C$251=1,AD$3&lt;=i_conc_end),1,i_corp_after_w)+IF(AD$3&gt;=i_mitig_start,Sensitivities!$C$253*AD254,0)</f>
        <v/>
      </c>
      <c r="AE335" s="19">
        <f>i_corp*AE254*IF(OR(Sensitivities!$C$251=1,AE$3&lt;=i_conc_end),1,i_corp_after_w)+IF(AE$3&gt;=i_mitig_start,Sensitivities!$C$253*AE254,0)</f>
        <v/>
      </c>
      <c r="AF335" s="19">
        <f>i_corp*AF254*IF(OR(Sensitivities!$C$251=1,AF$3&lt;=i_conc_end),1,i_corp_after_w)+IF(AF$3&gt;=i_mitig_start,Sensitivities!$C$253*AF254,0)</f>
        <v/>
      </c>
      <c r="AG335" s="19">
        <f>i_corp*AG254*IF(OR(Sensitivities!$C$251=1,AG$3&lt;=i_conc_end),1,i_corp_after_w)+IF(AG$3&gt;=i_mitig_start,Sensitivities!$C$253*AG254,0)</f>
        <v/>
      </c>
      <c r="AH335" s="19">
        <f>i_corp*AH254*IF(OR(Sensitivities!$C$251=1,AH$3&lt;=i_conc_end),1,i_corp_after_w)+IF(AH$3&gt;=i_mitig_start,Sensitivities!$C$253*AH254,0)</f>
        <v/>
      </c>
      <c r="AI335" s="19">
        <f>i_corp*AI254*IF(OR(Sensitivities!$C$251=1,AI$3&lt;=i_conc_end),1,i_corp_after_w)+IF(AI$3&gt;=i_mitig_start,Sensitivities!$C$253*AI254,0)</f>
        <v/>
      </c>
    </row>
    <row r="336">
      <c r="B336" s="3" t="inlineStr">
        <is>
          <t>EBITDA</t>
        </is>
      </c>
      <c r="D336" s="31">
        <f>D334-D335</f>
        <v/>
      </c>
      <c r="E336" s="31">
        <f>E334-E335</f>
        <v/>
      </c>
      <c r="F336" s="31">
        <f>F334-F335</f>
        <v/>
      </c>
      <c r="G336" s="31">
        <f>G334-G335</f>
        <v/>
      </c>
      <c r="H336" s="31">
        <f>H334-H335</f>
        <v/>
      </c>
      <c r="I336" s="31">
        <f>I334-I335</f>
        <v/>
      </c>
      <c r="J336" s="31">
        <f>J334-J335</f>
        <v/>
      </c>
      <c r="K336" s="31">
        <f>K334-K335</f>
        <v/>
      </c>
      <c r="L336" s="31">
        <f>L334-L335</f>
        <v/>
      </c>
      <c r="M336" s="31">
        <f>M334-M335</f>
        <v/>
      </c>
      <c r="N336" s="31">
        <f>N334-N335</f>
        <v/>
      </c>
      <c r="O336" s="31">
        <f>O334-O335</f>
        <v/>
      </c>
      <c r="P336" s="31">
        <f>P334-P335</f>
        <v/>
      </c>
      <c r="Q336" s="31">
        <f>Q334-Q335</f>
        <v/>
      </c>
      <c r="R336" s="31">
        <f>R334-R335</f>
        <v/>
      </c>
      <c r="S336" s="31">
        <f>S334-S335</f>
        <v/>
      </c>
      <c r="T336" s="31">
        <f>T334-T335</f>
        <v/>
      </c>
      <c r="U336" s="31">
        <f>U334-U335</f>
        <v/>
      </c>
      <c r="V336" s="31">
        <f>V334-V335</f>
        <v/>
      </c>
      <c r="W336" s="31">
        <f>W334-W335</f>
        <v/>
      </c>
      <c r="X336" s="31">
        <f>X334-X335</f>
        <v/>
      </c>
      <c r="Y336" s="31">
        <f>Y334-Y335</f>
        <v/>
      </c>
      <c r="Z336" s="31">
        <f>Z334-Z335</f>
        <v/>
      </c>
      <c r="AA336" s="31">
        <f>AA334-AA335</f>
        <v/>
      </c>
      <c r="AB336" s="31">
        <f>AB334-AB335</f>
        <v/>
      </c>
      <c r="AC336" s="31">
        <f>AC334-AC335</f>
        <v/>
      </c>
      <c r="AD336" s="31">
        <f>AD334-AD335</f>
        <v/>
      </c>
      <c r="AE336" s="31">
        <f>AE334-AE335</f>
        <v/>
      </c>
      <c r="AF336" s="31">
        <f>AF334-AF335</f>
        <v/>
      </c>
      <c r="AG336" s="31">
        <f>AG334-AG335</f>
        <v/>
      </c>
      <c r="AH336" s="31">
        <f>AH334-AH335</f>
        <v/>
      </c>
      <c r="AI336" s="31">
        <f>AI334-AI335</f>
        <v/>
      </c>
    </row>
    <row r="337">
      <c r="B337" s="2" t="inlineStr">
        <is>
          <t>Maintenance capex</t>
        </is>
      </c>
      <c r="D337" s="19">
        <f>D273+D288+D303+D319+D330</f>
        <v/>
      </c>
      <c r="E337" s="19">
        <f>E273+E288+E303+E319+E330</f>
        <v/>
      </c>
      <c r="F337" s="19">
        <f>F273+F288+F303+F319+F330</f>
        <v/>
      </c>
      <c r="G337" s="19">
        <f>G273+G288+G303+G319+G330</f>
        <v/>
      </c>
      <c r="H337" s="19">
        <f>H273+H288+H303+H319+H330</f>
        <v/>
      </c>
      <c r="I337" s="19">
        <f>I273+I288+I303+I319+I330</f>
        <v/>
      </c>
      <c r="J337" s="19">
        <f>J273+J288+J303+J319+J330</f>
        <v/>
      </c>
      <c r="K337" s="19">
        <f>K273+K288+K303+K319+K330</f>
        <v/>
      </c>
      <c r="L337" s="19">
        <f>L273+L288+L303+L319+L330</f>
        <v/>
      </c>
      <c r="M337" s="19">
        <f>M273+M288+M303+M319+M330</f>
        <v/>
      </c>
      <c r="N337" s="19">
        <f>N273+N288+N303+N319+N330</f>
        <v/>
      </c>
      <c r="O337" s="19">
        <f>O273+O288+O303+O319+O330</f>
        <v/>
      </c>
      <c r="P337" s="19">
        <f>P273+P288+P303+P319+P330</f>
        <v/>
      </c>
      <c r="Q337" s="19">
        <f>Q273+Q288+Q303+Q319+Q330</f>
        <v/>
      </c>
      <c r="R337" s="19">
        <f>R273+R288+R303+R319+R330</f>
        <v/>
      </c>
      <c r="S337" s="19">
        <f>S273+S288+S303+S319+S330</f>
        <v/>
      </c>
      <c r="T337" s="19">
        <f>T273+T288+T303+T319+T330</f>
        <v/>
      </c>
      <c r="U337" s="19">
        <f>U273+U288+U303+U319+U330</f>
        <v/>
      </c>
      <c r="V337" s="19">
        <f>V273+V288+V303+V319+V330</f>
        <v/>
      </c>
      <c r="W337" s="19">
        <f>W273+W288+W303+W319+W330</f>
        <v/>
      </c>
      <c r="X337" s="19">
        <f>X273+X288+X303+X319+X330</f>
        <v/>
      </c>
      <c r="Y337" s="19">
        <f>Y273+Y288+Y303+Y319+Y330</f>
        <v/>
      </c>
      <c r="Z337" s="19">
        <f>Z273+Z288+Z303+Z319+Z330</f>
        <v/>
      </c>
      <c r="AA337" s="19">
        <f>AA273+AA288+AA303+AA319+AA330</f>
        <v/>
      </c>
      <c r="AB337" s="19">
        <f>AB273+AB288+AB303+AB319+AB330</f>
        <v/>
      </c>
      <c r="AC337" s="19">
        <f>AC273+AC288+AC303+AC319+AC330</f>
        <v/>
      </c>
      <c r="AD337" s="19">
        <f>AD273+AD288+AD303+AD319+AD330</f>
        <v/>
      </c>
      <c r="AE337" s="19">
        <f>AE273+AE288+AE303+AE319+AE330</f>
        <v/>
      </c>
      <c r="AF337" s="19">
        <f>AF273+AF288+AF303+AF319+AF330</f>
        <v/>
      </c>
      <c r="AG337" s="19">
        <f>AG273+AG288+AG303+AG319+AG330</f>
        <v/>
      </c>
      <c r="AH337" s="19">
        <f>AH273+AH288+AH303+AH319+AH330</f>
        <v/>
      </c>
      <c r="AI337" s="19">
        <f>AI273+AI288+AI303+AI319+AI330</f>
        <v/>
      </c>
    </row>
    <row r="338">
      <c r="B338" s="2" t="inlineStr">
        <is>
          <t>Growth capex</t>
        </is>
      </c>
      <c r="D338" s="19">
        <f>D321</f>
        <v/>
      </c>
      <c r="E338" s="19">
        <f>E321</f>
        <v/>
      </c>
      <c r="F338" s="19">
        <f>F321</f>
        <v/>
      </c>
      <c r="G338" s="19">
        <f>G321</f>
        <v/>
      </c>
      <c r="H338" s="19">
        <f>H321</f>
        <v/>
      </c>
      <c r="I338" s="19">
        <f>I321</f>
        <v/>
      </c>
      <c r="J338" s="19">
        <f>J321</f>
        <v/>
      </c>
      <c r="K338" s="19">
        <f>K321</f>
        <v/>
      </c>
      <c r="L338" s="19">
        <f>L321</f>
        <v/>
      </c>
      <c r="M338" s="19">
        <f>M321</f>
        <v/>
      </c>
      <c r="N338" s="19">
        <f>N321</f>
        <v/>
      </c>
      <c r="O338" s="19">
        <f>O321</f>
        <v/>
      </c>
      <c r="P338" s="19">
        <f>P321</f>
        <v/>
      </c>
      <c r="Q338" s="19">
        <f>Q321</f>
        <v/>
      </c>
      <c r="R338" s="19">
        <f>R321</f>
        <v/>
      </c>
      <c r="S338" s="19">
        <f>S321</f>
        <v/>
      </c>
      <c r="T338" s="19">
        <f>T321</f>
        <v/>
      </c>
      <c r="U338" s="19">
        <f>U321</f>
        <v/>
      </c>
      <c r="V338" s="19">
        <f>V321</f>
        <v/>
      </c>
      <c r="W338" s="19">
        <f>W321</f>
        <v/>
      </c>
      <c r="X338" s="19">
        <f>X321</f>
        <v/>
      </c>
      <c r="Y338" s="19">
        <f>Y321</f>
        <v/>
      </c>
      <c r="Z338" s="19">
        <f>Z321</f>
        <v/>
      </c>
      <c r="AA338" s="19">
        <f>AA321</f>
        <v/>
      </c>
      <c r="AB338" s="19">
        <f>AB321</f>
        <v/>
      </c>
      <c r="AC338" s="19">
        <f>AC321</f>
        <v/>
      </c>
      <c r="AD338" s="19">
        <f>AD321</f>
        <v/>
      </c>
      <c r="AE338" s="19">
        <f>AE321</f>
        <v/>
      </c>
      <c r="AF338" s="19">
        <f>AF321</f>
        <v/>
      </c>
      <c r="AG338" s="19">
        <f>AG321</f>
        <v/>
      </c>
      <c r="AH338" s="19">
        <f>AH321</f>
        <v/>
      </c>
      <c r="AI338" s="19">
        <f>AI321</f>
        <v/>
      </c>
    </row>
    <row r="339">
      <c r="B339" s="2" t="inlineStr">
        <is>
          <t>Tax depreciation</t>
        </is>
      </c>
      <c r="D339" s="19">
        <f>D337+IF(D$3&lt;=i_tax_dep_end,i_tax_dep_extra,0)</f>
        <v/>
      </c>
      <c r="E339" s="19">
        <f>E337+IF(E$3&lt;=i_tax_dep_end,i_tax_dep_extra,0)</f>
        <v/>
      </c>
      <c r="F339" s="19">
        <f>F337+IF(F$3&lt;=i_tax_dep_end,i_tax_dep_extra,0)</f>
        <v/>
      </c>
      <c r="G339" s="19">
        <f>G337+IF(G$3&lt;=i_tax_dep_end,i_tax_dep_extra,0)</f>
        <v/>
      </c>
      <c r="H339" s="19">
        <f>H337+IF(H$3&lt;=i_tax_dep_end,i_tax_dep_extra,0)</f>
        <v/>
      </c>
      <c r="I339" s="19">
        <f>I337+IF(I$3&lt;=i_tax_dep_end,i_tax_dep_extra,0)</f>
        <v/>
      </c>
      <c r="J339" s="19">
        <f>J337+IF(J$3&lt;=i_tax_dep_end,i_tax_dep_extra,0)</f>
        <v/>
      </c>
      <c r="K339" s="19">
        <f>K337+IF(K$3&lt;=i_tax_dep_end,i_tax_dep_extra,0)</f>
        <v/>
      </c>
      <c r="L339" s="19">
        <f>L337+IF(L$3&lt;=i_tax_dep_end,i_tax_dep_extra,0)</f>
        <v/>
      </c>
      <c r="M339" s="19">
        <f>M337+IF(M$3&lt;=i_tax_dep_end,i_tax_dep_extra,0)</f>
        <v/>
      </c>
      <c r="N339" s="19">
        <f>N337+IF(N$3&lt;=i_tax_dep_end,i_tax_dep_extra,0)</f>
        <v/>
      </c>
      <c r="O339" s="19">
        <f>O337+IF(O$3&lt;=i_tax_dep_end,i_tax_dep_extra,0)</f>
        <v/>
      </c>
      <c r="P339" s="19">
        <f>P337+IF(P$3&lt;=i_tax_dep_end,i_tax_dep_extra,0)</f>
        <v/>
      </c>
      <c r="Q339" s="19">
        <f>Q337+IF(Q$3&lt;=i_tax_dep_end,i_tax_dep_extra,0)</f>
        <v/>
      </c>
      <c r="R339" s="19">
        <f>R337+IF(R$3&lt;=i_tax_dep_end,i_tax_dep_extra,0)</f>
        <v/>
      </c>
      <c r="S339" s="19">
        <f>S337+IF(S$3&lt;=i_tax_dep_end,i_tax_dep_extra,0)</f>
        <v/>
      </c>
      <c r="T339" s="19">
        <f>T337+IF(T$3&lt;=i_tax_dep_end,i_tax_dep_extra,0)</f>
        <v/>
      </c>
      <c r="U339" s="19">
        <f>U337+IF(U$3&lt;=i_tax_dep_end,i_tax_dep_extra,0)</f>
        <v/>
      </c>
      <c r="V339" s="19">
        <f>V337+IF(V$3&lt;=i_tax_dep_end,i_tax_dep_extra,0)</f>
        <v/>
      </c>
      <c r="W339" s="19">
        <f>W337+IF(W$3&lt;=i_tax_dep_end,i_tax_dep_extra,0)</f>
        <v/>
      </c>
      <c r="X339" s="19">
        <f>X337+IF(X$3&lt;=i_tax_dep_end,i_tax_dep_extra,0)</f>
        <v/>
      </c>
      <c r="Y339" s="19">
        <f>Y337+IF(Y$3&lt;=i_tax_dep_end,i_tax_dep_extra,0)</f>
        <v/>
      </c>
      <c r="Z339" s="19">
        <f>Z337+IF(Z$3&lt;=i_tax_dep_end,i_tax_dep_extra,0)</f>
        <v/>
      </c>
      <c r="AA339" s="19">
        <f>AA337+IF(AA$3&lt;=i_tax_dep_end,i_tax_dep_extra,0)</f>
        <v/>
      </c>
      <c r="AB339" s="19">
        <f>AB337+IF(AB$3&lt;=i_tax_dep_end,i_tax_dep_extra,0)</f>
        <v/>
      </c>
      <c r="AC339" s="19">
        <f>AC337+IF(AC$3&lt;=i_tax_dep_end,i_tax_dep_extra,0)</f>
        <v/>
      </c>
      <c r="AD339" s="19">
        <f>AD337+IF(AD$3&lt;=i_tax_dep_end,i_tax_dep_extra,0)</f>
        <v/>
      </c>
      <c r="AE339" s="19">
        <f>AE337+IF(AE$3&lt;=i_tax_dep_end,i_tax_dep_extra,0)</f>
        <v/>
      </c>
      <c r="AF339" s="19">
        <f>AF337+IF(AF$3&lt;=i_tax_dep_end,i_tax_dep_extra,0)</f>
        <v/>
      </c>
      <c r="AG339" s="19">
        <f>AG337+IF(AG$3&lt;=i_tax_dep_end,i_tax_dep_extra,0)</f>
        <v/>
      </c>
      <c r="AH339" s="19">
        <f>AH337+IF(AH$3&lt;=i_tax_dep_end,i_tax_dep_extra,0)</f>
        <v/>
      </c>
      <c r="AI339" s="19">
        <f>AI337+IF(AI$3&lt;=i_tax_dep_end,i_tax_dep_extra,0)</f>
        <v/>
      </c>
    </row>
    <row r="340">
      <c r="B340" s="2" t="inlineStr">
        <is>
          <t>Unlevered cash tax</t>
        </is>
      </c>
      <c r="D340" s="19">
        <f>i_tax*MAX(0,D336-D339)</f>
        <v/>
      </c>
      <c r="E340" s="19">
        <f>i_tax*MAX(0,E336-E339)</f>
        <v/>
      </c>
      <c r="F340" s="19">
        <f>i_tax*MAX(0,F336-F339)</f>
        <v/>
      </c>
      <c r="G340" s="19">
        <f>i_tax*MAX(0,G336-G339)</f>
        <v/>
      </c>
      <c r="H340" s="19">
        <f>i_tax*MAX(0,H336-H339)</f>
        <v/>
      </c>
      <c r="I340" s="19">
        <f>i_tax*MAX(0,I336-I339)</f>
        <v/>
      </c>
      <c r="J340" s="19">
        <f>i_tax*MAX(0,J336-J339)</f>
        <v/>
      </c>
      <c r="K340" s="19">
        <f>i_tax*MAX(0,K336-K339)</f>
        <v/>
      </c>
      <c r="L340" s="19">
        <f>i_tax*MAX(0,L336-L339)</f>
        <v/>
      </c>
      <c r="M340" s="19">
        <f>i_tax*MAX(0,M336-M339)</f>
        <v/>
      </c>
      <c r="N340" s="19">
        <f>i_tax*MAX(0,N336-N339)</f>
        <v/>
      </c>
      <c r="O340" s="19">
        <f>i_tax*MAX(0,O336-O339)</f>
        <v/>
      </c>
      <c r="P340" s="19">
        <f>i_tax*MAX(0,P336-P339)</f>
        <v/>
      </c>
      <c r="Q340" s="19">
        <f>i_tax*MAX(0,Q336-Q339)</f>
        <v/>
      </c>
      <c r="R340" s="19">
        <f>i_tax*MAX(0,R336-R339)</f>
        <v/>
      </c>
      <c r="S340" s="19">
        <f>i_tax*MAX(0,S336-S339)</f>
        <v/>
      </c>
      <c r="T340" s="19">
        <f>i_tax*MAX(0,T336-T339)</f>
        <v/>
      </c>
      <c r="U340" s="19">
        <f>i_tax*MAX(0,U336-U339)</f>
        <v/>
      </c>
      <c r="V340" s="19">
        <f>i_tax*MAX(0,V336-V339)</f>
        <v/>
      </c>
      <c r="W340" s="19">
        <f>i_tax*MAX(0,W336-W339)</f>
        <v/>
      </c>
      <c r="X340" s="19">
        <f>i_tax*MAX(0,X336-X339)</f>
        <v/>
      </c>
      <c r="Y340" s="19">
        <f>i_tax*MAX(0,Y336-Y339)</f>
        <v/>
      </c>
      <c r="Z340" s="19">
        <f>i_tax*MAX(0,Z336-Z339)</f>
        <v/>
      </c>
      <c r="AA340" s="19">
        <f>i_tax*MAX(0,AA336-AA339)</f>
        <v/>
      </c>
      <c r="AB340" s="19">
        <f>i_tax*MAX(0,AB336-AB339)</f>
        <v/>
      </c>
      <c r="AC340" s="19">
        <f>i_tax*MAX(0,AC336-AC339)</f>
        <v/>
      </c>
      <c r="AD340" s="19">
        <f>i_tax*MAX(0,AD336-AD339)</f>
        <v/>
      </c>
      <c r="AE340" s="19">
        <f>i_tax*MAX(0,AE336-AE339)</f>
        <v/>
      </c>
      <c r="AF340" s="19">
        <f>i_tax*MAX(0,AF336-AF339)</f>
        <v/>
      </c>
      <c r="AG340" s="19">
        <f>i_tax*MAX(0,AG336-AG339)</f>
        <v/>
      </c>
      <c r="AH340" s="19">
        <f>i_tax*MAX(0,AH336-AH339)</f>
        <v/>
      </c>
      <c r="AI340" s="19">
        <f>i_tax*MAX(0,AI336-AI339)</f>
        <v/>
      </c>
    </row>
    <row r="341">
      <c r="B341" s="2" t="inlineStr">
        <is>
          <t>Westerhaven handback works</t>
        </is>
      </c>
      <c r="D341" s="19">
        <f>IF(AND(Sensitivities!$C$251=0,D$3=i_conc_end),i_handback*D254,0)</f>
        <v/>
      </c>
      <c r="E341" s="19">
        <f>IF(AND(Sensitivities!$C$251=0,E$3=i_conc_end),i_handback*E254,0)</f>
        <v/>
      </c>
      <c r="F341" s="19">
        <f>IF(AND(Sensitivities!$C$251=0,F$3=i_conc_end),i_handback*F254,0)</f>
        <v/>
      </c>
      <c r="G341" s="19">
        <f>IF(AND(Sensitivities!$C$251=0,G$3=i_conc_end),i_handback*G254,0)</f>
        <v/>
      </c>
      <c r="H341" s="19">
        <f>IF(AND(Sensitivities!$C$251=0,H$3=i_conc_end),i_handback*H254,0)</f>
        <v/>
      </c>
      <c r="I341" s="19">
        <f>IF(AND(Sensitivities!$C$251=0,I$3=i_conc_end),i_handback*I254,0)</f>
        <v/>
      </c>
      <c r="J341" s="19">
        <f>IF(AND(Sensitivities!$C$251=0,J$3=i_conc_end),i_handback*J254,0)</f>
        <v/>
      </c>
      <c r="K341" s="19">
        <f>IF(AND(Sensitivities!$C$251=0,K$3=i_conc_end),i_handback*K254,0)</f>
        <v/>
      </c>
      <c r="L341" s="19">
        <f>IF(AND(Sensitivities!$C$251=0,L$3=i_conc_end),i_handback*L254,0)</f>
        <v/>
      </c>
      <c r="M341" s="19">
        <f>IF(AND(Sensitivities!$C$251=0,M$3=i_conc_end),i_handback*M254,0)</f>
        <v/>
      </c>
      <c r="N341" s="19">
        <f>IF(AND(Sensitivities!$C$251=0,N$3=i_conc_end),i_handback*N254,0)</f>
        <v/>
      </c>
      <c r="O341" s="19">
        <f>IF(AND(Sensitivities!$C$251=0,O$3=i_conc_end),i_handback*O254,0)</f>
        <v/>
      </c>
      <c r="P341" s="19">
        <f>IF(AND(Sensitivities!$C$251=0,P$3=i_conc_end),i_handback*P254,0)</f>
        <v/>
      </c>
      <c r="Q341" s="19">
        <f>IF(AND(Sensitivities!$C$251=0,Q$3=i_conc_end),i_handback*Q254,0)</f>
        <v/>
      </c>
      <c r="R341" s="19">
        <f>IF(AND(Sensitivities!$C$251=0,R$3=i_conc_end),i_handback*R254,0)</f>
        <v/>
      </c>
      <c r="S341" s="19">
        <f>IF(AND(Sensitivities!$C$251=0,S$3=i_conc_end),i_handback*S254,0)</f>
        <v/>
      </c>
      <c r="T341" s="19">
        <f>IF(AND(Sensitivities!$C$251=0,T$3=i_conc_end),i_handback*T254,0)</f>
        <v/>
      </c>
      <c r="U341" s="19">
        <f>IF(AND(Sensitivities!$C$251=0,U$3=i_conc_end),i_handback*U254,0)</f>
        <v/>
      </c>
      <c r="V341" s="19">
        <f>IF(AND(Sensitivities!$C$251=0,V$3=i_conc_end),i_handback*V254,0)</f>
        <v/>
      </c>
      <c r="W341" s="19">
        <f>IF(AND(Sensitivities!$C$251=0,W$3=i_conc_end),i_handback*W254,0)</f>
        <v/>
      </c>
      <c r="X341" s="19">
        <f>IF(AND(Sensitivities!$C$251=0,X$3=i_conc_end),i_handback*X254,0)</f>
        <v/>
      </c>
      <c r="Y341" s="19">
        <f>IF(AND(Sensitivities!$C$251=0,Y$3=i_conc_end),i_handback*Y254,0)</f>
        <v/>
      </c>
      <c r="Z341" s="19">
        <f>IF(AND(Sensitivities!$C$251=0,Z$3=i_conc_end),i_handback*Z254,0)</f>
        <v/>
      </c>
      <c r="AA341" s="19">
        <f>IF(AND(Sensitivities!$C$251=0,AA$3=i_conc_end),i_handback*AA254,0)</f>
        <v/>
      </c>
      <c r="AB341" s="19">
        <f>IF(AND(Sensitivities!$C$251=0,AB$3=i_conc_end),i_handback*AB254,0)</f>
        <v/>
      </c>
      <c r="AC341" s="19">
        <f>IF(AND(Sensitivities!$C$251=0,AC$3=i_conc_end),i_handback*AC254,0)</f>
        <v/>
      </c>
      <c r="AD341" s="19">
        <f>IF(AND(Sensitivities!$C$251=0,AD$3=i_conc_end),i_handback*AD254,0)</f>
        <v/>
      </c>
      <c r="AE341" s="19">
        <f>IF(AND(Sensitivities!$C$251=0,AE$3=i_conc_end),i_handback*AE254,0)</f>
        <v/>
      </c>
      <c r="AF341" s="19">
        <f>IF(AND(Sensitivities!$C$251=0,AF$3=i_conc_end),i_handback*AF254,0)</f>
        <v/>
      </c>
      <c r="AG341" s="19">
        <f>IF(AND(Sensitivities!$C$251=0,AG$3=i_conc_end),i_handback*AG254,0)</f>
        <v/>
      </c>
      <c r="AH341" s="19">
        <f>IF(AND(Sensitivities!$C$251=0,AH$3=i_conc_end),i_handback*AH254,0)</f>
        <v/>
      </c>
      <c r="AI341" s="19">
        <f>IF(AND(Sensitivities!$C$251=0,AI$3=i_conc_end),i_handback*AI254,0)</f>
        <v/>
      </c>
    </row>
    <row r="342">
      <c r="B342" s="3" t="inlineStr">
        <is>
          <t>Free cash flow (unlevered)</t>
        </is>
      </c>
      <c r="D342" s="31">
        <f>D336-D337-D338-D340-D341</f>
        <v/>
      </c>
      <c r="E342" s="31">
        <f>E336-E337-E338-E340-E341</f>
        <v/>
      </c>
      <c r="F342" s="31">
        <f>F336-F337-F338-F340-F341</f>
        <v/>
      </c>
      <c r="G342" s="31">
        <f>G336-G337-G338-G340-G341</f>
        <v/>
      </c>
      <c r="H342" s="31">
        <f>H336-H337-H338-H340-H341</f>
        <v/>
      </c>
      <c r="I342" s="31">
        <f>I336-I337-I338-I340-I341</f>
        <v/>
      </c>
      <c r="J342" s="31">
        <f>J336-J337-J338-J340-J341</f>
        <v/>
      </c>
      <c r="K342" s="31">
        <f>K336-K337-K338-K340-K341</f>
        <v/>
      </c>
      <c r="L342" s="31">
        <f>L336-L337-L338-L340-L341</f>
        <v/>
      </c>
      <c r="M342" s="31">
        <f>M336-M337-M338-M340-M341</f>
        <v/>
      </c>
      <c r="N342" s="31">
        <f>N336-N337-N338-N340-N341</f>
        <v/>
      </c>
      <c r="O342" s="31">
        <f>O336-O337-O338-O340-O341</f>
        <v/>
      </c>
      <c r="P342" s="31">
        <f>P336-P337-P338-P340-P341</f>
        <v/>
      </c>
      <c r="Q342" s="31">
        <f>Q336-Q337-Q338-Q340-Q341</f>
        <v/>
      </c>
      <c r="R342" s="31">
        <f>R336-R337-R338-R340-R341</f>
        <v/>
      </c>
      <c r="S342" s="31">
        <f>S336-S337-S338-S340-S341</f>
        <v/>
      </c>
      <c r="T342" s="31">
        <f>T336-T337-T338-T340-T341</f>
        <v/>
      </c>
      <c r="U342" s="31">
        <f>U336-U337-U338-U340-U341</f>
        <v/>
      </c>
      <c r="V342" s="31">
        <f>V336-V337-V338-V340-V341</f>
        <v/>
      </c>
      <c r="W342" s="31">
        <f>W336-W337-W338-W340-W341</f>
        <v/>
      </c>
      <c r="X342" s="31">
        <f>X336-X337-X338-X340-X341</f>
        <v/>
      </c>
      <c r="Y342" s="31">
        <f>Y336-Y337-Y338-Y340-Y341</f>
        <v/>
      </c>
      <c r="Z342" s="31">
        <f>Z336-Z337-Z338-Z340-Z341</f>
        <v/>
      </c>
      <c r="AA342" s="31">
        <f>AA336-AA337-AA338-AA340-AA341</f>
        <v/>
      </c>
      <c r="AB342" s="31">
        <f>AB336-AB337-AB338-AB340-AB341</f>
        <v/>
      </c>
      <c r="AC342" s="31">
        <f>AC336-AC337-AC338-AC340-AC341</f>
        <v/>
      </c>
      <c r="AD342" s="31">
        <f>AD336-AD337-AD338-AD340-AD341</f>
        <v/>
      </c>
      <c r="AE342" s="31">
        <f>AE336-AE337-AE338-AE340-AE341</f>
        <v/>
      </c>
      <c r="AF342" s="31">
        <f>AF336-AF337-AF338-AF340-AF341</f>
        <v/>
      </c>
      <c r="AG342" s="31">
        <f>AG336-AG337-AG338-AG340-AG341</f>
        <v/>
      </c>
      <c r="AH342" s="31">
        <f>AH336-AH337-AH338-AH340-AH341</f>
        <v/>
      </c>
      <c r="AI342" s="31">
        <f>AI336-AI337-AI338-AI340-AI341</f>
        <v/>
      </c>
    </row>
    <row r="343">
      <c r="B343" s="2" t="inlineStr">
        <is>
          <t>Present value at the discount rate (2027 to 2056)</t>
        </is>
      </c>
      <c r="D343" s="19">
        <f>IF(AND(D$3&gt;i_base_year,D$3&lt;=i_last),D342/(1+i_r)^D$4,0)</f>
        <v/>
      </c>
      <c r="E343" s="19">
        <f>IF(AND(E$3&gt;i_base_year,E$3&lt;=i_last),E342/(1+i_r)^E$4,0)</f>
        <v/>
      </c>
      <c r="F343" s="19">
        <f>IF(AND(F$3&gt;i_base_year,F$3&lt;=i_last),F342/(1+i_r)^F$4,0)</f>
        <v/>
      </c>
      <c r="G343" s="19">
        <f>IF(AND(G$3&gt;i_base_year,G$3&lt;=i_last),G342/(1+i_r)^G$4,0)</f>
        <v/>
      </c>
      <c r="H343" s="19">
        <f>IF(AND(H$3&gt;i_base_year,H$3&lt;=i_last),H342/(1+i_r)^H$4,0)</f>
        <v/>
      </c>
      <c r="I343" s="19">
        <f>IF(AND(I$3&gt;i_base_year,I$3&lt;=i_last),I342/(1+i_r)^I$4,0)</f>
        <v/>
      </c>
      <c r="J343" s="19">
        <f>IF(AND(J$3&gt;i_base_year,J$3&lt;=i_last),J342/(1+i_r)^J$4,0)</f>
        <v/>
      </c>
      <c r="K343" s="19">
        <f>IF(AND(K$3&gt;i_base_year,K$3&lt;=i_last),K342/(1+i_r)^K$4,0)</f>
        <v/>
      </c>
      <c r="L343" s="19">
        <f>IF(AND(L$3&gt;i_base_year,L$3&lt;=i_last),L342/(1+i_r)^L$4,0)</f>
        <v/>
      </c>
      <c r="M343" s="19">
        <f>IF(AND(M$3&gt;i_base_year,M$3&lt;=i_last),M342/(1+i_r)^M$4,0)</f>
        <v/>
      </c>
      <c r="N343" s="19">
        <f>IF(AND(N$3&gt;i_base_year,N$3&lt;=i_last),N342/(1+i_r)^N$4,0)</f>
        <v/>
      </c>
      <c r="O343" s="19">
        <f>IF(AND(O$3&gt;i_base_year,O$3&lt;=i_last),O342/(1+i_r)^O$4,0)</f>
        <v/>
      </c>
      <c r="P343" s="19">
        <f>IF(AND(P$3&gt;i_base_year,P$3&lt;=i_last),P342/(1+i_r)^P$4,0)</f>
        <v/>
      </c>
      <c r="Q343" s="19">
        <f>IF(AND(Q$3&gt;i_base_year,Q$3&lt;=i_last),Q342/(1+i_r)^Q$4,0)</f>
        <v/>
      </c>
      <c r="R343" s="19">
        <f>IF(AND(R$3&gt;i_base_year,R$3&lt;=i_last),R342/(1+i_r)^R$4,0)</f>
        <v/>
      </c>
      <c r="S343" s="19">
        <f>IF(AND(S$3&gt;i_base_year,S$3&lt;=i_last),S342/(1+i_r)^S$4,0)</f>
        <v/>
      </c>
      <c r="T343" s="19">
        <f>IF(AND(T$3&gt;i_base_year,T$3&lt;=i_last),T342/(1+i_r)^T$4,0)</f>
        <v/>
      </c>
      <c r="U343" s="19">
        <f>IF(AND(U$3&gt;i_base_year,U$3&lt;=i_last),U342/(1+i_r)^U$4,0)</f>
        <v/>
      </c>
      <c r="V343" s="19">
        <f>IF(AND(V$3&gt;i_base_year,V$3&lt;=i_last),V342/(1+i_r)^V$4,0)</f>
        <v/>
      </c>
      <c r="W343" s="19">
        <f>IF(AND(W$3&gt;i_base_year,W$3&lt;=i_last),W342/(1+i_r)^W$4,0)</f>
        <v/>
      </c>
      <c r="X343" s="19">
        <f>IF(AND(X$3&gt;i_base_year,X$3&lt;=i_last),X342/(1+i_r)^X$4,0)</f>
        <v/>
      </c>
      <c r="Y343" s="19">
        <f>IF(AND(Y$3&gt;i_base_year,Y$3&lt;=i_last),Y342/(1+i_r)^Y$4,0)</f>
        <v/>
      </c>
      <c r="Z343" s="19">
        <f>IF(AND(Z$3&gt;i_base_year,Z$3&lt;=i_last),Z342/(1+i_r)^Z$4,0)</f>
        <v/>
      </c>
      <c r="AA343" s="19">
        <f>IF(AND(AA$3&gt;i_base_year,AA$3&lt;=i_last),AA342/(1+i_r)^AA$4,0)</f>
        <v/>
      </c>
      <c r="AB343" s="19">
        <f>IF(AND(AB$3&gt;i_base_year,AB$3&lt;=i_last),AB342/(1+i_r)^AB$4,0)</f>
        <v/>
      </c>
      <c r="AC343" s="19">
        <f>IF(AND(AC$3&gt;i_base_year,AC$3&lt;=i_last),AC342/(1+i_r)^AC$4,0)</f>
        <v/>
      </c>
      <c r="AD343" s="19">
        <f>IF(AND(AD$3&gt;i_base_year,AD$3&lt;=i_last),AD342/(1+i_r)^AD$4,0)</f>
        <v/>
      </c>
      <c r="AE343" s="19">
        <f>IF(AND(AE$3&gt;i_base_year,AE$3&lt;=i_last),AE342/(1+i_r)^AE$4,0)</f>
        <v/>
      </c>
      <c r="AF343" s="19">
        <f>IF(AND(AF$3&gt;i_base_year,AF$3&lt;=i_last),AF342/(1+i_r)^AF$4,0)</f>
        <v/>
      </c>
      <c r="AG343" s="19">
        <f>IF(AND(AG$3&gt;i_base_year,AG$3&lt;=i_last),AG342/(1+i_r)^AG$4,0)</f>
        <v/>
      </c>
      <c r="AH343" s="19">
        <f>IF(AND(AH$3&gt;i_base_year,AH$3&lt;=i_last),AH342/(1+i_r)^AH$4,0)</f>
        <v/>
      </c>
      <c r="AI343" s="19">
        <f>IF(AND(AI$3&gt;i_base_year,AI$3&lt;=i_last),AI342/(1+i_r)^AI$4,0)</f>
        <v/>
      </c>
    </row>
    <row r="344">
      <c r="B344" s="2" t="inlineStr">
        <is>
          <t>Present value of 2027 to 2056 free cash flow</t>
        </is>
      </c>
      <c r="C344" s="19">
        <f>SUM(D343:AI343)</f>
        <v/>
      </c>
    </row>
    <row r="345">
      <c r="B345" s="2" t="inlineStr">
        <is>
          <t>Terminal value at the end of 2056 (on 2057 free cash flow)</t>
        </is>
      </c>
      <c r="C345" s="19">
        <f>AI342/(i_r-i_g)</f>
        <v/>
      </c>
    </row>
    <row r="346">
      <c r="B346" s="2" t="inlineStr">
        <is>
          <t>Present value of the terminal value</t>
        </is>
      </c>
      <c r="C346" s="19">
        <f>C345/(1+i_r)^(i_last-i_base_year)</f>
        <v/>
      </c>
    </row>
    <row r="347">
      <c r="B347" s="3" t="inlineStr">
        <is>
          <t>Enterprise value at 31 December 2026</t>
        </is>
      </c>
      <c r="C347" s="31">
        <f>C344+C346</f>
        <v/>
      </c>
    </row>
    <row r="350">
      <c r="B350" s="5" t="inlineStr">
        <is>
          <t>Platform case: Occupancy -2</t>
        </is>
      </c>
    </row>
    <row r="351">
      <c r="B351" s="4" t="inlineStr">
        <is>
          <t>Inflation</t>
        </is>
      </c>
      <c r="C351" s="27">
        <f>Inputs!$P$219</f>
        <v/>
      </c>
    </row>
    <row r="352">
      <c r="B352" s="4" t="inlineStr">
        <is>
          <t>Buyer's recontracting rates (1) or seller's plan rates (0)</t>
        </is>
      </c>
      <c r="C352" s="26">
        <f>Inputs!$P$220</f>
        <v/>
      </c>
    </row>
    <row r="353">
      <c r="B353" s="4" t="inlineStr">
        <is>
          <t>Largest Westerhaven customer leaves (1/0)</t>
        </is>
      </c>
      <c r="C353" s="26">
        <f>Inputs!$P$221</f>
        <v/>
      </c>
    </row>
    <row r="354">
      <c r="B354" s="4" t="inlineStr">
        <is>
          <t>Jetty 3 refurbishment (1/0)</t>
        </is>
      </c>
      <c r="C354" s="26">
        <f>Inputs!$P$222</f>
        <v/>
      </c>
    </row>
    <row r="355">
      <c r="B355" s="4" t="inlineStr">
        <is>
          <t>Sabine Bend extra insurance (1/0)</t>
        </is>
      </c>
      <c r="C355" s="26">
        <f>Inputs!$P$223</f>
        <v/>
      </c>
    </row>
    <row r="356">
      <c r="B356" s="4" t="inlineStr">
        <is>
          <t>Expansion built (1/0)</t>
        </is>
      </c>
      <c r="C356" s="26">
        <f>Inputs!$P$224</f>
        <v/>
      </c>
    </row>
    <row r="357">
      <c r="B357" s="4" t="inlineStr">
        <is>
          <t>Occupancy shift from 2027</t>
        </is>
      </c>
      <c r="C357" s="27">
        <f>Inputs!$P$225</f>
        <v/>
      </c>
    </row>
    <row r="358">
      <c r="B358" s="4" t="inlineStr">
        <is>
          <t>Recontracting shift</t>
        </is>
      </c>
      <c r="C358" s="27">
        <f>Inputs!$P$226</f>
        <v/>
      </c>
    </row>
    <row r="359">
      <c r="B359" s="4" t="inlineStr">
        <is>
          <t>Concession renewed (1/0)</t>
        </is>
      </c>
      <c r="C359" s="26">
        <f>Inputs!$P$227</f>
        <v/>
      </c>
    </row>
    <row r="360">
      <c r="B360" s="4" t="inlineStr">
        <is>
          <t>Westerhaven capacity multiplier</t>
        </is>
      </c>
      <c r="C360" s="28">
        <f>Inputs!$P$228</f>
        <v/>
      </c>
    </row>
    <row r="361">
      <c r="B361" s="4" t="inlineStr">
        <is>
          <t>Extra yearly cost from 2028 ($m, 2026 dollars)</t>
        </is>
      </c>
      <c r="C361" s="29">
        <f>Inputs!$P$229</f>
        <v/>
      </c>
    </row>
    <row r="362">
      <c r="B362" s="2" t="inlineStr">
        <is>
          <t>Cost index (inflation)</t>
        </is>
      </c>
      <c r="D362" s="30">
        <f>(1+Sensitivities!$C$351)^D$4</f>
        <v/>
      </c>
      <c r="E362" s="30">
        <f>(1+Sensitivities!$C$351)^E$4</f>
        <v/>
      </c>
      <c r="F362" s="30">
        <f>(1+Sensitivities!$C$351)^F$4</f>
        <v/>
      </c>
      <c r="G362" s="30">
        <f>(1+Sensitivities!$C$351)^G$4</f>
        <v/>
      </c>
      <c r="H362" s="30">
        <f>(1+Sensitivities!$C$351)^H$4</f>
        <v/>
      </c>
      <c r="I362" s="30">
        <f>(1+Sensitivities!$C$351)^I$4</f>
        <v/>
      </c>
      <c r="J362" s="30">
        <f>(1+Sensitivities!$C$351)^J$4</f>
        <v/>
      </c>
      <c r="K362" s="30">
        <f>(1+Sensitivities!$C$351)^K$4</f>
        <v/>
      </c>
      <c r="L362" s="30">
        <f>(1+Sensitivities!$C$351)^L$4</f>
        <v/>
      </c>
      <c r="M362" s="30">
        <f>(1+Sensitivities!$C$351)^M$4</f>
        <v/>
      </c>
      <c r="N362" s="30">
        <f>(1+Sensitivities!$C$351)^N$4</f>
        <v/>
      </c>
      <c r="O362" s="30">
        <f>(1+Sensitivities!$C$351)^O$4</f>
        <v/>
      </c>
      <c r="P362" s="30">
        <f>(1+Sensitivities!$C$351)^P$4</f>
        <v/>
      </c>
      <c r="Q362" s="30">
        <f>(1+Sensitivities!$C$351)^Q$4</f>
        <v/>
      </c>
      <c r="R362" s="30">
        <f>(1+Sensitivities!$C$351)^R$4</f>
        <v/>
      </c>
      <c r="S362" s="30">
        <f>(1+Sensitivities!$C$351)^S$4</f>
        <v/>
      </c>
      <c r="T362" s="30">
        <f>(1+Sensitivities!$C$351)^T$4</f>
        <v/>
      </c>
      <c r="U362" s="30">
        <f>(1+Sensitivities!$C$351)^U$4</f>
        <v/>
      </c>
      <c r="V362" s="30">
        <f>(1+Sensitivities!$C$351)^V$4</f>
        <v/>
      </c>
      <c r="W362" s="30">
        <f>(1+Sensitivities!$C$351)^W$4</f>
        <v/>
      </c>
      <c r="X362" s="30">
        <f>(1+Sensitivities!$C$351)^X$4</f>
        <v/>
      </c>
      <c r="Y362" s="30">
        <f>(1+Sensitivities!$C$351)^Y$4</f>
        <v/>
      </c>
      <c r="Z362" s="30">
        <f>(1+Sensitivities!$C$351)^Z$4</f>
        <v/>
      </c>
      <c r="AA362" s="30">
        <f>(1+Sensitivities!$C$351)^AA$4</f>
        <v/>
      </c>
      <c r="AB362" s="30">
        <f>(1+Sensitivities!$C$351)^AB$4</f>
        <v/>
      </c>
      <c r="AC362" s="30">
        <f>(1+Sensitivities!$C$351)^AC$4</f>
        <v/>
      </c>
      <c r="AD362" s="30">
        <f>(1+Sensitivities!$C$351)^AD$4</f>
        <v/>
      </c>
      <c r="AE362" s="30">
        <f>(1+Sensitivities!$C$351)^AE$4</f>
        <v/>
      </c>
      <c r="AF362" s="30">
        <f>(1+Sensitivities!$C$351)^AF$4</f>
        <v/>
      </c>
      <c r="AG362" s="30">
        <f>(1+Sensitivities!$C$351)^AG$4</f>
        <v/>
      </c>
      <c r="AH362" s="30">
        <f>(1+Sensitivities!$C$351)^AH$4</f>
        <v/>
      </c>
      <c r="AI362" s="30">
        <f>(1+Sensitivities!$C$351)^AI$4</f>
        <v/>
      </c>
    </row>
    <row r="363">
      <c r="B363" s="2" t="inlineStr">
        <is>
          <t>Rate index (inflation x pass-through)</t>
        </is>
      </c>
      <c r="D363" s="30">
        <f>(1+Sensitivities!$C$351*i_index_share)^D$4</f>
        <v/>
      </c>
      <c r="E363" s="30">
        <f>(1+Sensitivities!$C$351*i_index_share)^E$4</f>
        <v/>
      </c>
      <c r="F363" s="30">
        <f>(1+Sensitivities!$C$351*i_index_share)^F$4</f>
        <v/>
      </c>
      <c r="G363" s="30">
        <f>(1+Sensitivities!$C$351*i_index_share)^G$4</f>
        <v/>
      </c>
      <c r="H363" s="30">
        <f>(1+Sensitivities!$C$351*i_index_share)^H$4</f>
        <v/>
      </c>
      <c r="I363" s="30">
        <f>(1+Sensitivities!$C$351*i_index_share)^I$4</f>
        <v/>
      </c>
      <c r="J363" s="30">
        <f>(1+Sensitivities!$C$351*i_index_share)^J$4</f>
        <v/>
      </c>
      <c r="K363" s="30">
        <f>(1+Sensitivities!$C$351*i_index_share)^K$4</f>
        <v/>
      </c>
      <c r="L363" s="30">
        <f>(1+Sensitivities!$C$351*i_index_share)^L$4</f>
        <v/>
      </c>
      <c r="M363" s="30">
        <f>(1+Sensitivities!$C$351*i_index_share)^M$4</f>
        <v/>
      </c>
      <c r="N363" s="30">
        <f>(1+Sensitivities!$C$351*i_index_share)^N$4</f>
        <v/>
      </c>
      <c r="O363" s="30">
        <f>(1+Sensitivities!$C$351*i_index_share)^O$4</f>
        <v/>
      </c>
      <c r="P363" s="30">
        <f>(1+Sensitivities!$C$351*i_index_share)^P$4</f>
        <v/>
      </c>
      <c r="Q363" s="30">
        <f>(1+Sensitivities!$C$351*i_index_share)^Q$4</f>
        <v/>
      </c>
      <c r="R363" s="30">
        <f>(1+Sensitivities!$C$351*i_index_share)^R$4</f>
        <v/>
      </c>
      <c r="S363" s="30">
        <f>(1+Sensitivities!$C$351*i_index_share)^S$4</f>
        <v/>
      </c>
      <c r="T363" s="30">
        <f>(1+Sensitivities!$C$351*i_index_share)^T$4</f>
        <v/>
      </c>
      <c r="U363" s="30">
        <f>(1+Sensitivities!$C$351*i_index_share)^U$4</f>
        <v/>
      </c>
      <c r="V363" s="30">
        <f>(1+Sensitivities!$C$351*i_index_share)^V$4</f>
        <v/>
      </c>
      <c r="W363" s="30">
        <f>(1+Sensitivities!$C$351*i_index_share)^W$4</f>
        <v/>
      </c>
      <c r="X363" s="30">
        <f>(1+Sensitivities!$C$351*i_index_share)^X$4</f>
        <v/>
      </c>
      <c r="Y363" s="30">
        <f>(1+Sensitivities!$C$351*i_index_share)^Y$4</f>
        <v/>
      </c>
      <c r="Z363" s="30">
        <f>(1+Sensitivities!$C$351*i_index_share)^Z$4</f>
        <v/>
      </c>
      <c r="AA363" s="30">
        <f>(1+Sensitivities!$C$351*i_index_share)^AA$4</f>
        <v/>
      </c>
      <c r="AB363" s="30">
        <f>(1+Sensitivities!$C$351*i_index_share)^AB$4</f>
        <v/>
      </c>
      <c r="AC363" s="30">
        <f>(1+Sensitivities!$C$351*i_index_share)^AC$4</f>
        <v/>
      </c>
      <c r="AD363" s="30">
        <f>(1+Sensitivities!$C$351*i_index_share)^AD$4</f>
        <v/>
      </c>
      <c r="AE363" s="30">
        <f>(1+Sensitivities!$C$351*i_index_share)^AE$4</f>
        <v/>
      </c>
      <c r="AF363" s="30">
        <f>(1+Sensitivities!$C$351*i_index_share)^AF$4</f>
        <v/>
      </c>
      <c r="AG363" s="30">
        <f>(1+Sensitivities!$C$351*i_index_share)^AG$4</f>
        <v/>
      </c>
      <c r="AH363" s="30">
        <f>(1+Sensitivities!$C$351*i_index_share)^AH$4</f>
        <v/>
      </c>
      <c r="AI363" s="30">
        <f>(1+Sensitivities!$C$351*i_index_share)^AI$4</f>
        <v/>
      </c>
    </row>
    <row r="364">
      <c r="B364" s="3" t="inlineStr">
        <is>
          <t>Westerhaven</t>
        </is>
      </c>
    </row>
    <row r="365">
      <c r="B365" s="2" t="inlineStr">
        <is>
          <t xml:space="preserve">  Concession in force (1/0)</t>
        </is>
      </c>
      <c r="D365" s="22">
        <f>IF(Sensitivities!$C$359=1,1,IF(D$3&lt;=i_conc_end,1,0))</f>
        <v/>
      </c>
      <c r="E365" s="22">
        <f>IF(Sensitivities!$C$359=1,1,IF(E$3&lt;=i_conc_end,1,0))</f>
        <v/>
      </c>
      <c r="F365" s="22">
        <f>IF(Sensitivities!$C$359=1,1,IF(F$3&lt;=i_conc_end,1,0))</f>
        <v/>
      </c>
      <c r="G365" s="22">
        <f>IF(Sensitivities!$C$359=1,1,IF(G$3&lt;=i_conc_end,1,0))</f>
        <v/>
      </c>
      <c r="H365" s="22">
        <f>IF(Sensitivities!$C$359=1,1,IF(H$3&lt;=i_conc_end,1,0))</f>
        <v/>
      </c>
      <c r="I365" s="22">
        <f>IF(Sensitivities!$C$359=1,1,IF(I$3&lt;=i_conc_end,1,0))</f>
        <v/>
      </c>
      <c r="J365" s="22">
        <f>IF(Sensitivities!$C$359=1,1,IF(J$3&lt;=i_conc_end,1,0))</f>
        <v/>
      </c>
      <c r="K365" s="22">
        <f>IF(Sensitivities!$C$359=1,1,IF(K$3&lt;=i_conc_end,1,0))</f>
        <v/>
      </c>
      <c r="L365" s="22">
        <f>IF(Sensitivities!$C$359=1,1,IF(L$3&lt;=i_conc_end,1,0))</f>
        <v/>
      </c>
      <c r="M365" s="22">
        <f>IF(Sensitivities!$C$359=1,1,IF(M$3&lt;=i_conc_end,1,0))</f>
        <v/>
      </c>
      <c r="N365" s="22">
        <f>IF(Sensitivities!$C$359=1,1,IF(N$3&lt;=i_conc_end,1,0))</f>
        <v/>
      </c>
      <c r="O365" s="22">
        <f>IF(Sensitivities!$C$359=1,1,IF(O$3&lt;=i_conc_end,1,0))</f>
        <v/>
      </c>
      <c r="P365" s="22">
        <f>IF(Sensitivities!$C$359=1,1,IF(P$3&lt;=i_conc_end,1,0))</f>
        <v/>
      </c>
      <c r="Q365" s="22">
        <f>IF(Sensitivities!$C$359=1,1,IF(Q$3&lt;=i_conc_end,1,0))</f>
        <v/>
      </c>
      <c r="R365" s="22">
        <f>IF(Sensitivities!$C$359=1,1,IF(R$3&lt;=i_conc_end,1,0))</f>
        <v/>
      </c>
      <c r="S365" s="22">
        <f>IF(Sensitivities!$C$359=1,1,IF(S$3&lt;=i_conc_end,1,0))</f>
        <v/>
      </c>
      <c r="T365" s="22">
        <f>IF(Sensitivities!$C$359=1,1,IF(T$3&lt;=i_conc_end,1,0))</f>
        <v/>
      </c>
      <c r="U365" s="22">
        <f>IF(Sensitivities!$C$359=1,1,IF(U$3&lt;=i_conc_end,1,0))</f>
        <v/>
      </c>
      <c r="V365" s="22">
        <f>IF(Sensitivities!$C$359=1,1,IF(V$3&lt;=i_conc_end,1,0))</f>
        <v/>
      </c>
      <c r="W365" s="22">
        <f>IF(Sensitivities!$C$359=1,1,IF(W$3&lt;=i_conc_end,1,0))</f>
        <v/>
      </c>
      <c r="X365" s="22">
        <f>IF(Sensitivities!$C$359=1,1,IF(X$3&lt;=i_conc_end,1,0))</f>
        <v/>
      </c>
      <c r="Y365" s="22">
        <f>IF(Sensitivities!$C$359=1,1,IF(Y$3&lt;=i_conc_end,1,0))</f>
        <v/>
      </c>
      <c r="Z365" s="22">
        <f>IF(Sensitivities!$C$359=1,1,IF(Z$3&lt;=i_conc_end,1,0))</f>
        <v/>
      </c>
      <c r="AA365" s="22">
        <f>IF(Sensitivities!$C$359=1,1,IF(AA$3&lt;=i_conc_end,1,0))</f>
        <v/>
      </c>
      <c r="AB365" s="22">
        <f>IF(Sensitivities!$C$359=1,1,IF(AB$3&lt;=i_conc_end,1,0))</f>
        <v/>
      </c>
      <c r="AC365" s="22">
        <f>IF(Sensitivities!$C$359=1,1,IF(AC$3&lt;=i_conc_end,1,0))</f>
        <v/>
      </c>
      <c r="AD365" s="22">
        <f>IF(Sensitivities!$C$359=1,1,IF(AD$3&lt;=i_conc_end,1,0))</f>
        <v/>
      </c>
      <c r="AE365" s="22">
        <f>IF(Sensitivities!$C$359=1,1,IF(AE$3&lt;=i_conc_end,1,0))</f>
        <v/>
      </c>
      <c r="AF365" s="22">
        <f>IF(Sensitivities!$C$359=1,1,IF(AF$3&lt;=i_conc_end,1,0))</f>
        <v/>
      </c>
      <c r="AG365" s="22">
        <f>IF(Sensitivities!$C$359=1,1,IF(AG$3&lt;=i_conc_end,1,0))</f>
        <v/>
      </c>
      <c r="AH365" s="22">
        <f>IF(Sensitivities!$C$359=1,1,IF(AH$3&lt;=i_conc_end,1,0))</f>
        <v/>
      </c>
      <c r="AI365" s="22">
        <f>IF(Sensitivities!$C$359=1,1,IF(AI$3&lt;=i_conc_end,1,0))</f>
        <v/>
      </c>
    </row>
    <row r="366">
      <c r="B366" s="2" t="inlineStr">
        <is>
          <t xml:space="preserve">  Capacity in service (million m3)</t>
        </is>
      </c>
      <c r="D366" s="24">
        <f>i_W_cap*Sensitivities!$C$360*D365</f>
        <v/>
      </c>
      <c r="E366" s="24">
        <f>i_W_cap*Sensitivities!$C$360*E365</f>
        <v/>
      </c>
      <c r="F366" s="24">
        <f>i_W_cap*Sensitivities!$C$360*F365</f>
        <v/>
      </c>
      <c r="G366" s="24">
        <f>i_W_cap*Sensitivities!$C$360*G365</f>
        <v/>
      </c>
      <c r="H366" s="24">
        <f>i_W_cap*Sensitivities!$C$360*H365</f>
        <v/>
      </c>
      <c r="I366" s="24">
        <f>i_W_cap*Sensitivities!$C$360*I365</f>
        <v/>
      </c>
      <c r="J366" s="24">
        <f>i_W_cap*Sensitivities!$C$360*J365</f>
        <v/>
      </c>
      <c r="K366" s="24">
        <f>i_W_cap*Sensitivities!$C$360*K365</f>
        <v/>
      </c>
      <c r="L366" s="24">
        <f>i_W_cap*Sensitivities!$C$360*L365</f>
        <v/>
      </c>
      <c r="M366" s="24">
        <f>i_W_cap*Sensitivities!$C$360*M365</f>
        <v/>
      </c>
      <c r="N366" s="24">
        <f>i_W_cap*Sensitivities!$C$360*N365</f>
        <v/>
      </c>
      <c r="O366" s="24">
        <f>i_W_cap*Sensitivities!$C$360*O365</f>
        <v/>
      </c>
      <c r="P366" s="24">
        <f>i_W_cap*Sensitivities!$C$360*P365</f>
        <v/>
      </c>
      <c r="Q366" s="24">
        <f>i_W_cap*Sensitivities!$C$360*Q365</f>
        <v/>
      </c>
      <c r="R366" s="24">
        <f>i_W_cap*Sensitivities!$C$360*R365</f>
        <v/>
      </c>
      <c r="S366" s="24">
        <f>i_W_cap*Sensitivities!$C$360*S365</f>
        <v/>
      </c>
      <c r="T366" s="24">
        <f>i_W_cap*Sensitivities!$C$360*T365</f>
        <v/>
      </c>
      <c r="U366" s="24">
        <f>i_W_cap*Sensitivities!$C$360*U365</f>
        <v/>
      </c>
      <c r="V366" s="24">
        <f>i_W_cap*Sensitivities!$C$360*V365</f>
        <v/>
      </c>
      <c r="W366" s="24">
        <f>i_W_cap*Sensitivities!$C$360*W365</f>
        <v/>
      </c>
      <c r="X366" s="24">
        <f>i_W_cap*Sensitivities!$C$360*X365</f>
        <v/>
      </c>
      <c r="Y366" s="24">
        <f>i_W_cap*Sensitivities!$C$360*Y365</f>
        <v/>
      </c>
      <c r="Z366" s="24">
        <f>i_W_cap*Sensitivities!$C$360*Z365</f>
        <v/>
      </c>
      <c r="AA366" s="24">
        <f>i_W_cap*Sensitivities!$C$360*AA365</f>
        <v/>
      </c>
      <c r="AB366" s="24">
        <f>i_W_cap*Sensitivities!$C$360*AB365</f>
        <v/>
      </c>
      <c r="AC366" s="24">
        <f>i_W_cap*Sensitivities!$C$360*AC365</f>
        <v/>
      </c>
      <c r="AD366" s="24">
        <f>i_W_cap*Sensitivities!$C$360*AD365</f>
        <v/>
      </c>
      <c r="AE366" s="24">
        <f>i_W_cap*Sensitivities!$C$360*AE365</f>
        <v/>
      </c>
      <c r="AF366" s="24">
        <f>i_W_cap*Sensitivities!$C$360*AF365</f>
        <v/>
      </c>
      <c r="AG366" s="24">
        <f>i_W_cap*Sensitivities!$C$360*AG365</f>
        <v/>
      </c>
      <c r="AH366" s="24">
        <f>i_W_cap*Sensitivities!$C$360*AH365</f>
        <v/>
      </c>
      <c r="AI366" s="24">
        <f>i_W_cap*Sensitivities!$C$360*AI365</f>
        <v/>
      </c>
    </row>
    <row r="367">
      <c r="B367" s="2" t="inlineStr">
        <is>
          <t xml:space="preserve">  Share on contracts signed before 2027</t>
        </is>
      </c>
      <c r="D367" s="21">
        <f>SUMIF(i_book_years,D$3,i_W_book)</f>
        <v/>
      </c>
      <c r="E367" s="21">
        <f>SUMIF(i_book_years,E$3,i_W_book)</f>
        <v/>
      </c>
      <c r="F367" s="21">
        <f>SUMIF(i_book_years,F$3,i_W_book)</f>
        <v/>
      </c>
      <c r="G367" s="21">
        <f>SUMIF(i_book_years,G$3,i_W_book)</f>
        <v/>
      </c>
      <c r="H367" s="21">
        <f>SUMIF(i_book_years,H$3,i_W_book)</f>
        <v/>
      </c>
      <c r="I367" s="21">
        <f>SUMIF(i_book_years,I$3,i_W_book)</f>
        <v/>
      </c>
      <c r="J367" s="21">
        <f>SUMIF(i_book_years,J$3,i_W_book)</f>
        <v/>
      </c>
      <c r="K367" s="21">
        <f>SUMIF(i_book_years,K$3,i_W_book)</f>
        <v/>
      </c>
      <c r="L367" s="21">
        <f>SUMIF(i_book_years,L$3,i_W_book)</f>
        <v/>
      </c>
      <c r="M367" s="21">
        <f>SUMIF(i_book_years,M$3,i_W_book)</f>
        <v/>
      </c>
      <c r="N367" s="21">
        <f>SUMIF(i_book_years,N$3,i_W_book)</f>
        <v/>
      </c>
      <c r="O367" s="21">
        <f>SUMIF(i_book_years,O$3,i_W_book)</f>
        <v/>
      </c>
      <c r="P367" s="21">
        <f>SUMIF(i_book_years,P$3,i_W_book)</f>
        <v/>
      </c>
      <c r="Q367" s="21">
        <f>SUMIF(i_book_years,Q$3,i_W_book)</f>
        <v/>
      </c>
      <c r="R367" s="21">
        <f>SUMIF(i_book_years,R$3,i_W_book)</f>
        <v/>
      </c>
      <c r="S367" s="21">
        <f>SUMIF(i_book_years,S$3,i_W_book)</f>
        <v/>
      </c>
      <c r="T367" s="21">
        <f>SUMIF(i_book_years,T$3,i_W_book)</f>
        <v/>
      </c>
      <c r="U367" s="21">
        <f>SUMIF(i_book_years,U$3,i_W_book)</f>
        <v/>
      </c>
      <c r="V367" s="21">
        <f>SUMIF(i_book_years,V$3,i_W_book)</f>
        <v/>
      </c>
      <c r="W367" s="21">
        <f>SUMIF(i_book_years,W$3,i_W_book)</f>
        <v/>
      </c>
      <c r="X367" s="21">
        <f>SUMIF(i_book_years,X$3,i_W_book)</f>
        <v/>
      </c>
      <c r="Y367" s="21">
        <f>SUMIF(i_book_years,Y$3,i_W_book)</f>
        <v/>
      </c>
      <c r="Z367" s="21">
        <f>SUMIF(i_book_years,Z$3,i_W_book)</f>
        <v/>
      </c>
      <c r="AA367" s="21">
        <f>SUMIF(i_book_years,AA$3,i_W_book)</f>
        <v/>
      </c>
      <c r="AB367" s="21">
        <f>SUMIF(i_book_years,AB$3,i_W_book)</f>
        <v/>
      </c>
      <c r="AC367" s="21">
        <f>SUMIF(i_book_years,AC$3,i_W_book)</f>
        <v/>
      </c>
      <c r="AD367" s="21">
        <f>SUMIF(i_book_years,AD$3,i_W_book)</f>
        <v/>
      </c>
      <c r="AE367" s="21">
        <f>SUMIF(i_book_years,AE$3,i_W_book)</f>
        <v/>
      </c>
      <c r="AF367" s="21">
        <f>SUMIF(i_book_years,AF$3,i_W_book)</f>
        <v/>
      </c>
      <c r="AG367" s="21">
        <f>SUMIF(i_book_years,AG$3,i_W_book)</f>
        <v/>
      </c>
      <c r="AH367" s="21">
        <f>SUMIF(i_book_years,AH$3,i_W_book)</f>
        <v/>
      </c>
      <c r="AI367" s="21">
        <f>SUMIF(i_book_years,AI$3,i_W_book)</f>
        <v/>
      </c>
    </row>
    <row r="368">
      <c r="B368" s="2" t="inlineStr">
        <is>
          <t xml:space="preserve">  Recontracting factor against current rates</t>
        </is>
      </c>
      <c r="D368" s="21">
        <f>IF(D$4=0,0,IF(Sensitivities!$C$352=1,i_W_mtm,i_W_mtm_plan)+Sensitivities!$C$358)</f>
        <v/>
      </c>
      <c r="E368" s="21">
        <f>IF(E$4=0,0,IF(Sensitivities!$C$352=1,i_W_mtm,i_W_mtm_plan)+Sensitivities!$C$358)</f>
        <v/>
      </c>
      <c r="F368" s="21">
        <f>IF(F$4=0,0,IF(Sensitivities!$C$352=1,i_W_mtm,i_W_mtm_plan)+Sensitivities!$C$358)</f>
        <v/>
      </c>
      <c r="G368" s="21">
        <f>IF(G$4=0,0,IF(Sensitivities!$C$352=1,i_W_mtm,i_W_mtm_plan)+Sensitivities!$C$358)</f>
        <v/>
      </c>
      <c r="H368" s="21">
        <f>IF(H$4=0,0,IF(Sensitivities!$C$352=1,i_W_mtm,i_W_mtm_plan)+Sensitivities!$C$358)</f>
        <v/>
      </c>
      <c r="I368" s="21">
        <f>IF(I$4=0,0,IF(Sensitivities!$C$352=1,i_W_mtm,i_W_mtm_plan)+Sensitivities!$C$358)</f>
        <v/>
      </c>
      <c r="J368" s="21">
        <f>IF(J$4=0,0,IF(Sensitivities!$C$352=1,i_W_mtm,i_W_mtm_plan)+Sensitivities!$C$358)</f>
        <v/>
      </c>
      <c r="K368" s="21">
        <f>IF(K$4=0,0,IF(Sensitivities!$C$352=1,i_W_mtm,i_W_mtm_plan)+Sensitivities!$C$358)</f>
        <v/>
      </c>
      <c r="L368" s="21">
        <f>IF(L$4=0,0,IF(Sensitivities!$C$352=1,i_W_mtm,i_W_mtm_plan)+Sensitivities!$C$358)</f>
        <v/>
      </c>
      <c r="M368" s="21">
        <f>IF(M$4=0,0,IF(Sensitivities!$C$352=1,i_W_mtm,i_W_mtm_plan)+Sensitivities!$C$358)</f>
        <v/>
      </c>
      <c r="N368" s="21">
        <f>IF(N$4=0,0,IF(Sensitivities!$C$352=1,i_W_mtm,i_W_mtm_plan)+Sensitivities!$C$358)</f>
        <v/>
      </c>
      <c r="O368" s="21">
        <f>IF(O$4=0,0,IF(Sensitivities!$C$352=1,i_W_mtm,i_W_mtm_plan)+Sensitivities!$C$358)</f>
        <v/>
      </c>
      <c r="P368" s="21">
        <f>IF(P$4=0,0,IF(Sensitivities!$C$352=1,i_W_mtm,i_W_mtm_plan)+Sensitivities!$C$358)</f>
        <v/>
      </c>
      <c r="Q368" s="21">
        <f>IF(Q$4=0,0,IF(Sensitivities!$C$352=1,i_W_mtm,i_W_mtm_plan)+Sensitivities!$C$358)</f>
        <v/>
      </c>
      <c r="R368" s="21">
        <f>IF(R$4=0,0,IF(Sensitivities!$C$352=1,i_W_mtm,i_W_mtm_plan)+Sensitivities!$C$358)</f>
        <v/>
      </c>
      <c r="S368" s="21">
        <f>IF(S$4=0,0,IF(Sensitivities!$C$352=1,i_W_mtm,i_W_mtm_plan)+Sensitivities!$C$358)</f>
        <v/>
      </c>
      <c r="T368" s="21">
        <f>IF(T$4=0,0,IF(Sensitivities!$C$352=1,i_W_mtm,i_W_mtm_plan)+Sensitivities!$C$358)</f>
        <v/>
      </c>
      <c r="U368" s="21">
        <f>IF(U$4=0,0,IF(Sensitivities!$C$352=1,i_W_mtm,i_W_mtm_plan)+Sensitivities!$C$358)</f>
        <v/>
      </c>
      <c r="V368" s="21">
        <f>IF(V$4=0,0,IF(Sensitivities!$C$352=1,i_W_mtm,i_W_mtm_plan)+Sensitivities!$C$358)</f>
        <v/>
      </c>
      <c r="W368" s="21">
        <f>IF(W$4=0,0,IF(Sensitivities!$C$352=1,i_W_mtm,i_W_mtm_plan)+Sensitivities!$C$358)</f>
        <v/>
      </c>
      <c r="X368" s="21">
        <f>IF(X$4=0,0,IF(Sensitivities!$C$352=1,i_W_mtm,i_W_mtm_plan)+Sensitivities!$C$358)</f>
        <v/>
      </c>
      <c r="Y368" s="21">
        <f>IF(Y$4=0,0,IF(Sensitivities!$C$352=1,i_W_mtm,i_W_mtm_plan)+Sensitivities!$C$358)</f>
        <v/>
      </c>
      <c r="Z368" s="21">
        <f>IF(Z$4=0,0,IF(Sensitivities!$C$352=1,i_W_mtm,i_W_mtm_plan)+Sensitivities!$C$358)</f>
        <v/>
      </c>
      <c r="AA368" s="21">
        <f>IF(AA$4=0,0,IF(Sensitivities!$C$352=1,i_W_mtm,i_W_mtm_plan)+Sensitivities!$C$358)</f>
        <v/>
      </c>
      <c r="AB368" s="21">
        <f>IF(AB$4=0,0,IF(Sensitivities!$C$352=1,i_W_mtm,i_W_mtm_plan)+Sensitivities!$C$358)</f>
        <v/>
      </c>
      <c r="AC368" s="21">
        <f>IF(AC$4=0,0,IF(Sensitivities!$C$352=1,i_W_mtm,i_W_mtm_plan)+Sensitivities!$C$358)</f>
        <v/>
      </c>
      <c r="AD368" s="21">
        <f>IF(AD$4=0,0,IF(Sensitivities!$C$352=1,i_W_mtm,i_W_mtm_plan)+Sensitivities!$C$358)</f>
        <v/>
      </c>
      <c r="AE368" s="21">
        <f>IF(AE$4=0,0,IF(Sensitivities!$C$352=1,i_W_mtm,i_W_mtm_plan)+Sensitivities!$C$358)</f>
        <v/>
      </c>
      <c r="AF368" s="21">
        <f>IF(AF$4=0,0,IF(Sensitivities!$C$352=1,i_W_mtm,i_W_mtm_plan)+Sensitivities!$C$358)</f>
        <v/>
      </c>
      <c r="AG368" s="21">
        <f>IF(AG$4=0,0,IF(Sensitivities!$C$352=1,i_W_mtm,i_W_mtm_plan)+Sensitivities!$C$358)</f>
        <v/>
      </c>
      <c r="AH368" s="21">
        <f>IF(AH$4=0,0,IF(Sensitivities!$C$352=1,i_W_mtm,i_W_mtm_plan)+Sensitivities!$C$358)</f>
        <v/>
      </c>
      <c r="AI368" s="21">
        <f>IF(AI$4=0,0,IF(Sensitivities!$C$352=1,i_W_mtm,i_W_mtm_plan)+Sensitivities!$C$358)</f>
        <v/>
      </c>
    </row>
    <row r="369">
      <c r="B369" s="2" t="inlineStr">
        <is>
          <t xml:space="preserve">  Average rate ($ per m3 per month)</t>
        </is>
      </c>
      <c r="D369" s="24">
        <f>i_W_rate*D363*(D367+(1-D367)*(1+D368))</f>
        <v/>
      </c>
      <c r="E369" s="24">
        <f>i_W_rate*E363*(E367+(1-E367)*(1+E368))</f>
        <v/>
      </c>
      <c r="F369" s="24">
        <f>i_W_rate*F363*(F367+(1-F367)*(1+F368))</f>
        <v/>
      </c>
      <c r="G369" s="24">
        <f>i_W_rate*G363*(G367+(1-G367)*(1+G368))</f>
        <v/>
      </c>
      <c r="H369" s="24">
        <f>i_W_rate*H363*(H367+(1-H367)*(1+H368))</f>
        <v/>
      </c>
      <c r="I369" s="24">
        <f>i_W_rate*I363*(I367+(1-I367)*(1+I368))</f>
        <v/>
      </c>
      <c r="J369" s="24">
        <f>i_W_rate*J363*(J367+(1-J367)*(1+J368))</f>
        <v/>
      </c>
      <c r="K369" s="24">
        <f>i_W_rate*K363*(K367+(1-K367)*(1+K368))</f>
        <v/>
      </c>
      <c r="L369" s="24">
        <f>i_W_rate*L363*(L367+(1-L367)*(1+L368))</f>
        <v/>
      </c>
      <c r="M369" s="24">
        <f>i_W_rate*M363*(M367+(1-M367)*(1+M368))</f>
        <v/>
      </c>
      <c r="N369" s="24">
        <f>i_W_rate*N363*(N367+(1-N367)*(1+N368))</f>
        <v/>
      </c>
      <c r="O369" s="24">
        <f>i_W_rate*O363*(O367+(1-O367)*(1+O368))</f>
        <v/>
      </c>
      <c r="P369" s="24">
        <f>i_W_rate*P363*(P367+(1-P367)*(1+P368))</f>
        <v/>
      </c>
      <c r="Q369" s="24">
        <f>i_W_rate*Q363*(Q367+(1-Q367)*(1+Q368))</f>
        <v/>
      </c>
      <c r="R369" s="24">
        <f>i_W_rate*R363*(R367+(1-R367)*(1+R368))</f>
        <v/>
      </c>
      <c r="S369" s="24">
        <f>i_W_rate*S363*(S367+(1-S367)*(1+S368))</f>
        <v/>
      </c>
      <c r="T369" s="24">
        <f>i_W_rate*T363*(T367+(1-T367)*(1+T368))</f>
        <v/>
      </c>
      <c r="U369" s="24">
        <f>i_W_rate*U363*(U367+(1-U367)*(1+U368))</f>
        <v/>
      </c>
      <c r="V369" s="24">
        <f>i_W_rate*V363*(V367+(1-V367)*(1+V368))</f>
        <v/>
      </c>
      <c r="W369" s="24">
        <f>i_W_rate*W363*(W367+(1-W367)*(1+W368))</f>
        <v/>
      </c>
      <c r="X369" s="24">
        <f>i_W_rate*X363*(X367+(1-X367)*(1+X368))</f>
        <v/>
      </c>
      <c r="Y369" s="24">
        <f>i_W_rate*Y363*(Y367+(1-Y367)*(1+Y368))</f>
        <v/>
      </c>
      <c r="Z369" s="24">
        <f>i_W_rate*Z363*(Z367+(1-Z367)*(1+Z368))</f>
        <v/>
      </c>
      <c r="AA369" s="24">
        <f>i_W_rate*AA363*(AA367+(1-AA367)*(1+AA368))</f>
        <v/>
      </c>
      <c r="AB369" s="24">
        <f>i_W_rate*AB363*(AB367+(1-AB367)*(1+AB368))</f>
        <v/>
      </c>
      <c r="AC369" s="24">
        <f>i_W_rate*AC363*(AC367+(1-AC367)*(1+AC368))</f>
        <v/>
      </c>
      <c r="AD369" s="24">
        <f>i_W_rate*AD363*(AD367+(1-AD367)*(1+AD368))</f>
        <v/>
      </c>
      <c r="AE369" s="24">
        <f>i_W_rate*AE363*(AE367+(1-AE367)*(1+AE368))</f>
        <v/>
      </c>
      <c r="AF369" s="24">
        <f>i_W_rate*AF363*(AF367+(1-AF367)*(1+AF368))</f>
        <v/>
      </c>
      <c r="AG369" s="24">
        <f>i_W_rate*AG363*(AG367+(1-AG367)*(1+AG368))</f>
        <v/>
      </c>
      <c r="AH369" s="24">
        <f>i_W_rate*AH363*(AH367+(1-AH367)*(1+AH368))</f>
        <v/>
      </c>
      <c r="AI369" s="24">
        <f>i_W_rate*AI363*(AI367+(1-AI367)*(1+AI368))</f>
        <v/>
      </c>
    </row>
    <row r="370">
      <c r="B370" s="2" t="inlineStr">
        <is>
          <t xml:space="preserve">  Occupancy after the transition decline and floor</t>
        </is>
      </c>
      <c r="D370" s="21">
        <f>IF(D$3&gt;i_trans_start,MAX(i_W_floor,i_W_occ-i_W_dec*(D$3-i_trans_start)),i_W_occ)</f>
        <v/>
      </c>
      <c r="E370" s="21">
        <f>IF(E$3&gt;i_trans_start,MAX(i_W_floor,i_W_occ-i_W_dec*(E$3-i_trans_start)),i_W_occ)</f>
        <v/>
      </c>
      <c r="F370" s="21">
        <f>IF(F$3&gt;i_trans_start,MAX(i_W_floor,i_W_occ-i_W_dec*(F$3-i_trans_start)),i_W_occ)</f>
        <v/>
      </c>
      <c r="G370" s="21">
        <f>IF(G$3&gt;i_trans_start,MAX(i_W_floor,i_W_occ-i_W_dec*(G$3-i_trans_start)),i_W_occ)</f>
        <v/>
      </c>
      <c r="H370" s="21">
        <f>IF(H$3&gt;i_trans_start,MAX(i_W_floor,i_W_occ-i_W_dec*(H$3-i_trans_start)),i_W_occ)</f>
        <v/>
      </c>
      <c r="I370" s="21">
        <f>IF(I$3&gt;i_trans_start,MAX(i_W_floor,i_W_occ-i_W_dec*(I$3-i_trans_start)),i_W_occ)</f>
        <v/>
      </c>
      <c r="J370" s="21">
        <f>IF(J$3&gt;i_trans_start,MAX(i_W_floor,i_W_occ-i_W_dec*(J$3-i_trans_start)),i_W_occ)</f>
        <v/>
      </c>
      <c r="K370" s="21">
        <f>IF(K$3&gt;i_trans_start,MAX(i_W_floor,i_W_occ-i_W_dec*(K$3-i_trans_start)),i_W_occ)</f>
        <v/>
      </c>
      <c r="L370" s="21">
        <f>IF(L$3&gt;i_trans_start,MAX(i_W_floor,i_W_occ-i_W_dec*(L$3-i_trans_start)),i_W_occ)</f>
        <v/>
      </c>
      <c r="M370" s="21">
        <f>IF(M$3&gt;i_trans_start,MAX(i_W_floor,i_W_occ-i_W_dec*(M$3-i_trans_start)),i_W_occ)</f>
        <v/>
      </c>
      <c r="N370" s="21">
        <f>IF(N$3&gt;i_trans_start,MAX(i_W_floor,i_W_occ-i_W_dec*(N$3-i_trans_start)),i_W_occ)</f>
        <v/>
      </c>
      <c r="O370" s="21">
        <f>IF(O$3&gt;i_trans_start,MAX(i_W_floor,i_W_occ-i_W_dec*(O$3-i_trans_start)),i_W_occ)</f>
        <v/>
      </c>
      <c r="P370" s="21">
        <f>IF(P$3&gt;i_trans_start,MAX(i_W_floor,i_W_occ-i_W_dec*(P$3-i_trans_start)),i_W_occ)</f>
        <v/>
      </c>
      <c r="Q370" s="21">
        <f>IF(Q$3&gt;i_trans_start,MAX(i_W_floor,i_W_occ-i_W_dec*(Q$3-i_trans_start)),i_W_occ)</f>
        <v/>
      </c>
      <c r="R370" s="21">
        <f>IF(R$3&gt;i_trans_start,MAX(i_W_floor,i_W_occ-i_W_dec*(R$3-i_trans_start)),i_W_occ)</f>
        <v/>
      </c>
      <c r="S370" s="21">
        <f>IF(S$3&gt;i_trans_start,MAX(i_W_floor,i_W_occ-i_W_dec*(S$3-i_trans_start)),i_W_occ)</f>
        <v/>
      </c>
      <c r="T370" s="21">
        <f>IF(T$3&gt;i_trans_start,MAX(i_W_floor,i_W_occ-i_W_dec*(T$3-i_trans_start)),i_W_occ)</f>
        <v/>
      </c>
      <c r="U370" s="21">
        <f>IF(U$3&gt;i_trans_start,MAX(i_W_floor,i_W_occ-i_W_dec*(U$3-i_trans_start)),i_W_occ)</f>
        <v/>
      </c>
      <c r="V370" s="21">
        <f>IF(V$3&gt;i_trans_start,MAX(i_W_floor,i_W_occ-i_W_dec*(V$3-i_trans_start)),i_W_occ)</f>
        <v/>
      </c>
      <c r="W370" s="21">
        <f>IF(W$3&gt;i_trans_start,MAX(i_W_floor,i_W_occ-i_W_dec*(W$3-i_trans_start)),i_W_occ)</f>
        <v/>
      </c>
      <c r="X370" s="21">
        <f>IF(X$3&gt;i_trans_start,MAX(i_W_floor,i_W_occ-i_W_dec*(X$3-i_trans_start)),i_W_occ)</f>
        <v/>
      </c>
      <c r="Y370" s="21">
        <f>IF(Y$3&gt;i_trans_start,MAX(i_W_floor,i_W_occ-i_W_dec*(Y$3-i_trans_start)),i_W_occ)</f>
        <v/>
      </c>
      <c r="Z370" s="21">
        <f>IF(Z$3&gt;i_trans_start,MAX(i_W_floor,i_W_occ-i_W_dec*(Z$3-i_trans_start)),i_W_occ)</f>
        <v/>
      </c>
      <c r="AA370" s="21">
        <f>IF(AA$3&gt;i_trans_start,MAX(i_W_floor,i_W_occ-i_W_dec*(AA$3-i_trans_start)),i_W_occ)</f>
        <v/>
      </c>
      <c r="AB370" s="21">
        <f>IF(AB$3&gt;i_trans_start,MAX(i_W_floor,i_W_occ-i_W_dec*(AB$3-i_trans_start)),i_W_occ)</f>
        <v/>
      </c>
      <c r="AC370" s="21">
        <f>IF(AC$3&gt;i_trans_start,MAX(i_W_floor,i_W_occ-i_W_dec*(AC$3-i_trans_start)),i_W_occ)</f>
        <v/>
      </c>
      <c r="AD370" s="21">
        <f>IF(AD$3&gt;i_trans_start,MAX(i_W_floor,i_W_occ-i_W_dec*(AD$3-i_trans_start)),i_W_occ)</f>
        <v/>
      </c>
      <c r="AE370" s="21">
        <f>IF(AE$3&gt;i_trans_start,MAX(i_W_floor,i_W_occ-i_W_dec*(AE$3-i_trans_start)),i_W_occ)</f>
        <v/>
      </c>
      <c r="AF370" s="21">
        <f>IF(AF$3&gt;i_trans_start,MAX(i_W_floor,i_W_occ-i_W_dec*(AF$3-i_trans_start)),i_W_occ)</f>
        <v/>
      </c>
      <c r="AG370" s="21">
        <f>IF(AG$3&gt;i_trans_start,MAX(i_W_floor,i_W_occ-i_W_dec*(AG$3-i_trans_start)),i_W_occ)</f>
        <v/>
      </c>
      <c r="AH370" s="21">
        <f>IF(AH$3&gt;i_trans_start,MAX(i_W_floor,i_W_occ-i_W_dec*(AH$3-i_trans_start)),i_W_occ)</f>
        <v/>
      </c>
      <c r="AI370" s="21">
        <f>IF(AI$3&gt;i_trans_start,MAX(i_W_floor,i_W_occ-i_W_dec*(AI$3-i_trans_start)),i_W_occ)</f>
        <v/>
      </c>
    </row>
    <row r="371">
      <c r="B371" s="2" t="inlineStr">
        <is>
          <t xml:space="preserve">  Customer loss (points)</t>
        </is>
      </c>
      <c r="D371" s="21">
        <f>Sensitivities!$C$353*SUMIF(i_dip_years,D$3,i_dip_vals)</f>
        <v/>
      </c>
      <c r="E371" s="21">
        <f>Sensitivities!$C$353*SUMIF(i_dip_years,E$3,i_dip_vals)</f>
        <v/>
      </c>
      <c r="F371" s="21">
        <f>Sensitivities!$C$353*SUMIF(i_dip_years,F$3,i_dip_vals)</f>
        <v/>
      </c>
      <c r="G371" s="21">
        <f>Sensitivities!$C$353*SUMIF(i_dip_years,G$3,i_dip_vals)</f>
        <v/>
      </c>
      <c r="H371" s="21">
        <f>Sensitivities!$C$353*SUMIF(i_dip_years,H$3,i_dip_vals)</f>
        <v/>
      </c>
      <c r="I371" s="21">
        <f>Sensitivities!$C$353*SUMIF(i_dip_years,I$3,i_dip_vals)</f>
        <v/>
      </c>
      <c r="J371" s="21">
        <f>Sensitivities!$C$353*SUMIF(i_dip_years,J$3,i_dip_vals)</f>
        <v/>
      </c>
      <c r="K371" s="21">
        <f>Sensitivities!$C$353*SUMIF(i_dip_years,K$3,i_dip_vals)</f>
        <v/>
      </c>
      <c r="L371" s="21">
        <f>Sensitivities!$C$353*SUMIF(i_dip_years,L$3,i_dip_vals)</f>
        <v/>
      </c>
      <c r="M371" s="21">
        <f>Sensitivities!$C$353*SUMIF(i_dip_years,M$3,i_dip_vals)</f>
        <v/>
      </c>
      <c r="N371" s="21">
        <f>Sensitivities!$C$353*SUMIF(i_dip_years,N$3,i_dip_vals)</f>
        <v/>
      </c>
      <c r="O371" s="21">
        <f>Sensitivities!$C$353*SUMIF(i_dip_years,O$3,i_dip_vals)</f>
        <v/>
      </c>
      <c r="P371" s="21">
        <f>Sensitivities!$C$353*SUMIF(i_dip_years,P$3,i_dip_vals)</f>
        <v/>
      </c>
      <c r="Q371" s="21">
        <f>Sensitivities!$C$353*SUMIF(i_dip_years,Q$3,i_dip_vals)</f>
        <v/>
      </c>
      <c r="R371" s="21">
        <f>Sensitivities!$C$353*SUMIF(i_dip_years,R$3,i_dip_vals)</f>
        <v/>
      </c>
      <c r="S371" s="21">
        <f>Sensitivities!$C$353*SUMIF(i_dip_years,S$3,i_dip_vals)</f>
        <v/>
      </c>
      <c r="T371" s="21">
        <f>Sensitivities!$C$353*SUMIF(i_dip_years,T$3,i_dip_vals)</f>
        <v/>
      </c>
      <c r="U371" s="21">
        <f>Sensitivities!$C$353*SUMIF(i_dip_years,U$3,i_dip_vals)</f>
        <v/>
      </c>
      <c r="V371" s="21">
        <f>Sensitivities!$C$353*SUMIF(i_dip_years,V$3,i_dip_vals)</f>
        <v/>
      </c>
      <c r="W371" s="21">
        <f>Sensitivities!$C$353*SUMIF(i_dip_years,W$3,i_dip_vals)</f>
        <v/>
      </c>
      <c r="X371" s="21">
        <f>Sensitivities!$C$353*SUMIF(i_dip_years,X$3,i_dip_vals)</f>
        <v/>
      </c>
      <c r="Y371" s="21">
        <f>Sensitivities!$C$353*SUMIF(i_dip_years,Y$3,i_dip_vals)</f>
        <v/>
      </c>
      <c r="Z371" s="21">
        <f>Sensitivities!$C$353*SUMIF(i_dip_years,Z$3,i_dip_vals)</f>
        <v/>
      </c>
      <c r="AA371" s="21">
        <f>Sensitivities!$C$353*SUMIF(i_dip_years,AA$3,i_dip_vals)</f>
        <v/>
      </c>
      <c r="AB371" s="21">
        <f>Sensitivities!$C$353*SUMIF(i_dip_years,AB$3,i_dip_vals)</f>
        <v/>
      </c>
      <c r="AC371" s="21">
        <f>Sensitivities!$C$353*SUMIF(i_dip_years,AC$3,i_dip_vals)</f>
        <v/>
      </c>
      <c r="AD371" s="21">
        <f>Sensitivities!$C$353*SUMIF(i_dip_years,AD$3,i_dip_vals)</f>
        <v/>
      </c>
      <c r="AE371" s="21">
        <f>Sensitivities!$C$353*SUMIF(i_dip_years,AE$3,i_dip_vals)</f>
        <v/>
      </c>
      <c r="AF371" s="21">
        <f>Sensitivities!$C$353*SUMIF(i_dip_years,AF$3,i_dip_vals)</f>
        <v/>
      </c>
      <c r="AG371" s="21">
        <f>Sensitivities!$C$353*SUMIF(i_dip_years,AG$3,i_dip_vals)</f>
        <v/>
      </c>
      <c r="AH371" s="21">
        <f>Sensitivities!$C$353*SUMIF(i_dip_years,AH$3,i_dip_vals)</f>
        <v/>
      </c>
      <c r="AI371" s="21">
        <f>Sensitivities!$C$353*SUMIF(i_dip_years,AI$3,i_dip_vals)</f>
        <v/>
      </c>
    </row>
    <row r="372">
      <c r="B372" s="2" t="inlineStr">
        <is>
          <t xml:space="preserve">  Occupancy (with the shift switch from 2027)</t>
        </is>
      </c>
      <c r="D372" s="21">
        <f>IF(D$4&gt;0,MIN(1,D370-D371+Sensitivities!$C$357),D370-D371)</f>
        <v/>
      </c>
      <c r="E372" s="21">
        <f>IF(E$4&gt;0,MIN(1,E370-E371+Sensitivities!$C$357),E370-E371)</f>
        <v/>
      </c>
      <c r="F372" s="21">
        <f>IF(F$4&gt;0,MIN(1,F370-F371+Sensitivities!$C$357),F370-F371)</f>
        <v/>
      </c>
      <c r="G372" s="21">
        <f>IF(G$4&gt;0,MIN(1,G370-G371+Sensitivities!$C$357),G370-G371)</f>
        <v/>
      </c>
      <c r="H372" s="21">
        <f>IF(H$4&gt;0,MIN(1,H370-H371+Sensitivities!$C$357),H370-H371)</f>
        <v/>
      </c>
      <c r="I372" s="21">
        <f>IF(I$4&gt;0,MIN(1,I370-I371+Sensitivities!$C$357),I370-I371)</f>
        <v/>
      </c>
      <c r="J372" s="21">
        <f>IF(J$4&gt;0,MIN(1,J370-J371+Sensitivities!$C$357),J370-J371)</f>
        <v/>
      </c>
      <c r="K372" s="21">
        <f>IF(K$4&gt;0,MIN(1,K370-K371+Sensitivities!$C$357),K370-K371)</f>
        <v/>
      </c>
      <c r="L372" s="21">
        <f>IF(L$4&gt;0,MIN(1,L370-L371+Sensitivities!$C$357),L370-L371)</f>
        <v/>
      </c>
      <c r="M372" s="21">
        <f>IF(M$4&gt;0,MIN(1,M370-M371+Sensitivities!$C$357),M370-M371)</f>
        <v/>
      </c>
      <c r="N372" s="21">
        <f>IF(N$4&gt;0,MIN(1,N370-N371+Sensitivities!$C$357),N370-N371)</f>
        <v/>
      </c>
      <c r="O372" s="21">
        <f>IF(O$4&gt;0,MIN(1,O370-O371+Sensitivities!$C$357),O370-O371)</f>
        <v/>
      </c>
      <c r="P372" s="21">
        <f>IF(P$4&gt;0,MIN(1,P370-P371+Sensitivities!$C$357),P370-P371)</f>
        <v/>
      </c>
      <c r="Q372" s="21">
        <f>IF(Q$4&gt;0,MIN(1,Q370-Q371+Sensitivities!$C$357),Q370-Q371)</f>
        <v/>
      </c>
      <c r="R372" s="21">
        <f>IF(R$4&gt;0,MIN(1,R370-R371+Sensitivities!$C$357),R370-R371)</f>
        <v/>
      </c>
      <c r="S372" s="21">
        <f>IF(S$4&gt;0,MIN(1,S370-S371+Sensitivities!$C$357),S370-S371)</f>
        <v/>
      </c>
      <c r="T372" s="21">
        <f>IF(T$4&gt;0,MIN(1,T370-T371+Sensitivities!$C$357),T370-T371)</f>
        <v/>
      </c>
      <c r="U372" s="21">
        <f>IF(U$4&gt;0,MIN(1,U370-U371+Sensitivities!$C$357),U370-U371)</f>
        <v/>
      </c>
      <c r="V372" s="21">
        <f>IF(V$4&gt;0,MIN(1,V370-V371+Sensitivities!$C$357),V370-V371)</f>
        <v/>
      </c>
      <c r="W372" s="21">
        <f>IF(W$4&gt;0,MIN(1,W370-W371+Sensitivities!$C$357),W370-W371)</f>
        <v/>
      </c>
      <c r="X372" s="21">
        <f>IF(X$4&gt;0,MIN(1,X370-X371+Sensitivities!$C$357),X370-X371)</f>
        <v/>
      </c>
      <c r="Y372" s="21">
        <f>IF(Y$4&gt;0,MIN(1,Y370-Y371+Sensitivities!$C$357),Y370-Y371)</f>
        <v/>
      </c>
      <c r="Z372" s="21">
        <f>IF(Z$4&gt;0,MIN(1,Z370-Z371+Sensitivities!$C$357),Z370-Z371)</f>
        <v/>
      </c>
      <c r="AA372" s="21">
        <f>IF(AA$4&gt;0,MIN(1,AA370-AA371+Sensitivities!$C$357),AA370-AA371)</f>
        <v/>
      </c>
      <c r="AB372" s="21">
        <f>IF(AB$4&gt;0,MIN(1,AB370-AB371+Sensitivities!$C$357),AB370-AB371)</f>
        <v/>
      </c>
      <c r="AC372" s="21">
        <f>IF(AC$4&gt;0,MIN(1,AC370-AC371+Sensitivities!$C$357),AC370-AC371)</f>
        <v/>
      </c>
      <c r="AD372" s="21">
        <f>IF(AD$4&gt;0,MIN(1,AD370-AD371+Sensitivities!$C$357),AD370-AD371)</f>
        <v/>
      </c>
      <c r="AE372" s="21">
        <f>IF(AE$4&gt;0,MIN(1,AE370-AE371+Sensitivities!$C$357),AE370-AE371)</f>
        <v/>
      </c>
      <c r="AF372" s="21">
        <f>IF(AF$4&gt;0,MIN(1,AF370-AF371+Sensitivities!$C$357),AF370-AF371)</f>
        <v/>
      </c>
      <c r="AG372" s="21">
        <f>IF(AG$4&gt;0,MIN(1,AG370-AG371+Sensitivities!$C$357),AG370-AG371)</f>
        <v/>
      </c>
      <c r="AH372" s="21">
        <f>IF(AH$4&gt;0,MIN(1,AH370-AH371+Sensitivities!$C$357),AH370-AH371)</f>
        <v/>
      </c>
      <c r="AI372" s="21">
        <f>IF(AI$4&gt;0,MIN(1,AI370-AI371+Sensitivities!$C$357),AI370-AI371)</f>
        <v/>
      </c>
    </row>
    <row r="373">
      <c r="B373" s="2" t="inlineStr">
        <is>
          <t xml:space="preserve">  Storage revenue</t>
        </is>
      </c>
      <c r="D373" s="19">
        <f>D366*D369*12*D372</f>
        <v/>
      </c>
      <c r="E373" s="19">
        <f>E366*E369*12*E372</f>
        <v/>
      </c>
      <c r="F373" s="19">
        <f>F366*F369*12*F372</f>
        <v/>
      </c>
      <c r="G373" s="19">
        <f>G366*G369*12*G372</f>
        <v/>
      </c>
      <c r="H373" s="19">
        <f>H366*H369*12*H372</f>
        <v/>
      </c>
      <c r="I373" s="19">
        <f>I366*I369*12*I372</f>
        <v/>
      </c>
      <c r="J373" s="19">
        <f>J366*J369*12*J372</f>
        <v/>
      </c>
      <c r="K373" s="19">
        <f>K366*K369*12*K372</f>
        <v/>
      </c>
      <c r="L373" s="19">
        <f>L366*L369*12*L372</f>
        <v/>
      </c>
      <c r="M373" s="19">
        <f>M366*M369*12*M372</f>
        <v/>
      </c>
      <c r="N373" s="19">
        <f>N366*N369*12*N372</f>
        <v/>
      </c>
      <c r="O373" s="19">
        <f>O366*O369*12*O372</f>
        <v/>
      </c>
      <c r="P373" s="19">
        <f>P366*P369*12*P372</f>
        <v/>
      </c>
      <c r="Q373" s="19">
        <f>Q366*Q369*12*Q372</f>
        <v/>
      </c>
      <c r="R373" s="19">
        <f>R366*R369*12*R372</f>
        <v/>
      </c>
      <c r="S373" s="19">
        <f>S366*S369*12*S372</f>
        <v/>
      </c>
      <c r="T373" s="19">
        <f>T366*T369*12*T372</f>
        <v/>
      </c>
      <c r="U373" s="19">
        <f>U366*U369*12*U372</f>
        <v/>
      </c>
      <c r="V373" s="19">
        <f>V366*V369*12*V372</f>
        <v/>
      </c>
      <c r="W373" s="19">
        <f>W366*W369*12*W372</f>
        <v/>
      </c>
      <c r="X373" s="19">
        <f>X366*X369*12*X372</f>
        <v/>
      </c>
      <c r="Y373" s="19">
        <f>Y366*Y369*12*Y372</f>
        <v/>
      </c>
      <c r="Z373" s="19">
        <f>Z366*Z369*12*Z372</f>
        <v/>
      </c>
      <c r="AA373" s="19">
        <f>AA366*AA369*12*AA372</f>
        <v/>
      </c>
      <c r="AB373" s="19">
        <f>AB366*AB369*12*AB372</f>
        <v/>
      </c>
      <c r="AC373" s="19">
        <f>AC366*AC369*12*AC372</f>
        <v/>
      </c>
      <c r="AD373" s="19">
        <f>AD366*AD369*12*AD372</f>
        <v/>
      </c>
      <c r="AE373" s="19">
        <f>AE366*AE369*12*AE372</f>
        <v/>
      </c>
      <c r="AF373" s="19">
        <f>AF366*AF369*12*AF372</f>
        <v/>
      </c>
      <c r="AG373" s="19">
        <f>AG366*AG369*12*AG372</f>
        <v/>
      </c>
      <c r="AH373" s="19">
        <f>AH366*AH369*12*AH372</f>
        <v/>
      </c>
      <c r="AI373" s="19">
        <f>AI366*AI369*12*AI372</f>
        <v/>
      </c>
    </row>
    <row r="374">
      <c r="B374" s="2" t="inlineStr">
        <is>
          <t xml:space="preserve">  Ancillary and throughput revenue</t>
        </is>
      </c>
      <c r="D374" s="19">
        <f>D373*i_W_anc</f>
        <v/>
      </c>
      <c r="E374" s="19">
        <f>E373*i_W_anc</f>
        <v/>
      </c>
      <c r="F374" s="19">
        <f>F373*i_W_anc</f>
        <v/>
      </c>
      <c r="G374" s="19">
        <f>G373*i_W_anc</f>
        <v/>
      </c>
      <c r="H374" s="19">
        <f>H373*i_W_anc</f>
        <v/>
      </c>
      <c r="I374" s="19">
        <f>I373*i_W_anc</f>
        <v/>
      </c>
      <c r="J374" s="19">
        <f>J373*i_W_anc</f>
        <v/>
      </c>
      <c r="K374" s="19">
        <f>K373*i_W_anc</f>
        <v/>
      </c>
      <c r="L374" s="19">
        <f>L373*i_W_anc</f>
        <v/>
      </c>
      <c r="M374" s="19">
        <f>M373*i_W_anc</f>
        <v/>
      </c>
      <c r="N374" s="19">
        <f>N373*i_W_anc</f>
        <v/>
      </c>
      <c r="O374" s="19">
        <f>O373*i_W_anc</f>
        <v/>
      </c>
      <c r="P374" s="19">
        <f>P373*i_W_anc</f>
        <v/>
      </c>
      <c r="Q374" s="19">
        <f>Q373*i_W_anc</f>
        <v/>
      </c>
      <c r="R374" s="19">
        <f>R373*i_W_anc</f>
        <v/>
      </c>
      <c r="S374" s="19">
        <f>S373*i_W_anc</f>
        <v/>
      </c>
      <c r="T374" s="19">
        <f>T373*i_W_anc</f>
        <v/>
      </c>
      <c r="U374" s="19">
        <f>U373*i_W_anc</f>
        <v/>
      </c>
      <c r="V374" s="19">
        <f>V373*i_W_anc</f>
        <v/>
      </c>
      <c r="W374" s="19">
        <f>W373*i_W_anc</f>
        <v/>
      </c>
      <c r="X374" s="19">
        <f>X373*i_W_anc</f>
        <v/>
      </c>
      <c r="Y374" s="19">
        <f>Y373*i_W_anc</f>
        <v/>
      </c>
      <c r="Z374" s="19">
        <f>Z373*i_W_anc</f>
        <v/>
      </c>
      <c r="AA374" s="19">
        <f>AA373*i_W_anc</f>
        <v/>
      </c>
      <c r="AB374" s="19">
        <f>AB373*i_W_anc</f>
        <v/>
      </c>
      <c r="AC374" s="19">
        <f>AC373*i_W_anc</f>
        <v/>
      </c>
      <c r="AD374" s="19">
        <f>AD373*i_W_anc</f>
        <v/>
      </c>
      <c r="AE374" s="19">
        <f>AE373*i_W_anc</f>
        <v/>
      </c>
      <c r="AF374" s="19">
        <f>AF373*i_W_anc</f>
        <v/>
      </c>
      <c r="AG374" s="19">
        <f>AG373*i_W_anc</f>
        <v/>
      </c>
      <c r="AH374" s="19">
        <f>AH373*i_W_anc</f>
        <v/>
      </c>
      <c r="AI374" s="19">
        <f>AI373*i_W_anc</f>
        <v/>
      </c>
    </row>
    <row r="375">
      <c r="B375" s="3" t="inlineStr">
        <is>
          <t xml:space="preserve">  Revenue</t>
        </is>
      </c>
      <c r="D375" s="31">
        <f>D373+D374</f>
        <v/>
      </c>
      <c r="E375" s="31">
        <f>E373+E374</f>
        <v/>
      </c>
      <c r="F375" s="31">
        <f>F373+F374</f>
        <v/>
      </c>
      <c r="G375" s="31">
        <f>G373+G374</f>
        <v/>
      </c>
      <c r="H375" s="31">
        <f>H373+H374</f>
        <v/>
      </c>
      <c r="I375" s="31">
        <f>I373+I374</f>
        <v/>
      </c>
      <c r="J375" s="31">
        <f>J373+J374</f>
        <v/>
      </c>
      <c r="K375" s="31">
        <f>K373+K374</f>
        <v/>
      </c>
      <c r="L375" s="31">
        <f>L373+L374</f>
        <v/>
      </c>
      <c r="M375" s="31">
        <f>M373+M374</f>
        <v/>
      </c>
      <c r="N375" s="31">
        <f>N373+N374</f>
        <v/>
      </c>
      <c r="O375" s="31">
        <f>O373+O374</f>
        <v/>
      </c>
      <c r="P375" s="31">
        <f>P373+P374</f>
        <v/>
      </c>
      <c r="Q375" s="31">
        <f>Q373+Q374</f>
        <v/>
      </c>
      <c r="R375" s="31">
        <f>R373+R374</f>
        <v/>
      </c>
      <c r="S375" s="31">
        <f>S373+S374</f>
        <v/>
      </c>
      <c r="T375" s="31">
        <f>T373+T374</f>
        <v/>
      </c>
      <c r="U375" s="31">
        <f>U373+U374</f>
        <v/>
      </c>
      <c r="V375" s="31">
        <f>V373+V374</f>
        <v/>
      </c>
      <c r="W375" s="31">
        <f>W373+W374</f>
        <v/>
      </c>
      <c r="X375" s="31">
        <f>X373+X374</f>
        <v/>
      </c>
      <c r="Y375" s="31">
        <f>Y373+Y374</f>
        <v/>
      </c>
      <c r="Z375" s="31">
        <f>Z373+Z374</f>
        <v/>
      </c>
      <c r="AA375" s="31">
        <f>AA373+AA374</f>
        <v/>
      </c>
      <c r="AB375" s="31">
        <f>AB373+AB374</f>
        <v/>
      </c>
      <c r="AC375" s="31">
        <f>AC373+AC374</f>
        <v/>
      </c>
      <c r="AD375" s="31">
        <f>AD373+AD374</f>
        <v/>
      </c>
      <c r="AE375" s="31">
        <f>AE373+AE374</f>
        <v/>
      </c>
      <c r="AF375" s="31">
        <f>AF373+AF374</f>
        <v/>
      </c>
      <c r="AG375" s="31">
        <f>AG373+AG374</f>
        <v/>
      </c>
      <c r="AH375" s="31">
        <f>AH373+AH374</f>
        <v/>
      </c>
      <c r="AI375" s="31">
        <f>AI373+AI374</f>
        <v/>
      </c>
    </row>
    <row r="376">
      <c r="B376" s="2" t="inlineStr">
        <is>
          <t xml:space="preserve">  Fixed cost</t>
        </is>
      </c>
      <c r="D376" s="19">
        <f>D366*i_W_fix*D362</f>
        <v/>
      </c>
      <c r="E376" s="19">
        <f>E366*i_W_fix*E362</f>
        <v/>
      </c>
      <c r="F376" s="19">
        <f>F366*i_W_fix*F362</f>
        <v/>
      </c>
      <c r="G376" s="19">
        <f>G366*i_W_fix*G362</f>
        <v/>
      </c>
      <c r="H376" s="19">
        <f>H366*i_W_fix*H362</f>
        <v/>
      </c>
      <c r="I376" s="19">
        <f>I366*i_W_fix*I362</f>
        <v/>
      </c>
      <c r="J376" s="19">
        <f>J366*i_W_fix*J362</f>
        <v/>
      </c>
      <c r="K376" s="19">
        <f>K366*i_W_fix*K362</f>
        <v/>
      </c>
      <c r="L376" s="19">
        <f>L366*i_W_fix*L362</f>
        <v/>
      </c>
      <c r="M376" s="19">
        <f>M366*i_W_fix*M362</f>
        <v/>
      </c>
      <c r="N376" s="19">
        <f>N366*i_W_fix*N362</f>
        <v/>
      </c>
      <c r="O376" s="19">
        <f>O366*i_W_fix*O362</f>
        <v/>
      </c>
      <c r="P376" s="19">
        <f>P366*i_W_fix*P362</f>
        <v/>
      </c>
      <c r="Q376" s="19">
        <f>Q366*i_W_fix*Q362</f>
        <v/>
      </c>
      <c r="R376" s="19">
        <f>R366*i_W_fix*R362</f>
        <v/>
      </c>
      <c r="S376" s="19">
        <f>S366*i_W_fix*S362</f>
        <v/>
      </c>
      <c r="T376" s="19">
        <f>T366*i_W_fix*T362</f>
        <v/>
      </c>
      <c r="U376" s="19">
        <f>U366*i_W_fix*U362</f>
        <v/>
      </c>
      <c r="V376" s="19">
        <f>V366*i_W_fix*V362</f>
        <v/>
      </c>
      <c r="W376" s="19">
        <f>W366*i_W_fix*W362</f>
        <v/>
      </c>
      <c r="X376" s="19">
        <f>X366*i_W_fix*X362</f>
        <v/>
      </c>
      <c r="Y376" s="19">
        <f>Y366*i_W_fix*Y362</f>
        <v/>
      </c>
      <c r="Z376" s="19">
        <f>Z366*i_W_fix*Z362</f>
        <v/>
      </c>
      <c r="AA376" s="19">
        <f>AA366*i_W_fix*AA362</f>
        <v/>
      </c>
      <c r="AB376" s="19">
        <f>AB366*i_W_fix*AB362</f>
        <v/>
      </c>
      <c r="AC376" s="19">
        <f>AC366*i_W_fix*AC362</f>
        <v/>
      </c>
      <c r="AD376" s="19">
        <f>AD366*i_W_fix*AD362</f>
        <v/>
      </c>
      <c r="AE376" s="19">
        <f>AE366*i_W_fix*AE362</f>
        <v/>
      </c>
      <c r="AF376" s="19">
        <f>AF366*i_W_fix*AF362</f>
        <v/>
      </c>
      <c r="AG376" s="19">
        <f>AG366*i_W_fix*AG362</f>
        <v/>
      </c>
      <c r="AH376" s="19">
        <f>AH366*i_W_fix*AH362</f>
        <v/>
      </c>
      <c r="AI376" s="19">
        <f>AI366*i_W_fix*AI362</f>
        <v/>
      </c>
    </row>
    <row r="377">
      <c r="B377" s="2" t="inlineStr">
        <is>
          <t xml:space="preserve">  Variable cost</t>
        </is>
      </c>
      <c r="D377" s="19">
        <f>i_W_var*D375</f>
        <v/>
      </c>
      <c r="E377" s="19">
        <f>i_W_var*E375</f>
        <v/>
      </c>
      <c r="F377" s="19">
        <f>i_W_var*F375</f>
        <v/>
      </c>
      <c r="G377" s="19">
        <f>i_W_var*G375</f>
        <v/>
      </c>
      <c r="H377" s="19">
        <f>i_W_var*H375</f>
        <v/>
      </c>
      <c r="I377" s="19">
        <f>i_W_var*I375</f>
        <v/>
      </c>
      <c r="J377" s="19">
        <f>i_W_var*J375</f>
        <v/>
      </c>
      <c r="K377" s="19">
        <f>i_W_var*K375</f>
        <v/>
      </c>
      <c r="L377" s="19">
        <f>i_W_var*L375</f>
        <v/>
      </c>
      <c r="M377" s="19">
        <f>i_W_var*M375</f>
        <v/>
      </c>
      <c r="N377" s="19">
        <f>i_W_var*N375</f>
        <v/>
      </c>
      <c r="O377" s="19">
        <f>i_W_var*O375</f>
        <v/>
      </c>
      <c r="P377" s="19">
        <f>i_W_var*P375</f>
        <v/>
      </c>
      <c r="Q377" s="19">
        <f>i_W_var*Q375</f>
        <v/>
      </c>
      <c r="R377" s="19">
        <f>i_W_var*R375</f>
        <v/>
      </c>
      <c r="S377" s="19">
        <f>i_W_var*S375</f>
        <v/>
      </c>
      <c r="T377" s="19">
        <f>i_W_var*T375</f>
        <v/>
      </c>
      <c r="U377" s="19">
        <f>i_W_var*U375</f>
        <v/>
      </c>
      <c r="V377" s="19">
        <f>i_W_var*V375</f>
        <v/>
      </c>
      <c r="W377" s="19">
        <f>i_W_var*W375</f>
        <v/>
      </c>
      <c r="X377" s="19">
        <f>i_W_var*X375</f>
        <v/>
      </c>
      <c r="Y377" s="19">
        <f>i_W_var*Y375</f>
        <v/>
      </c>
      <c r="Z377" s="19">
        <f>i_W_var*Z375</f>
        <v/>
      </c>
      <c r="AA377" s="19">
        <f>i_W_var*AA375</f>
        <v/>
      </c>
      <c r="AB377" s="19">
        <f>i_W_var*AB375</f>
        <v/>
      </c>
      <c r="AC377" s="19">
        <f>i_W_var*AC375</f>
        <v/>
      </c>
      <c r="AD377" s="19">
        <f>i_W_var*AD375</f>
        <v/>
      </c>
      <c r="AE377" s="19">
        <f>i_W_var*AE375</f>
        <v/>
      </c>
      <c r="AF377" s="19">
        <f>i_W_var*AF375</f>
        <v/>
      </c>
      <c r="AG377" s="19">
        <f>i_W_var*AG375</f>
        <v/>
      </c>
      <c r="AH377" s="19">
        <f>i_W_var*AH375</f>
        <v/>
      </c>
      <c r="AI377" s="19">
        <f>i_W_var*AI375</f>
        <v/>
      </c>
    </row>
    <row r="378">
      <c r="B378" s="2" t="inlineStr">
        <is>
          <t xml:space="preserve">  Concession fee</t>
        </is>
      </c>
      <c r="D378" s="19">
        <f>IF(AND(Sensitivities!$C$359=1,D$3&gt;i_conc_end),i_renew_fee,i_W_fee)*D375</f>
        <v/>
      </c>
      <c r="E378" s="19">
        <f>IF(AND(Sensitivities!$C$359=1,E$3&gt;i_conc_end),i_renew_fee,i_W_fee)*E375</f>
        <v/>
      </c>
      <c r="F378" s="19">
        <f>IF(AND(Sensitivities!$C$359=1,F$3&gt;i_conc_end),i_renew_fee,i_W_fee)*F375</f>
        <v/>
      </c>
      <c r="G378" s="19">
        <f>IF(AND(Sensitivities!$C$359=1,G$3&gt;i_conc_end),i_renew_fee,i_W_fee)*G375</f>
        <v/>
      </c>
      <c r="H378" s="19">
        <f>IF(AND(Sensitivities!$C$359=1,H$3&gt;i_conc_end),i_renew_fee,i_W_fee)*H375</f>
        <v/>
      </c>
      <c r="I378" s="19">
        <f>IF(AND(Sensitivities!$C$359=1,I$3&gt;i_conc_end),i_renew_fee,i_W_fee)*I375</f>
        <v/>
      </c>
      <c r="J378" s="19">
        <f>IF(AND(Sensitivities!$C$359=1,J$3&gt;i_conc_end),i_renew_fee,i_W_fee)*J375</f>
        <v/>
      </c>
      <c r="K378" s="19">
        <f>IF(AND(Sensitivities!$C$359=1,K$3&gt;i_conc_end),i_renew_fee,i_W_fee)*K375</f>
        <v/>
      </c>
      <c r="L378" s="19">
        <f>IF(AND(Sensitivities!$C$359=1,L$3&gt;i_conc_end),i_renew_fee,i_W_fee)*L375</f>
        <v/>
      </c>
      <c r="M378" s="19">
        <f>IF(AND(Sensitivities!$C$359=1,M$3&gt;i_conc_end),i_renew_fee,i_W_fee)*M375</f>
        <v/>
      </c>
      <c r="N378" s="19">
        <f>IF(AND(Sensitivities!$C$359=1,N$3&gt;i_conc_end),i_renew_fee,i_W_fee)*N375</f>
        <v/>
      </c>
      <c r="O378" s="19">
        <f>IF(AND(Sensitivities!$C$359=1,O$3&gt;i_conc_end),i_renew_fee,i_W_fee)*O375</f>
        <v/>
      </c>
      <c r="P378" s="19">
        <f>IF(AND(Sensitivities!$C$359=1,P$3&gt;i_conc_end),i_renew_fee,i_W_fee)*P375</f>
        <v/>
      </c>
      <c r="Q378" s="19">
        <f>IF(AND(Sensitivities!$C$359=1,Q$3&gt;i_conc_end),i_renew_fee,i_W_fee)*Q375</f>
        <v/>
      </c>
      <c r="R378" s="19">
        <f>IF(AND(Sensitivities!$C$359=1,R$3&gt;i_conc_end),i_renew_fee,i_W_fee)*R375</f>
        <v/>
      </c>
      <c r="S378" s="19">
        <f>IF(AND(Sensitivities!$C$359=1,S$3&gt;i_conc_end),i_renew_fee,i_W_fee)*S375</f>
        <v/>
      </c>
      <c r="T378" s="19">
        <f>IF(AND(Sensitivities!$C$359=1,T$3&gt;i_conc_end),i_renew_fee,i_W_fee)*T375</f>
        <v/>
      </c>
      <c r="U378" s="19">
        <f>IF(AND(Sensitivities!$C$359=1,U$3&gt;i_conc_end),i_renew_fee,i_W_fee)*U375</f>
        <v/>
      </c>
      <c r="V378" s="19">
        <f>IF(AND(Sensitivities!$C$359=1,V$3&gt;i_conc_end),i_renew_fee,i_W_fee)*V375</f>
        <v/>
      </c>
      <c r="W378" s="19">
        <f>IF(AND(Sensitivities!$C$359=1,W$3&gt;i_conc_end),i_renew_fee,i_W_fee)*W375</f>
        <v/>
      </c>
      <c r="X378" s="19">
        <f>IF(AND(Sensitivities!$C$359=1,X$3&gt;i_conc_end),i_renew_fee,i_W_fee)*X375</f>
        <v/>
      </c>
      <c r="Y378" s="19">
        <f>IF(AND(Sensitivities!$C$359=1,Y$3&gt;i_conc_end),i_renew_fee,i_W_fee)*Y375</f>
        <v/>
      </c>
      <c r="Z378" s="19">
        <f>IF(AND(Sensitivities!$C$359=1,Z$3&gt;i_conc_end),i_renew_fee,i_W_fee)*Z375</f>
        <v/>
      </c>
      <c r="AA378" s="19">
        <f>IF(AND(Sensitivities!$C$359=1,AA$3&gt;i_conc_end),i_renew_fee,i_W_fee)*AA375</f>
        <v/>
      </c>
      <c r="AB378" s="19">
        <f>IF(AND(Sensitivities!$C$359=1,AB$3&gt;i_conc_end),i_renew_fee,i_W_fee)*AB375</f>
        <v/>
      </c>
      <c r="AC378" s="19">
        <f>IF(AND(Sensitivities!$C$359=1,AC$3&gt;i_conc_end),i_renew_fee,i_W_fee)*AC375</f>
        <v/>
      </c>
      <c r="AD378" s="19">
        <f>IF(AND(Sensitivities!$C$359=1,AD$3&gt;i_conc_end),i_renew_fee,i_W_fee)*AD375</f>
        <v/>
      </c>
      <c r="AE378" s="19">
        <f>IF(AND(Sensitivities!$C$359=1,AE$3&gt;i_conc_end),i_renew_fee,i_W_fee)*AE375</f>
        <v/>
      </c>
      <c r="AF378" s="19">
        <f>IF(AND(Sensitivities!$C$359=1,AF$3&gt;i_conc_end),i_renew_fee,i_W_fee)*AF375</f>
        <v/>
      </c>
      <c r="AG378" s="19">
        <f>IF(AND(Sensitivities!$C$359=1,AG$3&gt;i_conc_end),i_renew_fee,i_W_fee)*AG375</f>
        <v/>
      </c>
      <c r="AH378" s="19">
        <f>IF(AND(Sensitivities!$C$359=1,AH$3&gt;i_conc_end),i_renew_fee,i_W_fee)*AH375</f>
        <v/>
      </c>
      <c r="AI378" s="19">
        <f>IF(AND(Sensitivities!$C$359=1,AI$3&gt;i_conc_end),i_renew_fee,i_W_fee)*AI375</f>
        <v/>
      </c>
    </row>
    <row r="379">
      <c r="B379" s="2" t="inlineStr">
        <is>
          <t xml:space="preserve">  Operating cost</t>
        </is>
      </c>
      <c r="D379" s="19">
        <f>D376+D377+D378</f>
        <v/>
      </c>
      <c r="E379" s="19">
        <f>E376+E377+E378</f>
        <v/>
      </c>
      <c r="F379" s="19">
        <f>F376+F377+F378</f>
        <v/>
      </c>
      <c r="G379" s="19">
        <f>G376+G377+G378</f>
        <v/>
      </c>
      <c r="H379" s="19">
        <f>H376+H377+H378</f>
        <v/>
      </c>
      <c r="I379" s="19">
        <f>I376+I377+I378</f>
        <v/>
      </c>
      <c r="J379" s="19">
        <f>J376+J377+J378</f>
        <v/>
      </c>
      <c r="K379" s="19">
        <f>K376+K377+K378</f>
        <v/>
      </c>
      <c r="L379" s="19">
        <f>L376+L377+L378</f>
        <v/>
      </c>
      <c r="M379" s="19">
        <f>M376+M377+M378</f>
        <v/>
      </c>
      <c r="N379" s="19">
        <f>N376+N377+N378</f>
        <v/>
      </c>
      <c r="O379" s="19">
        <f>O376+O377+O378</f>
        <v/>
      </c>
      <c r="P379" s="19">
        <f>P376+P377+P378</f>
        <v/>
      </c>
      <c r="Q379" s="19">
        <f>Q376+Q377+Q378</f>
        <v/>
      </c>
      <c r="R379" s="19">
        <f>R376+R377+R378</f>
        <v/>
      </c>
      <c r="S379" s="19">
        <f>S376+S377+S378</f>
        <v/>
      </c>
      <c r="T379" s="19">
        <f>T376+T377+T378</f>
        <v/>
      </c>
      <c r="U379" s="19">
        <f>U376+U377+U378</f>
        <v/>
      </c>
      <c r="V379" s="19">
        <f>V376+V377+V378</f>
        <v/>
      </c>
      <c r="W379" s="19">
        <f>W376+W377+W378</f>
        <v/>
      </c>
      <c r="X379" s="19">
        <f>X376+X377+X378</f>
        <v/>
      </c>
      <c r="Y379" s="19">
        <f>Y376+Y377+Y378</f>
        <v/>
      </c>
      <c r="Z379" s="19">
        <f>Z376+Z377+Z378</f>
        <v/>
      </c>
      <c r="AA379" s="19">
        <f>AA376+AA377+AA378</f>
        <v/>
      </c>
      <c r="AB379" s="19">
        <f>AB376+AB377+AB378</f>
        <v/>
      </c>
      <c r="AC379" s="19">
        <f>AC376+AC377+AC378</f>
        <v/>
      </c>
      <c r="AD379" s="19">
        <f>AD376+AD377+AD378</f>
        <v/>
      </c>
      <c r="AE379" s="19">
        <f>AE376+AE377+AE378</f>
        <v/>
      </c>
      <c r="AF379" s="19">
        <f>AF376+AF377+AF378</f>
        <v/>
      </c>
      <c r="AG379" s="19">
        <f>AG376+AG377+AG378</f>
        <v/>
      </c>
      <c r="AH379" s="19">
        <f>AH376+AH377+AH378</f>
        <v/>
      </c>
      <c r="AI379" s="19">
        <f>AI376+AI377+AI378</f>
        <v/>
      </c>
    </row>
    <row r="380">
      <c r="B380" s="3" t="inlineStr">
        <is>
          <t xml:space="preserve">  EBITDA</t>
        </is>
      </c>
      <c r="D380" s="31">
        <f>D375-D379</f>
        <v/>
      </c>
      <c r="E380" s="31">
        <f>E375-E379</f>
        <v/>
      </c>
      <c r="F380" s="31">
        <f>F375-F379</f>
        <v/>
      </c>
      <c r="G380" s="31">
        <f>G375-G379</f>
        <v/>
      </c>
      <c r="H380" s="31">
        <f>H375-H379</f>
        <v/>
      </c>
      <c r="I380" s="31">
        <f>I375-I379</f>
        <v/>
      </c>
      <c r="J380" s="31">
        <f>J375-J379</f>
        <v/>
      </c>
      <c r="K380" s="31">
        <f>K375-K379</f>
        <v/>
      </c>
      <c r="L380" s="31">
        <f>L375-L379</f>
        <v/>
      </c>
      <c r="M380" s="31">
        <f>M375-M379</f>
        <v/>
      </c>
      <c r="N380" s="31">
        <f>N375-N379</f>
        <v/>
      </c>
      <c r="O380" s="31">
        <f>O375-O379</f>
        <v/>
      </c>
      <c r="P380" s="31">
        <f>P375-P379</f>
        <v/>
      </c>
      <c r="Q380" s="31">
        <f>Q375-Q379</f>
        <v/>
      </c>
      <c r="R380" s="31">
        <f>R375-R379</f>
        <v/>
      </c>
      <c r="S380" s="31">
        <f>S375-S379</f>
        <v/>
      </c>
      <c r="T380" s="31">
        <f>T375-T379</f>
        <v/>
      </c>
      <c r="U380" s="31">
        <f>U375-U379</f>
        <v/>
      </c>
      <c r="V380" s="31">
        <f>V375-V379</f>
        <v/>
      </c>
      <c r="W380" s="31">
        <f>W375-W379</f>
        <v/>
      </c>
      <c r="X380" s="31">
        <f>X375-X379</f>
        <v/>
      </c>
      <c r="Y380" s="31">
        <f>Y375-Y379</f>
        <v/>
      </c>
      <c r="Z380" s="31">
        <f>Z375-Z379</f>
        <v/>
      </c>
      <c r="AA380" s="31">
        <f>AA375-AA379</f>
        <v/>
      </c>
      <c r="AB380" s="31">
        <f>AB375-AB379</f>
        <v/>
      </c>
      <c r="AC380" s="31">
        <f>AC375-AC379</f>
        <v/>
      </c>
      <c r="AD380" s="31">
        <f>AD375-AD379</f>
        <v/>
      </c>
      <c r="AE380" s="31">
        <f>AE375-AE379</f>
        <v/>
      </c>
      <c r="AF380" s="31">
        <f>AF375-AF379</f>
        <v/>
      </c>
      <c r="AG380" s="31">
        <f>AG375-AG379</f>
        <v/>
      </c>
      <c r="AH380" s="31">
        <f>AH375-AH379</f>
        <v/>
      </c>
      <c r="AI380" s="31">
        <f>AI375-AI379</f>
        <v/>
      </c>
    </row>
    <row r="381">
      <c r="B381" s="2" t="inlineStr">
        <is>
          <t xml:space="preserve">  Maintenance capex (with jetty 3)</t>
        </is>
      </c>
      <c r="D381" s="19">
        <f>D366*i_W_mc*D362+D365*Sensitivities!$C$354*SUMIF(i_jetty_years,D$3,i_jetty_vals)*D362</f>
        <v/>
      </c>
      <c r="E381" s="19">
        <f>E366*i_W_mc*E362+E365*Sensitivities!$C$354*SUMIF(i_jetty_years,E$3,i_jetty_vals)*E362</f>
        <v/>
      </c>
      <c r="F381" s="19">
        <f>F366*i_W_mc*F362+F365*Sensitivities!$C$354*SUMIF(i_jetty_years,F$3,i_jetty_vals)*F362</f>
        <v/>
      </c>
      <c r="G381" s="19">
        <f>G366*i_W_mc*G362+G365*Sensitivities!$C$354*SUMIF(i_jetty_years,G$3,i_jetty_vals)*G362</f>
        <v/>
      </c>
      <c r="H381" s="19">
        <f>H366*i_W_mc*H362+H365*Sensitivities!$C$354*SUMIF(i_jetty_years,H$3,i_jetty_vals)*H362</f>
        <v/>
      </c>
      <c r="I381" s="19">
        <f>I366*i_W_mc*I362+I365*Sensitivities!$C$354*SUMIF(i_jetty_years,I$3,i_jetty_vals)*I362</f>
        <v/>
      </c>
      <c r="J381" s="19">
        <f>J366*i_W_mc*J362+J365*Sensitivities!$C$354*SUMIF(i_jetty_years,J$3,i_jetty_vals)*J362</f>
        <v/>
      </c>
      <c r="K381" s="19">
        <f>K366*i_W_mc*K362+K365*Sensitivities!$C$354*SUMIF(i_jetty_years,K$3,i_jetty_vals)*K362</f>
        <v/>
      </c>
      <c r="L381" s="19">
        <f>L366*i_W_mc*L362+L365*Sensitivities!$C$354*SUMIF(i_jetty_years,L$3,i_jetty_vals)*L362</f>
        <v/>
      </c>
      <c r="M381" s="19">
        <f>M366*i_W_mc*M362+M365*Sensitivities!$C$354*SUMIF(i_jetty_years,M$3,i_jetty_vals)*M362</f>
        <v/>
      </c>
      <c r="N381" s="19">
        <f>N366*i_W_mc*N362+N365*Sensitivities!$C$354*SUMIF(i_jetty_years,N$3,i_jetty_vals)*N362</f>
        <v/>
      </c>
      <c r="O381" s="19">
        <f>O366*i_W_mc*O362+O365*Sensitivities!$C$354*SUMIF(i_jetty_years,O$3,i_jetty_vals)*O362</f>
        <v/>
      </c>
      <c r="P381" s="19">
        <f>P366*i_W_mc*P362+P365*Sensitivities!$C$354*SUMIF(i_jetty_years,P$3,i_jetty_vals)*P362</f>
        <v/>
      </c>
      <c r="Q381" s="19">
        <f>Q366*i_W_mc*Q362+Q365*Sensitivities!$C$354*SUMIF(i_jetty_years,Q$3,i_jetty_vals)*Q362</f>
        <v/>
      </c>
      <c r="R381" s="19">
        <f>R366*i_W_mc*R362+R365*Sensitivities!$C$354*SUMIF(i_jetty_years,R$3,i_jetty_vals)*R362</f>
        <v/>
      </c>
      <c r="S381" s="19">
        <f>S366*i_W_mc*S362+S365*Sensitivities!$C$354*SUMIF(i_jetty_years,S$3,i_jetty_vals)*S362</f>
        <v/>
      </c>
      <c r="T381" s="19">
        <f>T366*i_W_mc*T362+T365*Sensitivities!$C$354*SUMIF(i_jetty_years,T$3,i_jetty_vals)*T362</f>
        <v/>
      </c>
      <c r="U381" s="19">
        <f>U366*i_W_mc*U362+U365*Sensitivities!$C$354*SUMIF(i_jetty_years,U$3,i_jetty_vals)*U362</f>
        <v/>
      </c>
      <c r="V381" s="19">
        <f>V366*i_W_mc*V362+V365*Sensitivities!$C$354*SUMIF(i_jetty_years,V$3,i_jetty_vals)*V362</f>
        <v/>
      </c>
      <c r="W381" s="19">
        <f>W366*i_W_mc*W362+W365*Sensitivities!$C$354*SUMIF(i_jetty_years,W$3,i_jetty_vals)*W362</f>
        <v/>
      </c>
      <c r="X381" s="19">
        <f>X366*i_W_mc*X362+X365*Sensitivities!$C$354*SUMIF(i_jetty_years,X$3,i_jetty_vals)*X362</f>
        <v/>
      </c>
      <c r="Y381" s="19">
        <f>Y366*i_W_mc*Y362+Y365*Sensitivities!$C$354*SUMIF(i_jetty_years,Y$3,i_jetty_vals)*Y362</f>
        <v/>
      </c>
      <c r="Z381" s="19">
        <f>Z366*i_W_mc*Z362+Z365*Sensitivities!$C$354*SUMIF(i_jetty_years,Z$3,i_jetty_vals)*Z362</f>
        <v/>
      </c>
      <c r="AA381" s="19">
        <f>AA366*i_W_mc*AA362+AA365*Sensitivities!$C$354*SUMIF(i_jetty_years,AA$3,i_jetty_vals)*AA362</f>
        <v/>
      </c>
      <c r="AB381" s="19">
        <f>AB366*i_W_mc*AB362+AB365*Sensitivities!$C$354*SUMIF(i_jetty_years,AB$3,i_jetty_vals)*AB362</f>
        <v/>
      </c>
      <c r="AC381" s="19">
        <f>AC366*i_W_mc*AC362+AC365*Sensitivities!$C$354*SUMIF(i_jetty_years,AC$3,i_jetty_vals)*AC362</f>
        <v/>
      </c>
      <c r="AD381" s="19">
        <f>AD366*i_W_mc*AD362+AD365*Sensitivities!$C$354*SUMIF(i_jetty_years,AD$3,i_jetty_vals)*AD362</f>
        <v/>
      </c>
      <c r="AE381" s="19">
        <f>AE366*i_W_mc*AE362+AE365*Sensitivities!$C$354*SUMIF(i_jetty_years,AE$3,i_jetty_vals)*AE362</f>
        <v/>
      </c>
      <c r="AF381" s="19">
        <f>AF366*i_W_mc*AF362+AF365*Sensitivities!$C$354*SUMIF(i_jetty_years,AF$3,i_jetty_vals)*AF362</f>
        <v/>
      </c>
      <c r="AG381" s="19">
        <f>AG366*i_W_mc*AG362+AG365*Sensitivities!$C$354*SUMIF(i_jetty_years,AG$3,i_jetty_vals)*AG362</f>
        <v/>
      </c>
      <c r="AH381" s="19">
        <f>AH366*i_W_mc*AH362+AH365*Sensitivities!$C$354*SUMIF(i_jetty_years,AH$3,i_jetty_vals)*AH362</f>
        <v/>
      </c>
      <c r="AI381" s="19">
        <f>AI366*i_W_mc*AI362+AI365*Sensitivities!$C$354*SUMIF(i_jetty_years,AI$3,i_jetty_vals)*AI362</f>
        <v/>
      </c>
    </row>
    <row r="382">
      <c r="B382" s="3" t="inlineStr">
        <is>
          <t>Rhine Inland</t>
        </is>
      </c>
    </row>
    <row r="383">
      <c r="B383" s="2" t="inlineStr">
        <is>
          <t xml:space="preserve">  Capacity in service (million m3)</t>
        </is>
      </c>
      <c r="D383" s="24">
        <f>i_R_cap</f>
        <v/>
      </c>
      <c r="E383" s="24">
        <f>i_R_cap</f>
        <v/>
      </c>
      <c r="F383" s="24">
        <f>i_R_cap</f>
        <v/>
      </c>
      <c r="G383" s="24">
        <f>i_R_cap</f>
        <v/>
      </c>
      <c r="H383" s="24">
        <f>i_R_cap</f>
        <v/>
      </c>
      <c r="I383" s="24">
        <f>i_R_cap</f>
        <v/>
      </c>
      <c r="J383" s="24">
        <f>i_R_cap</f>
        <v/>
      </c>
      <c r="K383" s="24">
        <f>i_R_cap</f>
        <v/>
      </c>
      <c r="L383" s="24">
        <f>i_R_cap</f>
        <v/>
      </c>
      <c r="M383" s="24">
        <f>i_R_cap</f>
        <v/>
      </c>
      <c r="N383" s="24">
        <f>i_R_cap</f>
        <v/>
      </c>
      <c r="O383" s="24">
        <f>i_R_cap</f>
        <v/>
      </c>
      <c r="P383" s="24">
        <f>i_R_cap</f>
        <v/>
      </c>
      <c r="Q383" s="24">
        <f>i_R_cap</f>
        <v/>
      </c>
      <c r="R383" s="24">
        <f>i_R_cap</f>
        <v/>
      </c>
      <c r="S383" s="24">
        <f>i_R_cap</f>
        <v/>
      </c>
      <c r="T383" s="24">
        <f>i_R_cap</f>
        <v/>
      </c>
      <c r="U383" s="24">
        <f>i_R_cap</f>
        <v/>
      </c>
      <c r="V383" s="24">
        <f>i_R_cap</f>
        <v/>
      </c>
      <c r="W383" s="24">
        <f>i_R_cap</f>
        <v/>
      </c>
      <c r="X383" s="24">
        <f>i_R_cap</f>
        <v/>
      </c>
      <c r="Y383" s="24">
        <f>i_R_cap</f>
        <v/>
      </c>
      <c r="Z383" s="24">
        <f>i_R_cap</f>
        <v/>
      </c>
      <c r="AA383" s="24">
        <f>i_R_cap</f>
        <v/>
      </c>
      <c r="AB383" s="24">
        <f>i_R_cap</f>
        <v/>
      </c>
      <c r="AC383" s="24">
        <f>i_R_cap</f>
        <v/>
      </c>
      <c r="AD383" s="24">
        <f>i_R_cap</f>
        <v/>
      </c>
      <c r="AE383" s="24">
        <f>i_R_cap</f>
        <v/>
      </c>
      <c r="AF383" s="24">
        <f>i_R_cap</f>
        <v/>
      </c>
      <c r="AG383" s="24">
        <f>i_R_cap</f>
        <v/>
      </c>
      <c r="AH383" s="24">
        <f>i_R_cap</f>
        <v/>
      </c>
      <c r="AI383" s="24">
        <f>i_R_cap</f>
        <v/>
      </c>
    </row>
    <row r="384">
      <c r="B384" s="2" t="inlineStr">
        <is>
          <t xml:space="preserve">  Share on contracts signed before 2027</t>
        </is>
      </c>
      <c r="D384" s="21">
        <f>SUMIF(i_book_years,D$3,i_R_book)</f>
        <v/>
      </c>
      <c r="E384" s="21">
        <f>SUMIF(i_book_years,E$3,i_R_book)</f>
        <v/>
      </c>
      <c r="F384" s="21">
        <f>SUMIF(i_book_years,F$3,i_R_book)</f>
        <v/>
      </c>
      <c r="G384" s="21">
        <f>SUMIF(i_book_years,G$3,i_R_book)</f>
        <v/>
      </c>
      <c r="H384" s="21">
        <f>SUMIF(i_book_years,H$3,i_R_book)</f>
        <v/>
      </c>
      <c r="I384" s="21">
        <f>SUMIF(i_book_years,I$3,i_R_book)</f>
        <v/>
      </c>
      <c r="J384" s="21">
        <f>SUMIF(i_book_years,J$3,i_R_book)</f>
        <v/>
      </c>
      <c r="K384" s="21">
        <f>SUMIF(i_book_years,K$3,i_R_book)</f>
        <v/>
      </c>
      <c r="L384" s="21">
        <f>SUMIF(i_book_years,L$3,i_R_book)</f>
        <v/>
      </c>
      <c r="M384" s="21">
        <f>SUMIF(i_book_years,M$3,i_R_book)</f>
        <v/>
      </c>
      <c r="N384" s="21">
        <f>SUMIF(i_book_years,N$3,i_R_book)</f>
        <v/>
      </c>
      <c r="O384" s="21">
        <f>SUMIF(i_book_years,O$3,i_R_book)</f>
        <v/>
      </c>
      <c r="P384" s="21">
        <f>SUMIF(i_book_years,P$3,i_R_book)</f>
        <v/>
      </c>
      <c r="Q384" s="21">
        <f>SUMIF(i_book_years,Q$3,i_R_book)</f>
        <v/>
      </c>
      <c r="R384" s="21">
        <f>SUMIF(i_book_years,R$3,i_R_book)</f>
        <v/>
      </c>
      <c r="S384" s="21">
        <f>SUMIF(i_book_years,S$3,i_R_book)</f>
        <v/>
      </c>
      <c r="T384" s="21">
        <f>SUMIF(i_book_years,T$3,i_R_book)</f>
        <v/>
      </c>
      <c r="U384" s="21">
        <f>SUMIF(i_book_years,U$3,i_R_book)</f>
        <v/>
      </c>
      <c r="V384" s="21">
        <f>SUMIF(i_book_years,V$3,i_R_book)</f>
        <v/>
      </c>
      <c r="W384" s="21">
        <f>SUMIF(i_book_years,W$3,i_R_book)</f>
        <v/>
      </c>
      <c r="X384" s="21">
        <f>SUMIF(i_book_years,X$3,i_R_book)</f>
        <v/>
      </c>
      <c r="Y384" s="21">
        <f>SUMIF(i_book_years,Y$3,i_R_book)</f>
        <v/>
      </c>
      <c r="Z384" s="21">
        <f>SUMIF(i_book_years,Z$3,i_R_book)</f>
        <v/>
      </c>
      <c r="AA384" s="21">
        <f>SUMIF(i_book_years,AA$3,i_R_book)</f>
        <v/>
      </c>
      <c r="AB384" s="21">
        <f>SUMIF(i_book_years,AB$3,i_R_book)</f>
        <v/>
      </c>
      <c r="AC384" s="21">
        <f>SUMIF(i_book_years,AC$3,i_R_book)</f>
        <v/>
      </c>
      <c r="AD384" s="21">
        <f>SUMIF(i_book_years,AD$3,i_R_book)</f>
        <v/>
      </c>
      <c r="AE384" s="21">
        <f>SUMIF(i_book_years,AE$3,i_R_book)</f>
        <v/>
      </c>
      <c r="AF384" s="21">
        <f>SUMIF(i_book_years,AF$3,i_R_book)</f>
        <v/>
      </c>
      <c r="AG384" s="21">
        <f>SUMIF(i_book_years,AG$3,i_R_book)</f>
        <v/>
      </c>
      <c r="AH384" s="21">
        <f>SUMIF(i_book_years,AH$3,i_R_book)</f>
        <v/>
      </c>
      <c r="AI384" s="21">
        <f>SUMIF(i_book_years,AI$3,i_R_book)</f>
        <v/>
      </c>
    </row>
    <row r="385">
      <c r="B385" s="2" t="inlineStr">
        <is>
          <t xml:space="preserve">  Recontracting factor against current rates</t>
        </is>
      </c>
      <c r="D385" s="21">
        <f>IF(D$4=0,0,IF(Sensitivities!$C$352=1,i_R_mtm,i_R_mtm_plan)+Sensitivities!$C$358)</f>
        <v/>
      </c>
      <c r="E385" s="21">
        <f>IF(E$4=0,0,IF(Sensitivities!$C$352=1,i_R_mtm,i_R_mtm_plan)+Sensitivities!$C$358)</f>
        <v/>
      </c>
      <c r="F385" s="21">
        <f>IF(F$4=0,0,IF(Sensitivities!$C$352=1,i_R_mtm,i_R_mtm_plan)+Sensitivities!$C$358)</f>
        <v/>
      </c>
      <c r="G385" s="21">
        <f>IF(G$4=0,0,IF(Sensitivities!$C$352=1,i_R_mtm,i_R_mtm_plan)+Sensitivities!$C$358)</f>
        <v/>
      </c>
      <c r="H385" s="21">
        <f>IF(H$4=0,0,IF(Sensitivities!$C$352=1,i_R_mtm,i_R_mtm_plan)+Sensitivities!$C$358)</f>
        <v/>
      </c>
      <c r="I385" s="21">
        <f>IF(I$4=0,0,IF(Sensitivities!$C$352=1,i_R_mtm,i_R_mtm_plan)+Sensitivities!$C$358)</f>
        <v/>
      </c>
      <c r="J385" s="21">
        <f>IF(J$4=0,0,IF(Sensitivities!$C$352=1,i_R_mtm,i_R_mtm_plan)+Sensitivities!$C$358)</f>
        <v/>
      </c>
      <c r="K385" s="21">
        <f>IF(K$4=0,0,IF(Sensitivities!$C$352=1,i_R_mtm,i_R_mtm_plan)+Sensitivities!$C$358)</f>
        <v/>
      </c>
      <c r="L385" s="21">
        <f>IF(L$4=0,0,IF(Sensitivities!$C$352=1,i_R_mtm,i_R_mtm_plan)+Sensitivities!$C$358)</f>
        <v/>
      </c>
      <c r="M385" s="21">
        <f>IF(M$4=0,0,IF(Sensitivities!$C$352=1,i_R_mtm,i_R_mtm_plan)+Sensitivities!$C$358)</f>
        <v/>
      </c>
      <c r="N385" s="21">
        <f>IF(N$4=0,0,IF(Sensitivities!$C$352=1,i_R_mtm,i_R_mtm_plan)+Sensitivities!$C$358)</f>
        <v/>
      </c>
      <c r="O385" s="21">
        <f>IF(O$4=0,0,IF(Sensitivities!$C$352=1,i_R_mtm,i_R_mtm_plan)+Sensitivities!$C$358)</f>
        <v/>
      </c>
      <c r="P385" s="21">
        <f>IF(P$4=0,0,IF(Sensitivities!$C$352=1,i_R_mtm,i_R_mtm_plan)+Sensitivities!$C$358)</f>
        <v/>
      </c>
      <c r="Q385" s="21">
        <f>IF(Q$4=0,0,IF(Sensitivities!$C$352=1,i_R_mtm,i_R_mtm_plan)+Sensitivities!$C$358)</f>
        <v/>
      </c>
      <c r="R385" s="21">
        <f>IF(R$4=0,0,IF(Sensitivities!$C$352=1,i_R_mtm,i_R_mtm_plan)+Sensitivities!$C$358)</f>
        <v/>
      </c>
      <c r="S385" s="21">
        <f>IF(S$4=0,0,IF(Sensitivities!$C$352=1,i_R_mtm,i_R_mtm_plan)+Sensitivities!$C$358)</f>
        <v/>
      </c>
      <c r="T385" s="21">
        <f>IF(T$4=0,0,IF(Sensitivities!$C$352=1,i_R_mtm,i_R_mtm_plan)+Sensitivities!$C$358)</f>
        <v/>
      </c>
      <c r="U385" s="21">
        <f>IF(U$4=0,0,IF(Sensitivities!$C$352=1,i_R_mtm,i_R_mtm_plan)+Sensitivities!$C$358)</f>
        <v/>
      </c>
      <c r="V385" s="21">
        <f>IF(V$4=0,0,IF(Sensitivities!$C$352=1,i_R_mtm,i_R_mtm_plan)+Sensitivities!$C$358)</f>
        <v/>
      </c>
      <c r="W385" s="21">
        <f>IF(W$4=0,0,IF(Sensitivities!$C$352=1,i_R_mtm,i_R_mtm_plan)+Sensitivities!$C$358)</f>
        <v/>
      </c>
      <c r="X385" s="21">
        <f>IF(X$4=0,0,IF(Sensitivities!$C$352=1,i_R_mtm,i_R_mtm_plan)+Sensitivities!$C$358)</f>
        <v/>
      </c>
      <c r="Y385" s="21">
        <f>IF(Y$4=0,0,IF(Sensitivities!$C$352=1,i_R_mtm,i_R_mtm_plan)+Sensitivities!$C$358)</f>
        <v/>
      </c>
      <c r="Z385" s="21">
        <f>IF(Z$4=0,0,IF(Sensitivities!$C$352=1,i_R_mtm,i_R_mtm_plan)+Sensitivities!$C$358)</f>
        <v/>
      </c>
      <c r="AA385" s="21">
        <f>IF(AA$4=0,0,IF(Sensitivities!$C$352=1,i_R_mtm,i_R_mtm_plan)+Sensitivities!$C$358)</f>
        <v/>
      </c>
      <c r="AB385" s="21">
        <f>IF(AB$4=0,0,IF(Sensitivities!$C$352=1,i_R_mtm,i_R_mtm_plan)+Sensitivities!$C$358)</f>
        <v/>
      </c>
      <c r="AC385" s="21">
        <f>IF(AC$4=0,0,IF(Sensitivities!$C$352=1,i_R_mtm,i_R_mtm_plan)+Sensitivities!$C$358)</f>
        <v/>
      </c>
      <c r="AD385" s="21">
        <f>IF(AD$4=0,0,IF(Sensitivities!$C$352=1,i_R_mtm,i_R_mtm_plan)+Sensitivities!$C$358)</f>
        <v/>
      </c>
      <c r="AE385" s="21">
        <f>IF(AE$4=0,0,IF(Sensitivities!$C$352=1,i_R_mtm,i_R_mtm_plan)+Sensitivities!$C$358)</f>
        <v/>
      </c>
      <c r="AF385" s="21">
        <f>IF(AF$4=0,0,IF(Sensitivities!$C$352=1,i_R_mtm,i_R_mtm_plan)+Sensitivities!$C$358)</f>
        <v/>
      </c>
      <c r="AG385" s="21">
        <f>IF(AG$4=0,0,IF(Sensitivities!$C$352=1,i_R_mtm,i_R_mtm_plan)+Sensitivities!$C$358)</f>
        <v/>
      </c>
      <c r="AH385" s="21">
        <f>IF(AH$4=0,0,IF(Sensitivities!$C$352=1,i_R_mtm,i_R_mtm_plan)+Sensitivities!$C$358)</f>
        <v/>
      </c>
      <c r="AI385" s="21">
        <f>IF(AI$4=0,0,IF(Sensitivities!$C$352=1,i_R_mtm,i_R_mtm_plan)+Sensitivities!$C$358)</f>
        <v/>
      </c>
    </row>
    <row r="386">
      <c r="B386" s="2" t="inlineStr">
        <is>
          <t xml:space="preserve">  Average rate ($ per m3 per month)</t>
        </is>
      </c>
      <c r="D386" s="24">
        <f>i_R_rate*D363*(D384+(1-D384)*(1+D385))</f>
        <v/>
      </c>
      <c r="E386" s="24">
        <f>i_R_rate*E363*(E384+(1-E384)*(1+E385))</f>
        <v/>
      </c>
      <c r="F386" s="24">
        <f>i_R_rate*F363*(F384+(1-F384)*(1+F385))</f>
        <v/>
      </c>
      <c r="G386" s="24">
        <f>i_R_rate*G363*(G384+(1-G384)*(1+G385))</f>
        <v/>
      </c>
      <c r="H386" s="24">
        <f>i_R_rate*H363*(H384+(1-H384)*(1+H385))</f>
        <v/>
      </c>
      <c r="I386" s="24">
        <f>i_R_rate*I363*(I384+(1-I384)*(1+I385))</f>
        <v/>
      </c>
      <c r="J386" s="24">
        <f>i_R_rate*J363*(J384+(1-J384)*(1+J385))</f>
        <v/>
      </c>
      <c r="K386" s="24">
        <f>i_R_rate*K363*(K384+(1-K384)*(1+K385))</f>
        <v/>
      </c>
      <c r="L386" s="24">
        <f>i_R_rate*L363*(L384+(1-L384)*(1+L385))</f>
        <v/>
      </c>
      <c r="M386" s="24">
        <f>i_R_rate*M363*(M384+(1-M384)*(1+M385))</f>
        <v/>
      </c>
      <c r="N386" s="24">
        <f>i_R_rate*N363*(N384+(1-N384)*(1+N385))</f>
        <v/>
      </c>
      <c r="O386" s="24">
        <f>i_R_rate*O363*(O384+(1-O384)*(1+O385))</f>
        <v/>
      </c>
      <c r="P386" s="24">
        <f>i_R_rate*P363*(P384+(1-P384)*(1+P385))</f>
        <v/>
      </c>
      <c r="Q386" s="24">
        <f>i_R_rate*Q363*(Q384+(1-Q384)*(1+Q385))</f>
        <v/>
      </c>
      <c r="R386" s="24">
        <f>i_R_rate*R363*(R384+(1-R384)*(1+R385))</f>
        <v/>
      </c>
      <c r="S386" s="24">
        <f>i_R_rate*S363*(S384+(1-S384)*(1+S385))</f>
        <v/>
      </c>
      <c r="T386" s="24">
        <f>i_R_rate*T363*(T384+(1-T384)*(1+T385))</f>
        <v/>
      </c>
      <c r="U386" s="24">
        <f>i_R_rate*U363*(U384+(1-U384)*(1+U385))</f>
        <v/>
      </c>
      <c r="V386" s="24">
        <f>i_R_rate*V363*(V384+(1-V384)*(1+V385))</f>
        <v/>
      </c>
      <c r="W386" s="24">
        <f>i_R_rate*W363*(W384+(1-W384)*(1+W385))</f>
        <v/>
      </c>
      <c r="X386" s="24">
        <f>i_R_rate*X363*(X384+(1-X384)*(1+X385))</f>
        <v/>
      </c>
      <c r="Y386" s="24">
        <f>i_R_rate*Y363*(Y384+(1-Y384)*(1+Y385))</f>
        <v/>
      </c>
      <c r="Z386" s="24">
        <f>i_R_rate*Z363*(Z384+(1-Z384)*(1+Z385))</f>
        <v/>
      </c>
      <c r="AA386" s="24">
        <f>i_R_rate*AA363*(AA384+(1-AA384)*(1+AA385))</f>
        <v/>
      </c>
      <c r="AB386" s="24">
        <f>i_R_rate*AB363*(AB384+(1-AB384)*(1+AB385))</f>
        <v/>
      </c>
      <c r="AC386" s="24">
        <f>i_R_rate*AC363*(AC384+(1-AC384)*(1+AC385))</f>
        <v/>
      </c>
      <c r="AD386" s="24">
        <f>i_R_rate*AD363*(AD384+(1-AD384)*(1+AD385))</f>
        <v/>
      </c>
      <c r="AE386" s="24">
        <f>i_R_rate*AE363*(AE384+(1-AE384)*(1+AE385))</f>
        <v/>
      </c>
      <c r="AF386" s="24">
        <f>i_R_rate*AF363*(AF384+(1-AF384)*(1+AF385))</f>
        <v/>
      </c>
      <c r="AG386" s="24">
        <f>i_R_rate*AG363*(AG384+(1-AG384)*(1+AG385))</f>
        <v/>
      </c>
      <c r="AH386" s="24">
        <f>i_R_rate*AH363*(AH384+(1-AH384)*(1+AH385))</f>
        <v/>
      </c>
      <c r="AI386" s="24">
        <f>i_R_rate*AI363*(AI384+(1-AI384)*(1+AI385))</f>
        <v/>
      </c>
    </row>
    <row r="387">
      <c r="B387" s="2" t="inlineStr">
        <is>
          <t xml:space="preserve">  Occupancy after the transition decline and floor</t>
        </is>
      </c>
      <c r="D387" s="21">
        <f>IF(D$3&gt;i_trans_start,MAX(i_R_floor,i_R_occ-i_R_dec*(D$3-i_trans_start)),i_R_occ)</f>
        <v/>
      </c>
      <c r="E387" s="21">
        <f>IF(E$3&gt;i_trans_start,MAX(i_R_floor,i_R_occ-i_R_dec*(E$3-i_trans_start)),i_R_occ)</f>
        <v/>
      </c>
      <c r="F387" s="21">
        <f>IF(F$3&gt;i_trans_start,MAX(i_R_floor,i_R_occ-i_R_dec*(F$3-i_trans_start)),i_R_occ)</f>
        <v/>
      </c>
      <c r="G387" s="21">
        <f>IF(G$3&gt;i_trans_start,MAX(i_R_floor,i_R_occ-i_R_dec*(G$3-i_trans_start)),i_R_occ)</f>
        <v/>
      </c>
      <c r="H387" s="21">
        <f>IF(H$3&gt;i_trans_start,MAX(i_R_floor,i_R_occ-i_R_dec*(H$3-i_trans_start)),i_R_occ)</f>
        <v/>
      </c>
      <c r="I387" s="21">
        <f>IF(I$3&gt;i_trans_start,MAX(i_R_floor,i_R_occ-i_R_dec*(I$3-i_trans_start)),i_R_occ)</f>
        <v/>
      </c>
      <c r="J387" s="21">
        <f>IF(J$3&gt;i_trans_start,MAX(i_R_floor,i_R_occ-i_R_dec*(J$3-i_trans_start)),i_R_occ)</f>
        <v/>
      </c>
      <c r="K387" s="21">
        <f>IF(K$3&gt;i_trans_start,MAX(i_R_floor,i_R_occ-i_R_dec*(K$3-i_trans_start)),i_R_occ)</f>
        <v/>
      </c>
      <c r="L387" s="21">
        <f>IF(L$3&gt;i_trans_start,MAX(i_R_floor,i_R_occ-i_R_dec*(L$3-i_trans_start)),i_R_occ)</f>
        <v/>
      </c>
      <c r="M387" s="21">
        <f>IF(M$3&gt;i_trans_start,MAX(i_R_floor,i_R_occ-i_R_dec*(M$3-i_trans_start)),i_R_occ)</f>
        <v/>
      </c>
      <c r="N387" s="21">
        <f>IF(N$3&gt;i_trans_start,MAX(i_R_floor,i_R_occ-i_R_dec*(N$3-i_trans_start)),i_R_occ)</f>
        <v/>
      </c>
      <c r="O387" s="21">
        <f>IF(O$3&gt;i_trans_start,MAX(i_R_floor,i_R_occ-i_R_dec*(O$3-i_trans_start)),i_R_occ)</f>
        <v/>
      </c>
      <c r="P387" s="21">
        <f>IF(P$3&gt;i_trans_start,MAX(i_R_floor,i_R_occ-i_R_dec*(P$3-i_trans_start)),i_R_occ)</f>
        <v/>
      </c>
      <c r="Q387" s="21">
        <f>IF(Q$3&gt;i_trans_start,MAX(i_R_floor,i_R_occ-i_R_dec*(Q$3-i_trans_start)),i_R_occ)</f>
        <v/>
      </c>
      <c r="R387" s="21">
        <f>IF(R$3&gt;i_trans_start,MAX(i_R_floor,i_R_occ-i_R_dec*(R$3-i_trans_start)),i_R_occ)</f>
        <v/>
      </c>
      <c r="S387" s="21">
        <f>IF(S$3&gt;i_trans_start,MAX(i_R_floor,i_R_occ-i_R_dec*(S$3-i_trans_start)),i_R_occ)</f>
        <v/>
      </c>
      <c r="T387" s="21">
        <f>IF(T$3&gt;i_trans_start,MAX(i_R_floor,i_R_occ-i_R_dec*(T$3-i_trans_start)),i_R_occ)</f>
        <v/>
      </c>
      <c r="U387" s="21">
        <f>IF(U$3&gt;i_trans_start,MAX(i_R_floor,i_R_occ-i_R_dec*(U$3-i_trans_start)),i_R_occ)</f>
        <v/>
      </c>
      <c r="V387" s="21">
        <f>IF(V$3&gt;i_trans_start,MAX(i_R_floor,i_R_occ-i_R_dec*(V$3-i_trans_start)),i_R_occ)</f>
        <v/>
      </c>
      <c r="W387" s="21">
        <f>IF(W$3&gt;i_trans_start,MAX(i_R_floor,i_R_occ-i_R_dec*(W$3-i_trans_start)),i_R_occ)</f>
        <v/>
      </c>
      <c r="X387" s="21">
        <f>IF(X$3&gt;i_trans_start,MAX(i_R_floor,i_R_occ-i_R_dec*(X$3-i_trans_start)),i_R_occ)</f>
        <v/>
      </c>
      <c r="Y387" s="21">
        <f>IF(Y$3&gt;i_trans_start,MAX(i_R_floor,i_R_occ-i_R_dec*(Y$3-i_trans_start)),i_R_occ)</f>
        <v/>
      </c>
      <c r="Z387" s="21">
        <f>IF(Z$3&gt;i_trans_start,MAX(i_R_floor,i_R_occ-i_R_dec*(Z$3-i_trans_start)),i_R_occ)</f>
        <v/>
      </c>
      <c r="AA387" s="21">
        <f>IF(AA$3&gt;i_trans_start,MAX(i_R_floor,i_R_occ-i_R_dec*(AA$3-i_trans_start)),i_R_occ)</f>
        <v/>
      </c>
      <c r="AB387" s="21">
        <f>IF(AB$3&gt;i_trans_start,MAX(i_R_floor,i_R_occ-i_R_dec*(AB$3-i_trans_start)),i_R_occ)</f>
        <v/>
      </c>
      <c r="AC387" s="21">
        <f>IF(AC$3&gt;i_trans_start,MAX(i_R_floor,i_R_occ-i_R_dec*(AC$3-i_trans_start)),i_R_occ)</f>
        <v/>
      </c>
      <c r="AD387" s="21">
        <f>IF(AD$3&gt;i_trans_start,MAX(i_R_floor,i_R_occ-i_R_dec*(AD$3-i_trans_start)),i_R_occ)</f>
        <v/>
      </c>
      <c r="AE387" s="21">
        <f>IF(AE$3&gt;i_trans_start,MAX(i_R_floor,i_R_occ-i_R_dec*(AE$3-i_trans_start)),i_R_occ)</f>
        <v/>
      </c>
      <c r="AF387" s="21">
        <f>IF(AF$3&gt;i_trans_start,MAX(i_R_floor,i_R_occ-i_R_dec*(AF$3-i_trans_start)),i_R_occ)</f>
        <v/>
      </c>
      <c r="AG387" s="21">
        <f>IF(AG$3&gt;i_trans_start,MAX(i_R_floor,i_R_occ-i_R_dec*(AG$3-i_trans_start)),i_R_occ)</f>
        <v/>
      </c>
      <c r="AH387" s="21">
        <f>IF(AH$3&gt;i_trans_start,MAX(i_R_floor,i_R_occ-i_R_dec*(AH$3-i_trans_start)),i_R_occ)</f>
        <v/>
      </c>
      <c r="AI387" s="21">
        <f>IF(AI$3&gt;i_trans_start,MAX(i_R_floor,i_R_occ-i_R_dec*(AI$3-i_trans_start)),i_R_occ)</f>
        <v/>
      </c>
    </row>
    <row r="388">
      <c r="B388" s="2" t="inlineStr">
        <is>
          <t xml:space="preserve">  Occupancy (with the shift switch from 2027)</t>
        </is>
      </c>
      <c r="D388" s="21">
        <f>IF(D$4&gt;0,MIN(1,D387+Sensitivities!$C$357),D387)</f>
        <v/>
      </c>
      <c r="E388" s="21">
        <f>IF(E$4&gt;0,MIN(1,E387+Sensitivities!$C$357),E387)</f>
        <v/>
      </c>
      <c r="F388" s="21">
        <f>IF(F$4&gt;0,MIN(1,F387+Sensitivities!$C$357),F387)</f>
        <v/>
      </c>
      <c r="G388" s="21">
        <f>IF(G$4&gt;0,MIN(1,G387+Sensitivities!$C$357),G387)</f>
        <v/>
      </c>
      <c r="H388" s="21">
        <f>IF(H$4&gt;0,MIN(1,H387+Sensitivities!$C$357),H387)</f>
        <v/>
      </c>
      <c r="I388" s="21">
        <f>IF(I$4&gt;0,MIN(1,I387+Sensitivities!$C$357),I387)</f>
        <v/>
      </c>
      <c r="J388" s="21">
        <f>IF(J$4&gt;0,MIN(1,J387+Sensitivities!$C$357),J387)</f>
        <v/>
      </c>
      <c r="K388" s="21">
        <f>IF(K$4&gt;0,MIN(1,K387+Sensitivities!$C$357),K387)</f>
        <v/>
      </c>
      <c r="L388" s="21">
        <f>IF(L$4&gt;0,MIN(1,L387+Sensitivities!$C$357),L387)</f>
        <v/>
      </c>
      <c r="M388" s="21">
        <f>IF(M$4&gt;0,MIN(1,M387+Sensitivities!$C$357),M387)</f>
        <v/>
      </c>
      <c r="N388" s="21">
        <f>IF(N$4&gt;0,MIN(1,N387+Sensitivities!$C$357),N387)</f>
        <v/>
      </c>
      <c r="O388" s="21">
        <f>IF(O$4&gt;0,MIN(1,O387+Sensitivities!$C$357),O387)</f>
        <v/>
      </c>
      <c r="P388" s="21">
        <f>IF(P$4&gt;0,MIN(1,P387+Sensitivities!$C$357),P387)</f>
        <v/>
      </c>
      <c r="Q388" s="21">
        <f>IF(Q$4&gt;0,MIN(1,Q387+Sensitivities!$C$357),Q387)</f>
        <v/>
      </c>
      <c r="R388" s="21">
        <f>IF(R$4&gt;0,MIN(1,R387+Sensitivities!$C$357),R387)</f>
        <v/>
      </c>
      <c r="S388" s="21">
        <f>IF(S$4&gt;0,MIN(1,S387+Sensitivities!$C$357),S387)</f>
        <v/>
      </c>
      <c r="T388" s="21">
        <f>IF(T$4&gt;0,MIN(1,T387+Sensitivities!$C$357),T387)</f>
        <v/>
      </c>
      <c r="U388" s="21">
        <f>IF(U$4&gt;0,MIN(1,U387+Sensitivities!$C$357),U387)</f>
        <v/>
      </c>
      <c r="V388" s="21">
        <f>IF(V$4&gt;0,MIN(1,V387+Sensitivities!$C$357),V387)</f>
        <v/>
      </c>
      <c r="W388" s="21">
        <f>IF(W$4&gt;0,MIN(1,W387+Sensitivities!$C$357),W387)</f>
        <v/>
      </c>
      <c r="X388" s="21">
        <f>IF(X$4&gt;0,MIN(1,X387+Sensitivities!$C$357),X387)</f>
        <v/>
      </c>
      <c r="Y388" s="21">
        <f>IF(Y$4&gt;0,MIN(1,Y387+Sensitivities!$C$357),Y387)</f>
        <v/>
      </c>
      <c r="Z388" s="21">
        <f>IF(Z$4&gt;0,MIN(1,Z387+Sensitivities!$C$357),Z387)</f>
        <v/>
      </c>
      <c r="AA388" s="21">
        <f>IF(AA$4&gt;0,MIN(1,AA387+Sensitivities!$C$357),AA387)</f>
        <v/>
      </c>
      <c r="AB388" s="21">
        <f>IF(AB$4&gt;0,MIN(1,AB387+Sensitivities!$C$357),AB387)</f>
        <v/>
      </c>
      <c r="AC388" s="21">
        <f>IF(AC$4&gt;0,MIN(1,AC387+Sensitivities!$C$357),AC387)</f>
        <v/>
      </c>
      <c r="AD388" s="21">
        <f>IF(AD$4&gt;0,MIN(1,AD387+Sensitivities!$C$357),AD387)</f>
        <v/>
      </c>
      <c r="AE388" s="21">
        <f>IF(AE$4&gt;0,MIN(1,AE387+Sensitivities!$C$357),AE387)</f>
        <v/>
      </c>
      <c r="AF388" s="21">
        <f>IF(AF$4&gt;0,MIN(1,AF387+Sensitivities!$C$357),AF387)</f>
        <v/>
      </c>
      <c r="AG388" s="21">
        <f>IF(AG$4&gt;0,MIN(1,AG387+Sensitivities!$C$357),AG387)</f>
        <v/>
      </c>
      <c r="AH388" s="21">
        <f>IF(AH$4&gt;0,MIN(1,AH387+Sensitivities!$C$357),AH387)</f>
        <v/>
      </c>
      <c r="AI388" s="21">
        <f>IF(AI$4&gt;0,MIN(1,AI387+Sensitivities!$C$357),AI387)</f>
        <v/>
      </c>
    </row>
    <row r="389">
      <c r="B389" s="2" t="inlineStr">
        <is>
          <t xml:space="preserve">  Storage revenue</t>
        </is>
      </c>
      <c r="D389" s="19">
        <f>D383*D386*12*D388</f>
        <v/>
      </c>
      <c r="E389" s="19">
        <f>E383*E386*12*E388</f>
        <v/>
      </c>
      <c r="F389" s="19">
        <f>F383*F386*12*F388</f>
        <v/>
      </c>
      <c r="G389" s="19">
        <f>G383*G386*12*G388</f>
        <v/>
      </c>
      <c r="H389" s="19">
        <f>H383*H386*12*H388</f>
        <v/>
      </c>
      <c r="I389" s="19">
        <f>I383*I386*12*I388</f>
        <v/>
      </c>
      <c r="J389" s="19">
        <f>J383*J386*12*J388</f>
        <v/>
      </c>
      <c r="K389" s="19">
        <f>K383*K386*12*K388</f>
        <v/>
      </c>
      <c r="L389" s="19">
        <f>L383*L386*12*L388</f>
        <v/>
      </c>
      <c r="M389" s="19">
        <f>M383*M386*12*M388</f>
        <v/>
      </c>
      <c r="N389" s="19">
        <f>N383*N386*12*N388</f>
        <v/>
      </c>
      <c r="O389" s="19">
        <f>O383*O386*12*O388</f>
        <v/>
      </c>
      <c r="P389" s="19">
        <f>P383*P386*12*P388</f>
        <v/>
      </c>
      <c r="Q389" s="19">
        <f>Q383*Q386*12*Q388</f>
        <v/>
      </c>
      <c r="R389" s="19">
        <f>R383*R386*12*R388</f>
        <v/>
      </c>
      <c r="S389" s="19">
        <f>S383*S386*12*S388</f>
        <v/>
      </c>
      <c r="T389" s="19">
        <f>T383*T386*12*T388</f>
        <v/>
      </c>
      <c r="U389" s="19">
        <f>U383*U386*12*U388</f>
        <v/>
      </c>
      <c r="V389" s="19">
        <f>V383*V386*12*V388</f>
        <v/>
      </c>
      <c r="W389" s="19">
        <f>W383*W386*12*W388</f>
        <v/>
      </c>
      <c r="X389" s="19">
        <f>X383*X386*12*X388</f>
        <v/>
      </c>
      <c r="Y389" s="19">
        <f>Y383*Y386*12*Y388</f>
        <v/>
      </c>
      <c r="Z389" s="19">
        <f>Z383*Z386*12*Z388</f>
        <v/>
      </c>
      <c r="AA389" s="19">
        <f>AA383*AA386*12*AA388</f>
        <v/>
      </c>
      <c r="AB389" s="19">
        <f>AB383*AB386*12*AB388</f>
        <v/>
      </c>
      <c r="AC389" s="19">
        <f>AC383*AC386*12*AC388</f>
        <v/>
      </c>
      <c r="AD389" s="19">
        <f>AD383*AD386*12*AD388</f>
        <v/>
      </c>
      <c r="AE389" s="19">
        <f>AE383*AE386*12*AE388</f>
        <v/>
      </c>
      <c r="AF389" s="19">
        <f>AF383*AF386*12*AF388</f>
        <v/>
      </c>
      <c r="AG389" s="19">
        <f>AG383*AG386*12*AG388</f>
        <v/>
      </c>
      <c r="AH389" s="19">
        <f>AH383*AH386*12*AH388</f>
        <v/>
      </c>
      <c r="AI389" s="19">
        <f>AI383*AI386*12*AI388</f>
        <v/>
      </c>
    </row>
    <row r="390">
      <c r="B390" s="2" t="inlineStr">
        <is>
          <t xml:space="preserve">  Ancillary and throughput revenue</t>
        </is>
      </c>
      <c r="D390" s="19">
        <f>D389*i_R_anc</f>
        <v/>
      </c>
      <c r="E390" s="19">
        <f>E389*i_R_anc</f>
        <v/>
      </c>
      <c r="F390" s="19">
        <f>F389*i_R_anc</f>
        <v/>
      </c>
      <c r="G390" s="19">
        <f>G389*i_R_anc</f>
        <v/>
      </c>
      <c r="H390" s="19">
        <f>H389*i_R_anc</f>
        <v/>
      </c>
      <c r="I390" s="19">
        <f>I389*i_R_anc</f>
        <v/>
      </c>
      <c r="J390" s="19">
        <f>J389*i_R_anc</f>
        <v/>
      </c>
      <c r="K390" s="19">
        <f>K389*i_R_anc</f>
        <v/>
      </c>
      <c r="L390" s="19">
        <f>L389*i_R_anc</f>
        <v/>
      </c>
      <c r="M390" s="19">
        <f>M389*i_R_anc</f>
        <v/>
      </c>
      <c r="N390" s="19">
        <f>N389*i_R_anc</f>
        <v/>
      </c>
      <c r="O390" s="19">
        <f>O389*i_R_anc</f>
        <v/>
      </c>
      <c r="P390" s="19">
        <f>P389*i_R_anc</f>
        <v/>
      </c>
      <c r="Q390" s="19">
        <f>Q389*i_R_anc</f>
        <v/>
      </c>
      <c r="R390" s="19">
        <f>R389*i_R_anc</f>
        <v/>
      </c>
      <c r="S390" s="19">
        <f>S389*i_R_anc</f>
        <v/>
      </c>
      <c r="T390" s="19">
        <f>T389*i_R_anc</f>
        <v/>
      </c>
      <c r="U390" s="19">
        <f>U389*i_R_anc</f>
        <v/>
      </c>
      <c r="V390" s="19">
        <f>V389*i_R_anc</f>
        <v/>
      </c>
      <c r="W390" s="19">
        <f>W389*i_R_anc</f>
        <v/>
      </c>
      <c r="X390" s="19">
        <f>X389*i_R_anc</f>
        <v/>
      </c>
      <c r="Y390" s="19">
        <f>Y389*i_R_anc</f>
        <v/>
      </c>
      <c r="Z390" s="19">
        <f>Z389*i_R_anc</f>
        <v/>
      </c>
      <c r="AA390" s="19">
        <f>AA389*i_R_anc</f>
        <v/>
      </c>
      <c r="AB390" s="19">
        <f>AB389*i_R_anc</f>
        <v/>
      </c>
      <c r="AC390" s="19">
        <f>AC389*i_R_anc</f>
        <v/>
      </c>
      <c r="AD390" s="19">
        <f>AD389*i_R_anc</f>
        <v/>
      </c>
      <c r="AE390" s="19">
        <f>AE389*i_R_anc</f>
        <v/>
      </c>
      <c r="AF390" s="19">
        <f>AF389*i_R_anc</f>
        <v/>
      </c>
      <c r="AG390" s="19">
        <f>AG389*i_R_anc</f>
        <v/>
      </c>
      <c r="AH390" s="19">
        <f>AH389*i_R_anc</f>
        <v/>
      </c>
      <c r="AI390" s="19">
        <f>AI389*i_R_anc</f>
        <v/>
      </c>
    </row>
    <row r="391">
      <c r="B391" s="3" t="inlineStr">
        <is>
          <t xml:space="preserve">  Revenue</t>
        </is>
      </c>
      <c r="D391" s="31">
        <f>D389+D390</f>
        <v/>
      </c>
      <c r="E391" s="31">
        <f>E389+E390</f>
        <v/>
      </c>
      <c r="F391" s="31">
        <f>F389+F390</f>
        <v/>
      </c>
      <c r="G391" s="31">
        <f>G389+G390</f>
        <v/>
      </c>
      <c r="H391" s="31">
        <f>H389+H390</f>
        <v/>
      </c>
      <c r="I391" s="31">
        <f>I389+I390</f>
        <v/>
      </c>
      <c r="J391" s="31">
        <f>J389+J390</f>
        <v/>
      </c>
      <c r="K391" s="31">
        <f>K389+K390</f>
        <v/>
      </c>
      <c r="L391" s="31">
        <f>L389+L390</f>
        <v/>
      </c>
      <c r="M391" s="31">
        <f>M389+M390</f>
        <v/>
      </c>
      <c r="N391" s="31">
        <f>N389+N390</f>
        <v/>
      </c>
      <c r="O391" s="31">
        <f>O389+O390</f>
        <v/>
      </c>
      <c r="P391" s="31">
        <f>P389+P390</f>
        <v/>
      </c>
      <c r="Q391" s="31">
        <f>Q389+Q390</f>
        <v/>
      </c>
      <c r="R391" s="31">
        <f>R389+R390</f>
        <v/>
      </c>
      <c r="S391" s="31">
        <f>S389+S390</f>
        <v/>
      </c>
      <c r="T391" s="31">
        <f>T389+T390</f>
        <v/>
      </c>
      <c r="U391" s="31">
        <f>U389+U390</f>
        <v/>
      </c>
      <c r="V391" s="31">
        <f>V389+V390</f>
        <v/>
      </c>
      <c r="W391" s="31">
        <f>W389+W390</f>
        <v/>
      </c>
      <c r="X391" s="31">
        <f>X389+X390</f>
        <v/>
      </c>
      <c r="Y391" s="31">
        <f>Y389+Y390</f>
        <v/>
      </c>
      <c r="Z391" s="31">
        <f>Z389+Z390</f>
        <v/>
      </c>
      <c r="AA391" s="31">
        <f>AA389+AA390</f>
        <v/>
      </c>
      <c r="AB391" s="31">
        <f>AB389+AB390</f>
        <v/>
      </c>
      <c r="AC391" s="31">
        <f>AC389+AC390</f>
        <v/>
      </c>
      <c r="AD391" s="31">
        <f>AD389+AD390</f>
        <v/>
      </c>
      <c r="AE391" s="31">
        <f>AE389+AE390</f>
        <v/>
      </c>
      <c r="AF391" s="31">
        <f>AF389+AF390</f>
        <v/>
      </c>
      <c r="AG391" s="31">
        <f>AG389+AG390</f>
        <v/>
      </c>
      <c r="AH391" s="31">
        <f>AH389+AH390</f>
        <v/>
      </c>
      <c r="AI391" s="31">
        <f>AI389+AI390</f>
        <v/>
      </c>
    </row>
    <row r="392">
      <c r="B392" s="2" t="inlineStr">
        <is>
          <t xml:space="preserve">  Fixed cost</t>
        </is>
      </c>
      <c r="D392" s="19">
        <f>D383*i_R_fix*D362</f>
        <v/>
      </c>
      <c r="E392" s="19">
        <f>E383*i_R_fix*E362</f>
        <v/>
      </c>
      <c r="F392" s="19">
        <f>F383*i_R_fix*F362</f>
        <v/>
      </c>
      <c r="G392" s="19">
        <f>G383*i_R_fix*G362</f>
        <v/>
      </c>
      <c r="H392" s="19">
        <f>H383*i_R_fix*H362</f>
        <v/>
      </c>
      <c r="I392" s="19">
        <f>I383*i_R_fix*I362</f>
        <v/>
      </c>
      <c r="J392" s="19">
        <f>J383*i_R_fix*J362</f>
        <v/>
      </c>
      <c r="K392" s="19">
        <f>K383*i_R_fix*K362</f>
        <v/>
      </c>
      <c r="L392" s="19">
        <f>L383*i_R_fix*L362</f>
        <v/>
      </c>
      <c r="M392" s="19">
        <f>M383*i_R_fix*M362</f>
        <v/>
      </c>
      <c r="N392" s="19">
        <f>N383*i_R_fix*N362</f>
        <v/>
      </c>
      <c r="O392" s="19">
        <f>O383*i_R_fix*O362</f>
        <v/>
      </c>
      <c r="P392" s="19">
        <f>P383*i_R_fix*P362</f>
        <v/>
      </c>
      <c r="Q392" s="19">
        <f>Q383*i_R_fix*Q362</f>
        <v/>
      </c>
      <c r="R392" s="19">
        <f>R383*i_R_fix*R362</f>
        <v/>
      </c>
      <c r="S392" s="19">
        <f>S383*i_R_fix*S362</f>
        <v/>
      </c>
      <c r="T392" s="19">
        <f>T383*i_R_fix*T362</f>
        <v/>
      </c>
      <c r="U392" s="19">
        <f>U383*i_R_fix*U362</f>
        <v/>
      </c>
      <c r="V392" s="19">
        <f>V383*i_R_fix*V362</f>
        <v/>
      </c>
      <c r="W392" s="19">
        <f>W383*i_R_fix*W362</f>
        <v/>
      </c>
      <c r="X392" s="19">
        <f>X383*i_R_fix*X362</f>
        <v/>
      </c>
      <c r="Y392" s="19">
        <f>Y383*i_R_fix*Y362</f>
        <v/>
      </c>
      <c r="Z392" s="19">
        <f>Z383*i_R_fix*Z362</f>
        <v/>
      </c>
      <c r="AA392" s="19">
        <f>AA383*i_R_fix*AA362</f>
        <v/>
      </c>
      <c r="AB392" s="19">
        <f>AB383*i_R_fix*AB362</f>
        <v/>
      </c>
      <c r="AC392" s="19">
        <f>AC383*i_R_fix*AC362</f>
        <v/>
      </c>
      <c r="AD392" s="19">
        <f>AD383*i_R_fix*AD362</f>
        <v/>
      </c>
      <c r="AE392" s="19">
        <f>AE383*i_R_fix*AE362</f>
        <v/>
      </c>
      <c r="AF392" s="19">
        <f>AF383*i_R_fix*AF362</f>
        <v/>
      </c>
      <c r="AG392" s="19">
        <f>AG383*i_R_fix*AG362</f>
        <v/>
      </c>
      <c r="AH392" s="19">
        <f>AH383*i_R_fix*AH362</f>
        <v/>
      </c>
      <c r="AI392" s="19">
        <f>AI383*i_R_fix*AI362</f>
        <v/>
      </c>
    </row>
    <row r="393">
      <c r="B393" s="2" t="inlineStr">
        <is>
          <t xml:space="preserve">  Variable cost</t>
        </is>
      </c>
      <c r="D393" s="19">
        <f>i_R_var*D391</f>
        <v/>
      </c>
      <c r="E393" s="19">
        <f>i_R_var*E391</f>
        <v/>
      </c>
      <c r="F393" s="19">
        <f>i_R_var*F391</f>
        <v/>
      </c>
      <c r="G393" s="19">
        <f>i_R_var*G391</f>
        <v/>
      </c>
      <c r="H393" s="19">
        <f>i_R_var*H391</f>
        <v/>
      </c>
      <c r="I393" s="19">
        <f>i_R_var*I391</f>
        <v/>
      </c>
      <c r="J393" s="19">
        <f>i_R_var*J391</f>
        <v/>
      </c>
      <c r="K393" s="19">
        <f>i_R_var*K391</f>
        <v/>
      </c>
      <c r="L393" s="19">
        <f>i_R_var*L391</f>
        <v/>
      </c>
      <c r="M393" s="19">
        <f>i_R_var*M391</f>
        <v/>
      </c>
      <c r="N393" s="19">
        <f>i_R_var*N391</f>
        <v/>
      </c>
      <c r="O393" s="19">
        <f>i_R_var*O391</f>
        <v/>
      </c>
      <c r="P393" s="19">
        <f>i_R_var*P391</f>
        <v/>
      </c>
      <c r="Q393" s="19">
        <f>i_R_var*Q391</f>
        <v/>
      </c>
      <c r="R393" s="19">
        <f>i_R_var*R391</f>
        <v/>
      </c>
      <c r="S393" s="19">
        <f>i_R_var*S391</f>
        <v/>
      </c>
      <c r="T393" s="19">
        <f>i_R_var*T391</f>
        <v/>
      </c>
      <c r="U393" s="19">
        <f>i_R_var*U391</f>
        <v/>
      </c>
      <c r="V393" s="19">
        <f>i_R_var*V391</f>
        <v/>
      </c>
      <c r="W393" s="19">
        <f>i_R_var*W391</f>
        <v/>
      </c>
      <c r="X393" s="19">
        <f>i_R_var*X391</f>
        <v/>
      </c>
      <c r="Y393" s="19">
        <f>i_R_var*Y391</f>
        <v/>
      </c>
      <c r="Z393" s="19">
        <f>i_R_var*Z391</f>
        <v/>
      </c>
      <c r="AA393" s="19">
        <f>i_R_var*AA391</f>
        <v/>
      </c>
      <c r="AB393" s="19">
        <f>i_R_var*AB391</f>
        <v/>
      </c>
      <c r="AC393" s="19">
        <f>i_R_var*AC391</f>
        <v/>
      </c>
      <c r="AD393" s="19">
        <f>i_R_var*AD391</f>
        <v/>
      </c>
      <c r="AE393" s="19">
        <f>i_R_var*AE391</f>
        <v/>
      </c>
      <c r="AF393" s="19">
        <f>i_R_var*AF391</f>
        <v/>
      </c>
      <c r="AG393" s="19">
        <f>i_R_var*AG391</f>
        <v/>
      </c>
      <c r="AH393" s="19">
        <f>i_R_var*AH391</f>
        <v/>
      </c>
      <c r="AI393" s="19">
        <f>i_R_var*AI391</f>
        <v/>
      </c>
    </row>
    <row r="394">
      <c r="B394" s="2" t="inlineStr">
        <is>
          <t xml:space="preserve">  Operating cost</t>
        </is>
      </c>
      <c r="D394" s="19">
        <f>D392+D393</f>
        <v/>
      </c>
      <c r="E394" s="19">
        <f>E392+E393</f>
        <v/>
      </c>
      <c r="F394" s="19">
        <f>F392+F393</f>
        <v/>
      </c>
      <c r="G394" s="19">
        <f>G392+G393</f>
        <v/>
      </c>
      <c r="H394" s="19">
        <f>H392+H393</f>
        <v/>
      </c>
      <c r="I394" s="19">
        <f>I392+I393</f>
        <v/>
      </c>
      <c r="J394" s="19">
        <f>J392+J393</f>
        <v/>
      </c>
      <c r="K394" s="19">
        <f>K392+K393</f>
        <v/>
      </c>
      <c r="L394" s="19">
        <f>L392+L393</f>
        <v/>
      </c>
      <c r="M394" s="19">
        <f>M392+M393</f>
        <v/>
      </c>
      <c r="N394" s="19">
        <f>N392+N393</f>
        <v/>
      </c>
      <c r="O394" s="19">
        <f>O392+O393</f>
        <v/>
      </c>
      <c r="P394" s="19">
        <f>P392+P393</f>
        <v/>
      </c>
      <c r="Q394" s="19">
        <f>Q392+Q393</f>
        <v/>
      </c>
      <c r="R394" s="19">
        <f>R392+R393</f>
        <v/>
      </c>
      <c r="S394" s="19">
        <f>S392+S393</f>
        <v/>
      </c>
      <c r="T394" s="19">
        <f>T392+T393</f>
        <v/>
      </c>
      <c r="U394" s="19">
        <f>U392+U393</f>
        <v/>
      </c>
      <c r="V394" s="19">
        <f>V392+V393</f>
        <v/>
      </c>
      <c r="W394" s="19">
        <f>W392+W393</f>
        <v/>
      </c>
      <c r="X394" s="19">
        <f>X392+X393</f>
        <v/>
      </c>
      <c r="Y394" s="19">
        <f>Y392+Y393</f>
        <v/>
      </c>
      <c r="Z394" s="19">
        <f>Z392+Z393</f>
        <v/>
      </c>
      <c r="AA394" s="19">
        <f>AA392+AA393</f>
        <v/>
      </c>
      <c r="AB394" s="19">
        <f>AB392+AB393</f>
        <v/>
      </c>
      <c r="AC394" s="19">
        <f>AC392+AC393</f>
        <v/>
      </c>
      <c r="AD394" s="19">
        <f>AD392+AD393</f>
        <v/>
      </c>
      <c r="AE394" s="19">
        <f>AE392+AE393</f>
        <v/>
      </c>
      <c r="AF394" s="19">
        <f>AF392+AF393</f>
        <v/>
      </c>
      <c r="AG394" s="19">
        <f>AG392+AG393</f>
        <v/>
      </c>
      <c r="AH394" s="19">
        <f>AH392+AH393</f>
        <v/>
      </c>
      <c r="AI394" s="19">
        <f>AI392+AI393</f>
        <v/>
      </c>
    </row>
    <row r="395">
      <c r="B395" s="3" t="inlineStr">
        <is>
          <t xml:space="preserve">  EBITDA</t>
        </is>
      </c>
      <c r="D395" s="31">
        <f>D391-D394</f>
        <v/>
      </c>
      <c r="E395" s="31">
        <f>E391-E394</f>
        <v/>
      </c>
      <c r="F395" s="31">
        <f>F391-F394</f>
        <v/>
      </c>
      <c r="G395" s="31">
        <f>G391-G394</f>
        <v/>
      </c>
      <c r="H395" s="31">
        <f>H391-H394</f>
        <v/>
      </c>
      <c r="I395" s="31">
        <f>I391-I394</f>
        <v/>
      </c>
      <c r="J395" s="31">
        <f>J391-J394</f>
        <v/>
      </c>
      <c r="K395" s="31">
        <f>K391-K394</f>
        <v/>
      </c>
      <c r="L395" s="31">
        <f>L391-L394</f>
        <v/>
      </c>
      <c r="M395" s="31">
        <f>M391-M394</f>
        <v/>
      </c>
      <c r="N395" s="31">
        <f>N391-N394</f>
        <v/>
      </c>
      <c r="O395" s="31">
        <f>O391-O394</f>
        <v/>
      </c>
      <c r="P395" s="31">
        <f>P391-P394</f>
        <v/>
      </c>
      <c r="Q395" s="31">
        <f>Q391-Q394</f>
        <v/>
      </c>
      <c r="R395" s="31">
        <f>R391-R394</f>
        <v/>
      </c>
      <c r="S395" s="31">
        <f>S391-S394</f>
        <v/>
      </c>
      <c r="T395" s="31">
        <f>T391-T394</f>
        <v/>
      </c>
      <c r="U395" s="31">
        <f>U391-U394</f>
        <v/>
      </c>
      <c r="V395" s="31">
        <f>V391-V394</f>
        <v/>
      </c>
      <c r="W395" s="31">
        <f>W391-W394</f>
        <v/>
      </c>
      <c r="X395" s="31">
        <f>X391-X394</f>
        <v/>
      </c>
      <c r="Y395" s="31">
        <f>Y391-Y394</f>
        <v/>
      </c>
      <c r="Z395" s="31">
        <f>Z391-Z394</f>
        <v/>
      </c>
      <c r="AA395" s="31">
        <f>AA391-AA394</f>
        <v/>
      </c>
      <c r="AB395" s="31">
        <f>AB391-AB394</f>
        <v/>
      </c>
      <c r="AC395" s="31">
        <f>AC391-AC394</f>
        <v/>
      </c>
      <c r="AD395" s="31">
        <f>AD391-AD394</f>
        <v/>
      </c>
      <c r="AE395" s="31">
        <f>AE391-AE394</f>
        <v/>
      </c>
      <c r="AF395" s="31">
        <f>AF391-AF394</f>
        <v/>
      </c>
      <c r="AG395" s="31">
        <f>AG391-AG394</f>
        <v/>
      </c>
      <c r="AH395" s="31">
        <f>AH391-AH394</f>
        <v/>
      </c>
      <c r="AI395" s="31">
        <f>AI391-AI394</f>
        <v/>
      </c>
    </row>
    <row r="396">
      <c r="B396" s="2" t="inlineStr">
        <is>
          <t xml:space="preserve">  Maintenance capex</t>
        </is>
      </c>
      <c r="D396" s="19">
        <f>D383*i_R_mc*D362</f>
        <v/>
      </c>
      <c r="E396" s="19">
        <f>E383*i_R_mc*E362</f>
        <v/>
      </c>
      <c r="F396" s="19">
        <f>F383*i_R_mc*F362</f>
        <v/>
      </c>
      <c r="G396" s="19">
        <f>G383*i_R_mc*G362</f>
        <v/>
      </c>
      <c r="H396" s="19">
        <f>H383*i_R_mc*H362</f>
        <v/>
      </c>
      <c r="I396" s="19">
        <f>I383*i_R_mc*I362</f>
        <v/>
      </c>
      <c r="J396" s="19">
        <f>J383*i_R_mc*J362</f>
        <v/>
      </c>
      <c r="K396" s="19">
        <f>K383*i_R_mc*K362</f>
        <v/>
      </c>
      <c r="L396" s="19">
        <f>L383*i_R_mc*L362</f>
        <v/>
      </c>
      <c r="M396" s="19">
        <f>M383*i_R_mc*M362</f>
        <v/>
      </c>
      <c r="N396" s="19">
        <f>N383*i_R_mc*N362</f>
        <v/>
      </c>
      <c r="O396" s="19">
        <f>O383*i_R_mc*O362</f>
        <v/>
      </c>
      <c r="P396" s="19">
        <f>P383*i_R_mc*P362</f>
        <v/>
      </c>
      <c r="Q396" s="19">
        <f>Q383*i_R_mc*Q362</f>
        <v/>
      </c>
      <c r="R396" s="19">
        <f>R383*i_R_mc*R362</f>
        <v/>
      </c>
      <c r="S396" s="19">
        <f>S383*i_R_mc*S362</f>
        <v/>
      </c>
      <c r="T396" s="19">
        <f>T383*i_R_mc*T362</f>
        <v/>
      </c>
      <c r="U396" s="19">
        <f>U383*i_R_mc*U362</f>
        <v/>
      </c>
      <c r="V396" s="19">
        <f>V383*i_R_mc*V362</f>
        <v/>
      </c>
      <c r="W396" s="19">
        <f>W383*i_R_mc*W362</f>
        <v/>
      </c>
      <c r="X396" s="19">
        <f>X383*i_R_mc*X362</f>
        <v/>
      </c>
      <c r="Y396" s="19">
        <f>Y383*i_R_mc*Y362</f>
        <v/>
      </c>
      <c r="Z396" s="19">
        <f>Z383*i_R_mc*Z362</f>
        <v/>
      </c>
      <c r="AA396" s="19">
        <f>AA383*i_R_mc*AA362</f>
        <v/>
      </c>
      <c r="AB396" s="19">
        <f>AB383*i_R_mc*AB362</f>
        <v/>
      </c>
      <c r="AC396" s="19">
        <f>AC383*i_R_mc*AC362</f>
        <v/>
      </c>
      <c r="AD396" s="19">
        <f>AD383*i_R_mc*AD362</f>
        <v/>
      </c>
      <c r="AE396" s="19">
        <f>AE383*i_R_mc*AE362</f>
        <v/>
      </c>
      <c r="AF396" s="19">
        <f>AF383*i_R_mc*AF362</f>
        <v/>
      </c>
      <c r="AG396" s="19">
        <f>AG383*i_R_mc*AG362</f>
        <v/>
      </c>
      <c r="AH396" s="19">
        <f>AH383*i_R_mc*AH362</f>
        <v/>
      </c>
      <c r="AI396" s="19">
        <f>AI383*i_R_mc*AI362</f>
        <v/>
      </c>
    </row>
    <row r="397">
      <c r="B397" s="3" t="inlineStr">
        <is>
          <t>Thamesbridge</t>
        </is>
      </c>
    </row>
    <row r="398">
      <c r="B398" s="2" t="inlineStr">
        <is>
          <t xml:space="preserve">  Capacity in service (million m3)</t>
        </is>
      </c>
      <c r="D398" s="24">
        <f>i_T_cap</f>
        <v/>
      </c>
      <c r="E398" s="24">
        <f>i_T_cap</f>
        <v/>
      </c>
      <c r="F398" s="24">
        <f>i_T_cap</f>
        <v/>
      </c>
      <c r="G398" s="24">
        <f>i_T_cap</f>
        <v/>
      </c>
      <c r="H398" s="24">
        <f>i_T_cap</f>
        <v/>
      </c>
      <c r="I398" s="24">
        <f>i_T_cap</f>
        <v/>
      </c>
      <c r="J398" s="24">
        <f>i_T_cap</f>
        <v/>
      </c>
      <c r="K398" s="24">
        <f>i_T_cap</f>
        <v/>
      </c>
      <c r="L398" s="24">
        <f>i_T_cap</f>
        <v/>
      </c>
      <c r="M398" s="24">
        <f>i_T_cap</f>
        <v/>
      </c>
      <c r="N398" s="24">
        <f>i_T_cap</f>
        <v/>
      </c>
      <c r="O398" s="24">
        <f>i_T_cap</f>
        <v/>
      </c>
      <c r="P398" s="24">
        <f>i_T_cap</f>
        <v/>
      </c>
      <c r="Q398" s="24">
        <f>i_T_cap</f>
        <v/>
      </c>
      <c r="R398" s="24">
        <f>i_T_cap</f>
        <v/>
      </c>
      <c r="S398" s="24">
        <f>i_T_cap</f>
        <v/>
      </c>
      <c r="T398" s="24">
        <f>i_T_cap</f>
        <v/>
      </c>
      <c r="U398" s="24">
        <f>i_T_cap</f>
        <v/>
      </c>
      <c r="V398" s="24">
        <f>i_T_cap</f>
        <v/>
      </c>
      <c r="W398" s="24">
        <f>i_T_cap</f>
        <v/>
      </c>
      <c r="X398" s="24">
        <f>i_T_cap</f>
        <v/>
      </c>
      <c r="Y398" s="24">
        <f>i_T_cap</f>
        <v/>
      </c>
      <c r="Z398" s="24">
        <f>i_T_cap</f>
        <v/>
      </c>
      <c r="AA398" s="24">
        <f>i_T_cap</f>
        <v/>
      </c>
      <c r="AB398" s="24">
        <f>i_T_cap</f>
        <v/>
      </c>
      <c r="AC398" s="24">
        <f>i_T_cap</f>
        <v/>
      </c>
      <c r="AD398" s="24">
        <f>i_T_cap</f>
        <v/>
      </c>
      <c r="AE398" s="24">
        <f>i_T_cap</f>
        <v/>
      </c>
      <c r="AF398" s="24">
        <f>i_T_cap</f>
        <v/>
      </c>
      <c r="AG398" s="24">
        <f>i_T_cap</f>
        <v/>
      </c>
      <c r="AH398" s="24">
        <f>i_T_cap</f>
        <v/>
      </c>
      <c r="AI398" s="24">
        <f>i_T_cap</f>
        <v/>
      </c>
    </row>
    <row r="399">
      <c r="B399" s="2" t="inlineStr">
        <is>
          <t xml:space="preserve">  Share on contracts signed before 2027</t>
        </is>
      </c>
      <c r="D399" s="21">
        <f>SUMIF(i_book_years,D$3,i_T_book)</f>
        <v/>
      </c>
      <c r="E399" s="21">
        <f>SUMIF(i_book_years,E$3,i_T_book)</f>
        <v/>
      </c>
      <c r="F399" s="21">
        <f>SUMIF(i_book_years,F$3,i_T_book)</f>
        <v/>
      </c>
      <c r="G399" s="21">
        <f>SUMIF(i_book_years,G$3,i_T_book)</f>
        <v/>
      </c>
      <c r="H399" s="21">
        <f>SUMIF(i_book_years,H$3,i_T_book)</f>
        <v/>
      </c>
      <c r="I399" s="21">
        <f>SUMIF(i_book_years,I$3,i_T_book)</f>
        <v/>
      </c>
      <c r="J399" s="21">
        <f>SUMIF(i_book_years,J$3,i_T_book)</f>
        <v/>
      </c>
      <c r="K399" s="21">
        <f>SUMIF(i_book_years,K$3,i_T_book)</f>
        <v/>
      </c>
      <c r="L399" s="21">
        <f>SUMIF(i_book_years,L$3,i_T_book)</f>
        <v/>
      </c>
      <c r="M399" s="21">
        <f>SUMIF(i_book_years,M$3,i_T_book)</f>
        <v/>
      </c>
      <c r="N399" s="21">
        <f>SUMIF(i_book_years,N$3,i_T_book)</f>
        <v/>
      </c>
      <c r="O399" s="21">
        <f>SUMIF(i_book_years,O$3,i_T_book)</f>
        <v/>
      </c>
      <c r="P399" s="21">
        <f>SUMIF(i_book_years,P$3,i_T_book)</f>
        <v/>
      </c>
      <c r="Q399" s="21">
        <f>SUMIF(i_book_years,Q$3,i_T_book)</f>
        <v/>
      </c>
      <c r="R399" s="21">
        <f>SUMIF(i_book_years,R$3,i_T_book)</f>
        <v/>
      </c>
      <c r="S399" s="21">
        <f>SUMIF(i_book_years,S$3,i_T_book)</f>
        <v/>
      </c>
      <c r="T399" s="21">
        <f>SUMIF(i_book_years,T$3,i_T_book)</f>
        <v/>
      </c>
      <c r="U399" s="21">
        <f>SUMIF(i_book_years,U$3,i_T_book)</f>
        <v/>
      </c>
      <c r="V399" s="21">
        <f>SUMIF(i_book_years,V$3,i_T_book)</f>
        <v/>
      </c>
      <c r="W399" s="21">
        <f>SUMIF(i_book_years,W$3,i_T_book)</f>
        <v/>
      </c>
      <c r="X399" s="21">
        <f>SUMIF(i_book_years,X$3,i_T_book)</f>
        <v/>
      </c>
      <c r="Y399" s="21">
        <f>SUMIF(i_book_years,Y$3,i_T_book)</f>
        <v/>
      </c>
      <c r="Z399" s="21">
        <f>SUMIF(i_book_years,Z$3,i_T_book)</f>
        <v/>
      </c>
      <c r="AA399" s="21">
        <f>SUMIF(i_book_years,AA$3,i_T_book)</f>
        <v/>
      </c>
      <c r="AB399" s="21">
        <f>SUMIF(i_book_years,AB$3,i_T_book)</f>
        <v/>
      </c>
      <c r="AC399" s="21">
        <f>SUMIF(i_book_years,AC$3,i_T_book)</f>
        <v/>
      </c>
      <c r="AD399" s="21">
        <f>SUMIF(i_book_years,AD$3,i_T_book)</f>
        <v/>
      </c>
      <c r="AE399" s="21">
        <f>SUMIF(i_book_years,AE$3,i_T_book)</f>
        <v/>
      </c>
      <c r="AF399" s="21">
        <f>SUMIF(i_book_years,AF$3,i_T_book)</f>
        <v/>
      </c>
      <c r="AG399" s="21">
        <f>SUMIF(i_book_years,AG$3,i_T_book)</f>
        <v/>
      </c>
      <c r="AH399" s="21">
        <f>SUMIF(i_book_years,AH$3,i_T_book)</f>
        <v/>
      </c>
      <c r="AI399" s="21">
        <f>SUMIF(i_book_years,AI$3,i_T_book)</f>
        <v/>
      </c>
    </row>
    <row r="400">
      <c r="B400" s="2" t="inlineStr">
        <is>
          <t xml:space="preserve">  Recontracting factor against current rates</t>
        </is>
      </c>
      <c r="D400" s="21">
        <f>IF(D$4=0,0,IF(Sensitivities!$C$352=1,i_T_mtm,i_T_mtm_plan)+Sensitivities!$C$358)</f>
        <v/>
      </c>
      <c r="E400" s="21">
        <f>IF(E$4=0,0,IF(Sensitivities!$C$352=1,i_T_mtm,i_T_mtm_plan)+Sensitivities!$C$358)</f>
        <v/>
      </c>
      <c r="F400" s="21">
        <f>IF(F$4=0,0,IF(Sensitivities!$C$352=1,i_T_mtm,i_T_mtm_plan)+Sensitivities!$C$358)</f>
        <v/>
      </c>
      <c r="G400" s="21">
        <f>IF(G$4=0,0,IF(Sensitivities!$C$352=1,i_T_mtm,i_T_mtm_plan)+Sensitivities!$C$358)</f>
        <v/>
      </c>
      <c r="H400" s="21">
        <f>IF(H$4=0,0,IF(Sensitivities!$C$352=1,i_T_mtm,i_T_mtm_plan)+Sensitivities!$C$358)</f>
        <v/>
      </c>
      <c r="I400" s="21">
        <f>IF(I$4=0,0,IF(Sensitivities!$C$352=1,i_T_mtm,i_T_mtm_plan)+Sensitivities!$C$358)</f>
        <v/>
      </c>
      <c r="J400" s="21">
        <f>IF(J$4=0,0,IF(Sensitivities!$C$352=1,i_T_mtm,i_T_mtm_plan)+Sensitivities!$C$358)</f>
        <v/>
      </c>
      <c r="K400" s="21">
        <f>IF(K$4=0,0,IF(Sensitivities!$C$352=1,i_T_mtm,i_T_mtm_plan)+Sensitivities!$C$358)</f>
        <v/>
      </c>
      <c r="L400" s="21">
        <f>IF(L$4=0,0,IF(Sensitivities!$C$352=1,i_T_mtm,i_T_mtm_plan)+Sensitivities!$C$358)</f>
        <v/>
      </c>
      <c r="M400" s="21">
        <f>IF(M$4=0,0,IF(Sensitivities!$C$352=1,i_T_mtm,i_T_mtm_plan)+Sensitivities!$C$358)</f>
        <v/>
      </c>
      <c r="N400" s="21">
        <f>IF(N$4=0,0,IF(Sensitivities!$C$352=1,i_T_mtm,i_T_mtm_plan)+Sensitivities!$C$358)</f>
        <v/>
      </c>
      <c r="O400" s="21">
        <f>IF(O$4=0,0,IF(Sensitivities!$C$352=1,i_T_mtm,i_T_mtm_plan)+Sensitivities!$C$358)</f>
        <v/>
      </c>
      <c r="P400" s="21">
        <f>IF(P$4=0,0,IF(Sensitivities!$C$352=1,i_T_mtm,i_T_mtm_plan)+Sensitivities!$C$358)</f>
        <v/>
      </c>
      <c r="Q400" s="21">
        <f>IF(Q$4=0,0,IF(Sensitivities!$C$352=1,i_T_mtm,i_T_mtm_plan)+Sensitivities!$C$358)</f>
        <v/>
      </c>
      <c r="R400" s="21">
        <f>IF(R$4=0,0,IF(Sensitivities!$C$352=1,i_T_mtm,i_T_mtm_plan)+Sensitivities!$C$358)</f>
        <v/>
      </c>
      <c r="S400" s="21">
        <f>IF(S$4=0,0,IF(Sensitivities!$C$352=1,i_T_mtm,i_T_mtm_plan)+Sensitivities!$C$358)</f>
        <v/>
      </c>
      <c r="T400" s="21">
        <f>IF(T$4=0,0,IF(Sensitivities!$C$352=1,i_T_mtm,i_T_mtm_plan)+Sensitivities!$C$358)</f>
        <v/>
      </c>
      <c r="U400" s="21">
        <f>IF(U$4=0,0,IF(Sensitivities!$C$352=1,i_T_mtm,i_T_mtm_plan)+Sensitivities!$C$358)</f>
        <v/>
      </c>
      <c r="V400" s="21">
        <f>IF(V$4=0,0,IF(Sensitivities!$C$352=1,i_T_mtm,i_T_mtm_plan)+Sensitivities!$C$358)</f>
        <v/>
      </c>
      <c r="W400" s="21">
        <f>IF(W$4=0,0,IF(Sensitivities!$C$352=1,i_T_mtm,i_T_mtm_plan)+Sensitivities!$C$358)</f>
        <v/>
      </c>
      <c r="X400" s="21">
        <f>IF(X$4=0,0,IF(Sensitivities!$C$352=1,i_T_mtm,i_T_mtm_plan)+Sensitivities!$C$358)</f>
        <v/>
      </c>
      <c r="Y400" s="21">
        <f>IF(Y$4=0,0,IF(Sensitivities!$C$352=1,i_T_mtm,i_T_mtm_plan)+Sensitivities!$C$358)</f>
        <v/>
      </c>
      <c r="Z400" s="21">
        <f>IF(Z$4=0,0,IF(Sensitivities!$C$352=1,i_T_mtm,i_T_mtm_plan)+Sensitivities!$C$358)</f>
        <v/>
      </c>
      <c r="AA400" s="21">
        <f>IF(AA$4=0,0,IF(Sensitivities!$C$352=1,i_T_mtm,i_T_mtm_plan)+Sensitivities!$C$358)</f>
        <v/>
      </c>
      <c r="AB400" s="21">
        <f>IF(AB$4=0,0,IF(Sensitivities!$C$352=1,i_T_mtm,i_T_mtm_plan)+Sensitivities!$C$358)</f>
        <v/>
      </c>
      <c r="AC400" s="21">
        <f>IF(AC$4=0,0,IF(Sensitivities!$C$352=1,i_T_mtm,i_T_mtm_plan)+Sensitivities!$C$358)</f>
        <v/>
      </c>
      <c r="AD400" s="21">
        <f>IF(AD$4=0,0,IF(Sensitivities!$C$352=1,i_T_mtm,i_T_mtm_plan)+Sensitivities!$C$358)</f>
        <v/>
      </c>
      <c r="AE400" s="21">
        <f>IF(AE$4=0,0,IF(Sensitivities!$C$352=1,i_T_mtm,i_T_mtm_plan)+Sensitivities!$C$358)</f>
        <v/>
      </c>
      <c r="AF400" s="21">
        <f>IF(AF$4=0,0,IF(Sensitivities!$C$352=1,i_T_mtm,i_T_mtm_plan)+Sensitivities!$C$358)</f>
        <v/>
      </c>
      <c r="AG400" s="21">
        <f>IF(AG$4=0,0,IF(Sensitivities!$C$352=1,i_T_mtm,i_T_mtm_plan)+Sensitivities!$C$358)</f>
        <v/>
      </c>
      <c r="AH400" s="21">
        <f>IF(AH$4=0,0,IF(Sensitivities!$C$352=1,i_T_mtm,i_T_mtm_plan)+Sensitivities!$C$358)</f>
        <v/>
      </c>
      <c r="AI400" s="21">
        <f>IF(AI$4=0,0,IF(Sensitivities!$C$352=1,i_T_mtm,i_T_mtm_plan)+Sensitivities!$C$358)</f>
        <v/>
      </c>
    </row>
    <row r="401">
      <c r="B401" s="2" t="inlineStr">
        <is>
          <t xml:space="preserve">  Average rate ($ per m3 per month)</t>
        </is>
      </c>
      <c r="D401" s="24">
        <f>i_T_rate*D363*(D399+(1-D399)*(1+D400))</f>
        <v/>
      </c>
      <c r="E401" s="24">
        <f>i_T_rate*E363*(E399+(1-E399)*(1+E400))</f>
        <v/>
      </c>
      <c r="F401" s="24">
        <f>i_T_rate*F363*(F399+(1-F399)*(1+F400))</f>
        <v/>
      </c>
      <c r="G401" s="24">
        <f>i_T_rate*G363*(G399+(1-G399)*(1+G400))</f>
        <v/>
      </c>
      <c r="H401" s="24">
        <f>i_T_rate*H363*(H399+(1-H399)*(1+H400))</f>
        <v/>
      </c>
      <c r="I401" s="24">
        <f>i_T_rate*I363*(I399+(1-I399)*(1+I400))</f>
        <v/>
      </c>
      <c r="J401" s="24">
        <f>i_T_rate*J363*(J399+(1-J399)*(1+J400))</f>
        <v/>
      </c>
      <c r="K401" s="24">
        <f>i_T_rate*K363*(K399+(1-K399)*(1+K400))</f>
        <v/>
      </c>
      <c r="L401" s="24">
        <f>i_T_rate*L363*(L399+(1-L399)*(1+L400))</f>
        <v/>
      </c>
      <c r="M401" s="24">
        <f>i_T_rate*M363*(M399+(1-M399)*(1+M400))</f>
        <v/>
      </c>
      <c r="N401" s="24">
        <f>i_T_rate*N363*(N399+(1-N399)*(1+N400))</f>
        <v/>
      </c>
      <c r="O401" s="24">
        <f>i_T_rate*O363*(O399+(1-O399)*(1+O400))</f>
        <v/>
      </c>
      <c r="P401" s="24">
        <f>i_T_rate*P363*(P399+(1-P399)*(1+P400))</f>
        <v/>
      </c>
      <c r="Q401" s="24">
        <f>i_T_rate*Q363*(Q399+(1-Q399)*(1+Q400))</f>
        <v/>
      </c>
      <c r="R401" s="24">
        <f>i_T_rate*R363*(R399+(1-R399)*(1+R400))</f>
        <v/>
      </c>
      <c r="S401" s="24">
        <f>i_T_rate*S363*(S399+(1-S399)*(1+S400))</f>
        <v/>
      </c>
      <c r="T401" s="24">
        <f>i_T_rate*T363*(T399+(1-T399)*(1+T400))</f>
        <v/>
      </c>
      <c r="U401" s="24">
        <f>i_T_rate*U363*(U399+(1-U399)*(1+U400))</f>
        <v/>
      </c>
      <c r="V401" s="24">
        <f>i_T_rate*V363*(V399+(1-V399)*(1+V400))</f>
        <v/>
      </c>
      <c r="W401" s="24">
        <f>i_T_rate*W363*(W399+(1-W399)*(1+W400))</f>
        <v/>
      </c>
      <c r="X401" s="24">
        <f>i_T_rate*X363*(X399+(1-X399)*(1+X400))</f>
        <v/>
      </c>
      <c r="Y401" s="24">
        <f>i_T_rate*Y363*(Y399+(1-Y399)*(1+Y400))</f>
        <v/>
      </c>
      <c r="Z401" s="24">
        <f>i_T_rate*Z363*(Z399+(1-Z399)*(1+Z400))</f>
        <v/>
      </c>
      <c r="AA401" s="24">
        <f>i_T_rate*AA363*(AA399+(1-AA399)*(1+AA400))</f>
        <v/>
      </c>
      <c r="AB401" s="24">
        <f>i_T_rate*AB363*(AB399+(1-AB399)*(1+AB400))</f>
        <v/>
      </c>
      <c r="AC401" s="24">
        <f>i_T_rate*AC363*(AC399+(1-AC399)*(1+AC400))</f>
        <v/>
      </c>
      <c r="AD401" s="24">
        <f>i_T_rate*AD363*(AD399+(1-AD399)*(1+AD400))</f>
        <v/>
      </c>
      <c r="AE401" s="24">
        <f>i_T_rate*AE363*(AE399+(1-AE399)*(1+AE400))</f>
        <v/>
      </c>
      <c r="AF401" s="24">
        <f>i_T_rate*AF363*(AF399+(1-AF399)*(1+AF400))</f>
        <v/>
      </c>
      <c r="AG401" s="24">
        <f>i_T_rate*AG363*(AG399+(1-AG399)*(1+AG400))</f>
        <v/>
      </c>
      <c r="AH401" s="24">
        <f>i_T_rate*AH363*(AH399+(1-AH399)*(1+AH400))</f>
        <v/>
      </c>
      <c r="AI401" s="24">
        <f>i_T_rate*AI363*(AI399+(1-AI399)*(1+AI400))</f>
        <v/>
      </c>
    </row>
    <row r="402">
      <c r="B402" s="2" t="inlineStr">
        <is>
          <t xml:space="preserve">  Occupancy after the transition decline and floor</t>
        </is>
      </c>
      <c r="D402" s="21">
        <f>IF(D$3&gt;i_trans_start,MAX(i_T_floor,i_T_occ-i_T_dec*(D$3-i_trans_start)),i_T_occ)</f>
        <v/>
      </c>
      <c r="E402" s="21">
        <f>IF(E$3&gt;i_trans_start,MAX(i_T_floor,i_T_occ-i_T_dec*(E$3-i_trans_start)),i_T_occ)</f>
        <v/>
      </c>
      <c r="F402" s="21">
        <f>IF(F$3&gt;i_trans_start,MAX(i_T_floor,i_T_occ-i_T_dec*(F$3-i_trans_start)),i_T_occ)</f>
        <v/>
      </c>
      <c r="G402" s="21">
        <f>IF(G$3&gt;i_trans_start,MAX(i_T_floor,i_T_occ-i_T_dec*(G$3-i_trans_start)),i_T_occ)</f>
        <v/>
      </c>
      <c r="H402" s="21">
        <f>IF(H$3&gt;i_trans_start,MAX(i_T_floor,i_T_occ-i_T_dec*(H$3-i_trans_start)),i_T_occ)</f>
        <v/>
      </c>
      <c r="I402" s="21">
        <f>IF(I$3&gt;i_trans_start,MAX(i_T_floor,i_T_occ-i_T_dec*(I$3-i_trans_start)),i_T_occ)</f>
        <v/>
      </c>
      <c r="J402" s="21">
        <f>IF(J$3&gt;i_trans_start,MAX(i_T_floor,i_T_occ-i_T_dec*(J$3-i_trans_start)),i_T_occ)</f>
        <v/>
      </c>
      <c r="K402" s="21">
        <f>IF(K$3&gt;i_trans_start,MAX(i_T_floor,i_T_occ-i_T_dec*(K$3-i_trans_start)),i_T_occ)</f>
        <v/>
      </c>
      <c r="L402" s="21">
        <f>IF(L$3&gt;i_trans_start,MAX(i_T_floor,i_T_occ-i_T_dec*(L$3-i_trans_start)),i_T_occ)</f>
        <v/>
      </c>
      <c r="M402" s="21">
        <f>IF(M$3&gt;i_trans_start,MAX(i_T_floor,i_T_occ-i_T_dec*(M$3-i_trans_start)),i_T_occ)</f>
        <v/>
      </c>
      <c r="N402" s="21">
        <f>IF(N$3&gt;i_trans_start,MAX(i_T_floor,i_T_occ-i_T_dec*(N$3-i_trans_start)),i_T_occ)</f>
        <v/>
      </c>
      <c r="O402" s="21">
        <f>IF(O$3&gt;i_trans_start,MAX(i_T_floor,i_T_occ-i_T_dec*(O$3-i_trans_start)),i_T_occ)</f>
        <v/>
      </c>
      <c r="P402" s="21">
        <f>IF(P$3&gt;i_trans_start,MAX(i_T_floor,i_T_occ-i_T_dec*(P$3-i_trans_start)),i_T_occ)</f>
        <v/>
      </c>
      <c r="Q402" s="21">
        <f>IF(Q$3&gt;i_trans_start,MAX(i_T_floor,i_T_occ-i_T_dec*(Q$3-i_trans_start)),i_T_occ)</f>
        <v/>
      </c>
      <c r="R402" s="21">
        <f>IF(R$3&gt;i_trans_start,MAX(i_T_floor,i_T_occ-i_T_dec*(R$3-i_trans_start)),i_T_occ)</f>
        <v/>
      </c>
      <c r="S402" s="21">
        <f>IF(S$3&gt;i_trans_start,MAX(i_T_floor,i_T_occ-i_T_dec*(S$3-i_trans_start)),i_T_occ)</f>
        <v/>
      </c>
      <c r="T402" s="21">
        <f>IF(T$3&gt;i_trans_start,MAX(i_T_floor,i_T_occ-i_T_dec*(T$3-i_trans_start)),i_T_occ)</f>
        <v/>
      </c>
      <c r="U402" s="21">
        <f>IF(U$3&gt;i_trans_start,MAX(i_T_floor,i_T_occ-i_T_dec*(U$3-i_trans_start)),i_T_occ)</f>
        <v/>
      </c>
      <c r="V402" s="21">
        <f>IF(V$3&gt;i_trans_start,MAX(i_T_floor,i_T_occ-i_T_dec*(V$3-i_trans_start)),i_T_occ)</f>
        <v/>
      </c>
      <c r="W402" s="21">
        <f>IF(W$3&gt;i_trans_start,MAX(i_T_floor,i_T_occ-i_T_dec*(W$3-i_trans_start)),i_T_occ)</f>
        <v/>
      </c>
      <c r="X402" s="21">
        <f>IF(X$3&gt;i_trans_start,MAX(i_T_floor,i_T_occ-i_T_dec*(X$3-i_trans_start)),i_T_occ)</f>
        <v/>
      </c>
      <c r="Y402" s="21">
        <f>IF(Y$3&gt;i_trans_start,MAX(i_T_floor,i_T_occ-i_T_dec*(Y$3-i_trans_start)),i_T_occ)</f>
        <v/>
      </c>
      <c r="Z402" s="21">
        <f>IF(Z$3&gt;i_trans_start,MAX(i_T_floor,i_T_occ-i_T_dec*(Z$3-i_trans_start)),i_T_occ)</f>
        <v/>
      </c>
      <c r="AA402" s="21">
        <f>IF(AA$3&gt;i_trans_start,MAX(i_T_floor,i_T_occ-i_T_dec*(AA$3-i_trans_start)),i_T_occ)</f>
        <v/>
      </c>
      <c r="AB402" s="21">
        <f>IF(AB$3&gt;i_trans_start,MAX(i_T_floor,i_T_occ-i_T_dec*(AB$3-i_trans_start)),i_T_occ)</f>
        <v/>
      </c>
      <c r="AC402" s="21">
        <f>IF(AC$3&gt;i_trans_start,MAX(i_T_floor,i_T_occ-i_T_dec*(AC$3-i_trans_start)),i_T_occ)</f>
        <v/>
      </c>
      <c r="AD402" s="21">
        <f>IF(AD$3&gt;i_trans_start,MAX(i_T_floor,i_T_occ-i_T_dec*(AD$3-i_trans_start)),i_T_occ)</f>
        <v/>
      </c>
      <c r="AE402" s="21">
        <f>IF(AE$3&gt;i_trans_start,MAX(i_T_floor,i_T_occ-i_T_dec*(AE$3-i_trans_start)),i_T_occ)</f>
        <v/>
      </c>
      <c r="AF402" s="21">
        <f>IF(AF$3&gt;i_trans_start,MAX(i_T_floor,i_T_occ-i_T_dec*(AF$3-i_trans_start)),i_T_occ)</f>
        <v/>
      </c>
      <c r="AG402" s="21">
        <f>IF(AG$3&gt;i_trans_start,MAX(i_T_floor,i_T_occ-i_T_dec*(AG$3-i_trans_start)),i_T_occ)</f>
        <v/>
      </c>
      <c r="AH402" s="21">
        <f>IF(AH$3&gt;i_trans_start,MAX(i_T_floor,i_T_occ-i_T_dec*(AH$3-i_trans_start)),i_T_occ)</f>
        <v/>
      </c>
      <c r="AI402" s="21">
        <f>IF(AI$3&gt;i_trans_start,MAX(i_T_floor,i_T_occ-i_T_dec*(AI$3-i_trans_start)),i_T_occ)</f>
        <v/>
      </c>
    </row>
    <row r="403">
      <c r="B403" s="2" t="inlineStr">
        <is>
          <t xml:space="preserve">  Occupancy (with the shift switch from 2027)</t>
        </is>
      </c>
      <c r="D403" s="21">
        <f>IF(D$4&gt;0,MIN(1,D402+Sensitivities!$C$357),D402)</f>
        <v/>
      </c>
      <c r="E403" s="21">
        <f>IF(E$4&gt;0,MIN(1,E402+Sensitivities!$C$357),E402)</f>
        <v/>
      </c>
      <c r="F403" s="21">
        <f>IF(F$4&gt;0,MIN(1,F402+Sensitivities!$C$357),F402)</f>
        <v/>
      </c>
      <c r="G403" s="21">
        <f>IF(G$4&gt;0,MIN(1,G402+Sensitivities!$C$357),G402)</f>
        <v/>
      </c>
      <c r="H403" s="21">
        <f>IF(H$4&gt;0,MIN(1,H402+Sensitivities!$C$357),H402)</f>
        <v/>
      </c>
      <c r="I403" s="21">
        <f>IF(I$4&gt;0,MIN(1,I402+Sensitivities!$C$357),I402)</f>
        <v/>
      </c>
      <c r="J403" s="21">
        <f>IF(J$4&gt;0,MIN(1,J402+Sensitivities!$C$357),J402)</f>
        <v/>
      </c>
      <c r="K403" s="21">
        <f>IF(K$4&gt;0,MIN(1,K402+Sensitivities!$C$357),K402)</f>
        <v/>
      </c>
      <c r="L403" s="21">
        <f>IF(L$4&gt;0,MIN(1,L402+Sensitivities!$C$357),L402)</f>
        <v/>
      </c>
      <c r="M403" s="21">
        <f>IF(M$4&gt;0,MIN(1,M402+Sensitivities!$C$357),M402)</f>
        <v/>
      </c>
      <c r="N403" s="21">
        <f>IF(N$4&gt;0,MIN(1,N402+Sensitivities!$C$357),N402)</f>
        <v/>
      </c>
      <c r="O403" s="21">
        <f>IF(O$4&gt;0,MIN(1,O402+Sensitivities!$C$357),O402)</f>
        <v/>
      </c>
      <c r="P403" s="21">
        <f>IF(P$4&gt;0,MIN(1,P402+Sensitivities!$C$357),P402)</f>
        <v/>
      </c>
      <c r="Q403" s="21">
        <f>IF(Q$4&gt;0,MIN(1,Q402+Sensitivities!$C$357),Q402)</f>
        <v/>
      </c>
      <c r="R403" s="21">
        <f>IF(R$4&gt;0,MIN(1,R402+Sensitivities!$C$357),R402)</f>
        <v/>
      </c>
      <c r="S403" s="21">
        <f>IF(S$4&gt;0,MIN(1,S402+Sensitivities!$C$357),S402)</f>
        <v/>
      </c>
      <c r="T403" s="21">
        <f>IF(T$4&gt;0,MIN(1,T402+Sensitivities!$C$357),T402)</f>
        <v/>
      </c>
      <c r="U403" s="21">
        <f>IF(U$4&gt;0,MIN(1,U402+Sensitivities!$C$357),U402)</f>
        <v/>
      </c>
      <c r="V403" s="21">
        <f>IF(V$4&gt;0,MIN(1,V402+Sensitivities!$C$357),V402)</f>
        <v/>
      </c>
      <c r="W403" s="21">
        <f>IF(W$4&gt;0,MIN(1,W402+Sensitivities!$C$357),W402)</f>
        <v/>
      </c>
      <c r="X403" s="21">
        <f>IF(X$4&gt;0,MIN(1,X402+Sensitivities!$C$357),X402)</f>
        <v/>
      </c>
      <c r="Y403" s="21">
        <f>IF(Y$4&gt;0,MIN(1,Y402+Sensitivities!$C$357),Y402)</f>
        <v/>
      </c>
      <c r="Z403" s="21">
        <f>IF(Z$4&gt;0,MIN(1,Z402+Sensitivities!$C$357),Z402)</f>
        <v/>
      </c>
      <c r="AA403" s="21">
        <f>IF(AA$4&gt;0,MIN(1,AA402+Sensitivities!$C$357),AA402)</f>
        <v/>
      </c>
      <c r="AB403" s="21">
        <f>IF(AB$4&gt;0,MIN(1,AB402+Sensitivities!$C$357),AB402)</f>
        <v/>
      </c>
      <c r="AC403" s="21">
        <f>IF(AC$4&gt;0,MIN(1,AC402+Sensitivities!$C$357),AC402)</f>
        <v/>
      </c>
      <c r="AD403" s="21">
        <f>IF(AD$4&gt;0,MIN(1,AD402+Sensitivities!$C$357),AD402)</f>
        <v/>
      </c>
      <c r="AE403" s="21">
        <f>IF(AE$4&gt;0,MIN(1,AE402+Sensitivities!$C$357),AE402)</f>
        <v/>
      </c>
      <c r="AF403" s="21">
        <f>IF(AF$4&gt;0,MIN(1,AF402+Sensitivities!$C$357),AF402)</f>
        <v/>
      </c>
      <c r="AG403" s="21">
        <f>IF(AG$4&gt;0,MIN(1,AG402+Sensitivities!$C$357),AG402)</f>
        <v/>
      </c>
      <c r="AH403" s="21">
        <f>IF(AH$4&gt;0,MIN(1,AH402+Sensitivities!$C$357),AH402)</f>
        <v/>
      </c>
      <c r="AI403" s="21">
        <f>IF(AI$4&gt;0,MIN(1,AI402+Sensitivities!$C$357),AI402)</f>
        <v/>
      </c>
    </row>
    <row r="404">
      <c r="B404" s="2" t="inlineStr">
        <is>
          <t xml:space="preserve">  Storage revenue</t>
        </is>
      </c>
      <c r="D404" s="19">
        <f>D398*D401*12*D403</f>
        <v/>
      </c>
      <c r="E404" s="19">
        <f>E398*E401*12*E403</f>
        <v/>
      </c>
      <c r="F404" s="19">
        <f>F398*F401*12*F403</f>
        <v/>
      </c>
      <c r="G404" s="19">
        <f>G398*G401*12*G403</f>
        <v/>
      </c>
      <c r="H404" s="19">
        <f>H398*H401*12*H403</f>
        <v/>
      </c>
      <c r="I404" s="19">
        <f>I398*I401*12*I403</f>
        <v/>
      </c>
      <c r="J404" s="19">
        <f>J398*J401*12*J403</f>
        <v/>
      </c>
      <c r="K404" s="19">
        <f>K398*K401*12*K403</f>
        <v/>
      </c>
      <c r="L404" s="19">
        <f>L398*L401*12*L403</f>
        <v/>
      </c>
      <c r="M404" s="19">
        <f>M398*M401*12*M403</f>
        <v/>
      </c>
      <c r="N404" s="19">
        <f>N398*N401*12*N403</f>
        <v/>
      </c>
      <c r="O404" s="19">
        <f>O398*O401*12*O403</f>
        <v/>
      </c>
      <c r="P404" s="19">
        <f>P398*P401*12*P403</f>
        <v/>
      </c>
      <c r="Q404" s="19">
        <f>Q398*Q401*12*Q403</f>
        <v/>
      </c>
      <c r="R404" s="19">
        <f>R398*R401*12*R403</f>
        <v/>
      </c>
      <c r="S404" s="19">
        <f>S398*S401*12*S403</f>
        <v/>
      </c>
      <c r="T404" s="19">
        <f>T398*T401*12*T403</f>
        <v/>
      </c>
      <c r="U404" s="19">
        <f>U398*U401*12*U403</f>
        <v/>
      </c>
      <c r="V404" s="19">
        <f>V398*V401*12*V403</f>
        <v/>
      </c>
      <c r="W404" s="19">
        <f>W398*W401*12*W403</f>
        <v/>
      </c>
      <c r="X404" s="19">
        <f>X398*X401*12*X403</f>
        <v/>
      </c>
      <c r="Y404" s="19">
        <f>Y398*Y401*12*Y403</f>
        <v/>
      </c>
      <c r="Z404" s="19">
        <f>Z398*Z401*12*Z403</f>
        <v/>
      </c>
      <c r="AA404" s="19">
        <f>AA398*AA401*12*AA403</f>
        <v/>
      </c>
      <c r="AB404" s="19">
        <f>AB398*AB401*12*AB403</f>
        <v/>
      </c>
      <c r="AC404" s="19">
        <f>AC398*AC401*12*AC403</f>
        <v/>
      </c>
      <c r="AD404" s="19">
        <f>AD398*AD401*12*AD403</f>
        <v/>
      </c>
      <c r="AE404" s="19">
        <f>AE398*AE401*12*AE403</f>
        <v/>
      </c>
      <c r="AF404" s="19">
        <f>AF398*AF401*12*AF403</f>
        <v/>
      </c>
      <c r="AG404" s="19">
        <f>AG398*AG401*12*AG403</f>
        <v/>
      </c>
      <c r="AH404" s="19">
        <f>AH398*AH401*12*AH403</f>
        <v/>
      </c>
      <c r="AI404" s="19">
        <f>AI398*AI401*12*AI403</f>
        <v/>
      </c>
    </row>
    <row r="405">
      <c r="B405" s="2" t="inlineStr">
        <is>
          <t xml:space="preserve">  Ancillary and throughput revenue</t>
        </is>
      </c>
      <c r="D405" s="19">
        <f>D404*i_T_anc</f>
        <v/>
      </c>
      <c r="E405" s="19">
        <f>E404*i_T_anc</f>
        <v/>
      </c>
      <c r="F405" s="19">
        <f>F404*i_T_anc</f>
        <v/>
      </c>
      <c r="G405" s="19">
        <f>G404*i_T_anc</f>
        <v/>
      </c>
      <c r="H405" s="19">
        <f>H404*i_T_anc</f>
        <v/>
      </c>
      <c r="I405" s="19">
        <f>I404*i_T_anc</f>
        <v/>
      </c>
      <c r="J405" s="19">
        <f>J404*i_T_anc</f>
        <v/>
      </c>
      <c r="K405" s="19">
        <f>K404*i_T_anc</f>
        <v/>
      </c>
      <c r="L405" s="19">
        <f>L404*i_T_anc</f>
        <v/>
      </c>
      <c r="M405" s="19">
        <f>M404*i_T_anc</f>
        <v/>
      </c>
      <c r="N405" s="19">
        <f>N404*i_T_anc</f>
        <v/>
      </c>
      <c r="O405" s="19">
        <f>O404*i_T_anc</f>
        <v/>
      </c>
      <c r="P405" s="19">
        <f>P404*i_T_anc</f>
        <v/>
      </c>
      <c r="Q405" s="19">
        <f>Q404*i_T_anc</f>
        <v/>
      </c>
      <c r="R405" s="19">
        <f>R404*i_T_anc</f>
        <v/>
      </c>
      <c r="S405" s="19">
        <f>S404*i_T_anc</f>
        <v/>
      </c>
      <c r="T405" s="19">
        <f>T404*i_T_anc</f>
        <v/>
      </c>
      <c r="U405" s="19">
        <f>U404*i_T_anc</f>
        <v/>
      </c>
      <c r="V405" s="19">
        <f>V404*i_T_anc</f>
        <v/>
      </c>
      <c r="W405" s="19">
        <f>W404*i_T_anc</f>
        <v/>
      </c>
      <c r="X405" s="19">
        <f>X404*i_T_anc</f>
        <v/>
      </c>
      <c r="Y405" s="19">
        <f>Y404*i_T_anc</f>
        <v/>
      </c>
      <c r="Z405" s="19">
        <f>Z404*i_T_anc</f>
        <v/>
      </c>
      <c r="AA405" s="19">
        <f>AA404*i_T_anc</f>
        <v/>
      </c>
      <c r="AB405" s="19">
        <f>AB404*i_T_anc</f>
        <v/>
      </c>
      <c r="AC405" s="19">
        <f>AC404*i_T_anc</f>
        <v/>
      </c>
      <c r="AD405" s="19">
        <f>AD404*i_T_anc</f>
        <v/>
      </c>
      <c r="AE405" s="19">
        <f>AE404*i_T_anc</f>
        <v/>
      </c>
      <c r="AF405" s="19">
        <f>AF404*i_T_anc</f>
        <v/>
      </c>
      <c r="AG405" s="19">
        <f>AG404*i_T_anc</f>
        <v/>
      </c>
      <c r="AH405" s="19">
        <f>AH404*i_T_anc</f>
        <v/>
      </c>
      <c r="AI405" s="19">
        <f>AI404*i_T_anc</f>
        <v/>
      </c>
    </row>
    <row r="406">
      <c r="B406" s="3" t="inlineStr">
        <is>
          <t xml:space="preserve">  Revenue</t>
        </is>
      </c>
      <c r="D406" s="31">
        <f>D404+D405</f>
        <v/>
      </c>
      <c r="E406" s="31">
        <f>E404+E405</f>
        <v/>
      </c>
      <c r="F406" s="31">
        <f>F404+F405</f>
        <v/>
      </c>
      <c r="G406" s="31">
        <f>G404+G405</f>
        <v/>
      </c>
      <c r="H406" s="31">
        <f>H404+H405</f>
        <v/>
      </c>
      <c r="I406" s="31">
        <f>I404+I405</f>
        <v/>
      </c>
      <c r="J406" s="31">
        <f>J404+J405</f>
        <v/>
      </c>
      <c r="K406" s="31">
        <f>K404+K405</f>
        <v/>
      </c>
      <c r="L406" s="31">
        <f>L404+L405</f>
        <v/>
      </c>
      <c r="M406" s="31">
        <f>M404+M405</f>
        <v/>
      </c>
      <c r="N406" s="31">
        <f>N404+N405</f>
        <v/>
      </c>
      <c r="O406" s="31">
        <f>O404+O405</f>
        <v/>
      </c>
      <c r="P406" s="31">
        <f>P404+P405</f>
        <v/>
      </c>
      <c r="Q406" s="31">
        <f>Q404+Q405</f>
        <v/>
      </c>
      <c r="R406" s="31">
        <f>R404+R405</f>
        <v/>
      </c>
      <c r="S406" s="31">
        <f>S404+S405</f>
        <v/>
      </c>
      <c r="T406" s="31">
        <f>T404+T405</f>
        <v/>
      </c>
      <c r="U406" s="31">
        <f>U404+U405</f>
        <v/>
      </c>
      <c r="V406" s="31">
        <f>V404+V405</f>
        <v/>
      </c>
      <c r="W406" s="31">
        <f>W404+W405</f>
        <v/>
      </c>
      <c r="X406" s="31">
        <f>X404+X405</f>
        <v/>
      </c>
      <c r="Y406" s="31">
        <f>Y404+Y405</f>
        <v/>
      </c>
      <c r="Z406" s="31">
        <f>Z404+Z405</f>
        <v/>
      </c>
      <c r="AA406" s="31">
        <f>AA404+AA405</f>
        <v/>
      </c>
      <c r="AB406" s="31">
        <f>AB404+AB405</f>
        <v/>
      </c>
      <c r="AC406" s="31">
        <f>AC404+AC405</f>
        <v/>
      </c>
      <c r="AD406" s="31">
        <f>AD404+AD405</f>
        <v/>
      </c>
      <c r="AE406" s="31">
        <f>AE404+AE405</f>
        <v/>
      </c>
      <c r="AF406" s="31">
        <f>AF404+AF405</f>
        <v/>
      </c>
      <c r="AG406" s="31">
        <f>AG404+AG405</f>
        <v/>
      </c>
      <c r="AH406" s="31">
        <f>AH404+AH405</f>
        <v/>
      </c>
      <c r="AI406" s="31">
        <f>AI404+AI405</f>
        <v/>
      </c>
    </row>
    <row r="407">
      <c r="B407" s="2" t="inlineStr">
        <is>
          <t xml:space="preserve">  Fixed cost</t>
        </is>
      </c>
      <c r="D407" s="19">
        <f>D398*i_T_fix*D362</f>
        <v/>
      </c>
      <c r="E407" s="19">
        <f>E398*i_T_fix*E362</f>
        <v/>
      </c>
      <c r="F407" s="19">
        <f>F398*i_T_fix*F362</f>
        <v/>
      </c>
      <c r="G407" s="19">
        <f>G398*i_T_fix*G362</f>
        <v/>
      </c>
      <c r="H407" s="19">
        <f>H398*i_T_fix*H362</f>
        <v/>
      </c>
      <c r="I407" s="19">
        <f>I398*i_T_fix*I362</f>
        <v/>
      </c>
      <c r="J407" s="19">
        <f>J398*i_T_fix*J362</f>
        <v/>
      </c>
      <c r="K407" s="19">
        <f>K398*i_T_fix*K362</f>
        <v/>
      </c>
      <c r="L407" s="19">
        <f>L398*i_T_fix*L362</f>
        <v/>
      </c>
      <c r="M407" s="19">
        <f>M398*i_T_fix*M362</f>
        <v/>
      </c>
      <c r="N407" s="19">
        <f>N398*i_T_fix*N362</f>
        <v/>
      </c>
      <c r="O407" s="19">
        <f>O398*i_T_fix*O362</f>
        <v/>
      </c>
      <c r="P407" s="19">
        <f>P398*i_T_fix*P362</f>
        <v/>
      </c>
      <c r="Q407" s="19">
        <f>Q398*i_T_fix*Q362</f>
        <v/>
      </c>
      <c r="R407" s="19">
        <f>R398*i_T_fix*R362</f>
        <v/>
      </c>
      <c r="S407" s="19">
        <f>S398*i_T_fix*S362</f>
        <v/>
      </c>
      <c r="T407" s="19">
        <f>T398*i_T_fix*T362</f>
        <v/>
      </c>
      <c r="U407" s="19">
        <f>U398*i_T_fix*U362</f>
        <v/>
      </c>
      <c r="V407" s="19">
        <f>V398*i_T_fix*V362</f>
        <v/>
      </c>
      <c r="W407" s="19">
        <f>W398*i_T_fix*W362</f>
        <v/>
      </c>
      <c r="X407" s="19">
        <f>X398*i_T_fix*X362</f>
        <v/>
      </c>
      <c r="Y407" s="19">
        <f>Y398*i_T_fix*Y362</f>
        <v/>
      </c>
      <c r="Z407" s="19">
        <f>Z398*i_T_fix*Z362</f>
        <v/>
      </c>
      <c r="AA407" s="19">
        <f>AA398*i_T_fix*AA362</f>
        <v/>
      </c>
      <c r="AB407" s="19">
        <f>AB398*i_T_fix*AB362</f>
        <v/>
      </c>
      <c r="AC407" s="19">
        <f>AC398*i_T_fix*AC362</f>
        <v/>
      </c>
      <c r="AD407" s="19">
        <f>AD398*i_T_fix*AD362</f>
        <v/>
      </c>
      <c r="AE407" s="19">
        <f>AE398*i_T_fix*AE362</f>
        <v/>
      </c>
      <c r="AF407" s="19">
        <f>AF398*i_T_fix*AF362</f>
        <v/>
      </c>
      <c r="AG407" s="19">
        <f>AG398*i_T_fix*AG362</f>
        <v/>
      </c>
      <c r="AH407" s="19">
        <f>AH398*i_T_fix*AH362</f>
        <v/>
      </c>
      <c r="AI407" s="19">
        <f>AI398*i_T_fix*AI362</f>
        <v/>
      </c>
    </row>
    <row r="408">
      <c r="B408" s="2" t="inlineStr">
        <is>
          <t xml:space="preserve">  Variable cost</t>
        </is>
      </c>
      <c r="D408" s="19">
        <f>i_T_var*D406</f>
        <v/>
      </c>
      <c r="E408" s="19">
        <f>i_T_var*E406</f>
        <v/>
      </c>
      <c r="F408" s="19">
        <f>i_T_var*F406</f>
        <v/>
      </c>
      <c r="G408" s="19">
        <f>i_T_var*G406</f>
        <v/>
      </c>
      <c r="H408" s="19">
        <f>i_T_var*H406</f>
        <v/>
      </c>
      <c r="I408" s="19">
        <f>i_T_var*I406</f>
        <v/>
      </c>
      <c r="J408" s="19">
        <f>i_T_var*J406</f>
        <v/>
      </c>
      <c r="K408" s="19">
        <f>i_T_var*K406</f>
        <v/>
      </c>
      <c r="L408" s="19">
        <f>i_T_var*L406</f>
        <v/>
      </c>
      <c r="M408" s="19">
        <f>i_T_var*M406</f>
        <v/>
      </c>
      <c r="N408" s="19">
        <f>i_T_var*N406</f>
        <v/>
      </c>
      <c r="O408" s="19">
        <f>i_T_var*O406</f>
        <v/>
      </c>
      <c r="P408" s="19">
        <f>i_T_var*P406</f>
        <v/>
      </c>
      <c r="Q408" s="19">
        <f>i_T_var*Q406</f>
        <v/>
      </c>
      <c r="R408" s="19">
        <f>i_T_var*R406</f>
        <v/>
      </c>
      <c r="S408" s="19">
        <f>i_T_var*S406</f>
        <v/>
      </c>
      <c r="T408" s="19">
        <f>i_T_var*T406</f>
        <v/>
      </c>
      <c r="U408" s="19">
        <f>i_T_var*U406</f>
        <v/>
      </c>
      <c r="V408" s="19">
        <f>i_T_var*V406</f>
        <v/>
      </c>
      <c r="W408" s="19">
        <f>i_T_var*W406</f>
        <v/>
      </c>
      <c r="X408" s="19">
        <f>i_T_var*X406</f>
        <v/>
      </c>
      <c r="Y408" s="19">
        <f>i_T_var*Y406</f>
        <v/>
      </c>
      <c r="Z408" s="19">
        <f>i_T_var*Z406</f>
        <v/>
      </c>
      <c r="AA408" s="19">
        <f>i_T_var*AA406</f>
        <v/>
      </c>
      <c r="AB408" s="19">
        <f>i_T_var*AB406</f>
        <v/>
      </c>
      <c r="AC408" s="19">
        <f>i_T_var*AC406</f>
        <v/>
      </c>
      <c r="AD408" s="19">
        <f>i_T_var*AD406</f>
        <v/>
      </c>
      <c r="AE408" s="19">
        <f>i_T_var*AE406</f>
        <v/>
      </c>
      <c r="AF408" s="19">
        <f>i_T_var*AF406</f>
        <v/>
      </c>
      <c r="AG408" s="19">
        <f>i_T_var*AG406</f>
        <v/>
      </c>
      <c r="AH408" s="19">
        <f>i_T_var*AH406</f>
        <v/>
      </c>
      <c r="AI408" s="19">
        <f>i_T_var*AI406</f>
        <v/>
      </c>
    </row>
    <row r="409">
      <c r="B409" s="2" t="inlineStr">
        <is>
          <t xml:space="preserve">  Operating cost</t>
        </is>
      </c>
      <c r="D409" s="19">
        <f>D407+D408</f>
        <v/>
      </c>
      <c r="E409" s="19">
        <f>E407+E408</f>
        <v/>
      </c>
      <c r="F409" s="19">
        <f>F407+F408</f>
        <v/>
      </c>
      <c r="G409" s="19">
        <f>G407+G408</f>
        <v/>
      </c>
      <c r="H409" s="19">
        <f>H407+H408</f>
        <v/>
      </c>
      <c r="I409" s="19">
        <f>I407+I408</f>
        <v/>
      </c>
      <c r="J409" s="19">
        <f>J407+J408</f>
        <v/>
      </c>
      <c r="K409" s="19">
        <f>K407+K408</f>
        <v/>
      </c>
      <c r="L409" s="19">
        <f>L407+L408</f>
        <v/>
      </c>
      <c r="M409" s="19">
        <f>M407+M408</f>
        <v/>
      </c>
      <c r="N409" s="19">
        <f>N407+N408</f>
        <v/>
      </c>
      <c r="O409" s="19">
        <f>O407+O408</f>
        <v/>
      </c>
      <c r="P409" s="19">
        <f>P407+P408</f>
        <v/>
      </c>
      <c r="Q409" s="19">
        <f>Q407+Q408</f>
        <v/>
      </c>
      <c r="R409" s="19">
        <f>R407+R408</f>
        <v/>
      </c>
      <c r="S409" s="19">
        <f>S407+S408</f>
        <v/>
      </c>
      <c r="T409" s="19">
        <f>T407+T408</f>
        <v/>
      </c>
      <c r="U409" s="19">
        <f>U407+U408</f>
        <v/>
      </c>
      <c r="V409" s="19">
        <f>V407+V408</f>
        <v/>
      </c>
      <c r="W409" s="19">
        <f>W407+W408</f>
        <v/>
      </c>
      <c r="X409" s="19">
        <f>X407+X408</f>
        <v/>
      </c>
      <c r="Y409" s="19">
        <f>Y407+Y408</f>
        <v/>
      </c>
      <c r="Z409" s="19">
        <f>Z407+Z408</f>
        <v/>
      </c>
      <c r="AA409" s="19">
        <f>AA407+AA408</f>
        <v/>
      </c>
      <c r="AB409" s="19">
        <f>AB407+AB408</f>
        <v/>
      </c>
      <c r="AC409" s="19">
        <f>AC407+AC408</f>
        <v/>
      </c>
      <c r="AD409" s="19">
        <f>AD407+AD408</f>
        <v/>
      </c>
      <c r="AE409" s="19">
        <f>AE407+AE408</f>
        <v/>
      </c>
      <c r="AF409" s="19">
        <f>AF407+AF408</f>
        <v/>
      </c>
      <c r="AG409" s="19">
        <f>AG407+AG408</f>
        <v/>
      </c>
      <c r="AH409" s="19">
        <f>AH407+AH408</f>
        <v/>
      </c>
      <c r="AI409" s="19">
        <f>AI407+AI408</f>
        <v/>
      </c>
    </row>
    <row r="410">
      <c r="B410" s="3" t="inlineStr">
        <is>
          <t xml:space="preserve">  EBITDA</t>
        </is>
      </c>
      <c r="D410" s="31">
        <f>D406-D409</f>
        <v/>
      </c>
      <c r="E410" s="31">
        <f>E406-E409</f>
        <v/>
      </c>
      <c r="F410" s="31">
        <f>F406-F409</f>
        <v/>
      </c>
      <c r="G410" s="31">
        <f>G406-G409</f>
        <v/>
      </c>
      <c r="H410" s="31">
        <f>H406-H409</f>
        <v/>
      </c>
      <c r="I410" s="31">
        <f>I406-I409</f>
        <v/>
      </c>
      <c r="J410" s="31">
        <f>J406-J409</f>
        <v/>
      </c>
      <c r="K410" s="31">
        <f>K406-K409</f>
        <v/>
      </c>
      <c r="L410" s="31">
        <f>L406-L409</f>
        <v/>
      </c>
      <c r="M410" s="31">
        <f>M406-M409</f>
        <v/>
      </c>
      <c r="N410" s="31">
        <f>N406-N409</f>
        <v/>
      </c>
      <c r="O410" s="31">
        <f>O406-O409</f>
        <v/>
      </c>
      <c r="P410" s="31">
        <f>P406-P409</f>
        <v/>
      </c>
      <c r="Q410" s="31">
        <f>Q406-Q409</f>
        <v/>
      </c>
      <c r="R410" s="31">
        <f>R406-R409</f>
        <v/>
      </c>
      <c r="S410" s="31">
        <f>S406-S409</f>
        <v/>
      </c>
      <c r="T410" s="31">
        <f>T406-T409</f>
        <v/>
      </c>
      <c r="U410" s="31">
        <f>U406-U409</f>
        <v/>
      </c>
      <c r="V410" s="31">
        <f>V406-V409</f>
        <v/>
      </c>
      <c r="W410" s="31">
        <f>W406-W409</f>
        <v/>
      </c>
      <c r="X410" s="31">
        <f>X406-X409</f>
        <v/>
      </c>
      <c r="Y410" s="31">
        <f>Y406-Y409</f>
        <v/>
      </c>
      <c r="Z410" s="31">
        <f>Z406-Z409</f>
        <v/>
      </c>
      <c r="AA410" s="31">
        <f>AA406-AA409</f>
        <v/>
      </c>
      <c r="AB410" s="31">
        <f>AB406-AB409</f>
        <v/>
      </c>
      <c r="AC410" s="31">
        <f>AC406-AC409</f>
        <v/>
      </c>
      <c r="AD410" s="31">
        <f>AD406-AD409</f>
        <v/>
      </c>
      <c r="AE410" s="31">
        <f>AE406-AE409</f>
        <v/>
      </c>
      <c r="AF410" s="31">
        <f>AF406-AF409</f>
        <v/>
      </c>
      <c r="AG410" s="31">
        <f>AG406-AG409</f>
        <v/>
      </c>
      <c r="AH410" s="31">
        <f>AH406-AH409</f>
        <v/>
      </c>
      <c r="AI410" s="31">
        <f>AI406-AI409</f>
        <v/>
      </c>
    </row>
    <row r="411">
      <c r="B411" s="2" t="inlineStr">
        <is>
          <t xml:space="preserve">  Maintenance capex</t>
        </is>
      </c>
      <c r="D411" s="19">
        <f>D398*i_T_mc*D362</f>
        <v/>
      </c>
      <c r="E411" s="19">
        <f>E398*i_T_mc*E362</f>
        <v/>
      </c>
      <c r="F411" s="19">
        <f>F398*i_T_mc*F362</f>
        <v/>
      </c>
      <c r="G411" s="19">
        <f>G398*i_T_mc*G362</f>
        <v/>
      </c>
      <c r="H411" s="19">
        <f>H398*i_T_mc*H362</f>
        <v/>
      </c>
      <c r="I411" s="19">
        <f>I398*i_T_mc*I362</f>
        <v/>
      </c>
      <c r="J411" s="19">
        <f>J398*i_T_mc*J362</f>
        <v/>
      </c>
      <c r="K411" s="19">
        <f>K398*i_T_mc*K362</f>
        <v/>
      </c>
      <c r="L411" s="19">
        <f>L398*i_T_mc*L362</f>
        <v/>
      </c>
      <c r="M411" s="19">
        <f>M398*i_T_mc*M362</f>
        <v/>
      </c>
      <c r="N411" s="19">
        <f>N398*i_T_mc*N362</f>
        <v/>
      </c>
      <c r="O411" s="19">
        <f>O398*i_T_mc*O362</f>
        <v/>
      </c>
      <c r="P411" s="19">
        <f>P398*i_T_mc*P362</f>
        <v/>
      </c>
      <c r="Q411" s="19">
        <f>Q398*i_T_mc*Q362</f>
        <v/>
      </c>
      <c r="R411" s="19">
        <f>R398*i_T_mc*R362</f>
        <v/>
      </c>
      <c r="S411" s="19">
        <f>S398*i_T_mc*S362</f>
        <v/>
      </c>
      <c r="T411" s="19">
        <f>T398*i_T_mc*T362</f>
        <v/>
      </c>
      <c r="U411" s="19">
        <f>U398*i_T_mc*U362</f>
        <v/>
      </c>
      <c r="V411" s="19">
        <f>V398*i_T_mc*V362</f>
        <v/>
      </c>
      <c r="W411" s="19">
        <f>W398*i_T_mc*W362</f>
        <v/>
      </c>
      <c r="X411" s="19">
        <f>X398*i_T_mc*X362</f>
        <v/>
      </c>
      <c r="Y411" s="19">
        <f>Y398*i_T_mc*Y362</f>
        <v/>
      </c>
      <c r="Z411" s="19">
        <f>Z398*i_T_mc*Z362</f>
        <v/>
      </c>
      <c r="AA411" s="19">
        <f>AA398*i_T_mc*AA362</f>
        <v/>
      </c>
      <c r="AB411" s="19">
        <f>AB398*i_T_mc*AB362</f>
        <v/>
      </c>
      <c r="AC411" s="19">
        <f>AC398*i_T_mc*AC362</f>
        <v/>
      </c>
      <c r="AD411" s="19">
        <f>AD398*i_T_mc*AD362</f>
        <v/>
      </c>
      <c r="AE411" s="19">
        <f>AE398*i_T_mc*AE362</f>
        <v/>
      </c>
      <c r="AF411" s="19">
        <f>AF398*i_T_mc*AF362</f>
        <v/>
      </c>
      <c r="AG411" s="19">
        <f>AG398*i_T_mc*AG362</f>
        <v/>
      </c>
      <c r="AH411" s="19">
        <f>AH398*i_T_mc*AH362</f>
        <v/>
      </c>
      <c r="AI411" s="19">
        <f>AI398*i_T_mc*AI362</f>
        <v/>
      </c>
    </row>
    <row r="412">
      <c r="B412" s="3" t="inlineStr">
        <is>
          <t>Sabine Bend</t>
        </is>
      </c>
    </row>
    <row r="413">
      <c r="B413" s="2" t="inlineStr">
        <is>
          <t xml:space="preserve">  Capacity in service (million m3)</t>
        </is>
      </c>
      <c r="D413" s="24">
        <f>i_G_cap</f>
        <v/>
      </c>
      <c r="E413" s="24">
        <f>i_G_cap</f>
        <v/>
      </c>
      <c r="F413" s="24">
        <f>i_G_cap</f>
        <v/>
      </c>
      <c r="G413" s="24">
        <f>i_G_cap</f>
        <v/>
      </c>
      <c r="H413" s="24">
        <f>i_G_cap</f>
        <v/>
      </c>
      <c r="I413" s="24">
        <f>i_G_cap</f>
        <v/>
      </c>
      <c r="J413" s="24">
        <f>i_G_cap</f>
        <v/>
      </c>
      <c r="K413" s="24">
        <f>i_G_cap</f>
        <v/>
      </c>
      <c r="L413" s="24">
        <f>i_G_cap</f>
        <v/>
      </c>
      <c r="M413" s="24">
        <f>i_G_cap</f>
        <v/>
      </c>
      <c r="N413" s="24">
        <f>i_G_cap</f>
        <v/>
      </c>
      <c r="O413" s="24">
        <f>i_G_cap</f>
        <v/>
      </c>
      <c r="P413" s="24">
        <f>i_G_cap</f>
        <v/>
      </c>
      <c r="Q413" s="24">
        <f>i_G_cap</f>
        <v/>
      </c>
      <c r="R413" s="24">
        <f>i_G_cap</f>
        <v/>
      </c>
      <c r="S413" s="24">
        <f>i_G_cap</f>
        <v/>
      </c>
      <c r="T413" s="24">
        <f>i_G_cap</f>
        <v/>
      </c>
      <c r="U413" s="24">
        <f>i_G_cap</f>
        <v/>
      </c>
      <c r="V413" s="24">
        <f>i_G_cap</f>
        <v/>
      </c>
      <c r="W413" s="24">
        <f>i_G_cap</f>
        <v/>
      </c>
      <c r="X413" s="24">
        <f>i_G_cap</f>
        <v/>
      </c>
      <c r="Y413" s="24">
        <f>i_G_cap</f>
        <v/>
      </c>
      <c r="Z413" s="24">
        <f>i_G_cap</f>
        <v/>
      </c>
      <c r="AA413" s="24">
        <f>i_G_cap</f>
        <v/>
      </c>
      <c r="AB413" s="24">
        <f>i_G_cap</f>
        <v/>
      </c>
      <c r="AC413" s="24">
        <f>i_G_cap</f>
        <v/>
      </c>
      <c r="AD413" s="24">
        <f>i_G_cap</f>
        <v/>
      </c>
      <c r="AE413" s="24">
        <f>i_G_cap</f>
        <v/>
      </c>
      <c r="AF413" s="24">
        <f>i_G_cap</f>
        <v/>
      </c>
      <c r="AG413" s="24">
        <f>i_G_cap</f>
        <v/>
      </c>
      <c r="AH413" s="24">
        <f>i_G_cap</f>
        <v/>
      </c>
      <c r="AI413" s="24">
        <f>i_G_cap</f>
        <v/>
      </c>
    </row>
    <row r="414">
      <c r="B414" s="2" t="inlineStr">
        <is>
          <t xml:space="preserve">  Share on contracts signed before 2027</t>
        </is>
      </c>
      <c r="D414" s="21">
        <f>SUMIF(i_book_years,D$3,i_G_book)</f>
        <v/>
      </c>
      <c r="E414" s="21">
        <f>SUMIF(i_book_years,E$3,i_G_book)</f>
        <v/>
      </c>
      <c r="F414" s="21">
        <f>SUMIF(i_book_years,F$3,i_G_book)</f>
        <v/>
      </c>
      <c r="G414" s="21">
        <f>SUMIF(i_book_years,G$3,i_G_book)</f>
        <v/>
      </c>
      <c r="H414" s="21">
        <f>SUMIF(i_book_years,H$3,i_G_book)</f>
        <v/>
      </c>
      <c r="I414" s="21">
        <f>SUMIF(i_book_years,I$3,i_G_book)</f>
        <v/>
      </c>
      <c r="J414" s="21">
        <f>SUMIF(i_book_years,J$3,i_G_book)</f>
        <v/>
      </c>
      <c r="K414" s="21">
        <f>SUMIF(i_book_years,K$3,i_G_book)</f>
        <v/>
      </c>
      <c r="L414" s="21">
        <f>SUMIF(i_book_years,L$3,i_G_book)</f>
        <v/>
      </c>
      <c r="M414" s="21">
        <f>SUMIF(i_book_years,M$3,i_G_book)</f>
        <v/>
      </c>
      <c r="N414" s="21">
        <f>SUMIF(i_book_years,N$3,i_G_book)</f>
        <v/>
      </c>
      <c r="O414" s="21">
        <f>SUMIF(i_book_years,O$3,i_G_book)</f>
        <v/>
      </c>
      <c r="P414" s="21">
        <f>SUMIF(i_book_years,P$3,i_G_book)</f>
        <v/>
      </c>
      <c r="Q414" s="21">
        <f>SUMIF(i_book_years,Q$3,i_G_book)</f>
        <v/>
      </c>
      <c r="R414" s="21">
        <f>SUMIF(i_book_years,R$3,i_G_book)</f>
        <v/>
      </c>
      <c r="S414" s="21">
        <f>SUMIF(i_book_years,S$3,i_G_book)</f>
        <v/>
      </c>
      <c r="T414" s="21">
        <f>SUMIF(i_book_years,T$3,i_G_book)</f>
        <v/>
      </c>
      <c r="U414" s="21">
        <f>SUMIF(i_book_years,U$3,i_G_book)</f>
        <v/>
      </c>
      <c r="V414" s="21">
        <f>SUMIF(i_book_years,V$3,i_G_book)</f>
        <v/>
      </c>
      <c r="W414" s="21">
        <f>SUMIF(i_book_years,W$3,i_G_book)</f>
        <v/>
      </c>
      <c r="X414" s="21">
        <f>SUMIF(i_book_years,X$3,i_G_book)</f>
        <v/>
      </c>
      <c r="Y414" s="21">
        <f>SUMIF(i_book_years,Y$3,i_G_book)</f>
        <v/>
      </c>
      <c r="Z414" s="21">
        <f>SUMIF(i_book_years,Z$3,i_G_book)</f>
        <v/>
      </c>
      <c r="AA414" s="21">
        <f>SUMIF(i_book_years,AA$3,i_G_book)</f>
        <v/>
      </c>
      <c r="AB414" s="21">
        <f>SUMIF(i_book_years,AB$3,i_G_book)</f>
        <v/>
      </c>
      <c r="AC414" s="21">
        <f>SUMIF(i_book_years,AC$3,i_G_book)</f>
        <v/>
      </c>
      <c r="AD414" s="21">
        <f>SUMIF(i_book_years,AD$3,i_G_book)</f>
        <v/>
      </c>
      <c r="AE414" s="21">
        <f>SUMIF(i_book_years,AE$3,i_G_book)</f>
        <v/>
      </c>
      <c r="AF414" s="21">
        <f>SUMIF(i_book_years,AF$3,i_G_book)</f>
        <v/>
      </c>
      <c r="AG414" s="21">
        <f>SUMIF(i_book_years,AG$3,i_G_book)</f>
        <v/>
      </c>
      <c r="AH414" s="21">
        <f>SUMIF(i_book_years,AH$3,i_G_book)</f>
        <v/>
      </c>
      <c r="AI414" s="21">
        <f>SUMIF(i_book_years,AI$3,i_G_book)</f>
        <v/>
      </c>
    </row>
    <row r="415">
      <c r="B415" s="2" t="inlineStr">
        <is>
          <t xml:space="preserve">  Recontracting factor against current rates</t>
        </is>
      </c>
      <c r="D415" s="21">
        <f>IF(D$4=0,0,IF(Sensitivities!$C$352=1,i_G_mtm,i_G_mtm_plan)+Sensitivities!$C$358)</f>
        <v/>
      </c>
      <c r="E415" s="21">
        <f>IF(E$4=0,0,IF(Sensitivities!$C$352=1,i_G_mtm,i_G_mtm_plan)+Sensitivities!$C$358)</f>
        <v/>
      </c>
      <c r="F415" s="21">
        <f>IF(F$4=0,0,IF(Sensitivities!$C$352=1,i_G_mtm,i_G_mtm_plan)+Sensitivities!$C$358)</f>
        <v/>
      </c>
      <c r="G415" s="21">
        <f>IF(G$4=0,0,IF(Sensitivities!$C$352=1,i_G_mtm,i_G_mtm_plan)+Sensitivities!$C$358)</f>
        <v/>
      </c>
      <c r="H415" s="21">
        <f>IF(H$4=0,0,IF(Sensitivities!$C$352=1,i_G_mtm,i_G_mtm_plan)+Sensitivities!$C$358)</f>
        <v/>
      </c>
      <c r="I415" s="21">
        <f>IF(I$4=0,0,IF(Sensitivities!$C$352=1,i_G_mtm,i_G_mtm_plan)+Sensitivities!$C$358)</f>
        <v/>
      </c>
      <c r="J415" s="21">
        <f>IF(J$4=0,0,IF(Sensitivities!$C$352=1,i_G_mtm,i_G_mtm_plan)+Sensitivities!$C$358)</f>
        <v/>
      </c>
      <c r="K415" s="21">
        <f>IF(K$4=0,0,IF(Sensitivities!$C$352=1,i_G_mtm,i_G_mtm_plan)+Sensitivities!$C$358)</f>
        <v/>
      </c>
      <c r="L415" s="21">
        <f>IF(L$4=0,0,IF(Sensitivities!$C$352=1,i_G_mtm,i_G_mtm_plan)+Sensitivities!$C$358)</f>
        <v/>
      </c>
      <c r="M415" s="21">
        <f>IF(M$4=0,0,IF(Sensitivities!$C$352=1,i_G_mtm,i_G_mtm_plan)+Sensitivities!$C$358)</f>
        <v/>
      </c>
      <c r="N415" s="21">
        <f>IF(N$4=0,0,IF(Sensitivities!$C$352=1,i_G_mtm,i_G_mtm_plan)+Sensitivities!$C$358)</f>
        <v/>
      </c>
      <c r="O415" s="21">
        <f>IF(O$4=0,0,IF(Sensitivities!$C$352=1,i_G_mtm,i_G_mtm_plan)+Sensitivities!$C$358)</f>
        <v/>
      </c>
      <c r="P415" s="21">
        <f>IF(P$4=0,0,IF(Sensitivities!$C$352=1,i_G_mtm,i_G_mtm_plan)+Sensitivities!$C$358)</f>
        <v/>
      </c>
      <c r="Q415" s="21">
        <f>IF(Q$4=0,0,IF(Sensitivities!$C$352=1,i_G_mtm,i_G_mtm_plan)+Sensitivities!$C$358)</f>
        <v/>
      </c>
      <c r="R415" s="21">
        <f>IF(R$4=0,0,IF(Sensitivities!$C$352=1,i_G_mtm,i_G_mtm_plan)+Sensitivities!$C$358)</f>
        <v/>
      </c>
      <c r="S415" s="21">
        <f>IF(S$4=0,0,IF(Sensitivities!$C$352=1,i_G_mtm,i_G_mtm_plan)+Sensitivities!$C$358)</f>
        <v/>
      </c>
      <c r="T415" s="21">
        <f>IF(T$4=0,0,IF(Sensitivities!$C$352=1,i_G_mtm,i_G_mtm_plan)+Sensitivities!$C$358)</f>
        <v/>
      </c>
      <c r="U415" s="21">
        <f>IF(U$4=0,0,IF(Sensitivities!$C$352=1,i_G_mtm,i_G_mtm_plan)+Sensitivities!$C$358)</f>
        <v/>
      </c>
      <c r="V415" s="21">
        <f>IF(V$4=0,0,IF(Sensitivities!$C$352=1,i_G_mtm,i_G_mtm_plan)+Sensitivities!$C$358)</f>
        <v/>
      </c>
      <c r="W415" s="21">
        <f>IF(W$4=0,0,IF(Sensitivities!$C$352=1,i_G_mtm,i_G_mtm_plan)+Sensitivities!$C$358)</f>
        <v/>
      </c>
      <c r="X415" s="21">
        <f>IF(X$4=0,0,IF(Sensitivities!$C$352=1,i_G_mtm,i_G_mtm_plan)+Sensitivities!$C$358)</f>
        <v/>
      </c>
      <c r="Y415" s="21">
        <f>IF(Y$4=0,0,IF(Sensitivities!$C$352=1,i_G_mtm,i_G_mtm_plan)+Sensitivities!$C$358)</f>
        <v/>
      </c>
      <c r="Z415" s="21">
        <f>IF(Z$4=0,0,IF(Sensitivities!$C$352=1,i_G_mtm,i_G_mtm_plan)+Sensitivities!$C$358)</f>
        <v/>
      </c>
      <c r="AA415" s="21">
        <f>IF(AA$4=0,0,IF(Sensitivities!$C$352=1,i_G_mtm,i_G_mtm_plan)+Sensitivities!$C$358)</f>
        <v/>
      </c>
      <c r="AB415" s="21">
        <f>IF(AB$4=0,0,IF(Sensitivities!$C$352=1,i_G_mtm,i_G_mtm_plan)+Sensitivities!$C$358)</f>
        <v/>
      </c>
      <c r="AC415" s="21">
        <f>IF(AC$4=0,0,IF(Sensitivities!$C$352=1,i_G_mtm,i_G_mtm_plan)+Sensitivities!$C$358)</f>
        <v/>
      </c>
      <c r="AD415" s="21">
        <f>IF(AD$4=0,0,IF(Sensitivities!$C$352=1,i_G_mtm,i_G_mtm_plan)+Sensitivities!$C$358)</f>
        <v/>
      </c>
      <c r="AE415" s="21">
        <f>IF(AE$4=0,0,IF(Sensitivities!$C$352=1,i_G_mtm,i_G_mtm_plan)+Sensitivities!$C$358)</f>
        <v/>
      </c>
      <c r="AF415" s="21">
        <f>IF(AF$4=0,0,IF(Sensitivities!$C$352=1,i_G_mtm,i_G_mtm_plan)+Sensitivities!$C$358)</f>
        <v/>
      </c>
      <c r="AG415" s="21">
        <f>IF(AG$4=0,0,IF(Sensitivities!$C$352=1,i_G_mtm,i_G_mtm_plan)+Sensitivities!$C$358)</f>
        <v/>
      </c>
      <c r="AH415" s="21">
        <f>IF(AH$4=0,0,IF(Sensitivities!$C$352=1,i_G_mtm,i_G_mtm_plan)+Sensitivities!$C$358)</f>
        <v/>
      </c>
      <c r="AI415" s="21">
        <f>IF(AI$4=0,0,IF(Sensitivities!$C$352=1,i_G_mtm,i_G_mtm_plan)+Sensitivities!$C$358)</f>
        <v/>
      </c>
    </row>
    <row r="416">
      <c r="B416" s="2" t="inlineStr">
        <is>
          <t xml:space="preserve">  Average rate ($ per m3 per month)</t>
        </is>
      </c>
      <c r="D416" s="24">
        <f>i_G_rate*D363*(D414+(1-D414)*(1+D415))</f>
        <v/>
      </c>
      <c r="E416" s="24">
        <f>i_G_rate*E363*(E414+(1-E414)*(1+E415))</f>
        <v/>
      </c>
      <c r="F416" s="24">
        <f>i_G_rate*F363*(F414+(1-F414)*(1+F415))</f>
        <v/>
      </c>
      <c r="G416" s="24">
        <f>i_G_rate*G363*(G414+(1-G414)*(1+G415))</f>
        <v/>
      </c>
      <c r="H416" s="24">
        <f>i_G_rate*H363*(H414+(1-H414)*(1+H415))</f>
        <v/>
      </c>
      <c r="I416" s="24">
        <f>i_G_rate*I363*(I414+(1-I414)*(1+I415))</f>
        <v/>
      </c>
      <c r="J416" s="24">
        <f>i_G_rate*J363*(J414+(1-J414)*(1+J415))</f>
        <v/>
      </c>
      <c r="K416" s="24">
        <f>i_G_rate*K363*(K414+(1-K414)*(1+K415))</f>
        <v/>
      </c>
      <c r="L416" s="24">
        <f>i_G_rate*L363*(L414+(1-L414)*(1+L415))</f>
        <v/>
      </c>
      <c r="M416" s="24">
        <f>i_G_rate*M363*(M414+(1-M414)*(1+M415))</f>
        <v/>
      </c>
      <c r="N416" s="24">
        <f>i_G_rate*N363*(N414+(1-N414)*(1+N415))</f>
        <v/>
      </c>
      <c r="O416" s="24">
        <f>i_G_rate*O363*(O414+(1-O414)*(1+O415))</f>
        <v/>
      </c>
      <c r="P416" s="24">
        <f>i_G_rate*P363*(P414+(1-P414)*(1+P415))</f>
        <v/>
      </c>
      <c r="Q416" s="24">
        <f>i_G_rate*Q363*(Q414+(1-Q414)*(1+Q415))</f>
        <v/>
      </c>
      <c r="R416" s="24">
        <f>i_G_rate*R363*(R414+(1-R414)*(1+R415))</f>
        <v/>
      </c>
      <c r="S416" s="24">
        <f>i_G_rate*S363*(S414+(1-S414)*(1+S415))</f>
        <v/>
      </c>
      <c r="T416" s="24">
        <f>i_G_rate*T363*(T414+(1-T414)*(1+T415))</f>
        <v/>
      </c>
      <c r="U416" s="24">
        <f>i_G_rate*U363*(U414+(1-U414)*(1+U415))</f>
        <v/>
      </c>
      <c r="V416" s="24">
        <f>i_G_rate*V363*(V414+(1-V414)*(1+V415))</f>
        <v/>
      </c>
      <c r="W416" s="24">
        <f>i_G_rate*W363*(W414+(1-W414)*(1+W415))</f>
        <v/>
      </c>
      <c r="X416" s="24">
        <f>i_G_rate*X363*(X414+(1-X414)*(1+X415))</f>
        <v/>
      </c>
      <c r="Y416" s="24">
        <f>i_G_rate*Y363*(Y414+(1-Y414)*(1+Y415))</f>
        <v/>
      </c>
      <c r="Z416" s="24">
        <f>i_G_rate*Z363*(Z414+(1-Z414)*(1+Z415))</f>
        <v/>
      </c>
      <c r="AA416" s="24">
        <f>i_G_rate*AA363*(AA414+(1-AA414)*(1+AA415))</f>
        <v/>
      </c>
      <c r="AB416" s="24">
        <f>i_G_rate*AB363*(AB414+(1-AB414)*(1+AB415))</f>
        <v/>
      </c>
      <c r="AC416" s="24">
        <f>i_G_rate*AC363*(AC414+(1-AC414)*(1+AC415))</f>
        <v/>
      </c>
      <c r="AD416" s="24">
        <f>i_G_rate*AD363*(AD414+(1-AD414)*(1+AD415))</f>
        <v/>
      </c>
      <c r="AE416" s="24">
        <f>i_G_rate*AE363*(AE414+(1-AE414)*(1+AE415))</f>
        <v/>
      </c>
      <c r="AF416" s="24">
        <f>i_G_rate*AF363*(AF414+(1-AF414)*(1+AF415))</f>
        <v/>
      </c>
      <c r="AG416" s="24">
        <f>i_G_rate*AG363*(AG414+(1-AG414)*(1+AG415))</f>
        <v/>
      </c>
      <c r="AH416" s="24">
        <f>i_G_rate*AH363*(AH414+(1-AH414)*(1+AH415))</f>
        <v/>
      </c>
      <c r="AI416" s="24">
        <f>i_G_rate*AI363*(AI414+(1-AI414)*(1+AI415))</f>
        <v/>
      </c>
    </row>
    <row r="417">
      <c r="B417" s="2" t="inlineStr">
        <is>
          <t xml:space="preserve">  Occupancy after the transition decline and floor</t>
        </is>
      </c>
      <c r="D417" s="21">
        <f>IF(D$3&gt;i_trans_start,MAX(i_G_floor,i_G_occ-i_G_dec*(D$3-i_trans_start)),i_G_occ)</f>
        <v/>
      </c>
      <c r="E417" s="21">
        <f>IF(E$3&gt;i_trans_start,MAX(i_G_floor,i_G_occ-i_G_dec*(E$3-i_trans_start)),i_G_occ)</f>
        <v/>
      </c>
      <c r="F417" s="21">
        <f>IF(F$3&gt;i_trans_start,MAX(i_G_floor,i_G_occ-i_G_dec*(F$3-i_trans_start)),i_G_occ)</f>
        <v/>
      </c>
      <c r="G417" s="21">
        <f>IF(G$3&gt;i_trans_start,MAX(i_G_floor,i_G_occ-i_G_dec*(G$3-i_trans_start)),i_G_occ)</f>
        <v/>
      </c>
      <c r="H417" s="21">
        <f>IF(H$3&gt;i_trans_start,MAX(i_G_floor,i_G_occ-i_G_dec*(H$3-i_trans_start)),i_G_occ)</f>
        <v/>
      </c>
      <c r="I417" s="21">
        <f>IF(I$3&gt;i_trans_start,MAX(i_G_floor,i_G_occ-i_G_dec*(I$3-i_trans_start)),i_G_occ)</f>
        <v/>
      </c>
      <c r="J417" s="21">
        <f>IF(J$3&gt;i_trans_start,MAX(i_G_floor,i_G_occ-i_G_dec*(J$3-i_trans_start)),i_G_occ)</f>
        <v/>
      </c>
      <c r="K417" s="21">
        <f>IF(K$3&gt;i_trans_start,MAX(i_G_floor,i_G_occ-i_G_dec*(K$3-i_trans_start)),i_G_occ)</f>
        <v/>
      </c>
      <c r="L417" s="21">
        <f>IF(L$3&gt;i_trans_start,MAX(i_G_floor,i_G_occ-i_G_dec*(L$3-i_trans_start)),i_G_occ)</f>
        <v/>
      </c>
      <c r="M417" s="21">
        <f>IF(M$3&gt;i_trans_start,MAX(i_G_floor,i_G_occ-i_G_dec*(M$3-i_trans_start)),i_G_occ)</f>
        <v/>
      </c>
      <c r="N417" s="21">
        <f>IF(N$3&gt;i_trans_start,MAX(i_G_floor,i_G_occ-i_G_dec*(N$3-i_trans_start)),i_G_occ)</f>
        <v/>
      </c>
      <c r="O417" s="21">
        <f>IF(O$3&gt;i_trans_start,MAX(i_G_floor,i_G_occ-i_G_dec*(O$3-i_trans_start)),i_G_occ)</f>
        <v/>
      </c>
      <c r="P417" s="21">
        <f>IF(P$3&gt;i_trans_start,MAX(i_G_floor,i_G_occ-i_G_dec*(P$3-i_trans_start)),i_G_occ)</f>
        <v/>
      </c>
      <c r="Q417" s="21">
        <f>IF(Q$3&gt;i_trans_start,MAX(i_G_floor,i_G_occ-i_G_dec*(Q$3-i_trans_start)),i_G_occ)</f>
        <v/>
      </c>
      <c r="R417" s="21">
        <f>IF(R$3&gt;i_trans_start,MAX(i_G_floor,i_G_occ-i_G_dec*(R$3-i_trans_start)),i_G_occ)</f>
        <v/>
      </c>
      <c r="S417" s="21">
        <f>IF(S$3&gt;i_trans_start,MAX(i_G_floor,i_G_occ-i_G_dec*(S$3-i_trans_start)),i_G_occ)</f>
        <v/>
      </c>
      <c r="T417" s="21">
        <f>IF(T$3&gt;i_trans_start,MAX(i_G_floor,i_G_occ-i_G_dec*(T$3-i_trans_start)),i_G_occ)</f>
        <v/>
      </c>
      <c r="U417" s="21">
        <f>IF(U$3&gt;i_trans_start,MAX(i_G_floor,i_G_occ-i_G_dec*(U$3-i_trans_start)),i_G_occ)</f>
        <v/>
      </c>
      <c r="V417" s="21">
        <f>IF(V$3&gt;i_trans_start,MAX(i_G_floor,i_G_occ-i_G_dec*(V$3-i_trans_start)),i_G_occ)</f>
        <v/>
      </c>
      <c r="W417" s="21">
        <f>IF(W$3&gt;i_trans_start,MAX(i_G_floor,i_G_occ-i_G_dec*(W$3-i_trans_start)),i_G_occ)</f>
        <v/>
      </c>
      <c r="X417" s="21">
        <f>IF(X$3&gt;i_trans_start,MAX(i_G_floor,i_G_occ-i_G_dec*(X$3-i_trans_start)),i_G_occ)</f>
        <v/>
      </c>
      <c r="Y417" s="21">
        <f>IF(Y$3&gt;i_trans_start,MAX(i_G_floor,i_G_occ-i_G_dec*(Y$3-i_trans_start)),i_G_occ)</f>
        <v/>
      </c>
      <c r="Z417" s="21">
        <f>IF(Z$3&gt;i_trans_start,MAX(i_G_floor,i_G_occ-i_G_dec*(Z$3-i_trans_start)),i_G_occ)</f>
        <v/>
      </c>
      <c r="AA417" s="21">
        <f>IF(AA$3&gt;i_trans_start,MAX(i_G_floor,i_G_occ-i_G_dec*(AA$3-i_trans_start)),i_G_occ)</f>
        <v/>
      </c>
      <c r="AB417" s="21">
        <f>IF(AB$3&gt;i_trans_start,MAX(i_G_floor,i_G_occ-i_G_dec*(AB$3-i_trans_start)),i_G_occ)</f>
        <v/>
      </c>
      <c r="AC417" s="21">
        <f>IF(AC$3&gt;i_trans_start,MAX(i_G_floor,i_G_occ-i_G_dec*(AC$3-i_trans_start)),i_G_occ)</f>
        <v/>
      </c>
      <c r="AD417" s="21">
        <f>IF(AD$3&gt;i_trans_start,MAX(i_G_floor,i_G_occ-i_G_dec*(AD$3-i_trans_start)),i_G_occ)</f>
        <v/>
      </c>
      <c r="AE417" s="21">
        <f>IF(AE$3&gt;i_trans_start,MAX(i_G_floor,i_G_occ-i_G_dec*(AE$3-i_trans_start)),i_G_occ)</f>
        <v/>
      </c>
      <c r="AF417" s="21">
        <f>IF(AF$3&gt;i_trans_start,MAX(i_G_floor,i_G_occ-i_G_dec*(AF$3-i_trans_start)),i_G_occ)</f>
        <v/>
      </c>
      <c r="AG417" s="21">
        <f>IF(AG$3&gt;i_trans_start,MAX(i_G_floor,i_G_occ-i_G_dec*(AG$3-i_trans_start)),i_G_occ)</f>
        <v/>
      </c>
      <c r="AH417" s="21">
        <f>IF(AH$3&gt;i_trans_start,MAX(i_G_floor,i_G_occ-i_G_dec*(AH$3-i_trans_start)),i_G_occ)</f>
        <v/>
      </c>
      <c r="AI417" s="21">
        <f>IF(AI$3&gt;i_trans_start,MAX(i_G_floor,i_G_occ-i_G_dec*(AI$3-i_trans_start)),i_G_occ)</f>
        <v/>
      </c>
    </row>
    <row r="418">
      <c r="B418" s="2" t="inlineStr">
        <is>
          <t xml:space="preserve">  Occupancy (with the shift switch from 2027)</t>
        </is>
      </c>
      <c r="D418" s="21">
        <f>IF(D$4&gt;0,MIN(1,D417+Sensitivities!$C$357),D417)</f>
        <v/>
      </c>
      <c r="E418" s="21">
        <f>IF(E$4&gt;0,MIN(1,E417+Sensitivities!$C$357),E417)</f>
        <v/>
      </c>
      <c r="F418" s="21">
        <f>IF(F$4&gt;0,MIN(1,F417+Sensitivities!$C$357),F417)</f>
        <v/>
      </c>
      <c r="G418" s="21">
        <f>IF(G$4&gt;0,MIN(1,G417+Sensitivities!$C$357),G417)</f>
        <v/>
      </c>
      <c r="H418" s="21">
        <f>IF(H$4&gt;0,MIN(1,H417+Sensitivities!$C$357),H417)</f>
        <v/>
      </c>
      <c r="I418" s="21">
        <f>IF(I$4&gt;0,MIN(1,I417+Sensitivities!$C$357),I417)</f>
        <v/>
      </c>
      <c r="J418" s="21">
        <f>IF(J$4&gt;0,MIN(1,J417+Sensitivities!$C$357),J417)</f>
        <v/>
      </c>
      <c r="K418" s="21">
        <f>IF(K$4&gt;0,MIN(1,K417+Sensitivities!$C$357),K417)</f>
        <v/>
      </c>
      <c r="L418" s="21">
        <f>IF(L$4&gt;0,MIN(1,L417+Sensitivities!$C$357),L417)</f>
        <v/>
      </c>
      <c r="M418" s="21">
        <f>IF(M$4&gt;0,MIN(1,M417+Sensitivities!$C$357),M417)</f>
        <v/>
      </c>
      <c r="N418" s="21">
        <f>IF(N$4&gt;0,MIN(1,N417+Sensitivities!$C$357),N417)</f>
        <v/>
      </c>
      <c r="O418" s="21">
        <f>IF(O$4&gt;0,MIN(1,O417+Sensitivities!$C$357),O417)</f>
        <v/>
      </c>
      <c r="P418" s="21">
        <f>IF(P$4&gt;0,MIN(1,P417+Sensitivities!$C$357),P417)</f>
        <v/>
      </c>
      <c r="Q418" s="21">
        <f>IF(Q$4&gt;0,MIN(1,Q417+Sensitivities!$C$357),Q417)</f>
        <v/>
      </c>
      <c r="R418" s="21">
        <f>IF(R$4&gt;0,MIN(1,R417+Sensitivities!$C$357),R417)</f>
        <v/>
      </c>
      <c r="S418" s="21">
        <f>IF(S$4&gt;0,MIN(1,S417+Sensitivities!$C$357),S417)</f>
        <v/>
      </c>
      <c r="T418" s="21">
        <f>IF(T$4&gt;0,MIN(1,T417+Sensitivities!$C$357),T417)</f>
        <v/>
      </c>
      <c r="U418" s="21">
        <f>IF(U$4&gt;0,MIN(1,U417+Sensitivities!$C$357),U417)</f>
        <v/>
      </c>
      <c r="V418" s="21">
        <f>IF(V$4&gt;0,MIN(1,V417+Sensitivities!$C$357),V417)</f>
        <v/>
      </c>
      <c r="W418" s="21">
        <f>IF(W$4&gt;0,MIN(1,W417+Sensitivities!$C$357),W417)</f>
        <v/>
      </c>
      <c r="X418" s="21">
        <f>IF(X$4&gt;0,MIN(1,X417+Sensitivities!$C$357),X417)</f>
        <v/>
      </c>
      <c r="Y418" s="21">
        <f>IF(Y$4&gt;0,MIN(1,Y417+Sensitivities!$C$357),Y417)</f>
        <v/>
      </c>
      <c r="Z418" s="21">
        <f>IF(Z$4&gt;0,MIN(1,Z417+Sensitivities!$C$357),Z417)</f>
        <v/>
      </c>
      <c r="AA418" s="21">
        <f>IF(AA$4&gt;0,MIN(1,AA417+Sensitivities!$C$357),AA417)</f>
        <v/>
      </c>
      <c r="AB418" s="21">
        <f>IF(AB$4&gt;0,MIN(1,AB417+Sensitivities!$C$357),AB417)</f>
        <v/>
      </c>
      <c r="AC418" s="21">
        <f>IF(AC$4&gt;0,MIN(1,AC417+Sensitivities!$C$357),AC417)</f>
        <v/>
      </c>
      <c r="AD418" s="21">
        <f>IF(AD$4&gt;0,MIN(1,AD417+Sensitivities!$C$357),AD417)</f>
        <v/>
      </c>
      <c r="AE418" s="21">
        <f>IF(AE$4&gt;0,MIN(1,AE417+Sensitivities!$C$357),AE417)</f>
        <v/>
      </c>
      <c r="AF418" s="21">
        <f>IF(AF$4&gt;0,MIN(1,AF417+Sensitivities!$C$357),AF417)</f>
        <v/>
      </c>
      <c r="AG418" s="21">
        <f>IF(AG$4&gt;0,MIN(1,AG417+Sensitivities!$C$357),AG417)</f>
        <v/>
      </c>
      <c r="AH418" s="21">
        <f>IF(AH$4&gt;0,MIN(1,AH417+Sensitivities!$C$357),AH417)</f>
        <v/>
      </c>
      <c r="AI418" s="21">
        <f>IF(AI$4&gt;0,MIN(1,AI417+Sensitivities!$C$357),AI417)</f>
        <v/>
      </c>
    </row>
    <row r="419">
      <c r="B419" s="2" t="inlineStr">
        <is>
          <t xml:space="preserve">  Storage revenue</t>
        </is>
      </c>
      <c r="D419" s="19">
        <f>D413*D416*12*D418</f>
        <v/>
      </c>
      <c r="E419" s="19">
        <f>E413*E416*12*E418</f>
        <v/>
      </c>
      <c r="F419" s="19">
        <f>F413*F416*12*F418</f>
        <v/>
      </c>
      <c r="G419" s="19">
        <f>G413*G416*12*G418</f>
        <v/>
      </c>
      <c r="H419" s="19">
        <f>H413*H416*12*H418</f>
        <v/>
      </c>
      <c r="I419" s="19">
        <f>I413*I416*12*I418</f>
        <v/>
      </c>
      <c r="J419" s="19">
        <f>J413*J416*12*J418</f>
        <v/>
      </c>
      <c r="K419" s="19">
        <f>K413*K416*12*K418</f>
        <v/>
      </c>
      <c r="L419" s="19">
        <f>L413*L416*12*L418</f>
        <v/>
      </c>
      <c r="M419" s="19">
        <f>M413*M416*12*M418</f>
        <v/>
      </c>
      <c r="N419" s="19">
        <f>N413*N416*12*N418</f>
        <v/>
      </c>
      <c r="O419" s="19">
        <f>O413*O416*12*O418</f>
        <v/>
      </c>
      <c r="P419" s="19">
        <f>P413*P416*12*P418</f>
        <v/>
      </c>
      <c r="Q419" s="19">
        <f>Q413*Q416*12*Q418</f>
        <v/>
      </c>
      <c r="R419" s="19">
        <f>R413*R416*12*R418</f>
        <v/>
      </c>
      <c r="S419" s="19">
        <f>S413*S416*12*S418</f>
        <v/>
      </c>
      <c r="T419" s="19">
        <f>T413*T416*12*T418</f>
        <v/>
      </c>
      <c r="U419" s="19">
        <f>U413*U416*12*U418</f>
        <v/>
      </c>
      <c r="V419" s="19">
        <f>V413*V416*12*V418</f>
        <v/>
      </c>
      <c r="W419" s="19">
        <f>W413*W416*12*W418</f>
        <v/>
      </c>
      <c r="X419" s="19">
        <f>X413*X416*12*X418</f>
        <v/>
      </c>
      <c r="Y419" s="19">
        <f>Y413*Y416*12*Y418</f>
        <v/>
      </c>
      <c r="Z419" s="19">
        <f>Z413*Z416*12*Z418</f>
        <v/>
      </c>
      <c r="AA419" s="19">
        <f>AA413*AA416*12*AA418</f>
        <v/>
      </c>
      <c r="AB419" s="19">
        <f>AB413*AB416*12*AB418</f>
        <v/>
      </c>
      <c r="AC419" s="19">
        <f>AC413*AC416*12*AC418</f>
        <v/>
      </c>
      <c r="AD419" s="19">
        <f>AD413*AD416*12*AD418</f>
        <v/>
      </c>
      <c r="AE419" s="19">
        <f>AE413*AE416*12*AE418</f>
        <v/>
      </c>
      <c r="AF419" s="19">
        <f>AF413*AF416*12*AF418</f>
        <v/>
      </c>
      <c r="AG419" s="19">
        <f>AG413*AG416*12*AG418</f>
        <v/>
      </c>
      <c r="AH419" s="19">
        <f>AH413*AH416*12*AH418</f>
        <v/>
      </c>
      <c r="AI419" s="19">
        <f>AI413*AI416*12*AI418</f>
        <v/>
      </c>
    </row>
    <row r="420">
      <c r="B420" s="2" t="inlineStr">
        <is>
          <t xml:space="preserve">  Ancillary and throughput revenue</t>
        </is>
      </c>
      <c r="D420" s="19">
        <f>D419*i_G_anc</f>
        <v/>
      </c>
      <c r="E420" s="19">
        <f>E419*i_G_anc</f>
        <v/>
      </c>
      <c r="F420" s="19">
        <f>F419*i_G_anc</f>
        <v/>
      </c>
      <c r="G420" s="19">
        <f>G419*i_G_anc</f>
        <v/>
      </c>
      <c r="H420" s="19">
        <f>H419*i_G_anc</f>
        <v/>
      </c>
      <c r="I420" s="19">
        <f>I419*i_G_anc</f>
        <v/>
      </c>
      <c r="J420" s="19">
        <f>J419*i_G_anc</f>
        <v/>
      </c>
      <c r="K420" s="19">
        <f>K419*i_G_anc</f>
        <v/>
      </c>
      <c r="L420" s="19">
        <f>L419*i_G_anc</f>
        <v/>
      </c>
      <c r="M420" s="19">
        <f>M419*i_G_anc</f>
        <v/>
      </c>
      <c r="N420" s="19">
        <f>N419*i_G_anc</f>
        <v/>
      </c>
      <c r="O420" s="19">
        <f>O419*i_G_anc</f>
        <v/>
      </c>
      <c r="P420" s="19">
        <f>P419*i_G_anc</f>
        <v/>
      </c>
      <c r="Q420" s="19">
        <f>Q419*i_G_anc</f>
        <v/>
      </c>
      <c r="R420" s="19">
        <f>R419*i_G_anc</f>
        <v/>
      </c>
      <c r="S420" s="19">
        <f>S419*i_G_anc</f>
        <v/>
      </c>
      <c r="T420" s="19">
        <f>T419*i_G_anc</f>
        <v/>
      </c>
      <c r="U420" s="19">
        <f>U419*i_G_anc</f>
        <v/>
      </c>
      <c r="V420" s="19">
        <f>V419*i_G_anc</f>
        <v/>
      </c>
      <c r="W420" s="19">
        <f>W419*i_G_anc</f>
        <v/>
      </c>
      <c r="X420" s="19">
        <f>X419*i_G_anc</f>
        <v/>
      </c>
      <c r="Y420" s="19">
        <f>Y419*i_G_anc</f>
        <v/>
      </c>
      <c r="Z420" s="19">
        <f>Z419*i_G_anc</f>
        <v/>
      </c>
      <c r="AA420" s="19">
        <f>AA419*i_G_anc</f>
        <v/>
      </c>
      <c r="AB420" s="19">
        <f>AB419*i_G_anc</f>
        <v/>
      </c>
      <c r="AC420" s="19">
        <f>AC419*i_G_anc</f>
        <v/>
      </c>
      <c r="AD420" s="19">
        <f>AD419*i_G_anc</f>
        <v/>
      </c>
      <c r="AE420" s="19">
        <f>AE419*i_G_anc</f>
        <v/>
      </c>
      <c r="AF420" s="19">
        <f>AF419*i_G_anc</f>
        <v/>
      </c>
      <c r="AG420" s="19">
        <f>AG419*i_G_anc</f>
        <v/>
      </c>
      <c r="AH420" s="19">
        <f>AH419*i_G_anc</f>
        <v/>
      </c>
      <c r="AI420" s="19">
        <f>AI419*i_G_anc</f>
        <v/>
      </c>
    </row>
    <row r="421">
      <c r="B421" s="3" t="inlineStr">
        <is>
          <t xml:space="preserve">  Revenue</t>
        </is>
      </c>
      <c r="D421" s="31">
        <f>D419+D420</f>
        <v/>
      </c>
      <c r="E421" s="31">
        <f>E419+E420</f>
        <v/>
      </c>
      <c r="F421" s="31">
        <f>F419+F420</f>
        <v/>
      </c>
      <c r="G421" s="31">
        <f>G419+G420</f>
        <v/>
      </c>
      <c r="H421" s="31">
        <f>H419+H420</f>
        <v/>
      </c>
      <c r="I421" s="31">
        <f>I419+I420</f>
        <v/>
      </c>
      <c r="J421" s="31">
        <f>J419+J420</f>
        <v/>
      </c>
      <c r="K421" s="31">
        <f>K419+K420</f>
        <v/>
      </c>
      <c r="L421" s="31">
        <f>L419+L420</f>
        <v/>
      </c>
      <c r="M421" s="31">
        <f>M419+M420</f>
        <v/>
      </c>
      <c r="N421" s="31">
        <f>N419+N420</f>
        <v/>
      </c>
      <c r="O421" s="31">
        <f>O419+O420</f>
        <v/>
      </c>
      <c r="P421" s="31">
        <f>P419+P420</f>
        <v/>
      </c>
      <c r="Q421" s="31">
        <f>Q419+Q420</f>
        <v/>
      </c>
      <c r="R421" s="31">
        <f>R419+R420</f>
        <v/>
      </c>
      <c r="S421" s="31">
        <f>S419+S420</f>
        <v/>
      </c>
      <c r="T421" s="31">
        <f>T419+T420</f>
        <v/>
      </c>
      <c r="U421" s="31">
        <f>U419+U420</f>
        <v/>
      </c>
      <c r="V421" s="31">
        <f>V419+V420</f>
        <v/>
      </c>
      <c r="W421" s="31">
        <f>W419+W420</f>
        <v/>
      </c>
      <c r="X421" s="31">
        <f>X419+X420</f>
        <v/>
      </c>
      <c r="Y421" s="31">
        <f>Y419+Y420</f>
        <v/>
      </c>
      <c r="Z421" s="31">
        <f>Z419+Z420</f>
        <v/>
      </c>
      <c r="AA421" s="31">
        <f>AA419+AA420</f>
        <v/>
      </c>
      <c r="AB421" s="31">
        <f>AB419+AB420</f>
        <v/>
      </c>
      <c r="AC421" s="31">
        <f>AC419+AC420</f>
        <v/>
      </c>
      <c r="AD421" s="31">
        <f>AD419+AD420</f>
        <v/>
      </c>
      <c r="AE421" s="31">
        <f>AE419+AE420</f>
        <v/>
      </c>
      <c r="AF421" s="31">
        <f>AF419+AF420</f>
        <v/>
      </c>
      <c r="AG421" s="31">
        <f>AG419+AG420</f>
        <v/>
      </c>
      <c r="AH421" s="31">
        <f>AH419+AH420</f>
        <v/>
      </c>
      <c r="AI421" s="31">
        <f>AI419+AI420</f>
        <v/>
      </c>
    </row>
    <row r="422">
      <c r="B422" s="2" t="inlineStr">
        <is>
          <t xml:space="preserve">  Fixed cost</t>
        </is>
      </c>
      <c r="D422" s="19">
        <f>D413*i_G_fix*D362</f>
        <v/>
      </c>
      <c r="E422" s="19">
        <f>E413*i_G_fix*E362</f>
        <v/>
      </c>
      <c r="F422" s="19">
        <f>F413*i_G_fix*F362</f>
        <v/>
      </c>
      <c r="G422" s="19">
        <f>G413*i_G_fix*G362</f>
        <v/>
      </c>
      <c r="H422" s="19">
        <f>H413*i_G_fix*H362</f>
        <v/>
      </c>
      <c r="I422" s="19">
        <f>I413*i_G_fix*I362</f>
        <v/>
      </c>
      <c r="J422" s="19">
        <f>J413*i_G_fix*J362</f>
        <v/>
      </c>
      <c r="K422" s="19">
        <f>K413*i_G_fix*K362</f>
        <v/>
      </c>
      <c r="L422" s="19">
        <f>L413*i_G_fix*L362</f>
        <v/>
      </c>
      <c r="M422" s="19">
        <f>M413*i_G_fix*M362</f>
        <v/>
      </c>
      <c r="N422" s="19">
        <f>N413*i_G_fix*N362</f>
        <v/>
      </c>
      <c r="O422" s="19">
        <f>O413*i_G_fix*O362</f>
        <v/>
      </c>
      <c r="P422" s="19">
        <f>P413*i_G_fix*P362</f>
        <v/>
      </c>
      <c r="Q422" s="19">
        <f>Q413*i_G_fix*Q362</f>
        <v/>
      </c>
      <c r="R422" s="19">
        <f>R413*i_G_fix*R362</f>
        <v/>
      </c>
      <c r="S422" s="19">
        <f>S413*i_G_fix*S362</f>
        <v/>
      </c>
      <c r="T422" s="19">
        <f>T413*i_G_fix*T362</f>
        <v/>
      </c>
      <c r="U422" s="19">
        <f>U413*i_G_fix*U362</f>
        <v/>
      </c>
      <c r="V422" s="19">
        <f>V413*i_G_fix*V362</f>
        <v/>
      </c>
      <c r="W422" s="19">
        <f>W413*i_G_fix*W362</f>
        <v/>
      </c>
      <c r="X422" s="19">
        <f>X413*i_G_fix*X362</f>
        <v/>
      </c>
      <c r="Y422" s="19">
        <f>Y413*i_G_fix*Y362</f>
        <v/>
      </c>
      <c r="Z422" s="19">
        <f>Z413*i_G_fix*Z362</f>
        <v/>
      </c>
      <c r="AA422" s="19">
        <f>AA413*i_G_fix*AA362</f>
        <v/>
      </c>
      <c r="AB422" s="19">
        <f>AB413*i_G_fix*AB362</f>
        <v/>
      </c>
      <c r="AC422" s="19">
        <f>AC413*i_G_fix*AC362</f>
        <v/>
      </c>
      <c r="AD422" s="19">
        <f>AD413*i_G_fix*AD362</f>
        <v/>
      </c>
      <c r="AE422" s="19">
        <f>AE413*i_G_fix*AE362</f>
        <v/>
      </c>
      <c r="AF422" s="19">
        <f>AF413*i_G_fix*AF362</f>
        <v/>
      </c>
      <c r="AG422" s="19">
        <f>AG413*i_G_fix*AG362</f>
        <v/>
      </c>
      <c r="AH422" s="19">
        <f>AH413*i_G_fix*AH362</f>
        <v/>
      </c>
      <c r="AI422" s="19">
        <f>AI413*i_G_fix*AI362</f>
        <v/>
      </c>
    </row>
    <row r="423">
      <c r="B423" s="2" t="inlineStr">
        <is>
          <t xml:space="preserve">  Variable cost</t>
        </is>
      </c>
      <c r="D423" s="19">
        <f>i_G_var*D421</f>
        <v/>
      </c>
      <c r="E423" s="19">
        <f>i_G_var*E421</f>
        <v/>
      </c>
      <c r="F423" s="19">
        <f>i_G_var*F421</f>
        <v/>
      </c>
      <c r="G423" s="19">
        <f>i_G_var*G421</f>
        <v/>
      </c>
      <c r="H423" s="19">
        <f>i_G_var*H421</f>
        <v/>
      </c>
      <c r="I423" s="19">
        <f>i_G_var*I421</f>
        <v/>
      </c>
      <c r="J423" s="19">
        <f>i_G_var*J421</f>
        <v/>
      </c>
      <c r="K423" s="19">
        <f>i_G_var*K421</f>
        <v/>
      </c>
      <c r="L423" s="19">
        <f>i_G_var*L421</f>
        <v/>
      </c>
      <c r="M423" s="19">
        <f>i_G_var*M421</f>
        <v/>
      </c>
      <c r="N423" s="19">
        <f>i_G_var*N421</f>
        <v/>
      </c>
      <c r="O423" s="19">
        <f>i_G_var*O421</f>
        <v/>
      </c>
      <c r="P423" s="19">
        <f>i_G_var*P421</f>
        <v/>
      </c>
      <c r="Q423" s="19">
        <f>i_G_var*Q421</f>
        <v/>
      </c>
      <c r="R423" s="19">
        <f>i_G_var*R421</f>
        <v/>
      </c>
      <c r="S423" s="19">
        <f>i_G_var*S421</f>
        <v/>
      </c>
      <c r="T423" s="19">
        <f>i_G_var*T421</f>
        <v/>
      </c>
      <c r="U423" s="19">
        <f>i_G_var*U421</f>
        <v/>
      </c>
      <c r="V423" s="19">
        <f>i_G_var*V421</f>
        <v/>
      </c>
      <c r="W423" s="19">
        <f>i_G_var*W421</f>
        <v/>
      </c>
      <c r="X423" s="19">
        <f>i_G_var*X421</f>
        <v/>
      </c>
      <c r="Y423" s="19">
        <f>i_G_var*Y421</f>
        <v/>
      </c>
      <c r="Z423" s="19">
        <f>i_G_var*Z421</f>
        <v/>
      </c>
      <c r="AA423" s="19">
        <f>i_G_var*AA421</f>
        <v/>
      </c>
      <c r="AB423" s="19">
        <f>i_G_var*AB421</f>
        <v/>
      </c>
      <c r="AC423" s="19">
        <f>i_G_var*AC421</f>
        <v/>
      </c>
      <c r="AD423" s="19">
        <f>i_G_var*AD421</f>
        <v/>
      </c>
      <c r="AE423" s="19">
        <f>i_G_var*AE421</f>
        <v/>
      </c>
      <c r="AF423" s="19">
        <f>i_G_var*AF421</f>
        <v/>
      </c>
      <c r="AG423" s="19">
        <f>i_G_var*AG421</f>
        <v/>
      </c>
      <c r="AH423" s="19">
        <f>i_G_var*AH421</f>
        <v/>
      </c>
      <c r="AI423" s="19">
        <f>i_G_var*AI421</f>
        <v/>
      </c>
    </row>
    <row r="424">
      <c r="B424" s="2" t="inlineStr">
        <is>
          <t xml:space="preserve">  Extra windstorm insurance</t>
        </is>
      </c>
      <c r="D424" s="19">
        <f>IF(D$4&gt;0,Sensitivities!$C$355*i_g_ins*D362,0)</f>
        <v/>
      </c>
      <c r="E424" s="19">
        <f>IF(E$4&gt;0,Sensitivities!$C$355*i_g_ins*E362,0)</f>
        <v/>
      </c>
      <c r="F424" s="19">
        <f>IF(F$4&gt;0,Sensitivities!$C$355*i_g_ins*F362,0)</f>
        <v/>
      </c>
      <c r="G424" s="19">
        <f>IF(G$4&gt;0,Sensitivities!$C$355*i_g_ins*G362,0)</f>
        <v/>
      </c>
      <c r="H424" s="19">
        <f>IF(H$4&gt;0,Sensitivities!$C$355*i_g_ins*H362,0)</f>
        <v/>
      </c>
      <c r="I424" s="19">
        <f>IF(I$4&gt;0,Sensitivities!$C$355*i_g_ins*I362,0)</f>
        <v/>
      </c>
      <c r="J424" s="19">
        <f>IF(J$4&gt;0,Sensitivities!$C$355*i_g_ins*J362,0)</f>
        <v/>
      </c>
      <c r="K424" s="19">
        <f>IF(K$4&gt;0,Sensitivities!$C$355*i_g_ins*K362,0)</f>
        <v/>
      </c>
      <c r="L424" s="19">
        <f>IF(L$4&gt;0,Sensitivities!$C$355*i_g_ins*L362,0)</f>
        <v/>
      </c>
      <c r="M424" s="19">
        <f>IF(M$4&gt;0,Sensitivities!$C$355*i_g_ins*M362,0)</f>
        <v/>
      </c>
      <c r="N424" s="19">
        <f>IF(N$4&gt;0,Sensitivities!$C$355*i_g_ins*N362,0)</f>
        <v/>
      </c>
      <c r="O424" s="19">
        <f>IF(O$4&gt;0,Sensitivities!$C$355*i_g_ins*O362,0)</f>
        <v/>
      </c>
      <c r="P424" s="19">
        <f>IF(P$4&gt;0,Sensitivities!$C$355*i_g_ins*P362,0)</f>
        <v/>
      </c>
      <c r="Q424" s="19">
        <f>IF(Q$4&gt;0,Sensitivities!$C$355*i_g_ins*Q362,0)</f>
        <v/>
      </c>
      <c r="R424" s="19">
        <f>IF(R$4&gt;0,Sensitivities!$C$355*i_g_ins*R362,0)</f>
        <v/>
      </c>
      <c r="S424" s="19">
        <f>IF(S$4&gt;0,Sensitivities!$C$355*i_g_ins*S362,0)</f>
        <v/>
      </c>
      <c r="T424" s="19">
        <f>IF(T$4&gt;0,Sensitivities!$C$355*i_g_ins*T362,0)</f>
        <v/>
      </c>
      <c r="U424" s="19">
        <f>IF(U$4&gt;0,Sensitivities!$C$355*i_g_ins*U362,0)</f>
        <v/>
      </c>
      <c r="V424" s="19">
        <f>IF(V$4&gt;0,Sensitivities!$C$355*i_g_ins*V362,0)</f>
        <v/>
      </c>
      <c r="W424" s="19">
        <f>IF(W$4&gt;0,Sensitivities!$C$355*i_g_ins*W362,0)</f>
        <v/>
      </c>
      <c r="X424" s="19">
        <f>IF(X$4&gt;0,Sensitivities!$C$355*i_g_ins*X362,0)</f>
        <v/>
      </c>
      <c r="Y424" s="19">
        <f>IF(Y$4&gt;0,Sensitivities!$C$355*i_g_ins*Y362,0)</f>
        <v/>
      </c>
      <c r="Z424" s="19">
        <f>IF(Z$4&gt;0,Sensitivities!$C$355*i_g_ins*Z362,0)</f>
        <v/>
      </c>
      <c r="AA424" s="19">
        <f>IF(AA$4&gt;0,Sensitivities!$C$355*i_g_ins*AA362,0)</f>
        <v/>
      </c>
      <c r="AB424" s="19">
        <f>IF(AB$4&gt;0,Sensitivities!$C$355*i_g_ins*AB362,0)</f>
        <v/>
      </c>
      <c r="AC424" s="19">
        <f>IF(AC$4&gt;0,Sensitivities!$C$355*i_g_ins*AC362,0)</f>
        <v/>
      </c>
      <c r="AD424" s="19">
        <f>IF(AD$4&gt;0,Sensitivities!$C$355*i_g_ins*AD362,0)</f>
        <v/>
      </c>
      <c r="AE424" s="19">
        <f>IF(AE$4&gt;0,Sensitivities!$C$355*i_g_ins*AE362,0)</f>
        <v/>
      </c>
      <c r="AF424" s="19">
        <f>IF(AF$4&gt;0,Sensitivities!$C$355*i_g_ins*AF362,0)</f>
        <v/>
      </c>
      <c r="AG424" s="19">
        <f>IF(AG$4&gt;0,Sensitivities!$C$355*i_g_ins*AG362,0)</f>
        <v/>
      </c>
      <c r="AH424" s="19">
        <f>IF(AH$4&gt;0,Sensitivities!$C$355*i_g_ins*AH362,0)</f>
        <v/>
      </c>
      <c r="AI424" s="19">
        <f>IF(AI$4&gt;0,Sensitivities!$C$355*i_g_ins*AI362,0)</f>
        <v/>
      </c>
    </row>
    <row r="425">
      <c r="B425" s="2" t="inlineStr">
        <is>
          <t xml:space="preserve">  Operating cost</t>
        </is>
      </c>
      <c r="D425" s="19">
        <f>D422+D423+D424</f>
        <v/>
      </c>
      <c r="E425" s="19">
        <f>E422+E423+E424</f>
        <v/>
      </c>
      <c r="F425" s="19">
        <f>F422+F423+F424</f>
        <v/>
      </c>
      <c r="G425" s="19">
        <f>G422+G423+G424</f>
        <v/>
      </c>
      <c r="H425" s="19">
        <f>H422+H423+H424</f>
        <v/>
      </c>
      <c r="I425" s="19">
        <f>I422+I423+I424</f>
        <v/>
      </c>
      <c r="J425" s="19">
        <f>J422+J423+J424</f>
        <v/>
      </c>
      <c r="K425" s="19">
        <f>K422+K423+K424</f>
        <v/>
      </c>
      <c r="L425" s="19">
        <f>L422+L423+L424</f>
        <v/>
      </c>
      <c r="M425" s="19">
        <f>M422+M423+M424</f>
        <v/>
      </c>
      <c r="N425" s="19">
        <f>N422+N423+N424</f>
        <v/>
      </c>
      <c r="O425" s="19">
        <f>O422+O423+O424</f>
        <v/>
      </c>
      <c r="P425" s="19">
        <f>P422+P423+P424</f>
        <v/>
      </c>
      <c r="Q425" s="19">
        <f>Q422+Q423+Q424</f>
        <v/>
      </c>
      <c r="R425" s="19">
        <f>R422+R423+R424</f>
        <v/>
      </c>
      <c r="S425" s="19">
        <f>S422+S423+S424</f>
        <v/>
      </c>
      <c r="T425" s="19">
        <f>T422+T423+T424</f>
        <v/>
      </c>
      <c r="U425" s="19">
        <f>U422+U423+U424</f>
        <v/>
      </c>
      <c r="V425" s="19">
        <f>V422+V423+V424</f>
        <v/>
      </c>
      <c r="W425" s="19">
        <f>W422+W423+W424</f>
        <v/>
      </c>
      <c r="X425" s="19">
        <f>X422+X423+X424</f>
        <v/>
      </c>
      <c r="Y425" s="19">
        <f>Y422+Y423+Y424</f>
        <v/>
      </c>
      <c r="Z425" s="19">
        <f>Z422+Z423+Z424</f>
        <v/>
      </c>
      <c r="AA425" s="19">
        <f>AA422+AA423+AA424</f>
        <v/>
      </c>
      <c r="AB425" s="19">
        <f>AB422+AB423+AB424</f>
        <v/>
      </c>
      <c r="AC425" s="19">
        <f>AC422+AC423+AC424</f>
        <v/>
      </c>
      <c r="AD425" s="19">
        <f>AD422+AD423+AD424</f>
        <v/>
      </c>
      <c r="AE425" s="19">
        <f>AE422+AE423+AE424</f>
        <v/>
      </c>
      <c r="AF425" s="19">
        <f>AF422+AF423+AF424</f>
        <v/>
      </c>
      <c r="AG425" s="19">
        <f>AG422+AG423+AG424</f>
        <v/>
      </c>
      <c r="AH425" s="19">
        <f>AH422+AH423+AH424</f>
        <v/>
      </c>
      <c r="AI425" s="19">
        <f>AI422+AI423+AI424</f>
        <v/>
      </c>
    </row>
    <row r="426">
      <c r="B426" s="3" t="inlineStr">
        <is>
          <t xml:space="preserve">  EBITDA</t>
        </is>
      </c>
      <c r="D426" s="31">
        <f>D421-D425</f>
        <v/>
      </c>
      <c r="E426" s="31">
        <f>E421-E425</f>
        <v/>
      </c>
      <c r="F426" s="31">
        <f>F421-F425</f>
        <v/>
      </c>
      <c r="G426" s="31">
        <f>G421-G425</f>
        <v/>
      </c>
      <c r="H426" s="31">
        <f>H421-H425</f>
        <v/>
      </c>
      <c r="I426" s="31">
        <f>I421-I425</f>
        <v/>
      </c>
      <c r="J426" s="31">
        <f>J421-J425</f>
        <v/>
      </c>
      <c r="K426" s="31">
        <f>K421-K425</f>
        <v/>
      </c>
      <c r="L426" s="31">
        <f>L421-L425</f>
        <v/>
      </c>
      <c r="M426" s="31">
        <f>M421-M425</f>
        <v/>
      </c>
      <c r="N426" s="31">
        <f>N421-N425</f>
        <v/>
      </c>
      <c r="O426" s="31">
        <f>O421-O425</f>
        <v/>
      </c>
      <c r="P426" s="31">
        <f>P421-P425</f>
        <v/>
      </c>
      <c r="Q426" s="31">
        <f>Q421-Q425</f>
        <v/>
      </c>
      <c r="R426" s="31">
        <f>R421-R425</f>
        <v/>
      </c>
      <c r="S426" s="31">
        <f>S421-S425</f>
        <v/>
      </c>
      <c r="T426" s="31">
        <f>T421-T425</f>
        <v/>
      </c>
      <c r="U426" s="31">
        <f>U421-U425</f>
        <v/>
      </c>
      <c r="V426" s="31">
        <f>V421-V425</f>
        <v/>
      </c>
      <c r="W426" s="31">
        <f>W421-W425</f>
        <v/>
      </c>
      <c r="X426" s="31">
        <f>X421-X425</f>
        <v/>
      </c>
      <c r="Y426" s="31">
        <f>Y421-Y425</f>
        <v/>
      </c>
      <c r="Z426" s="31">
        <f>Z421-Z425</f>
        <v/>
      </c>
      <c r="AA426" s="31">
        <f>AA421-AA425</f>
        <v/>
      </c>
      <c r="AB426" s="31">
        <f>AB421-AB425</f>
        <v/>
      </c>
      <c r="AC426" s="31">
        <f>AC421-AC425</f>
        <v/>
      </c>
      <c r="AD426" s="31">
        <f>AD421-AD425</f>
        <v/>
      </c>
      <c r="AE426" s="31">
        <f>AE421-AE425</f>
        <v/>
      </c>
      <c r="AF426" s="31">
        <f>AF421-AF425</f>
        <v/>
      </c>
      <c r="AG426" s="31">
        <f>AG421-AG425</f>
        <v/>
      </c>
      <c r="AH426" s="31">
        <f>AH421-AH425</f>
        <v/>
      </c>
      <c r="AI426" s="31">
        <f>AI421-AI425</f>
        <v/>
      </c>
    </row>
    <row r="427">
      <c r="B427" s="2" t="inlineStr">
        <is>
          <t xml:space="preserve">  Maintenance capex</t>
        </is>
      </c>
      <c r="D427" s="19">
        <f>D413*i_G_mc*D362</f>
        <v/>
      </c>
      <c r="E427" s="19">
        <f>E413*i_G_mc*E362</f>
        <v/>
      </c>
      <c r="F427" s="19">
        <f>F413*i_G_mc*F362</f>
        <v/>
      </c>
      <c r="G427" s="19">
        <f>G413*i_G_mc*G362</f>
        <v/>
      </c>
      <c r="H427" s="19">
        <f>H413*i_G_mc*H362</f>
        <v/>
      </c>
      <c r="I427" s="19">
        <f>I413*i_G_mc*I362</f>
        <v/>
      </c>
      <c r="J427" s="19">
        <f>J413*i_G_mc*J362</f>
        <v/>
      </c>
      <c r="K427" s="19">
        <f>K413*i_G_mc*K362</f>
        <v/>
      </c>
      <c r="L427" s="19">
        <f>L413*i_G_mc*L362</f>
        <v/>
      </c>
      <c r="M427" s="19">
        <f>M413*i_G_mc*M362</f>
        <v/>
      </c>
      <c r="N427" s="19">
        <f>N413*i_G_mc*N362</f>
        <v/>
      </c>
      <c r="O427" s="19">
        <f>O413*i_G_mc*O362</f>
        <v/>
      </c>
      <c r="P427" s="19">
        <f>P413*i_G_mc*P362</f>
        <v/>
      </c>
      <c r="Q427" s="19">
        <f>Q413*i_G_mc*Q362</f>
        <v/>
      </c>
      <c r="R427" s="19">
        <f>R413*i_G_mc*R362</f>
        <v/>
      </c>
      <c r="S427" s="19">
        <f>S413*i_G_mc*S362</f>
        <v/>
      </c>
      <c r="T427" s="19">
        <f>T413*i_G_mc*T362</f>
        <v/>
      </c>
      <c r="U427" s="19">
        <f>U413*i_G_mc*U362</f>
        <v/>
      </c>
      <c r="V427" s="19">
        <f>V413*i_G_mc*V362</f>
        <v/>
      </c>
      <c r="W427" s="19">
        <f>W413*i_G_mc*W362</f>
        <v/>
      </c>
      <c r="X427" s="19">
        <f>X413*i_G_mc*X362</f>
        <v/>
      </c>
      <c r="Y427" s="19">
        <f>Y413*i_G_mc*Y362</f>
        <v/>
      </c>
      <c r="Z427" s="19">
        <f>Z413*i_G_mc*Z362</f>
        <v/>
      </c>
      <c r="AA427" s="19">
        <f>AA413*i_G_mc*AA362</f>
        <v/>
      </c>
      <c r="AB427" s="19">
        <f>AB413*i_G_mc*AB362</f>
        <v/>
      </c>
      <c r="AC427" s="19">
        <f>AC413*i_G_mc*AC362</f>
        <v/>
      </c>
      <c r="AD427" s="19">
        <f>AD413*i_G_mc*AD362</f>
        <v/>
      </c>
      <c r="AE427" s="19">
        <f>AE413*i_G_mc*AE362</f>
        <v/>
      </c>
      <c r="AF427" s="19">
        <f>AF413*i_G_mc*AF362</f>
        <v/>
      </c>
      <c r="AG427" s="19">
        <f>AG413*i_G_mc*AG362</f>
        <v/>
      </c>
      <c r="AH427" s="19">
        <f>AH413*i_G_mc*AH362</f>
        <v/>
      </c>
      <c r="AI427" s="19">
        <f>AI413*i_G_mc*AI362</f>
        <v/>
      </c>
    </row>
    <row r="428">
      <c r="B428" s="3" t="inlineStr">
        <is>
          <t>Sabine Bend expansion (renewable fuels)</t>
        </is>
      </c>
    </row>
    <row r="429">
      <c r="B429" s="2" t="inlineStr">
        <is>
          <t xml:space="preserve">  Growth capex</t>
        </is>
      </c>
      <c r="D429" s="19">
        <f>Sensitivities!$C$356*SUMIF(i_exp_capex_years,D$3,i_exp_capex_vals)*D362</f>
        <v/>
      </c>
      <c r="E429" s="19">
        <f>Sensitivities!$C$356*SUMIF(i_exp_capex_years,E$3,i_exp_capex_vals)*E362</f>
        <v/>
      </c>
      <c r="F429" s="19">
        <f>Sensitivities!$C$356*SUMIF(i_exp_capex_years,F$3,i_exp_capex_vals)*F362</f>
        <v/>
      </c>
      <c r="G429" s="19">
        <f>Sensitivities!$C$356*SUMIF(i_exp_capex_years,G$3,i_exp_capex_vals)*G362</f>
        <v/>
      </c>
      <c r="H429" s="19">
        <f>Sensitivities!$C$356*SUMIF(i_exp_capex_years,H$3,i_exp_capex_vals)*H362</f>
        <v/>
      </c>
      <c r="I429" s="19">
        <f>Sensitivities!$C$356*SUMIF(i_exp_capex_years,I$3,i_exp_capex_vals)*I362</f>
        <v/>
      </c>
      <c r="J429" s="19">
        <f>Sensitivities!$C$356*SUMIF(i_exp_capex_years,J$3,i_exp_capex_vals)*J362</f>
        <v/>
      </c>
      <c r="K429" s="19">
        <f>Sensitivities!$C$356*SUMIF(i_exp_capex_years,K$3,i_exp_capex_vals)*K362</f>
        <v/>
      </c>
      <c r="L429" s="19">
        <f>Sensitivities!$C$356*SUMIF(i_exp_capex_years,L$3,i_exp_capex_vals)*L362</f>
        <v/>
      </c>
      <c r="M429" s="19">
        <f>Sensitivities!$C$356*SUMIF(i_exp_capex_years,M$3,i_exp_capex_vals)*M362</f>
        <v/>
      </c>
      <c r="N429" s="19">
        <f>Sensitivities!$C$356*SUMIF(i_exp_capex_years,N$3,i_exp_capex_vals)*N362</f>
        <v/>
      </c>
      <c r="O429" s="19">
        <f>Sensitivities!$C$356*SUMIF(i_exp_capex_years,O$3,i_exp_capex_vals)*O362</f>
        <v/>
      </c>
      <c r="P429" s="19">
        <f>Sensitivities!$C$356*SUMIF(i_exp_capex_years,P$3,i_exp_capex_vals)*P362</f>
        <v/>
      </c>
      <c r="Q429" s="19">
        <f>Sensitivities!$C$356*SUMIF(i_exp_capex_years,Q$3,i_exp_capex_vals)*Q362</f>
        <v/>
      </c>
      <c r="R429" s="19">
        <f>Sensitivities!$C$356*SUMIF(i_exp_capex_years,R$3,i_exp_capex_vals)*R362</f>
        <v/>
      </c>
      <c r="S429" s="19">
        <f>Sensitivities!$C$356*SUMIF(i_exp_capex_years,S$3,i_exp_capex_vals)*S362</f>
        <v/>
      </c>
      <c r="T429" s="19">
        <f>Sensitivities!$C$356*SUMIF(i_exp_capex_years,T$3,i_exp_capex_vals)*T362</f>
        <v/>
      </c>
      <c r="U429" s="19">
        <f>Sensitivities!$C$356*SUMIF(i_exp_capex_years,U$3,i_exp_capex_vals)*U362</f>
        <v/>
      </c>
      <c r="V429" s="19">
        <f>Sensitivities!$C$356*SUMIF(i_exp_capex_years,V$3,i_exp_capex_vals)*V362</f>
        <v/>
      </c>
      <c r="W429" s="19">
        <f>Sensitivities!$C$356*SUMIF(i_exp_capex_years,W$3,i_exp_capex_vals)*W362</f>
        <v/>
      </c>
      <c r="X429" s="19">
        <f>Sensitivities!$C$356*SUMIF(i_exp_capex_years,X$3,i_exp_capex_vals)*X362</f>
        <v/>
      </c>
      <c r="Y429" s="19">
        <f>Sensitivities!$C$356*SUMIF(i_exp_capex_years,Y$3,i_exp_capex_vals)*Y362</f>
        <v/>
      </c>
      <c r="Z429" s="19">
        <f>Sensitivities!$C$356*SUMIF(i_exp_capex_years,Z$3,i_exp_capex_vals)*Z362</f>
        <v/>
      </c>
      <c r="AA429" s="19">
        <f>Sensitivities!$C$356*SUMIF(i_exp_capex_years,AA$3,i_exp_capex_vals)*AA362</f>
        <v/>
      </c>
      <c r="AB429" s="19">
        <f>Sensitivities!$C$356*SUMIF(i_exp_capex_years,AB$3,i_exp_capex_vals)*AB362</f>
        <v/>
      </c>
      <c r="AC429" s="19">
        <f>Sensitivities!$C$356*SUMIF(i_exp_capex_years,AC$3,i_exp_capex_vals)*AC362</f>
        <v/>
      </c>
      <c r="AD429" s="19">
        <f>Sensitivities!$C$356*SUMIF(i_exp_capex_years,AD$3,i_exp_capex_vals)*AD362</f>
        <v/>
      </c>
      <c r="AE429" s="19">
        <f>Sensitivities!$C$356*SUMIF(i_exp_capex_years,AE$3,i_exp_capex_vals)*AE362</f>
        <v/>
      </c>
      <c r="AF429" s="19">
        <f>Sensitivities!$C$356*SUMIF(i_exp_capex_years,AF$3,i_exp_capex_vals)*AF362</f>
        <v/>
      </c>
      <c r="AG429" s="19">
        <f>Sensitivities!$C$356*SUMIF(i_exp_capex_years,AG$3,i_exp_capex_vals)*AG362</f>
        <v/>
      </c>
      <c r="AH429" s="19">
        <f>Sensitivities!$C$356*SUMIF(i_exp_capex_years,AH$3,i_exp_capex_vals)*AH362</f>
        <v/>
      </c>
      <c r="AI429" s="19">
        <f>Sensitivities!$C$356*SUMIF(i_exp_capex_years,AI$3,i_exp_capex_vals)*AI362</f>
        <v/>
      </c>
    </row>
    <row r="430">
      <c r="B430" s="2" t="inlineStr">
        <is>
          <t xml:space="preserve">  Operating (1/0)</t>
        </is>
      </c>
      <c r="D430" s="22">
        <f>IF(D$3&gt;=i_exp_start,Sensitivities!$C$356,0)</f>
        <v/>
      </c>
      <c r="E430" s="22">
        <f>IF(E$3&gt;=i_exp_start,Sensitivities!$C$356,0)</f>
        <v/>
      </c>
      <c r="F430" s="22">
        <f>IF(F$3&gt;=i_exp_start,Sensitivities!$C$356,0)</f>
        <v/>
      </c>
      <c r="G430" s="22">
        <f>IF(G$3&gt;=i_exp_start,Sensitivities!$C$356,0)</f>
        <v/>
      </c>
      <c r="H430" s="22">
        <f>IF(H$3&gt;=i_exp_start,Sensitivities!$C$356,0)</f>
        <v/>
      </c>
      <c r="I430" s="22">
        <f>IF(I$3&gt;=i_exp_start,Sensitivities!$C$356,0)</f>
        <v/>
      </c>
      <c r="J430" s="22">
        <f>IF(J$3&gt;=i_exp_start,Sensitivities!$C$356,0)</f>
        <v/>
      </c>
      <c r="K430" s="22">
        <f>IF(K$3&gt;=i_exp_start,Sensitivities!$C$356,0)</f>
        <v/>
      </c>
      <c r="L430" s="22">
        <f>IF(L$3&gt;=i_exp_start,Sensitivities!$C$356,0)</f>
        <v/>
      </c>
      <c r="M430" s="22">
        <f>IF(M$3&gt;=i_exp_start,Sensitivities!$C$356,0)</f>
        <v/>
      </c>
      <c r="N430" s="22">
        <f>IF(N$3&gt;=i_exp_start,Sensitivities!$C$356,0)</f>
        <v/>
      </c>
      <c r="O430" s="22">
        <f>IF(O$3&gt;=i_exp_start,Sensitivities!$C$356,0)</f>
        <v/>
      </c>
      <c r="P430" s="22">
        <f>IF(P$3&gt;=i_exp_start,Sensitivities!$C$356,0)</f>
        <v/>
      </c>
      <c r="Q430" s="22">
        <f>IF(Q$3&gt;=i_exp_start,Sensitivities!$C$356,0)</f>
        <v/>
      </c>
      <c r="R430" s="22">
        <f>IF(R$3&gt;=i_exp_start,Sensitivities!$C$356,0)</f>
        <v/>
      </c>
      <c r="S430" s="22">
        <f>IF(S$3&gt;=i_exp_start,Sensitivities!$C$356,0)</f>
        <v/>
      </c>
      <c r="T430" s="22">
        <f>IF(T$3&gt;=i_exp_start,Sensitivities!$C$356,0)</f>
        <v/>
      </c>
      <c r="U430" s="22">
        <f>IF(U$3&gt;=i_exp_start,Sensitivities!$C$356,0)</f>
        <v/>
      </c>
      <c r="V430" s="22">
        <f>IF(V$3&gt;=i_exp_start,Sensitivities!$C$356,0)</f>
        <v/>
      </c>
      <c r="W430" s="22">
        <f>IF(W$3&gt;=i_exp_start,Sensitivities!$C$356,0)</f>
        <v/>
      </c>
      <c r="X430" s="22">
        <f>IF(X$3&gt;=i_exp_start,Sensitivities!$C$356,0)</f>
        <v/>
      </c>
      <c r="Y430" s="22">
        <f>IF(Y$3&gt;=i_exp_start,Sensitivities!$C$356,0)</f>
        <v/>
      </c>
      <c r="Z430" s="22">
        <f>IF(Z$3&gt;=i_exp_start,Sensitivities!$C$356,0)</f>
        <v/>
      </c>
      <c r="AA430" s="22">
        <f>IF(AA$3&gt;=i_exp_start,Sensitivities!$C$356,0)</f>
        <v/>
      </c>
      <c r="AB430" s="22">
        <f>IF(AB$3&gt;=i_exp_start,Sensitivities!$C$356,0)</f>
        <v/>
      </c>
      <c r="AC430" s="22">
        <f>IF(AC$3&gt;=i_exp_start,Sensitivities!$C$356,0)</f>
        <v/>
      </c>
      <c r="AD430" s="22">
        <f>IF(AD$3&gt;=i_exp_start,Sensitivities!$C$356,0)</f>
        <v/>
      </c>
      <c r="AE430" s="22">
        <f>IF(AE$3&gt;=i_exp_start,Sensitivities!$C$356,0)</f>
        <v/>
      </c>
      <c r="AF430" s="22">
        <f>IF(AF$3&gt;=i_exp_start,Sensitivities!$C$356,0)</f>
        <v/>
      </c>
      <c r="AG430" s="22">
        <f>IF(AG$3&gt;=i_exp_start,Sensitivities!$C$356,0)</f>
        <v/>
      </c>
      <c r="AH430" s="22">
        <f>IF(AH$3&gt;=i_exp_start,Sensitivities!$C$356,0)</f>
        <v/>
      </c>
      <c r="AI430" s="22">
        <f>IF(AI$3&gt;=i_exp_start,Sensitivities!$C$356,0)</f>
        <v/>
      </c>
    </row>
    <row r="431">
      <c r="B431" s="2" t="inlineStr">
        <is>
          <t xml:space="preserve">  Under the anchor contract (1/0)</t>
        </is>
      </c>
      <c r="D431" s="22">
        <f>IF(D$3&lt;i_exp_start+i_exp_years,1,0)</f>
        <v/>
      </c>
      <c r="E431" s="22">
        <f>IF(E$3&lt;i_exp_start+i_exp_years,1,0)</f>
        <v/>
      </c>
      <c r="F431" s="22">
        <f>IF(F$3&lt;i_exp_start+i_exp_years,1,0)</f>
        <v/>
      </c>
      <c r="G431" s="22">
        <f>IF(G$3&lt;i_exp_start+i_exp_years,1,0)</f>
        <v/>
      </c>
      <c r="H431" s="22">
        <f>IF(H$3&lt;i_exp_start+i_exp_years,1,0)</f>
        <v/>
      </c>
      <c r="I431" s="22">
        <f>IF(I$3&lt;i_exp_start+i_exp_years,1,0)</f>
        <v/>
      </c>
      <c r="J431" s="22">
        <f>IF(J$3&lt;i_exp_start+i_exp_years,1,0)</f>
        <v/>
      </c>
      <c r="K431" s="22">
        <f>IF(K$3&lt;i_exp_start+i_exp_years,1,0)</f>
        <v/>
      </c>
      <c r="L431" s="22">
        <f>IF(L$3&lt;i_exp_start+i_exp_years,1,0)</f>
        <v/>
      </c>
      <c r="M431" s="22">
        <f>IF(M$3&lt;i_exp_start+i_exp_years,1,0)</f>
        <v/>
      </c>
      <c r="N431" s="22">
        <f>IF(N$3&lt;i_exp_start+i_exp_years,1,0)</f>
        <v/>
      </c>
      <c r="O431" s="22">
        <f>IF(O$3&lt;i_exp_start+i_exp_years,1,0)</f>
        <v/>
      </c>
      <c r="P431" s="22">
        <f>IF(P$3&lt;i_exp_start+i_exp_years,1,0)</f>
        <v/>
      </c>
      <c r="Q431" s="22">
        <f>IF(Q$3&lt;i_exp_start+i_exp_years,1,0)</f>
        <v/>
      </c>
      <c r="R431" s="22">
        <f>IF(R$3&lt;i_exp_start+i_exp_years,1,0)</f>
        <v/>
      </c>
      <c r="S431" s="22">
        <f>IF(S$3&lt;i_exp_start+i_exp_years,1,0)</f>
        <v/>
      </c>
      <c r="T431" s="22">
        <f>IF(T$3&lt;i_exp_start+i_exp_years,1,0)</f>
        <v/>
      </c>
      <c r="U431" s="22">
        <f>IF(U$3&lt;i_exp_start+i_exp_years,1,0)</f>
        <v/>
      </c>
      <c r="V431" s="22">
        <f>IF(V$3&lt;i_exp_start+i_exp_years,1,0)</f>
        <v/>
      </c>
      <c r="W431" s="22">
        <f>IF(W$3&lt;i_exp_start+i_exp_years,1,0)</f>
        <v/>
      </c>
      <c r="X431" s="22">
        <f>IF(X$3&lt;i_exp_start+i_exp_years,1,0)</f>
        <v/>
      </c>
      <c r="Y431" s="22">
        <f>IF(Y$3&lt;i_exp_start+i_exp_years,1,0)</f>
        <v/>
      </c>
      <c r="Z431" s="22">
        <f>IF(Z$3&lt;i_exp_start+i_exp_years,1,0)</f>
        <v/>
      </c>
      <c r="AA431" s="22">
        <f>IF(AA$3&lt;i_exp_start+i_exp_years,1,0)</f>
        <v/>
      </c>
      <c r="AB431" s="22">
        <f>IF(AB$3&lt;i_exp_start+i_exp_years,1,0)</f>
        <v/>
      </c>
      <c r="AC431" s="22">
        <f>IF(AC$3&lt;i_exp_start+i_exp_years,1,0)</f>
        <v/>
      </c>
      <c r="AD431" s="22">
        <f>IF(AD$3&lt;i_exp_start+i_exp_years,1,0)</f>
        <v/>
      </c>
      <c r="AE431" s="22">
        <f>IF(AE$3&lt;i_exp_start+i_exp_years,1,0)</f>
        <v/>
      </c>
      <c r="AF431" s="22">
        <f>IF(AF$3&lt;i_exp_start+i_exp_years,1,0)</f>
        <v/>
      </c>
      <c r="AG431" s="22">
        <f>IF(AG$3&lt;i_exp_start+i_exp_years,1,0)</f>
        <v/>
      </c>
      <c r="AH431" s="22">
        <f>IF(AH$3&lt;i_exp_start+i_exp_years,1,0)</f>
        <v/>
      </c>
      <c r="AI431" s="22">
        <f>IF(AI$3&lt;i_exp_start+i_exp_years,1,0)</f>
        <v/>
      </c>
    </row>
    <row r="432">
      <c r="B432" s="2" t="inlineStr">
        <is>
          <t xml:space="preserve">  Rate ($ per m3 per month)</t>
        </is>
      </c>
      <c r="D432" s="24">
        <f>i_exp_rate*D363*IF(D431=1,1,1+i_exp_mtm)</f>
        <v/>
      </c>
      <c r="E432" s="24">
        <f>i_exp_rate*E363*IF(E431=1,1,1+i_exp_mtm)</f>
        <v/>
      </c>
      <c r="F432" s="24">
        <f>i_exp_rate*F363*IF(F431=1,1,1+i_exp_mtm)</f>
        <v/>
      </c>
      <c r="G432" s="24">
        <f>i_exp_rate*G363*IF(G431=1,1,1+i_exp_mtm)</f>
        <v/>
      </c>
      <c r="H432" s="24">
        <f>i_exp_rate*H363*IF(H431=1,1,1+i_exp_mtm)</f>
        <v/>
      </c>
      <c r="I432" s="24">
        <f>i_exp_rate*I363*IF(I431=1,1,1+i_exp_mtm)</f>
        <v/>
      </c>
      <c r="J432" s="24">
        <f>i_exp_rate*J363*IF(J431=1,1,1+i_exp_mtm)</f>
        <v/>
      </c>
      <c r="K432" s="24">
        <f>i_exp_rate*K363*IF(K431=1,1,1+i_exp_mtm)</f>
        <v/>
      </c>
      <c r="L432" s="24">
        <f>i_exp_rate*L363*IF(L431=1,1,1+i_exp_mtm)</f>
        <v/>
      </c>
      <c r="M432" s="24">
        <f>i_exp_rate*M363*IF(M431=1,1,1+i_exp_mtm)</f>
        <v/>
      </c>
      <c r="N432" s="24">
        <f>i_exp_rate*N363*IF(N431=1,1,1+i_exp_mtm)</f>
        <v/>
      </c>
      <c r="O432" s="24">
        <f>i_exp_rate*O363*IF(O431=1,1,1+i_exp_mtm)</f>
        <v/>
      </c>
      <c r="P432" s="24">
        <f>i_exp_rate*P363*IF(P431=1,1,1+i_exp_mtm)</f>
        <v/>
      </c>
      <c r="Q432" s="24">
        <f>i_exp_rate*Q363*IF(Q431=1,1,1+i_exp_mtm)</f>
        <v/>
      </c>
      <c r="R432" s="24">
        <f>i_exp_rate*R363*IF(R431=1,1,1+i_exp_mtm)</f>
        <v/>
      </c>
      <c r="S432" s="24">
        <f>i_exp_rate*S363*IF(S431=1,1,1+i_exp_mtm)</f>
        <v/>
      </c>
      <c r="T432" s="24">
        <f>i_exp_rate*T363*IF(T431=1,1,1+i_exp_mtm)</f>
        <v/>
      </c>
      <c r="U432" s="24">
        <f>i_exp_rate*U363*IF(U431=1,1,1+i_exp_mtm)</f>
        <v/>
      </c>
      <c r="V432" s="24">
        <f>i_exp_rate*V363*IF(V431=1,1,1+i_exp_mtm)</f>
        <v/>
      </c>
      <c r="W432" s="24">
        <f>i_exp_rate*W363*IF(W431=1,1,1+i_exp_mtm)</f>
        <v/>
      </c>
      <c r="X432" s="24">
        <f>i_exp_rate*X363*IF(X431=1,1,1+i_exp_mtm)</f>
        <v/>
      </c>
      <c r="Y432" s="24">
        <f>i_exp_rate*Y363*IF(Y431=1,1,1+i_exp_mtm)</f>
        <v/>
      </c>
      <c r="Z432" s="24">
        <f>i_exp_rate*Z363*IF(Z431=1,1,1+i_exp_mtm)</f>
        <v/>
      </c>
      <c r="AA432" s="24">
        <f>i_exp_rate*AA363*IF(AA431=1,1,1+i_exp_mtm)</f>
        <v/>
      </c>
      <c r="AB432" s="24">
        <f>i_exp_rate*AB363*IF(AB431=1,1,1+i_exp_mtm)</f>
        <v/>
      </c>
      <c r="AC432" s="24">
        <f>i_exp_rate*AC363*IF(AC431=1,1,1+i_exp_mtm)</f>
        <v/>
      </c>
      <c r="AD432" s="24">
        <f>i_exp_rate*AD363*IF(AD431=1,1,1+i_exp_mtm)</f>
        <v/>
      </c>
      <c r="AE432" s="24">
        <f>i_exp_rate*AE363*IF(AE431=1,1,1+i_exp_mtm)</f>
        <v/>
      </c>
      <c r="AF432" s="24">
        <f>i_exp_rate*AF363*IF(AF431=1,1,1+i_exp_mtm)</f>
        <v/>
      </c>
      <c r="AG432" s="24">
        <f>i_exp_rate*AG363*IF(AG431=1,1,1+i_exp_mtm)</f>
        <v/>
      </c>
      <c r="AH432" s="24">
        <f>i_exp_rate*AH363*IF(AH431=1,1,1+i_exp_mtm)</f>
        <v/>
      </c>
      <c r="AI432" s="24">
        <f>i_exp_rate*AI363*IF(AI431=1,1,1+i_exp_mtm)</f>
        <v/>
      </c>
    </row>
    <row r="433">
      <c r="B433" s="2" t="inlineStr">
        <is>
          <t xml:space="preserve">  Occupancy</t>
        </is>
      </c>
      <c r="D433" s="21">
        <f>IF(D431=1,i_exp_occ_c,i_exp_occ_m)</f>
        <v/>
      </c>
      <c r="E433" s="21">
        <f>IF(E431=1,i_exp_occ_c,i_exp_occ_m)</f>
        <v/>
      </c>
      <c r="F433" s="21">
        <f>IF(F431=1,i_exp_occ_c,i_exp_occ_m)</f>
        <v/>
      </c>
      <c r="G433" s="21">
        <f>IF(G431=1,i_exp_occ_c,i_exp_occ_m)</f>
        <v/>
      </c>
      <c r="H433" s="21">
        <f>IF(H431=1,i_exp_occ_c,i_exp_occ_m)</f>
        <v/>
      </c>
      <c r="I433" s="21">
        <f>IF(I431=1,i_exp_occ_c,i_exp_occ_m)</f>
        <v/>
      </c>
      <c r="J433" s="21">
        <f>IF(J431=1,i_exp_occ_c,i_exp_occ_m)</f>
        <v/>
      </c>
      <c r="K433" s="21">
        <f>IF(K431=1,i_exp_occ_c,i_exp_occ_m)</f>
        <v/>
      </c>
      <c r="L433" s="21">
        <f>IF(L431=1,i_exp_occ_c,i_exp_occ_m)</f>
        <v/>
      </c>
      <c r="M433" s="21">
        <f>IF(M431=1,i_exp_occ_c,i_exp_occ_m)</f>
        <v/>
      </c>
      <c r="N433" s="21">
        <f>IF(N431=1,i_exp_occ_c,i_exp_occ_m)</f>
        <v/>
      </c>
      <c r="O433" s="21">
        <f>IF(O431=1,i_exp_occ_c,i_exp_occ_m)</f>
        <v/>
      </c>
      <c r="P433" s="21">
        <f>IF(P431=1,i_exp_occ_c,i_exp_occ_m)</f>
        <v/>
      </c>
      <c r="Q433" s="21">
        <f>IF(Q431=1,i_exp_occ_c,i_exp_occ_m)</f>
        <v/>
      </c>
      <c r="R433" s="21">
        <f>IF(R431=1,i_exp_occ_c,i_exp_occ_m)</f>
        <v/>
      </c>
      <c r="S433" s="21">
        <f>IF(S431=1,i_exp_occ_c,i_exp_occ_m)</f>
        <v/>
      </c>
      <c r="T433" s="21">
        <f>IF(T431=1,i_exp_occ_c,i_exp_occ_m)</f>
        <v/>
      </c>
      <c r="U433" s="21">
        <f>IF(U431=1,i_exp_occ_c,i_exp_occ_m)</f>
        <v/>
      </c>
      <c r="V433" s="21">
        <f>IF(V431=1,i_exp_occ_c,i_exp_occ_m)</f>
        <v/>
      </c>
      <c r="W433" s="21">
        <f>IF(W431=1,i_exp_occ_c,i_exp_occ_m)</f>
        <v/>
      </c>
      <c r="X433" s="21">
        <f>IF(X431=1,i_exp_occ_c,i_exp_occ_m)</f>
        <v/>
      </c>
      <c r="Y433" s="21">
        <f>IF(Y431=1,i_exp_occ_c,i_exp_occ_m)</f>
        <v/>
      </c>
      <c r="Z433" s="21">
        <f>IF(Z431=1,i_exp_occ_c,i_exp_occ_m)</f>
        <v/>
      </c>
      <c r="AA433" s="21">
        <f>IF(AA431=1,i_exp_occ_c,i_exp_occ_m)</f>
        <v/>
      </c>
      <c r="AB433" s="21">
        <f>IF(AB431=1,i_exp_occ_c,i_exp_occ_m)</f>
        <v/>
      </c>
      <c r="AC433" s="21">
        <f>IF(AC431=1,i_exp_occ_c,i_exp_occ_m)</f>
        <v/>
      </c>
      <c r="AD433" s="21">
        <f>IF(AD431=1,i_exp_occ_c,i_exp_occ_m)</f>
        <v/>
      </c>
      <c r="AE433" s="21">
        <f>IF(AE431=1,i_exp_occ_c,i_exp_occ_m)</f>
        <v/>
      </c>
      <c r="AF433" s="21">
        <f>IF(AF431=1,i_exp_occ_c,i_exp_occ_m)</f>
        <v/>
      </c>
      <c r="AG433" s="21">
        <f>IF(AG431=1,i_exp_occ_c,i_exp_occ_m)</f>
        <v/>
      </c>
      <c r="AH433" s="21">
        <f>IF(AH431=1,i_exp_occ_c,i_exp_occ_m)</f>
        <v/>
      </c>
      <c r="AI433" s="21">
        <f>IF(AI431=1,i_exp_occ_c,i_exp_occ_m)</f>
        <v/>
      </c>
    </row>
    <row r="434">
      <c r="B434" s="2" t="inlineStr">
        <is>
          <t xml:space="preserve">  Storage revenue</t>
        </is>
      </c>
      <c r="D434" s="19">
        <f>D430*i_exp_cap*D432*12*D433</f>
        <v/>
      </c>
      <c r="E434" s="19">
        <f>E430*i_exp_cap*E432*12*E433</f>
        <v/>
      </c>
      <c r="F434" s="19">
        <f>F430*i_exp_cap*F432*12*F433</f>
        <v/>
      </c>
      <c r="G434" s="19">
        <f>G430*i_exp_cap*G432*12*G433</f>
        <v/>
      </c>
      <c r="H434" s="19">
        <f>H430*i_exp_cap*H432*12*H433</f>
        <v/>
      </c>
      <c r="I434" s="19">
        <f>I430*i_exp_cap*I432*12*I433</f>
        <v/>
      </c>
      <c r="J434" s="19">
        <f>J430*i_exp_cap*J432*12*J433</f>
        <v/>
      </c>
      <c r="K434" s="19">
        <f>K430*i_exp_cap*K432*12*K433</f>
        <v/>
      </c>
      <c r="L434" s="19">
        <f>L430*i_exp_cap*L432*12*L433</f>
        <v/>
      </c>
      <c r="M434" s="19">
        <f>M430*i_exp_cap*M432*12*M433</f>
        <v/>
      </c>
      <c r="N434" s="19">
        <f>N430*i_exp_cap*N432*12*N433</f>
        <v/>
      </c>
      <c r="O434" s="19">
        <f>O430*i_exp_cap*O432*12*O433</f>
        <v/>
      </c>
      <c r="P434" s="19">
        <f>P430*i_exp_cap*P432*12*P433</f>
        <v/>
      </c>
      <c r="Q434" s="19">
        <f>Q430*i_exp_cap*Q432*12*Q433</f>
        <v/>
      </c>
      <c r="R434" s="19">
        <f>R430*i_exp_cap*R432*12*R433</f>
        <v/>
      </c>
      <c r="S434" s="19">
        <f>S430*i_exp_cap*S432*12*S433</f>
        <v/>
      </c>
      <c r="T434" s="19">
        <f>T430*i_exp_cap*T432*12*T433</f>
        <v/>
      </c>
      <c r="U434" s="19">
        <f>U430*i_exp_cap*U432*12*U433</f>
        <v/>
      </c>
      <c r="V434" s="19">
        <f>V430*i_exp_cap*V432*12*V433</f>
        <v/>
      </c>
      <c r="W434" s="19">
        <f>W430*i_exp_cap*W432*12*W433</f>
        <v/>
      </c>
      <c r="X434" s="19">
        <f>X430*i_exp_cap*X432*12*X433</f>
        <v/>
      </c>
      <c r="Y434" s="19">
        <f>Y430*i_exp_cap*Y432*12*Y433</f>
        <v/>
      </c>
      <c r="Z434" s="19">
        <f>Z430*i_exp_cap*Z432*12*Z433</f>
        <v/>
      </c>
      <c r="AA434" s="19">
        <f>AA430*i_exp_cap*AA432*12*AA433</f>
        <v/>
      </c>
      <c r="AB434" s="19">
        <f>AB430*i_exp_cap*AB432*12*AB433</f>
        <v/>
      </c>
      <c r="AC434" s="19">
        <f>AC430*i_exp_cap*AC432*12*AC433</f>
        <v/>
      </c>
      <c r="AD434" s="19">
        <f>AD430*i_exp_cap*AD432*12*AD433</f>
        <v/>
      </c>
      <c r="AE434" s="19">
        <f>AE430*i_exp_cap*AE432*12*AE433</f>
        <v/>
      </c>
      <c r="AF434" s="19">
        <f>AF430*i_exp_cap*AF432*12*AF433</f>
        <v/>
      </c>
      <c r="AG434" s="19">
        <f>AG430*i_exp_cap*AG432*12*AG433</f>
        <v/>
      </c>
      <c r="AH434" s="19">
        <f>AH430*i_exp_cap*AH432*12*AH433</f>
        <v/>
      </c>
      <c r="AI434" s="19">
        <f>AI430*i_exp_cap*AI432*12*AI433</f>
        <v/>
      </c>
    </row>
    <row r="435">
      <c r="B435" s="3" t="inlineStr">
        <is>
          <t xml:space="preserve">  Revenue</t>
        </is>
      </c>
      <c r="D435" s="31">
        <f>D434*(1+i_exp_anc)</f>
        <v/>
      </c>
      <c r="E435" s="31">
        <f>E434*(1+i_exp_anc)</f>
        <v/>
      </c>
      <c r="F435" s="31">
        <f>F434*(1+i_exp_anc)</f>
        <v/>
      </c>
      <c r="G435" s="31">
        <f>G434*(1+i_exp_anc)</f>
        <v/>
      </c>
      <c r="H435" s="31">
        <f>H434*(1+i_exp_anc)</f>
        <v/>
      </c>
      <c r="I435" s="31">
        <f>I434*(1+i_exp_anc)</f>
        <v/>
      </c>
      <c r="J435" s="31">
        <f>J434*(1+i_exp_anc)</f>
        <v/>
      </c>
      <c r="K435" s="31">
        <f>K434*(1+i_exp_anc)</f>
        <v/>
      </c>
      <c r="L435" s="31">
        <f>L434*(1+i_exp_anc)</f>
        <v/>
      </c>
      <c r="M435" s="31">
        <f>M434*(1+i_exp_anc)</f>
        <v/>
      </c>
      <c r="N435" s="31">
        <f>N434*(1+i_exp_anc)</f>
        <v/>
      </c>
      <c r="O435" s="31">
        <f>O434*(1+i_exp_anc)</f>
        <v/>
      </c>
      <c r="P435" s="31">
        <f>P434*(1+i_exp_anc)</f>
        <v/>
      </c>
      <c r="Q435" s="31">
        <f>Q434*(1+i_exp_anc)</f>
        <v/>
      </c>
      <c r="R435" s="31">
        <f>R434*(1+i_exp_anc)</f>
        <v/>
      </c>
      <c r="S435" s="31">
        <f>S434*(1+i_exp_anc)</f>
        <v/>
      </c>
      <c r="T435" s="31">
        <f>T434*(1+i_exp_anc)</f>
        <v/>
      </c>
      <c r="U435" s="31">
        <f>U434*(1+i_exp_anc)</f>
        <v/>
      </c>
      <c r="V435" s="31">
        <f>V434*(1+i_exp_anc)</f>
        <v/>
      </c>
      <c r="W435" s="31">
        <f>W434*(1+i_exp_anc)</f>
        <v/>
      </c>
      <c r="X435" s="31">
        <f>X434*(1+i_exp_anc)</f>
        <v/>
      </c>
      <c r="Y435" s="31">
        <f>Y434*(1+i_exp_anc)</f>
        <v/>
      </c>
      <c r="Z435" s="31">
        <f>Z434*(1+i_exp_anc)</f>
        <v/>
      </c>
      <c r="AA435" s="31">
        <f>AA434*(1+i_exp_anc)</f>
        <v/>
      </c>
      <c r="AB435" s="31">
        <f>AB434*(1+i_exp_anc)</f>
        <v/>
      </c>
      <c r="AC435" s="31">
        <f>AC434*(1+i_exp_anc)</f>
        <v/>
      </c>
      <c r="AD435" s="31">
        <f>AD434*(1+i_exp_anc)</f>
        <v/>
      </c>
      <c r="AE435" s="31">
        <f>AE434*(1+i_exp_anc)</f>
        <v/>
      </c>
      <c r="AF435" s="31">
        <f>AF434*(1+i_exp_anc)</f>
        <v/>
      </c>
      <c r="AG435" s="31">
        <f>AG434*(1+i_exp_anc)</f>
        <v/>
      </c>
      <c r="AH435" s="31">
        <f>AH434*(1+i_exp_anc)</f>
        <v/>
      </c>
      <c r="AI435" s="31">
        <f>AI434*(1+i_exp_anc)</f>
        <v/>
      </c>
    </row>
    <row r="436">
      <c r="B436" s="2" t="inlineStr">
        <is>
          <t xml:space="preserve">  Operating cost</t>
        </is>
      </c>
      <c r="D436" s="19">
        <f>D430*i_exp_fix*i_exp_cap*D362+i_exp_var*D435</f>
        <v/>
      </c>
      <c r="E436" s="19">
        <f>E430*i_exp_fix*i_exp_cap*E362+i_exp_var*E435</f>
        <v/>
      </c>
      <c r="F436" s="19">
        <f>F430*i_exp_fix*i_exp_cap*F362+i_exp_var*F435</f>
        <v/>
      </c>
      <c r="G436" s="19">
        <f>G430*i_exp_fix*i_exp_cap*G362+i_exp_var*G435</f>
        <v/>
      </c>
      <c r="H436" s="19">
        <f>H430*i_exp_fix*i_exp_cap*H362+i_exp_var*H435</f>
        <v/>
      </c>
      <c r="I436" s="19">
        <f>I430*i_exp_fix*i_exp_cap*I362+i_exp_var*I435</f>
        <v/>
      </c>
      <c r="J436" s="19">
        <f>J430*i_exp_fix*i_exp_cap*J362+i_exp_var*J435</f>
        <v/>
      </c>
      <c r="K436" s="19">
        <f>K430*i_exp_fix*i_exp_cap*K362+i_exp_var*K435</f>
        <v/>
      </c>
      <c r="L436" s="19">
        <f>L430*i_exp_fix*i_exp_cap*L362+i_exp_var*L435</f>
        <v/>
      </c>
      <c r="M436" s="19">
        <f>M430*i_exp_fix*i_exp_cap*M362+i_exp_var*M435</f>
        <v/>
      </c>
      <c r="N436" s="19">
        <f>N430*i_exp_fix*i_exp_cap*N362+i_exp_var*N435</f>
        <v/>
      </c>
      <c r="O436" s="19">
        <f>O430*i_exp_fix*i_exp_cap*O362+i_exp_var*O435</f>
        <v/>
      </c>
      <c r="P436" s="19">
        <f>P430*i_exp_fix*i_exp_cap*P362+i_exp_var*P435</f>
        <v/>
      </c>
      <c r="Q436" s="19">
        <f>Q430*i_exp_fix*i_exp_cap*Q362+i_exp_var*Q435</f>
        <v/>
      </c>
      <c r="R436" s="19">
        <f>R430*i_exp_fix*i_exp_cap*R362+i_exp_var*R435</f>
        <v/>
      </c>
      <c r="S436" s="19">
        <f>S430*i_exp_fix*i_exp_cap*S362+i_exp_var*S435</f>
        <v/>
      </c>
      <c r="T436" s="19">
        <f>T430*i_exp_fix*i_exp_cap*T362+i_exp_var*T435</f>
        <v/>
      </c>
      <c r="U436" s="19">
        <f>U430*i_exp_fix*i_exp_cap*U362+i_exp_var*U435</f>
        <v/>
      </c>
      <c r="V436" s="19">
        <f>V430*i_exp_fix*i_exp_cap*V362+i_exp_var*V435</f>
        <v/>
      </c>
      <c r="W436" s="19">
        <f>W430*i_exp_fix*i_exp_cap*W362+i_exp_var*W435</f>
        <v/>
      </c>
      <c r="X436" s="19">
        <f>X430*i_exp_fix*i_exp_cap*X362+i_exp_var*X435</f>
        <v/>
      </c>
      <c r="Y436" s="19">
        <f>Y430*i_exp_fix*i_exp_cap*Y362+i_exp_var*Y435</f>
        <v/>
      </c>
      <c r="Z436" s="19">
        <f>Z430*i_exp_fix*i_exp_cap*Z362+i_exp_var*Z435</f>
        <v/>
      </c>
      <c r="AA436" s="19">
        <f>AA430*i_exp_fix*i_exp_cap*AA362+i_exp_var*AA435</f>
        <v/>
      </c>
      <c r="AB436" s="19">
        <f>AB430*i_exp_fix*i_exp_cap*AB362+i_exp_var*AB435</f>
        <v/>
      </c>
      <c r="AC436" s="19">
        <f>AC430*i_exp_fix*i_exp_cap*AC362+i_exp_var*AC435</f>
        <v/>
      </c>
      <c r="AD436" s="19">
        <f>AD430*i_exp_fix*i_exp_cap*AD362+i_exp_var*AD435</f>
        <v/>
      </c>
      <c r="AE436" s="19">
        <f>AE430*i_exp_fix*i_exp_cap*AE362+i_exp_var*AE435</f>
        <v/>
      </c>
      <c r="AF436" s="19">
        <f>AF430*i_exp_fix*i_exp_cap*AF362+i_exp_var*AF435</f>
        <v/>
      </c>
      <c r="AG436" s="19">
        <f>AG430*i_exp_fix*i_exp_cap*AG362+i_exp_var*AG435</f>
        <v/>
      </c>
      <c r="AH436" s="19">
        <f>AH430*i_exp_fix*i_exp_cap*AH362+i_exp_var*AH435</f>
        <v/>
      </c>
      <c r="AI436" s="19">
        <f>AI430*i_exp_fix*i_exp_cap*AI362+i_exp_var*AI435</f>
        <v/>
      </c>
    </row>
    <row r="437">
      <c r="B437" s="3" t="inlineStr">
        <is>
          <t xml:space="preserve">  EBITDA</t>
        </is>
      </c>
      <c r="D437" s="31">
        <f>D435-D436</f>
        <v/>
      </c>
      <c r="E437" s="31">
        <f>E435-E436</f>
        <v/>
      </c>
      <c r="F437" s="31">
        <f>F435-F436</f>
        <v/>
      </c>
      <c r="G437" s="31">
        <f>G435-G436</f>
        <v/>
      </c>
      <c r="H437" s="31">
        <f>H435-H436</f>
        <v/>
      </c>
      <c r="I437" s="31">
        <f>I435-I436</f>
        <v/>
      </c>
      <c r="J437" s="31">
        <f>J435-J436</f>
        <v/>
      </c>
      <c r="K437" s="31">
        <f>K435-K436</f>
        <v/>
      </c>
      <c r="L437" s="31">
        <f>L435-L436</f>
        <v/>
      </c>
      <c r="M437" s="31">
        <f>M435-M436</f>
        <v/>
      </c>
      <c r="N437" s="31">
        <f>N435-N436</f>
        <v/>
      </c>
      <c r="O437" s="31">
        <f>O435-O436</f>
        <v/>
      </c>
      <c r="P437" s="31">
        <f>P435-P436</f>
        <v/>
      </c>
      <c r="Q437" s="31">
        <f>Q435-Q436</f>
        <v/>
      </c>
      <c r="R437" s="31">
        <f>R435-R436</f>
        <v/>
      </c>
      <c r="S437" s="31">
        <f>S435-S436</f>
        <v/>
      </c>
      <c r="T437" s="31">
        <f>T435-T436</f>
        <v/>
      </c>
      <c r="U437" s="31">
        <f>U435-U436</f>
        <v/>
      </c>
      <c r="V437" s="31">
        <f>V435-V436</f>
        <v/>
      </c>
      <c r="W437" s="31">
        <f>W435-W436</f>
        <v/>
      </c>
      <c r="X437" s="31">
        <f>X435-X436</f>
        <v/>
      </c>
      <c r="Y437" s="31">
        <f>Y435-Y436</f>
        <v/>
      </c>
      <c r="Z437" s="31">
        <f>Z435-Z436</f>
        <v/>
      </c>
      <c r="AA437" s="31">
        <f>AA435-AA436</f>
        <v/>
      </c>
      <c r="AB437" s="31">
        <f>AB435-AB436</f>
        <v/>
      </c>
      <c r="AC437" s="31">
        <f>AC435-AC436</f>
        <v/>
      </c>
      <c r="AD437" s="31">
        <f>AD435-AD436</f>
        <v/>
      </c>
      <c r="AE437" s="31">
        <f>AE435-AE436</f>
        <v/>
      </c>
      <c r="AF437" s="31">
        <f>AF435-AF436</f>
        <v/>
      </c>
      <c r="AG437" s="31">
        <f>AG435-AG436</f>
        <v/>
      </c>
      <c r="AH437" s="31">
        <f>AH435-AH436</f>
        <v/>
      </c>
      <c r="AI437" s="31">
        <f>AI435-AI436</f>
        <v/>
      </c>
    </row>
    <row r="438">
      <c r="B438" s="2" t="inlineStr">
        <is>
          <t xml:space="preserve">  Maintenance capex</t>
        </is>
      </c>
      <c r="D438" s="19">
        <f>D430*i_exp_mc*i_exp_cap*D362</f>
        <v/>
      </c>
      <c r="E438" s="19">
        <f>E430*i_exp_mc*i_exp_cap*E362</f>
        <v/>
      </c>
      <c r="F438" s="19">
        <f>F430*i_exp_mc*i_exp_cap*F362</f>
        <v/>
      </c>
      <c r="G438" s="19">
        <f>G430*i_exp_mc*i_exp_cap*G362</f>
        <v/>
      </c>
      <c r="H438" s="19">
        <f>H430*i_exp_mc*i_exp_cap*H362</f>
        <v/>
      </c>
      <c r="I438" s="19">
        <f>I430*i_exp_mc*i_exp_cap*I362</f>
        <v/>
      </c>
      <c r="J438" s="19">
        <f>J430*i_exp_mc*i_exp_cap*J362</f>
        <v/>
      </c>
      <c r="K438" s="19">
        <f>K430*i_exp_mc*i_exp_cap*K362</f>
        <v/>
      </c>
      <c r="L438" s="19">
        <f>L430*i_exp_mc*i_exp_cap*L362</f>
        <v/>
      </c>
      <c r="M438" s="19">
        <f>M430*i_exp_mc*i_exp_cap*M362</f>
        <v/>
      </c>
      <c r="N438" s="19">
        <f>N430*i_exp_mc*i_exp_cap*N362</f>
        <v/>
      </c>
      <c r="O438" s="19">
        <f>O430*i_exp_mc*i_exp_cap*O362</f>
        <v/>
      </c>
      <c r="P438" s="19">
        <f>P430*i_exp_mc*i_exp_cap*P362</f>
        <v/>
      </c>
      <c r="Q438" s="19">
        <f>Q430*i_exp_mc*i_exp_cap*Q362</f>
        <v/>
      </c>
      <c r="R438" s="19">
        <f>R430*i_exp_mc*i_exp_cap*R362</f>
        <v/>
      </c>
      <c r="S438" s="19">
        <f>S430*i_exp_mc*i_exp_cap*S362</f>
        <v/>
      </c>
      <c r="T438" s="19">
        <f>T430*i_exp_mc*i_exp_cap*T362</f>
        <v/>
      </c>
      <c r="U438" s="19">
        <f>U430*i_exp_mc*i_exp_cap*U362</f>
        <v/>
      </c>
      <c r="V438" s="19">
        <f>V430*i_exp_mc*i_exp_cap*V362</f>
        <v/>
      </c>
      <c r="W438" s="19">
        <f>W430*i_exp_mc*i_exp_cap*W362</f>
        <v/>
      </c>
      <c r="X438" s="19">
        <f>X430*i_exp_mc*i_exp_cap*X362</f>
        <v/>
      </c>
      <c r="Y438" s="19">
        <f>Y430*i_exp_mc*i_exp_cap*Y362</f>
        <v/>
      </c>
      <c r="Z438" s="19">
        <f>Z430*i_exp_mc*i_exp_cap*Z362</f>
        <v/>
      </c>
      <c r="AA438" s="19">
        <f>AA430*i_exp_mc*i_exp_cap*AA362</f>
        <v/>
      </c>
      <c r="AB438" s="19">
        <f>AB430*i_exp_mc*i_exp_cap*AB362</f>
        <v/>
      </c>
      <c r="AC438" s="19">
        <f>AC430*i_exp_mc*i_exp_cap*AC362</f>
        <v/>
      </c>
      <c r="AD438" s="19">
        <f>AD430*i_exp_mc*i_exp_cap*AD362</f>
        <v/>
      </c>
      <c r="AE438" s="19">
        <f>AE430*i_exp_mc*i_exp_cap*AE362</f>
        <v/>
      </c>
      <c r="AF438" s="19">
        <f>AF430*i_exp_mc*i_exp_cap*AF362</f>
        <v/>
      </c>
      <c r="AG438" s="19">
        <f>AG430*i_exp_mc*i_exp_cap*AG362</f>
        <v/>
      </c>
      <c r="AH438" s="19">
        <f>AH430*i_exp_mc*i_exp_cap*AH362</f>
        <v/>
      </c>
      <c r="AI438" s="19">
        <f>AI430*i_exp_mc*i_exp_cap*AI362</f>
        <v/>
      </c>
    </row>
    <row r="440">
      <c r="B440" s="5" t="inlineStr">
        <is>
          <t>Consolidated</t>
        </is>
      </c>
    </row>
    <row r="441">
      <c r="B441" s="2" t="inlineStr">
        <is>
          <t>Revenue</t>
        </is>
      </c>
      <c r="D441" s="19">
        <f>D375+D391+D406+D421+D435</f>
        <v/>
      </c>
      <c r="E441" s="19">
        <f>E375+E391+E406+E421+E435</f>
        <v/>
      </c>
      <c r="F441" s="19">
        <f>F375+F391+F406+F421+F435</f>
        <v/>
      </c>
      <c r="G441" s="19">
        <f>G375+G391+G406+G421+G435</f>
        <v/>
      </c>
      <c r="H441" s="19">
        <f>H375+H391+H406+H421+H435</f>
        <v/>
      </c>
      <c r="I441" s="19">
        <f>I375+I391+I406+I421+I435</f>
        <v/>
      </c>
      <c r="J441" s="19">
        <f>J375+J391+J406+J421+J435</f>
        <v/>
      </c>
      <c r="K441" s="19">
        <f>K375+K391+K406+K421+K435</f>
        <v/>
      </c>
      <c r="L441" s="19">
        <f>L375+L391+L406+L421+L435</f>
        <v/>
      </c>
      <c r="M441" s="19">
        <f>M375+M391+M406+M421+M435</f>
        <v/>
      </c>
      <c r="N441" s="19">
        <f>N375+N391+N406+N421+N435</f>
        <v/>
      </c>
      <c r="O441" s="19">
        <f>O375+O391+O406+O421+O435</f>
        <v/>
      </c>
      <c r="P441" s="19">
        <f>P375+P391+P406+P421+P435</f>
        <v/>
      </c>
      <c r="Q441" s="19">
        <f>Q375+Q391+Q406+Q421+Q435</f>
        <v/>
      </c>
      <c r="R441" s="19">
        <f>R375+R391+R406+R421+R435</f>
        <v/>
      </c>
      <c r="S441" s="19">
        <f>S375+S391+S406+S421+S435</f>
        <v/>
      </c>
      <c r="T441" s="19">
        <f>T375+T391+T406+T421+T435</f>
        <v/>
      </c>
      <c r="U441" s="19">
        <f>U375+U391+U406+U421+U435</f>
        <v/>
      </c>
      <c r="V441" s="19">
        <f>V375+V391+V406+V421+V435</f>
        <v/>
      </c>
      <c r="W441" s="19">
        <f>W375+W391+W406+W421+W435</f>
        <v/>
      </c>
      <c r="X441" s="19">
        <f>X375+X391+X406+X421+X435</f>
        <v/>
      </c>
      <c r="Y441" s="19">
        <f>Y375+Y391+Y406+Y421+Y435</f>
        <v/>
      </c>
      <c r="Z441" s="19">
        <f>Z375+Z391+Z406+Z421+Z435</f>
        <v/>
      </c>
      <c r="AA441" s="19">
        <f>AA375+AA391+AA406+AA421+AA435</f>
        <v/>
      </c>
      <c r="AB441" s="19">
        <f>AB375+AB391+AB406+AB421+AB435</f>
        <v/>
      </c>
      <c r="AC441" s="19">
        <f>AC375+AC391+AC406+AC421+AC435</f>
        <v/>
      </c>
      <c r="AD441" s="19">
        <f>AD375+AD391+AD406+AD421+AD435</f>
        <v/>
      </c>
      <c r="AE441" s="19">
        <f>AE375+AE391+AE406+AE421+AE435</f>
        <v/>
      </c>
      <c r="AF441" s="19">
        <f>AF375+AF391+AF406+AF421+AF435</f>
        <v/>
      </c>
      <c r="AG441" s="19">
        <f>AG375+AG391+AG406+AG421+AG435</f>
        <v/>
      </c>
      <c r="AH441" s="19">
        <f>AH375+AH391+AH406+AH421+AH435</f>
        <v/>
      </c>
      <c r="AI441" s="19">
        <f>AI375+AI391+AI406+AI421+AI435</f>
        <v/>
      </c>
    </row>
    <row r="442">
      <c r="B442" s="2" t="inlineStr">
        <is>
          <t>Business unit EBITDA (with the expansion)</t>
        </is>
      </c>
      <c r="D442" s="19">
        <f>D380+D395+D410+D426+D437</f>
        <v/>
      </c>
      <c r="E442" s="19">
        <f>E380+E395+E410+E426+E437</f>
        <v/>
      </c>
      <c r="F442" s="19">
        <f>F380+F395+F410+F426+F437</f>
        <v/>
      </c>
      <c r="G442" s="19">
        <f>G380+G395+G410+G426+G437</f>
        <v/>
      </c>
      <c r="H442" s="19">
        <f>H380+H395+H410+H426+H437</f>
        <v/>
      </c>
      <c r="I442" s="19">
        <f>I380+I395+I410+I426+I437</f>
        <v/>
      </c>
      <c r="J442" s="19">
        <f>J380+J395+J410+J426+J437</f>
        <v/>
      </c>
      <c r="K442" s="19">
        <f>K380+K395+K410+K426+K437</f>
        <v/>
      </c>
      <c r="L442" s="19">
        <f>L380+L395+L410+L426+L437</f>
        <v/>
      </c>
      <c r="M442" s="19">
        <f>M380+M395+M410+M426+M437</f>
        <v/>
      </c>
      <c r="N442" s="19">
        <f>N380+N395+N410+N426+N437</f>
        <v/>
      </c>
      <c r="O442" s="19">
        <f>O380+O395+O410+O426+O437</f>
        <v/>
      </c>
      <c r="P442" s="19">
        <f>P380+P395+P410+P426+P437</f>
        <v/>
      </c>
      <c r="Q442" s="19">
        <f>Q380+Q395+Q410+Q426+Q437</f>
        <v/>
      </c>
      <c r="R442" s="19">
        <f>R380+R395+R410+R426+R437</f>
        <v/>
      </c>
      <c r="S442" s="19">
        <f>S380+S395+S410+S426+S437</f>
        <v/>
      </c>
      <c r="T442" s="19">
        <f>T380+T395+T410+T426+T437</f>
        <v/>
      </c>
      <c r="U442" s="19">
        <f>U380+U395+U410+U426+U437</f>
        <v/>
      </c>
      <c r="V442" s="19">
        <f>V380+V395+V410+V426+V437</f>
        <v/>
      </c>
      <c r="W442" s="19">
        <f>W380+W395+W410+W426+W437</f>
        <v/>
      </c>
      <c r="X442" s="19">
        <f>X380+X395+X410+X426+X437</f>
        <v/>
      </c>
      <c r="Y442" s="19">
        <f>Y380+Y395+Y410+Y426+Y437</f>
        <v/>
      </c>
      <c r="Z442" s="19">
        <f>Z380+Z395+Z410+Z426+Z437</f>
        <v/>
      </c>
      <c r="AA442" s="19">
        <f>AA380+AA395+AA410+AA426+AA437</f>
        <v/>
      </c>
      <c r="AB442" s="19">
        <f>AB380+AB395+AB410+AB426+AB437</f>
        <v/>
      </c>
      <c r="AC442" s="19">
        <f>AC380+AC395+AC410+AC426+AC437</f>
        <v/>
      </c>
      <c r="AD442" s="19">
        <f>AD380+AD395+AD410+AD426+AD437</f>
        <v/>
      </c>
      <c r="AE442" s="19">
        <f>AE380+AE395+AE410+AE426+AE437</f>
        <v/>
      </c>
      <c r="AF442" s="19">
        <f>AF380+AF395+AF410+AF426+AF437</f>
        <v/>
      </c>
      <c r="AG442" s="19">
        <f>AG380+AG395+AG410+AG426+AG437</f>
        <v/>
      </c>
      <c r="AH442" s="19">
        <f>AH380+AH395+AH410+AH426+AH437</f>
        <v/>
      </c>
      <c r="AI442" s="19">
        <f>AI380+AI395+AI410+AI426+AI437</f>
        <v/>
      </c>
    </row>
    <row r="443">
      <c r="B443" s="2" t="inlineStr">
        <is>
          <t>Corporate costs</t>
        </is>
      </c>
      <c r="D443" s="19">
        <f>i_corp*D362*IF(OR(Sensitivities!$C$359=1,D$3&lt;=i_conc_end),1,i_corp_after_w)+IF(D$3&gt;=i_mitig_start,Sensitivities!$C$361*D362,0)</f>
        <v/>
      </c>
      <c r="E443" s="19">
        <f>i_corp*E362*IF(OR(Sensitivities!$C$359=1,E$3&lt;=i_conc_end),1,i_corp_after_w)+IF(E$3&gt;=i_mitig_start,Sensitivities!$C$361*E362,0)</f>
        <v/>
      </c>
      <c r="F443" s="19">
        <f>i_corp*F362*IF(OR(Sensitivities!$C$359=1,F$3&lt;=i_conc_end),1,i_corp_after_w)+IF(F$3&gt;=i_mitig_start,Sensitivities!$C$361*F362,0)</f>
        <v/>
      </c>
      <c r="G443" s="19">
        <f>i_corp*G362*IF(OR(Sensitivities!$C$359=1,G$3&lt;=i_conc_end),1,i_corp_after_w)+IF(G$3&gt;=i_mitig_start,Sensitivities!$C$361*G362,0)</f>
        <v/>
      </c>
      <c r="H443" s="19">
        <f>i_corp*H362*IF(OR(Sensitivities!$C$359=1,H$3&lt;=i_conc_end),1,i_corp_after_w)+IF(H$3&gt;=i_mitig_start,Sensitivities!$C$361*H362,0)</f>
        <v/>
      </c>
      <c r="I443" s="19">
        <f>i_corp*I362*IF(OR(Sensitivities!$C$359=1,I$3&lt;=i_conc_end),1,i_corp_after_w)+IF(I$3&gt;=i_mitig_start,Sensitivities!$C$361*I362,0)</f>
        <v/>
      </c>
      <c r="J443" s="19">
        <f>i_corp*J362*IF(OR(Sensitivities!$C$359=1,J$3&lt;=i_conc_end),1,i_corp_after_w)+IF(J$3&gt;=i_mitig_start,Sensitivities!$C$361*J362,0)</f>
        <v/>
      </c>
      <c r="K443" s="19">
        <f>i_corp*K362*IF(OR(Sensitivities!$C$359=1,K$3&lt;=i_conc_end),1,i_corp_after_w)+IF(K$3&gt;=i_mitig_start,Sensitivities!$C$361*K362,0)</f>
        <v/>
      </c>
      <c r="L443" s="19">
        <f>i_corp*L362*IF(OR(Sensitivities!$C$359=1,L$3&lt;=i_conc_end),1,i_corp_after_w)+IF(L$3&gt;=i_mitig_start,Sensitivities!$C$361*L362,0)</f>
        <v/>
      </c>
      <c r="M443" s="19">
        <f>i_corp*M362*IF(OR(Sensitivities!$C$359=1,M$3&lt;=i_conc_end),1,i_corp_after_w)+IF(M$3&gt;=i_mitig_start,Sensitivities!$C$361*M362,0)</f>
        <v/>
      </c>
      <c r="N443" s="19">
        <f>i_corp*N362*IF(OR(Sensitivities!$C$359=1,N$3&lt;=i_conc_end),1,i_corp_after_w)+IF(N$3&gt;=i_mitig_start,Sensitivities!$C$361*N362,0)</f>
        <v/>
      </c>
      <c r="O443" s="19">
        <f>i_corp*O362*IF(OR(Sensitivities!$C$359=1,O$3&lt;=i_conc_end),1,i_corp_after_w)+IF(O$3&gt;=i_mitig_start,Sensitivities!$C$361*O362,0)</f>
        <v/>
      </c>
      <c r="P443" s="19">
        <f>i_corp*P362*IF(OR(Sensitivities!$C$359=1,P$3&lt;=i_conc_end),1,i_corp_after_w)+IF(P$3&gt;=i_mitig_start,Sensitivities!$C$361*P362,0)</f>
        <v/>
      </c>
      <c r="Q443" s="19">
        <f>i_corp*Q362*IF(OR(Sensitivities!$C$359=1,Q$3&lt;=i_conc_end),1,i_corp_after_w)+IF(Q$3&gt;=i_mitig_start,Sensitivities!$C$361*Q362,0)</f>
        <v/>
      </c>
      <c r="R443" s="19">
        <f>i_corp*R362*IF(OR(Sensitivities!$C$359=1,R$3&lt;=i_conc_end),1,i_corp_after_w)+IF(R$3&gt;=i_mitig_start,Sensitivities!$C$361*R362,0)</f>
        <v/>
      </c>
      <c r="S443" s="19">
        <f>i_corp*S362*IF(OR(Sensitivities!$C$359=1,S$3&lt;=i_conc_end),1,i_corp_after_w)+IF(S$3&gt;=i_mitig_start,Sensitivities!$C$361*S362,0)</f>
        <v/>
      </c>
      <c r="T443" s="19">
        <f>i_corp*T362*IF(OR(Sensitivities!$C$359=1,T$3&lt;=i_conc_end),1,i_corp_after_w)+IF(T$3&gt;=i_mitig_start,Sensitivities!$C$361*T362,0)</f>
        <v/>
      </c>
      <c r="U443" s="19">
        <f>i_corp*U362*IF(OR(Sensitivities!$C$359=1,U$3&lt;=i_conc_end),1,i_corp_after_w)+IF(U$3&gt;=i_mitig_start,Sensitivities!$C$361*U362,0)</f>
        <v/>
      </c>
      <c r="V443" s="19">
        <f>i_corp*V362*IF(OR(Sensitivities!$C$359=1,V$3&lt;=i_conc_end),1,i_corp_after_w)+IF(V$3&gt;=i_mitig_start,Sensitivities!$C$361*V362,0)</f>
        <v/>
      </c>
      <c r="W443" s="19">
        <f>i_corp*W362*IF(OR(Sensitivities!$C$359=1,W$3&lt;=i_conc_end),1,i_corp_after_w)+IF(W$3&gt;=i_mitig_start,Sensitivities!$C$361*W362,0)</f>
        <v/>
      </c>
      <c r="X443" s="19">
        <f>i_corp*X362*IF(OR(Sensitivities!$C$359=1,X$3&lt;=i_conc_end),1,i_corp_after_w)+IF(X$3&gt;=i_mitig_start,Sensitivities!$C$361*X362,0)</f>
        <v/>
      </c>
      <c r="Y443" s="19">
        <f>i_corp*Y362*IF(OR(Sensitivities!$C$359=1,Y$3&lt;=i_conc_end),1,i_corp_after_w)+IF(Y$3&gt;=i_mitig_start,Sensitivities!$C$361*Y362,0)</f>
        <v/>
      </c>
      <c r="Z443" s="19">
        <f>i_corp*Z362*IF(OR(Sensitivities!$C$359=1,Z$3&lt;=i_conc_end),1,i_corp_after_w)+IF(Z$3&gt;=i_mitig_start,Sensitivities!$C$361*Z362,0)</f>
        <v/>
      </c>
      <c r="AA443" s="19">
        <f>i_corp*AA362*IF(OR(Sensitivities!$C$359=1,AA$3&lt;=i_conc_end),1,i_corp_after_w)+IF(AA$3&gt;=i_mitig_start,Sensitivities!$C$361*AA362,0)</f>
        <v/>
      </c>
      <c r="AB443" s="19">
        <f>i_corp*AB362*IF(OR(Sensitivities!$C$359=1,AB$3&lt;=i_conc_end),1,i_corp_after_w)+IF(AB$3&gt;=i_mitig_start,Sensitivities!$C$361*AB362,0)</f>
        <v/>
      </c>
      <c r="AC443" s="19">
        <f>i_corp*AC362*IF(OR(Sensitivities!$C$359=1,AC$3&lt;=i_conc_end),1,i_corp_after_w)+IF(AC$3&gt;=i_mitig_start,Sensitivities!$C$361*AC362,0)</f>
        <v/>
      </c>
      <c r="AD443" s="19">
        <f>i_corp*AD362*IF(OR(Sensitivities!$C$359=1,AD$3&lt;=i_conc_end),1,i_corp_after_w)+IF(AD$3&gt;=i_mitig_start,Sensitivities!$C$361*AD362,0)</f>
        <v/>
      </c>
      <c r="AE443" s="19">
        <f>i_corp*AE362*IF(OR(Sensitivities!$C$359=1,AE$3&lt;=i_conc_end),1,i_corp_after_w)+IF(AE$3&gt;=i_mitig_start,Sensitivities!$C$361*AE362,0)</f>
        <v/>
      </c>
      <c r="AF443" s="19">
        <f>i_corp*AF362*IF(OR(Sensitivities!$C$359=1,AF$3&lt;=i_conc_end),1,i_corp_after_w)+IF(AF$3&gt;=i_mitig_start,Sensitivities!$C$361*AF362,0)</f>
        <v/>
      </c>
      <c r="AG443" s="19">
        <f>i_corp*AG362*IF(OR(Sensitivities!$C$359=1,AG$3&lt;=i_conc_end),1,i_corp_after_w)+IF(AG$3&gt;=i_mitig_start,Sensitivities!$C$361*AG362,0)</f>
        <v/>
      </c>
      <c r="AH443" s="19">
        <f>i_corp*AH362*IF(OR(Sensitivities!$C$359=1,AH$3&lt;=i_conc_end),1,i_corp_after_w)+IF(AH$3&gt;=i_mitig_start,Sensitivities!$C$361*AH362,0)</f>
        <v/>
      </c>
      <c r="AI443" s="19">
        <f>i_corp*AI362*IF(OR(Sensitivities!$C$359=1,AI$3&lt;=i_conc_end),1,i_corp_after_w)+IF(AI$3&gt;=i_mitig_start,Sensitivities!$C$361*AI362,0)</f>
        <v/>
      </c>
    </row>
    <row r="444">
      <c r="B444" s="3" t="inlineStr">
        <is>
          <t>EBITDA</t>
        </is>
      </c>
      <c r="D444" s="31">
        <f>D442-D443</f>
        <v/>
      </c>
      <c r="E444" s="31">
        <f>E442-E443</f>
        <v/>
      </c>
      <c r="F444" s="31">
        <f>F442-F443</f>
        <v/>
      </c>
      <c r="G444" s="31">
        <f>G442-G443</f>
        <v/>
      </c>
      <c r="H444" s="31">
        <f>H442-H443</f>
        <v/>
      </c>
      <c r="I444" s="31">
        <f>I442-I443</f>
        <v/>
      </c>
      <c r="J444" s="31">
        <f>J442-J443</f>
        <v/>
      </c>
      <c r="K444" s="31">
        <f>K442-K443</f>
        <v/>
      </c>
      <c r="L444" s="31">
        <f>L442-L443</f>
        <v/>
      </c>
      <c r="M444" s="31">
        <f>M442-M443</f>
        <v/>
      </c>
      <c r="N444" s="31">
        <f>N442-N443</f>
        <v/>
      </c>
      <c r="O444" s="31">
        <f>O442-O443</f>
        <v/>
      </c>
      <c r="P444" s="31">
        <f>P442-P443</f>
        <v/>
      </c>
      <c r="Q444" s="31">
        <f>Q442-Q443</f>
        <v/>
      </c>
      <c r="R444" s="31">
        <f>R442-R443</f>
        <v/>
      </c>
      <c r="S444" s="31">
        <f>S442-S443</f>
        <v/>
      </c>
      <c r="T444" s="31">
        <f>T442-T443</f>
        <v/>
      </c>
      <c r="U444" s="31">
        <f>U442-U443</f>
        <v/>
      </c>
      <c r="V444" s="31">
        <f>V442-V443</f>
        <v/>
      </c>
      <c r="W444" s="31">
        <f>W442-W443</f>
        <v/>
      </c>
      <c r="X444" s="31">
        <f>X442-X443</f>
        <v/>
      </c>
      <c r="Y444" s="31">
        <f>Y442-Y443</f>
        <v/>
      </c>
      <c r="Z444" s="31">
        <f>Z442-Z443</f>
        <v/>
      </c>
      <c r="AA444" s="31">
        <f>AA442-AA443</f>
        <v/>
      </c>
      <c r="AB444" s="31">
        <f>AB442-AB443</f>
        <v/>
      </c>
      <c r="AC444" s="31">
        <f>AC442-AC443</f>
        <v/>
      </c>
      <c r="AD444" s="31">
        <f>AD442-AD443</f>
        <v/>
      </c>
      <c r="AE444" s="31">
        <f>AE442-AE443</f>
        <v/>
      </c>
      <c r="AF444" s="31">
        <f>AF442-AF443</f>
        <v/>
      </c>
      <c r="AG444" s="31">
        <f>AG442-AG443</f>
        <v/>
      </c>
      <c r="AH444" s="31">
        <f>AH442-AH443</f>
        <v/>
      </c>
      <c r="AI444" s="31">
        <f>AI442-AI443</f>
        <v/>
      </c>
    </row>
    <row r="445">
      <c r="B445" s="2" t="inlineStr">
        <is>
          <t>Maintenance capex</t>
        </is>
      </c>
      <c r="D445" s="19">
        <f>D381+D396+D411+D427+D438</f>
        <v/>
      </c>
      <c r="E445" s="19">
        <f>E381+E396+E411+E427+E438</f>
        <v/>
      </c>
      <c r="F445" s="19">
        <f>F381+F396+F411+F427+F438</f>
        <v/>
      </c>
      <c r="G445" s="19">
        <f>G381+G396+G411+G427+G438</f>
        <v/>
      </c>
      <c r="H445" s="19">
        <f>H381+H396+H411+H427+H438</f>
        <v/>
      </c>
      <c r="I445" s="19">
        <f>I381+I396+I411+I427+I438</f>
        <v/>
      </c>
      <c r="J445" s="19">
        <f>J381+J396+J411+J427+J438</f>
        <v/>
      </c>
      <c r="K445" s="19">
        <f>K381+K396+K411+K427+K438</f>
        <v/>
      </c>
      <c r="L445" s="19">
        <f>L381+L396+L411+L427+L438</f>
        <v/>
      </c>
      <c r="M445" s="19">
        <f>M381+M396+M411+M427+M438</f>
        <v/>
      </c>
      <c r="N445" s="19">
        <f>N381+N396+N411+N427+N438</f>
        <v/>
      </c>
      <c r="O445" s="19">
        <f>O381+O396+O411+O427+O438</f>
        <v/>
      </c>
      <c r="P445" s="19">
        <f>P381+P396+P411+P427+P438</f>
        <v/>
      </c>
      <c r="Q445" s="19">
        <f>Q381+Q396+Q411+Q427+Q438</f>
        <v/>
      </c>
      <c r="R445" s="19">
        <f>R381+R396+R411+R427+R438</f>
        <v/>
      </c>
      <c r="S445" s="19">
        <f>S381+S396+S411+S427+S438</f>
        <v/>
      </c>
      <c r="T445" s="19">
        <f>T381+T396+T411+T427+T438</f>
        <v/>
      </c>
      <c r="U445" s="19">
        <f>U381+U396+U411+U427+U438</f>
        <v/>
      </c>
      <c r="V445" s="19">
        <f>V381+V396+V411+V427+V438</f>
        <v/>
      </c>
      <c r="W445" s="19">
        <f>W381+W396+W411+W427+W438</f>
        <v/>
      </c>
      <c r="X445" s="19">
        <f>X381+X396+X411+X427+X438</f>
        <v/>
      </c>
      <c r="Y445" s="19">
        <f>Y381+Y396+Y411+Y427+Y438</f>
        <v/>
      </c>
      <c r="Z445" s="19">
        <f>Z381+Z396+Z411+Z427+Z438</f>
        <v/>
      </c>
      <c r="AA445" s="19">
        <f>AA381+AA396+AA411+AA427+AA438</f>
        <v/>
      </c>
      <c r="AB445" s="19">
        <f>AB381+AB396+AB411+AB427+AB438</f>
        <v/>
      </c>
      <c r="AC445" s="19">
        <f>AC381+AC396+AC411+AC427+AC438</f>
        <v/>
      </c>
      <c r="AD445" s="19">
        <f>AD381+AD396+AD411+AD427+AD438</f>
        <v/>
      </c>
      <c r="AE445" s="19">
        <f>AE381+AE396+AE411+AE427+AE438</f>
        <v/>
      </c>
      <c r="AF445" s="19">
        <f>AF381+AF396+AF411+AF427+AF438</f>
        <v/>
      </c>
      <c r="AG445" s="19">
        <f>AG381+AG396+AG411+AG427+AG438</f>
        <v/>
      </c>
      <c r="AH445" s="19">
        <f>AH381+AH396+AH411+AH427+AH438</f>
        <v/>
      </c>
      <c r="AI445" s="19">
        <f>AI381+AI396+AI411+AI427+AI438</f>
        <v/>
      </c>
    </row>
    <row r="446">
      <c r="B446" s="2" t="inlineStr">
        <is>
          <t>Growth capex</t>
        </is>
      </c>
      <c r="D446" s="19">
        <f>D429</f>
        <v/>
      </c>
      <c r="E446" s="19">
        <f>E429</f>
        <v/>
      </c>
      <c r="F446" s="19">
        <f>F429</f>
        <v/>
      </c>
      <c r="G446" s="19">
        <f>G429</f>
        <v/>
      </c>
      <c r="H446" s="19">
        <f>H429</f>
        <v/>
      </c>
      <c r="I446" s="19">
        <f>I429</f>
        <v/>
      </c>
      <c r="J446" s="19">
        <f>J429</f>
        <v/>
      </c>
      <c r="K446" s="19">
        <f>K429</f>
        <v/>
      </c>
      <c r="L446" s="19">
        <f>L429</f>
        <v/>
      </c>
      <c r="M446" s="19">
        <f>M429</f>
        <v/>
      </c>
      <c r="N446" s="19">
        <f>N429</f>
        <v/>
      </c>
      <c r="O446" s="19">
        <f>O429</f>
        <v/>
      </c>
      <c r="P446" s="19">
        <f>P429</f>
        <v/>
      </c>
      <c r="Q446" s="19">
        <f>Q429</f>
        <v/>
      </c>
      <c r="R446" s="19">
        <f>R429</f>
        <v/>
      </c>
      <c r="S446" s="19">
        <f>S429</f>
        <v/>
      </c>
      <c r="T446" s="19">
        <f>T429</f>
        <v/>
      </c>
      <c r="U446" s="19">
        <f>U429</f>
        <v/>
      </c>
      <c r="V446" s="19">
        <f>V429</f>
        <v/>
      </c>
      <c r="W446" s="19">
        <f>W429</f>
        <v/>
      </c>
      <c r="X446" s="19">
        <f>X429</f>
        <v/>
      </c>
      <c r="Y446" s="19">
        <f>Y429</f>
        <v/>
      </c>
      <c r="Z446" s="19">
        <f>Z429</f>
        <v/>
      </c>
      <c r="AA446" s="19">
        <f>AA429</f>
        <v/>
      </c>
      <c r="AB446" s="19">
        <f>AB429</f>
        <v/>
      </c>
      <c r="AC446" s="19">
        <f>AC429</f>
        <v/>
      </c>
      <c r="AD446" s="19">
        <f>AD429</f>
        <v/>
      </c>
      <c r="AE446" s="19">
        <f>AE429</f>
        <v/>
      </c>
      <c r="AF446" s="19">
        <f>AF429</f>
        <v/>
      </c>
      <c r="AG446" s="19">
        <f>AG429</f>
        <v/>
      </c>
      <c r="AH446" s="19">
        <f>AH429</f>
        <v/>
      </c>
      <c r="AI446" s="19">
        <f>AI429</f>
        <v/>
      </c>
    </row>
    <row r="447">
      <c r="B447" s="2" t="inlineStr">
        <is>
          <t>Tax depreciation</t>
        </is>
      </c>
      <c r="D447" s="19">
        <f>D445+IF(D$3&lt;=i_tax_dep_end,i_tax_dep_extra,0)</f>
        <v/>
      </c>
      <c r="E447" s="19">
        <f>E445+IF(E$3&lt;=i_tax_dep_end,i_tax_dep_extra,0)</f>
        <v/>
      </c>
      <c r="F447" s="19">
        <f>F445+IF(F$3&lt;=i_tax_dep_end,i_tax_dep_extra,0)</f>
        <v/>
      </c>
      <c r="G447" s="19">
        <f>G445+IF(G$3&lt;=i_tax_dep_end,i_tax_dep_extra,0)</f>
        <v/>
      </c>
      <c r="H447" s="19">
        <f>H445+IF(H$3&lt;=i_tax_dep_end,i_tax_dep_extra,0)</f>
        <v/>
      </c>
      <c r="I447" s="19">
        <f>I445+IF(I$3&lt;=i_tax_dep_end,i_tax_dep_extra,0)</f>
        <v/>
      </c>
      <c r="J447" s="19">
        <f>J445+IF(J$3&lt;=i_tax_dep_end,i_tax_dep_extra,0)</f>
        <v/>
      </c>
      <c r="K447" s="19">
        <f>K445+IF(K$3&lt;=i_tax_dep_end,i_tax_dep_extra,0)</f>
        <v/>
      </c>
      <c r="L447" s="19">
        <f>L445+IF(L$3&lt;=i_tax_dep_end,i_tax_dep_extra,0)</f>
        <v/>
      </c>
      <c r="M447" s="19">
        <f>M445+IF(M$3&lt;=i_tax_dep_end,i_tax_dep_extra,0)</f>
        <v/>
      </c>
      <c r="N447" s="19">
        <f>N445+IF(N$3&lt;=i_tax_dep_end,i_tax_dep_extra,0)</f>
        <v/>
      </c>
      <c r="O447" s="19">
        <f>O445+IF(O$3&lt;=i_tax_dep_end,i_tax_dep_extra,0)</f>
        <v/>
      </c>
      <c r="P447" s="19">
        <f>P445+IF(P$3&lt;=i_tax_dep_end,i_tax_dep_extra,0)</f>
        <v/>
      </c>
      <c r="Q447" s="19">
        <f>Q445+IF(Q$3&lt;=i_tax_dep_end,i_tax_dep_extra,0)</f>
        <v/>
      </c>
      <c r="R447" s="19">
        <f>R445+IF(R$3&lt;=i_tax_dep_end,i_tax_dep_extra,0)</f>
        <v/>
      </c>
      <c r="S447" s="19">
        <f>S445+IF(S$3&lt;=i_tax_dep_end,i_tax_dep_extra,0)</f>
        <v/>
      </c>
      <c r="T447" s="19">
        <f>T445+IF(T$3&lt;=i_tax_dep_end,i_tax_dep_extra,0)</f>
        <v/>
      </c>
      <c r="U447" s="19">
        <f>U445+IF(U$3&lt;=i_tax_dep_end,i_tax_dep_extra,0)</f>
        <v/>
      </c>
      <c r="V447" s="19">
        <f>V445+IF(V$3&lt;=i_tax_dep_end,i_tax_dep_extra,0)</f>
        <v/>
      </c>
      <c r="W447" s="19">
        <f>W445+IF(W$3&lt;=i_tax_dep_end,i_tax_dep_extra,0)</f>
        <v/>
      </c>
      <c r="X447" s="19">
        <f>X445+IF(X$3&lt;=i_tax_dep_end,i_tax_dep_extra,0)</f>
        <v/>
      </c>
      <c r="Y447" s="19">
        <f>Y445+IF(Y$3&lt;=i_tax_dep_end,i_tax_dep_extra,0)</f>
        <v/>
      </c>
      <c r="Z447" s="19">
        <f>Z445+IF(Z$3&lt;=i_tax_dep_end,i_tax_dep_extra,0)</f>
        <v/>
      </c>
      <c r="AA447" s="19">
        <f>AA445+IF(AA$3&lt;=i_tax_dep_end,i_tax_dep_extra,0)</f>
        <v/>
      </c>
      <c r="AB447" s="19">
        <f>AB445+IF(AB$3&lt;=i_tax_dep_end,i_tax_dep_extra,0)</f>
        <v/>
      </c>
      <c r="AC447" s="19">
        <f>AC445+IF(AC$3&lt;=i_tax_dep_end,i_tax_dep_extra,0)</f>
        <v/>
      </c>
      <c r="AD447" s="19">
        <f>AD445+IF(AD$3&lt;=i_tax_dep_end,i_tax_dep_extra,0)</f>
        <v/>
      </c>
      <c r="AE447" s="19">
        <f>AE445+IF(AE$3&lt;=i_tax_dep_end,i_tax_dep_extra,0)</f>
        <v/>
      </c>
      <c r="AF447" s="19">
        <f>AF445+IF(AF$3&lt;=i_tax_dep_end,i_tax_dep_extra,0)</f>
        <v/>
      </c>
      <c r="AG447" s="19">
        <f>AG445+IF(AG$3&lt;=i_tax_dep_end,i_tax_dep_extra,0)</f>
        <v/>
      </c>
      <c r="AH447" s="19">
        <f>AH445+IF(AH$3&lt;=i_tax_dep_end,i_tax_dep_extra,0)</f>
        <v/>
      </c>
      <c r="AI447" s="19">
        <f>AI445+IF(AI$3&lt;=i_tax_dep_end,i_tax_dep_extra,0)</f>
        <v/>
      </c>
    </row>
    <row r="448">
      <c r="B448" s="2" t="inlineStr">
        <is>
          <t>Unlevered cash tax</t>
        </is>
      </c>
      <c r="D448" s="19">
        <f>i_tax*MAX(0,D444-D447)</f>
        <v/>
      </c>
      <c r="E448" s="19">
        <f>i_tax*MAX(0,E444-E447)</f>
        <v/>
      </c>
      <c r="F448" s="19">
        <f>i_tax*MAX(0,F444-F447)</f>
        <v/>
      </c>
      <c r="G448" s="19">
        <f>i_tax*MAX(0,G444-G447)</f>
        <v/>
      </c>
      <c r="H448" s="19">
        <f>i_tax*MAX(0,H444-H447)</f>
        <v/>
      </c>
      <c r="I448" s="19">
        <f>i_tax*MAX(0,I444-I447)</f>
        <v/>
      </c>
      <c r="J448" s="19">
        <f>i_tax*MAX(0,J444-J447)</f>
        <v/>
      </c>
      <c r="K448" s="19">
        <f>i_tax*MAX(0,K444-K447)</f>
        <v/>
      </c>
      <c r="L448" s="19">
        <f>i_tax*MAX(0,L444-L447)</f>
        <v/>
      </c>
      <c r="M448" s="19">
        <f>i_tax*MAX(0,M444-M447)</f>
        <v/>
      </c>
      <c r="N448" s="19">
        <f>i_tax*MAX(0,N444-N447)</f>
        <v/>
      </c>
      <c r="O448" s="19">
        <f>i_tax*MAX(0,O444-O447)</f>
        <v/>
      </c>
      <c r="P448" s="19">
        <f>i_tax*MAX(0,P444-P447)</f>
        <v/>
      </c>
      <c r="Q448" s="19">
        <f>i_tax*MAX(0,Q444-Q447)</f>
        <v/>
      </c>
      <c r="R448" s="19">
        <f>i_tax*MAX(0,R444-R447)</f>
        <v/>
      </c>
      <c r="S448" s="19">
        <f>i_tax*MAX(0,S444-S447)</f>
        <v/>
      </c>
      <c r="T448" s="19">
        <f>i_tax*MAX(0,T444-T447)</f>
        <v/>
      </c>
      <c r="U448" s="19">
        <f>i_tax*MAX(0,U444-U447)</f>
        <v/>
      </c>
      <c r="V448" s="19">
        <f>i_tax*MAX(0,V444-V447)</f>
        <v/>
      </c>
      <c r="W448" s="19">
        <f>i_tax*MAX(0,W444-W447)</f>
        <v/>
      </c>
      <c r="X448" s="19">
        <f>i_tax*MAX(0,X444-X447)</f>
        <v/>
      </c>
      <c r="Y448" s="19">
        <f>i_tax*MAX(0,Y444-Y447)</f>
        <v/>
      </c>
      <c r="Z448" s="19">
        <f>i_tax*MAX(0,Z444-Z447)</f>
        <v/>
      </c>
      <c r="AA448" s="19">
        <f>i_tax*MAX(0,AA444-AA447)</f>
        <v/>
      </c>
      <c r="AB448" s="19">
        <f>i_tax*MAX(0,AB444-AB447)</f>
        <v/>
      </c>
      <c r="AC448" s="19">
        <f>i_tax*MAX(0,AC444-AC447)</f>
        <v/>
      </c>
      <c r="AD448" s="19">
        <f>i_tax*MAX(0,AD444-AD447)</f>
        <v/>
      </c>
      <c r="AE448" s="19">
        <f>i_tax*MAX(0,AE444-AE447)</f>
        <v/>
      </c>
      <c r="AF448" s="19">
        <f>i_tax*MAX(0,AF444-AF447)</f>
        <v/>
      </c>
      <c r="AG448" s="19">
        <f>i_tax*MAX(0,AG444-AG447)</f>
        <v/>
      </c>
      <c r="AH448" s="19">
        <f>i_tax*MAX(0,AH444-AH447)</f>
        <v/>
      </c>
      <c r="AI448" s="19">
        <f>i_tax*MAX(0,AI444-AI447)</f>
        <v/>
      </c>
    </row>
    <row r="449">
      <c r="B449" s="2" t="inlineStr">
        <is>
          <t>Westerhaven handback works</t>
        </is>
      </c>
      <c r="D449" s="19">
        <f>IF(AND(Sensitivities!$C$359=0,D$3=i_conc_end),i_handback*D362,0)</f>
        <v/>
      </c>
      <c r="E449" s="19">
        <f>IF(AND(Sensitivities!$C$359=0,E$3=i_conc_end),i_handback*E362,0)</f>
        <v/>
      </c>
      <c r="F449" s="19">
        <f>IF(AND(Sensitivities!$C$359=0,F$3=i_conc_end),i_handback*F362,0)</f>
        <v/>
      </c>
      <c r="G449" s="19">
        <f>IF(AND(Sensitivities!$C$359=0,G$3=i_conc_end),i_handback*G362,0)</f>
        <v/>
      </c>
      <c r="H449" s="19">
        <f>IF(AND(Sensitivities!$C$359=0,H$3=i_conc_end),i_handback*H362,0)</f>
        <v/>
      </c>
      <c r="I449" s="19">
        <f>IF(AND(Sensitivities!$C$359=0,I$3=i_conc_end),i_handback*I362,0)</f>
        <v/>
      </c>
      <c r="J449" s="19">
        <f>IF(AND(Sensitivities!$C$359=0,J$3=i_conc_end),i_handback*J362,0)</f>
        <v/>
      </c>
      <c r="K449" s="19">
        <f>IF(AND(Sensitivities!$C$359=0,K$3=i_conc_end),i_handback*K362,0)</f>
        <v/>
      </c>
      <c r="L449" s="19">
        <f>IF(AND(Sensitivities!$C$359=0,L$3=i_conc_end),i_handback*L362,0)</f>
        <v/>
      </c>
      <c r="M449" s="19">
        <f>IF(AND(Sensitivities!$C$359=0,M$3=i_conc_end),i_handback*M362,0)</f>
        <v/>
      </c>
      <c r="N449" s="19">
        <f>IF(AND(Sensitivities!$C$359=0,N$3=i_conc_end),i_handback*N362,0)</f>
        <v/>
      </c>
      <c r="O449" s="19">
        <f>IF(AND(Sensitivities!$C$359=0,O$3=i_conc_end),i_handback*O362,0)</f>
        <v/>
      </c>
      <c r="P449" s="19">
        <f>IF(AND(Sensitivities!$C$359=0,P$3=i_conc_end),i_handback*P362,0)</f>
        <v/>
      </c>
      <c r="Q449" s="19">
        <f>IF(AND(Sensitivities!$C$359=0,Q$3=i_conc_end),i_handback*Q362,0)</f>
        <v/>
      </c>
      <c r="R449" s="19">
        <f>IF(AND(Sensitivities!$C$359=0,R$3=i_conc_end),i_handback*R362,0)</f>
        <v/>
      </c>
      <c r="S449" s="19">
        <f>IF(AND(Sensitivities!$C$359=0,S$3=i_conc_end),i_handback*S362,0)</f>
        <v/>
      </c>
      <c r="T449" s="19">
        <f>IF(AND(Sensitivities!$C$359=0,T$3=i_conc_end),i_handback*T362,0)</f>
        <v/>
      </c>
      <c r="U449" s="19">
        <f>IF(AND(Sensitivities!$C$359=0,U$3=i_conc_end),i_handback*U362,0)</f>
        <v/>
      </c>
      <c r="V449" s="19">
        <f>IF(AND(Sensitivities!$C$359=0,V$3=i_conc_end),i_handback*V362,0)</f>
        <v/>
      </c>
      <c r="W449" s="19">
        <f>IF(AND(Sensitivities!$C$359=0,W$3=i_conc_end),i_handback*W362,0)</f>
        <v/>
      </c>
      <c r="X449" s="19">
        <f>IF(AND(Sensitivities!$C$359=0,X$3=i_conc_end),i_handback*X362,0)</f>
        <v/>
      </c>
      <c r="Y449" s="19">
        <f>IF(AND(Sensitivities!$C$359=0,Y$3=i_conc_end),i_handback*Y362,0)</f>
        <v/>
      </c>
      <c r="Z449" s="19">
        <f>IF(AND(Sensitivities!$C$359=0,Z$3=i_conc_end),i_handback*Z362,0)</f>
        <v/>
      </c>
      <c r="AA449" s="19">
        <f>IF(AND(Sensitivities!$C$359=0,AA$3=i_conc_end),i_handback*AA362,0)</f>
        <v/>
      </c>
      <c r="AB449" s="19">
        <f>IF(AND(Sensitivities!$C$359=0,AB$3=i_conc_end),i_handback*AB362,0)</f>
        <v/>
      </c>
      <c r="AC449" s="19">
        <f>IF(AND(Sensitivities!$C$359=0,AC$3=i_conc_end),i_handback*AC362,0)</f>
        <v/>
      </c>
      <c r="AD449" s="19">
        <f>IF(AND(Sensitivities!$C$359=0,AD$3=i_conc_end),i_handback*AD362,0)</f>
        <v/>
      </c>
      <c r="AE449" s="19">
        <f>IF(AND(Sensitivities!$C$359=0,AE$3=i_conc_end),i_handback*AE362,0)</f>
        <v/>
      </c>
      <c r="AF449" s="19">
        <f>IF(AND(Sensitivities!$C$359=0,AF$3=i_conc_end),i_handback*AF362,0)</f>
        <v/>
      </c>
      <c r="AG449" s="19">
        <f>IF(AND(Sensitivities!$C$359=0,AG$3=i_conc_end),i_handback*AG362,0)</f>
        <v/>
      </c>
      <c r="AH449" s="19">
        <f>IF(AND(Sensitivities!$C$359=0,AH$3=i_conc_end),i_handback*AH362,0)</f>
        <v/>
      </c>
      <c r="AI449" s="19">
        <f>IF(AND(Sensitivities!$C$359=0,AI$3=i_conc_end),i_handback*AI362,0)</f>
        <v/>
      </c>
    </row>
    <row r="450">
      <c r="B450" s="3" t="inlineStr">
        <is>
          <t>Free cash flow (unlevered)</t>
        </is>
      </c>
      <c r="D450" s="31">
        <f>D444-D445-D446-D448-D449</f>
        <v/>
      </c>
      <c r="E450" s="31">
        <f>E444-E445-E446-E448-E449</f>
        <v/>
      </c>
      <c r="F450" s="31">
        <f>F444-F445-F446-F448-F449</f>
        <v/>
      </c>
      <c r="G450" s="31">
        <f>G444-G445-G446-G448-G449</f>
        <v/>
      </c>
      <c r="H450" s="31">
        <f>H444-H445-H446-H448-H449</f>
        <v/>
      </c>
      <c r="I450" s="31">
        <f>I444-I445-I446-I448-I449</f>
        <v/>
      </c>
      <c r="J450" s="31">
        <f>J444-J445-J446-J448-J449</f>
        <v/>
      </c>
      <c r="K450" s="31">
        <f>K444-K445-K446-K448-K449</f>
        <v/>
      </c>
      <c r="L450" s="31">
        <f>L444-L445-L446-L448-L449</f>
        <v/>
      </c>
      <c r="M450" s="31">
        <f>M444-M445-M446-M448-M449</f>
        <v/>
      </c>
      <c r="N450" s="31">
        <f>N444-N445-N446-N448-N449</f>
        <v/>
      </c>
      <c r="O450" s="31">
        <f>O444-O445-O446-O448-O449</f>
        <v/>
      </c>
      <c r="P450" s="31">
        <f>P444-P445-P446-P448-P449</f>
        <v/>
      </c>
      <c r="Q450" s="31">
        <f>Q444-Q445-Q446-Q448-Q449</f>
        <v/>
      </c>
      <c r="R450" s="31">
        <f>R444-R445-R446-R448-R449</f>
        <v/>
      </c>
      <c r="S450" s="31">
        <f>S444-S445-S446-S448-S449</f>
        <v/>
      </c>
      <c r="T450" s="31">
        <f>T444-T445-T446-T448-T449</f>
        <v/>
      </c>
      <c r="U450" s="31">
        <f>U444-U445-U446-U448-U449</f>
        <v/>
      </c>
      <c r="V450" s="31">
        <f>V444-V445-V446-V448-V449</f>
        <v/>
      </c>
      <c r="W450" s="31">
        <f>W444-W445-W446-W448-W449</f>
        <v/>
      </c>
      <c r="X450" s="31">
        <f>X444-X445-X446-X448-X449</f>
        <v/>
      </c>
      <c r="Y450" s="31">
        <f>Y444-Y445-Y446-Y448-Y449</f>
        <v/>
      </c>
      <c r="Z450" s="31">
        <f>Z444-Z445-Z446-Z448-Z449</f>
        <v/>
      </c>
      <c r="AA450" s="31">
        <f>AA444-AA445-AA446-AA448-AA449</f>
        <v/>
      </c>
      <c r="AB450" s="31">
        <f>AB444-AB445-AB446-AB448-AB449</f>
        <v/>
      </c>
      <c r="AC450" s="31">
        <f>AC444-AC445-AC446-AC448-AC449</f>
        <v/>
      </c>
      <c r="AD450" s="31">
        <f>AD444-AD445-AD446-AD448-AD449</f>
        <v/>
      </c>
      <c r="AE450" s="31">
        <f>AE444-AE445-AE446-AE448-AE449</f>
        <v/>
      </c>
      <c r="AF450" s="31">
        <f>AF444-AF445-AF446-AF448-AF449</f>
        <v/>
      </c>
      <c r="AG450" s="31">
        <f>AG444-AG445-AG446-AG448-AG449</f>
        <v/>
      </c>
      <c r="AH450" s="31">
        <f>AH444-AH445-AH446-AH448-AH449</f>
        <v/>
      </c>
      <c r="AI450" s="31">
        <f>AI444-AI445-AI446-AI448-AI449</f>
        <v/>
      </c>
    </row>
    <row r="451">
      <c r="B451" s="2" t="inlineStr">
        <is>
          <t>Present value at the discount rate (2027 to 2056)</t>
        </is>
      </c>
      <c r="D451" s="19">
        <f>IF(AND(D$3&gt;i_base_year,D$3&lt;=i_last),D450/(1+i_r)^D$4,0)</f>
        <v/>
      </c>
      <c r="E451" s="19">
        <f>IF(AND(E$3&gt;i_base_year,E$3&lt;=i_last),E450/(1+i_r)^E$4,0)</f>
        <v/>
      </c>
      <c r="F451" s="19">
        <f>IF(AND(F$3&gt;i_base_year,F$3&lt;=i_last),F450/(1+i_r)^F$4,0)</f>
        <v/>
      </c>
      <c r="G451" s="19">
        <f>IF(AND(G$3&gt;i_base_year,G$3&lt;=i_last),G450/(1+i_r)^G$4,0)</f>
        <v/>
      </c>
      <c r="H451" s="19">
        <f>IF(AND(H$3&gt;i_base_year,H$3&lt;=i_last),H450/(1+i_r)^H$4,0)</f>
        <v/>
      </c>
      <c r="I451" s="19">
        <f>IF(AND(I$3&gt;i_base_year,I$3&lt;=i_last),I450/(1+i_r)^I$4,0)</f>
        <v/>
      </c>
      <c r="J451" s="19">
        <f>IF(AND(J$3&gt;i_base_year,J$3&lt;=i_last),J450/(1+i_r)^J$4,0)</f>
        <v/>
      </c>
      <c r="K451" s="19">
        <f>IF(AND(K$3&gt;i_base_year,K$3&lt;=i_last),K450/(1+i_r)^K$4,0)</f>
        <v/>
      </c>
      <c r="L451" s="19">
        <f>IF(AND(L$3&gt;i_base_year,L$3&lt;=i_last),L450/(1+i_r)^L$4,0)</f>
        <v/>
      </c>
      <c r="M451" s="19">
        <f>IF(AND(M$3&gt;i_base_year,M$3&lt;=i_last),M450/(1+i_r)^M$4,0)</f>
        <v/>
      </c>
      <c r="N451" s="19">
        <f>IF(AND(N$3&gt;i_base_year,N$3&lt;=i_last),N450/(1+i_r)^N$4,0)</f>
        <v/>
      </c>
      <c r="O451" s="19">
        <f>IF(AND(O$3&gt;i_base_year,O$3&lt;=i_last),O450/(1+i_r)^O$4,0)</f>
        <v/>
      </c>
      <c r="P451" s="19">
        <f>IF(AND(P$3&gt;i_base_year,P$3&lt;=i_last),P450/(1+i_r)^P$4,0)</f>
        <v/>
      </c>
      <c r="Q451" s="19">
        <f>IF(AND(Q$3&gt;i_base_year,Q$3&lt;=i_last),Q450/(1+i_r)^Q$4,0)</f>
        <v/>
      </c>
      <c r="R451" s="19">
        <f>IF(AND(R$3&gt;i_base_year,R$3&lt;=i_last),R450/(1+i_r)^R$4,0)</f>
        <v/>
      </c>
      <c r="S451" s="19">
        <f>IF(AND(S$3&gt;i_base_year,S$3&lt;=i_last),S450/(1+i_r)^S$4,0)</f>
        <v/>
      </c>
      <c r="T451" s="19">
        <f>IF(AND(T$3&gt;i_base_year,T$3&lt;=i_last),T450/(1+i_r)^T$4,0)</f>
        <v/>
      </c>
      <c r="U451" s="19">
        <f>IF(AND(U$3&gt;i_base_year,U$3&lt;=i_last),U450/(1+i_r)^U$4,0)</f>
        <v/>
      </c>
      <c r="V451" s="19">
        <f>IF(AND(V$3&gt;i_base_year,V$3&lt;=i_last),V450/(1+i_r)^V$4,0)</f>
        <v/>
      </c>
      <c r="W451" s="19">
        <f>IF(AND(W$3&gt;i_base_year,W$3&lt;=i_last),W450/(1+i_r)^W$4,0)</f>
        <v/>
      </c>
      <c r="X451" s="19">
        <f>IF(AND(X$3&gt;i_base_year,X$3&lt;=i_last),X450/(1+i_r)^X$4,0)</f>
        <v/>
      </c>
      <c r="Y451" s="19">
        <f>IF(AND(Y$3&gt;i_base_year,Y$3&lt;=i_last),Y450/(1+i_r)^Y$4,0)</f>
        <v/>
      </c>
      <c r="Z451" s="19">
        <f>IF(AND(Z$3&gt;i_base_year,Z$3&lt;=i_last),Z450/(1+i_r)^Z$4,0)</f>
        <v/>
      </c>
      <c r="AA451" s="19">
        <f>IF(AND(AA$3&gt;i_base_year,AA$3&lt;=i_last),AA450/(1+i_r)^AA$4,0)</f>
        <v/>
      </c>
      <c r="AB451" s="19">
        <f>IF(AND(AB$3&gt;i_base_year,AB$3&lt;=i_last),AB450/(1+i_r)^AB$4,0)</f>
        <v/>
      </c>
      <c r="AC451" s="19">
        <f>IF(AND(AC$3&gt;i_base_year,AC$3&lt;=i_last),AC450/(1+i_r)^AC$4,0)</f>
        <v/>
      </c>
      <c r="AD451" s="19">
        <f>IF(AND(AD$3&gt;i_base_year,AD$3&lt;=i_last),AD450/(1+i_r)^AD$4,0)</f>
        <v/>
      </c>
      <c r="AE451" s="19">
        <f>IF(AND(AE$3&gt;i_base_year,AE$3&lt;=i_last),AE450/(1+i_r)^AE$4,0)</f>
        <v/>
      </c>
      <c r="AF451" s="19">
        <f>IF(AND(AF$3&gt;i_base_year,AF$3&lt;=i_last),AF450/(1+i_r)^AF$4,0)</f>
        <v/>
      </c>
      <c r="AG451" s="19">
        <f>IF(AND(AG$3&gt;i_base_year,AG$3&lt;=i_last),AG450/(1+i_r)^AG$4,0)</f>
        <v/>
      </c>
      <c r="AH451" s="19">
        <f>IF(AND(AH$3&gt;i_base_year,AH$3&lt;=i_last),AH450/(1+i_r)^AH$4,0)</f>
        <v/>
      </c>
      <c r="AI451" s="19">
        <f>IF(AND(AI$3&gt;i_base_year,AI$3&lt;=i_last),AI450/(1+i_r)^AI$4,0)</f>
        <v/>
      </c>
    </row>
    <row r="452">
      <c r="B452" s="2" t="inlineStr">
        <is>
          <t>Present value of 2027 to 2056 free cash flow</t>
        </is>
      </c>
      <c r="C452" s="19">
        <f>SUM(D451:AI451)</f>
        <v/>
      </c>
    </row>
    <row r="453">
      <c r="B453" s="2" t="inlineStr">
        <is>
          <t>Terminal value at the end of 2056 (on 2057 free cash flow)</t>
        </is>
      </c>
      <c r="C453" s="19">
        <f>AI450/(i_r-i_g)</f>
        <v/>
      </c>
    </row>
    <row r="454">
      <c r="B454" s="2" t="inlineStr">
        <is>
          <t>Present value of the terminal value</t>
        </is>
      </c>
      <c r="C454" s="19">
        <f>C453/(1+i_r)^(i_last-i_base_year)</f>
        <v/>
      </c>
    </row>
    <row r="455">
      <c r="B455" s="3" t="inlineStr">
        <is>
          <t>Enterprise value at 31 December 2026</t>
        </is>
      </c>
      <c r="C455" s="31">
        <f>C452+C454</f>
        <v/>
      </c>
    </row>
    <row r="458">
      <c r="B458" s="5" t="inlineStr">
        <is>
          <t>Platform case: Recontract -5%</t>
        </is>
      </c>
    </row>
    <row r="459">
      <c r="B459" s="4" t="inlineStr">
        <is>
          <t>Inflation</t>
        </is>
      </c>
      <c r="C459" s="27">
        <f>Inputs!$Q$219</f>
        <v/>
      </c>
    </row>
    <row r="460">
      <c r="B460" s="4" t="inlineStr">
        <is>
          <t>Buyer's recontracting rates (1) or seller's plan rates (0)</t>
        </is>
      </c>
      <c r="C460" s="26">
        <f>Inputs!$Q$220</f>
        <v/>
      </c>
    </row>
    <row r="461">
      <c r="B461" s="4" t="inlineStr">
        <is>
          <t>Largest Westerhaven customer leaves (1/0)</t>
        </is>
      </c>
      <c r="C461" s="26">
        <f>Inputs!$Q$221</f>
        <v/>
      </c>
    </row>
    <row r="462">
      <c r="B462" s="4" t="inlineStr">
        <is>
          <t>Jetty 3 refurbishment (1/0)</t>
        </is>
      </c>
      <c r="C462" s="26">
        <f>Inputs!$Q$222</f>
        <v/>
      </c>
    </row>
    <row r="463">
      <c r="B463" s="4" t="inlineStr">
        <is>
          <t>Sabine Bend extra insurance (1/0)</t>
        </is>
      </c>
      <c r="C463" s="26">
        <f>Inputs!$Q$223</f>
        <v/>
      </c>
    </row>
    <row r="464">
      <c r="B464" s="4" t="inlineStr">
        <is>
          <t>Expansion built (1/0)</t>
        </is>
      </c>
      <c r="C464" s="26">
        <f>Inputs!$Q$224</f>
        <v/>
      </c>
    </row>
    <row r="465">
      <c r="B465" s="4" t="inlineStr">
        <is>
          <t>Occupancy shift from 2027</t>
        </is>
      </c>
      <c r="C465" s="27">
        <f>Inputs!$Q$225</f>
        <v/>
      </c>
    </row>
    <row r="466">
      <c r="B466" s="4" t="inlineStr">
        <is>
          <t>Recontracting shift</t>
        </is>
      </c>
      <c r="C466" s="27">
        <f>Inputs!$Q$226</f>
        <v/>
      </c>
    </row>
    <row r="467">
      <c r="B467" s="4" t="inlineStr">
        <is>
          <t>Concession renewed (1/0)</t>
        </is>
      </c>
      <c r="C467" s="26">
        <f>Inputs!$Q$227</f>
        <v/>
      </c>
    </row>
    <row r="468">
      <c r="B468" s="4" t="inlineStr">
        <is>
          <t>Westerhaven capacity multiplier</t>
        </is>
      </c>
      <c r="C468" s="28">
        <f>Inputs!$Q$228</f>
        <v/>
      </c>
    </row>
    <row r="469">
      <c r="B469" s="4" t="inlineStr">
        <is>
          <t>Extra yearly cost from 2028 ($m, 2026 dollars)</t>
        </is>
      </c>
      <c r="C469" s="29">
        <f>Inputs!$Q$229</f>
        <v/>
      </c>
    </row>
    <row r="470">
      <c r="B470" s="2" t="inlineStr">
        <is>
          <t>Cost index (inflation)</t>
        </is>
      </c>
      <c r="D470" s="30">
        <f>(1+Sensitivities!$C$459)^D$4</f>
        <v/>
      </c>
      <c r="E470" s="30">
        <f>(1+Sensitivities!$C$459)^E$4</f>
        <v/>
      </c>
      <c r="F470" s="30">
        <f>(1+Sensitivities!$C$459)^F$4</f>
        <v/>
      </c>
      <c r="G470" s="30">
        <f>(1+Sensitivities!$C$459)^G$4</f>
        <v/>
      </c>
      <c r="H470" s="30">
        <f>(1+Sensitivities!$C$459)^H$4</f>
        <v/>
      </c>
      <c r="I470" s="30">
        <f>(1+Sensitivities!$C$459)^I$4</f>
        <v/>
      </c>
      <c r="J470" s="30">
        <f>(1+Sensitivities!$C$459)^J$4</f>
        <v/>
      </c>
      <c r="K470" s="30">
        <f>(1+Sensitivities!$C$459)^K$4</f>
        <v/>
      </c>
      <c r="L470" s="30">
        <f>(1+Sensitivities!$C$459)^L$4</f>
        <v/>
      </c>
      <c r="M470" s="30">
        <f>(1+Sensitivities!$C$459)^M$4</f>
        <v/>
      </c>
      <c r="N470" s="30">
        <f>(1+Sensitivities!$C$459)^N$4</f>
        <v/>
      </c>
      <c r="O470" s="30">
        <f>(1+Sensitivities!$C$459)^O$4</f>
        <v/>
      </c>
      <c r="P470" s="30">
        <f>(1+Sensitivities!$C$459)^P$4</f>
        <v/>
      </c>
      <c r="Q470" s="30">
        <f>(1+Sensitivities!$C$459)^Q$4</f>
        <v/>
      </c>
      <c r="R470" s="30">
        <f>(1+Sensitivities!$C$459)^R$4</f>
        <v/>
      </c>
      <c r="S470" s="30">
        <f>(1+Sensitivities!$C$459)^S$4</f>
        <v/>
      </c>
      <c r="T470" s="30">
        <f>(1+Sensitivities!$C$459)^T$4</f>
        <v/>
      </c>
      <c r="U470" s="30">
        <f>(1+Sensitivities!$C$459)^U$4</f>
        <v/>
      </c>
      <c r="V470" s="30">
        <f>(1+Sensitivities!$C$459)^V$4</f>
        <v/>
      </c>
      <c r="W470" s="30">
        <f>(1+Sensitivities!$C$459)^W$4</f>
        <v/>
      </c>
      <c r="X470" s="30">
        <f>(1+Sensitivities!$C$459)^X$4</f>
        <v/>
      </c>
      <c r="Y470" s="30">
        <f>(1+Sensitivities!$C$459)^Y$4</f>
        <v/>
      </c>
      <c r="Z470" s="30">
        <f>(1+Sensitivities!$C$459)^Z$4</f>
        <v/>
      </c>
      <c r="AA470" s="30">
        <f>(1+Sensitivities!$C$459)^AA$4</f>
        <v/>
      </c>
      <c r="AB470" s="30">
        <f>(1+Sensitivities!$C$459)^AB$4</f>
        <v/>
      </c>
      <c r="AC470" s="30">
        <f>(1+Sensitivities!$C$459)^AC$4</f>
        <v/>
      </c>
      <c r="AD470" s="30">
        <f>(1+Sensitivities!$C$459)^AD$4</f>
        <v/>
      </c>
      <c r="AE470" s="30">
        <f>(1+Sensitivities!$C$459)^AE$4</f>
        <v/>
      </c>
      <c r="AF470" s="30">
        <f>(1+Sensitivities!$C$459)^AF$4</f>
        <v/>
      </c>
      <c r="AG470" s="30">
        <f>(1+Sensitivities!$C$459)^AG$4</f>
        <v/>
      </c>
      <c r="AH470" s="30">
        <f>(1+Sensitivities!$C$459)^AH$4</f>
        <v/>
      </c>
      <c r="AI470" s="30">
        <f>(1+Sensitivities!$C$459)^AI$4</f>
        <v/>
      </c>
    </row>
    <row r="471">
      <c r="B471" s="2" t="inlineStr">
        <is>
          <t>Rate index (inflation x pass-through)</t>
        </is>
      </c>
      <c r="D471" s="30">
        <f>(1+Sensitivities!$C$459*i_index_share)^D$4</f>
        <v/>
      </c>
      <c r="E471" s="30">
        <f>(1+Sensitivities!$C$459*i_index_share)^E$4</f>
        <v/>
      </c>
      <c r="F471" s="30">
        <f>(1+Sensitivities!$C$459*i_index_share)^F$4</f>
        <v/>
      </c>
      <c r="G471" s="30">
        <f>(1+Sensitivities!$C$459*i_index_share)^G$4</f>
        <v/>
      </c>
      <c r="H471" s="30">
        <f>(1+Sensitivities!$C$459*i_index_share)^H$4</f>
        <v/>
      </c>
      <c r="I471" s="30">
        <f>(1+Sensitivities!$C$459*i_index_share)^I$4</f>
        <v/>
      </c>
      <c r="J471" s="30">
        <f>(1+Sensitivities!$C$459*i_index_share)^J$4</f>
        <v/>
      </c>
      <c r="K471" s="30">
        <f>(1+Sensitivities!$C$459*i_index_share)^K$4</f>
        <v/>
      </c>
      <c r="L471" s="30">
        <f>(1+Sensitivities!$C$459*i_index_share)^L$4</f>
        <v/>
      </c>
      <c r="M471" s="30">
        <f>(1+Sensitivities!$C$459*i_index_share)^M$4</f>
        <v/>
      </c>
      <c r="N471" s="30">
        <f>(1+Sensitivities!$C$459*i_index_share)^N$4</f>
        <v/>
      </c>
      <c r="O471" s="30">
        <f>(1+Sensitivities!$C$459*i_index_share)^O$4</f>
        <v/>
      </c>
      <c r="P471" s="30">
        <f>(1+Sensitivities!$C$459*i_index_share)^P$4</f>
        <v/>
      </c>
      <c r="Q471" s="30">
        <f>(1+Sensitivities!$C$459*i_index_share)^Q$4</f>
        <v/>
      </c>
      <c r="R471" s="30">
        <f>(1+Sensitivities!$C$459*i_index_share)^R$4</f>
        <v/>
      </c>
      <c r="S471" s="30">
        <f>(1+Sensitivities!$C$459*i_index_share)^S$4</f>
        <v/>
      </c>
      <c r="T471" s="30">
        <f>(1+Sensitivities!$C$459*i_index_share)^T$4</f>
        <v/>
      </c>
      <c r="U471" s="30">
        <f>(1+Sensitivities!$C$459*i_index_share)^U$4</f>
        <v/>
      </c>
      <c r="V471" s="30">
        <f>(1+Sensitivities!$C$459*i_index_share)^V$4</f>
        <v/>
      </c>
      <c r="W471" s="30">
        <f>(1+Sensitivities!$C$459*i_index_share)^W$4</f>
        <v/>
      </c>
      <c r="X471" s="30">
        <f>(1+Sensitivities!$C$459*i_index_share)^X$4</f>
        <v/>
      </c>
      <c r="Y471" s="30">
        <f>(1+Sensitivities!$C$459*i_index_share)^Y$4</f>
        <v/>
      </c>
      <c r="Z471" s="30">
        <f>(1+Sensitivities!$C$459*i_index_share)^Z$4</f>
        <v/>
      </c>
      <c r="AA471" s="30">
        <f>(1+Sensitivities!$C$459*i_index_share)^AA$4</f>
        <v/>
      </c>
      <c r="AB471" s="30">
        <f>(1+Sensitivities!$C$459*i_index_share)^AB$4</f>
        <v/>
      </c>
      <c r="AC471" s="30">
        <f>(1+Sensitivities!$C$459*i_index_share)^AC$4</f>
        <v/>
      </c>
      <c r="AD471" s="30">
        <f>(1+Sensitivities!$C$459*i_index_share)^AD$4</f>
        <v/>
      </c>
      <c r="AE471" s="30">
        <f>(1+Sensitivities!$C$459*i_index_share)^AE$4</f>
        <v/>
      </c>
      <c r="AF471" s="30">
        <f>(1+Sensitivities!$C$459*i_index_share)^AF$4</f>
        <v/>
      </c>
      <c r="AG471" s="30">
        <f>(1+Sensitivities!$C$459*i_index_share)^AG$4</f>
        <v/>
      </c>
      <c r="AH471" s="30">
        <f>(1+Sensitivities!$C$459*i_index_share)^AH$4</f>
        <v/>
      </c>
      <c r="AI471" s="30">
        <f>(1+Sensitivities!$C$459*i_index_share)^AI$4</f>
        <v/>
      </c>
    </row>
    <row r="472">
      <c r="B472" s="3" t="inlineStr">
        <is>
          <t>Westerhaven</t>
        </is>
      </c>
    </row>
    <row r="473">
      <c r="B473" s="2" t="inlineStr">
        <is>
          <t xml:space="preserve">  Concession in force (1/0)</t>
        </is>
      </c>
      <c r="D473" s="22">
        <f>IF(Sensitivities!$C$467=1,1,IF(D$3&lt;=i_conc_end,1,0))</f>
        <v/>
      </c>
      <c r="E473" s="22">
        <f>IF(Sensitivities!$C$467=1,1,IF(E$3&lt;=i_conc_end,1,0))</f>
        <v/>
      </c>
      <c r="F473" s="22">
        <f>IF(Sensitivities!$C$467=1,1,IF(F$3&lt;=i_conc_end,1,0))</f>
        <v/>
      </c>
      <c r="G473" s="22">
        <f>IF(Sensitivities!$C$467=1,1,IF(G$3&lt;=i_conc_end,1,0))</f>
        <v/>
      </c>
      <c r="H473" s="22">
        <f>IF(Sensitivities!$C$467=1,1,IF(H$3&lt;=i_conc_end,1,0))</f>
        <v/>
      </c>
      <c r="I473" s="22">
        <f>IF(Sensitivities!$C$467=1,1,IF(I$3&lt;=i_conc_end,1,0))</f>
        <v/>
      </c>
      <c r="J473" s="22">
        <f>IF(Sensitivities!$C$467=1,1,IF(J$3&lt;=i_conc_end,1,0))</f>
        <v/>
      </c>
      <c r="K473" s="22">
        <f>IF(Sensitivities!$C$467=1,1,IF(K$3&lt;=i_conc_end,1,0))</f>
        <v/>
      </c>
      <c r="L473" s="22">
        <f>IF(Sensitivities!$C$467=1,1,IF(L$3&lt;=i_conc_end,1,0))</f>
        <v/>
      </c>
      <c r="M473" s="22">
        <f>IF(Sensitivities!$C$467=1,1,IF(M$3&lt;=i_conc_end,1,0))</f>
        <v/>
      </c>
      <c r="N473" s="22">
        <f>IF(Sensitivities!$C$467=1,1,IF(N$3&lt;=i_conc_end,1,0))</f>
        <v/>
      </c>
      <c r="O473" s="22">
        <f>IF(Sensitivities!$C$467=1,1,IF(O$3&lt;=i_conc_end,1,0))</f>
        <v/>
      </c>
      <c r="P473" s="22">
        <f>IF(Sensitivities!$C$467=1,1,IF(P$3&lt;=i_conc_end,1,0))</f>
        <v/>
      </c>
      <c r="Q473" s="22">
        <f>IF(Sensitivities!$C$467=1,1,IF(Q$3&lt;=i_conc_end,1,0))</f>
        <v/>
      </c>
      <c r="R473" s="22">
        <f>IF(Sensitivities!$C$467=1,1,IF(R$3&lt;=i_conc_end,1,0))</f>
        <v/>
      </c>
      <c r="S473" s="22">
        <f>IF(Sensitivities!$C$467=1,1,IF(S$3&lt;=i_conc_end,1,0))</f>
        <v/>
      </c>
      <c r="T473" s="22">
        <f>IF(Sensitivities!$C$467=1,1,IF(T$3&lt;=i_conc_end,1,0))</f>
        <v/>
      </c>
      <c r="U473" s="22">
        <f>IF(Sensitivities!$C$467=1,1,IF(U$3&lt;=i_conc_end,1,0))</f>
        <v/>
      </c>
      <c r="V473" s="22">
        <f>IF(Sensitivities!$C$467=1,1,IF(V$3&lt;=i_conc_end,1,0))</f>
        <v/>
      </c>
      <c r="W473" s="22">
        <f>IF(Sensitivities!$C$467=1,1,IF(W$3&lt;=i_conc_end,1,0))</f>
        <v/>
      </c>
      <c r="X473" s="22">
        <f>IF(Sensitivities!$C$467=1,1,IF(X$3&lt;=i_conc_end,1,0))</f>
        <v/>
      </c>
      <c r="Y473" s="22">
        <f>IF(Sensitivities!$C$467=1,1,IF(Y$3&lt;=i_conc_end,1,0))</f>
        <v/>
      </c>
      <c r="Z473" s="22">
        <f>IF(Sensitivities!$C$467=1,1,IF(Z$3&lt;=i_conc_end,1,0))</f>
        <v/>
      </c>
      <c r="AA473" s="22">
        <f>IF(Sensitivities!$C$467=1,1,IF(AA$3&lt;=i_conc_end,1,0))</f>
        <v/>
      </c>
      <c r="AB473" s="22">
        <f>IF(Sensitivities!$C$467=1,1,IF(AB$3&lt;=i_conc_end,1,0))</f>
        <v/>
      </c>
      <c r="AC473" s="22">
        <f>IF(Sensitivities!$C$467=1,1,IF(AC$3&lt;=i_conc_end,1,0))</f>
        <v/>
      </c>
      <c r="AD473" s="22">
        <f>IF(Sensitivities!$C$467=1,1,IF(AD$3&lt;=i_conc_end,1,0))</f>
        <v/>
      </c>
      <c r="AE473" s="22">
        <f>IF(Sensitivities!$C$467=1,1,IF(AE$3&lt;=i_conc_end,1,0))</f>
        <v/>
      </c>
      <c r="AF473" s="22">
        <f>IF(Sensitivities!$C$467=1,1,IF(AF$3&lt;=i_conc_end,1,0))</f>
        <v/>
      </c>
      <c r="AG473" s="22">
        <f>IF(Sensitivities!$C$467=1,1,IF(AG$3&lt;=i_conc_end,1,0))</f>
        <v/>
      </c>
      <c r="AH473" s="22">
        <f>IF(Sensitivities!$C$467=1,1,IF(AH$3&lt;=i_conc_end,1,0))</f>
        <v/>
      </c>
      <c r="AI473" s="22">
        <f>IF(Sensitivities!$C$467=1,1,IF(AI$3&lt;=i_conc_end,1,0))</f>
        <v/>
      </c>
    </row>
    <row r="474">
      <c r="B474" s="2" t="inlineStr">
        <is>
          <t xml:space="preserve">  Capacity in service (million m3)</t>
        </is>
      </c>
      <c r="D474" s="24">
        <f>i_W_cap*Sensitivities!$C$468*D473</f>
        <v/>
      </c>
      <c r="E474" s="24">
        <f>i_W_cap*Sensitivities!$C$468*E473</f>
        <v/>
      </c>
      <c r="F474" s="24">
        <f>i_W_cap*Sensitivities!$C$468*F473</f>
        <v/>
      </c>
      <c r="G474" s="24">
        <f>i_W_cap*Sensitivities!$C$468*G473</f>
        <v/>
      </c>
      <c r="H474" s="24">
        <f>i_W_cap*Sensitivities!$C$468*H473</f>
        <v/>
      </c>
      <c r="I474" s="24">
        <f>i_W_cap*Sensitivities!$C$468*I473</f>
        <v/>
      </c>
      <c r="J474" s="24">
        <f>i_W_cap*Sensitivities!$C$468*J473</f>
        <v/>
      </c>
      <c r="K474" s="24">
        <f>i_W_cap*Sensitivities!$C$468*K473</f>
        <v/>
      </c>
      <c r="L474" s="24">
        <f>i_W_cap*Sensitivities!$C$468*L473</f>
        <v/>
      </c>
      <c r="M474" s="24">
        <f>i_W_cap*Sensitivities!$C$468*M473</f>
        <v/>
      </c>
      <c r="N474" s="24">
        <f>i_W_cap*Sensitivities!$C$468*N473</f>
        <v/>
      </c>
      <c r="O474" s="24">
        <f>i_W_cap*Sensitivities!$C$468*O473</f>
        <v/>
      </c>
      <c r="P474" s="24">
        <f>i_W_cap*Sensitivities!$C$468*P473</f>
        <v/>
      </c>
      <c r="Q474" s="24">
        <f>i_W_cap*Sensitivities!$C$468*Q473</f>
        <v/>
      </c>
      <c r="R474" s="24">
        <f>i_W_cap*Sensitivities!$C$468*R473</f>
        <v/>
      </c>
      <c r="S474" s="24">
        <f>i_W_cap*Sensitivities!$C$468*S473</f>
        <v/>
      </c>
      <c r="T474" s="24">
        <f>i_W_cap*Sensitivities!$C$468*T473</f>
        <v/>
      </c>
      <c r="U474" s="24">
        <f>i_W_cap*Sensitivities!$C$468*U473</f>
        <v/>
      </c>
      <c r="V474" s="24">
        <f>i_W_cap*Sensitivities!$C$468*V473</f>
        <v/>
      </c>
      <c r="W474" s="24">
        <f>i_W_cap*Sensitivities!$C$468*W473</f>
        <v/>
      </c>
      <c r="X474" s="24">
        <f>i_W_cap*Sensitivities!$C$468*X473</f>
        <v/>
      </c>
      <c r="Y474" s="24">
        <f>i_W_cap*Sensitivities!$C$468*Y473</f>
        <v/>
      </c>
      <c r="Z474" s="24">
        <f>i_W_cap*Sensitivities!$C$468*Z473</f>
        <v/>
      </c>
      <c r="AA474" s="24">
        <f>i_W_cap*Sensitivities!$C$468*AA473</f>
        <v/>
      </c>
      <c r="AB474" s="24">
        <f>i_W_cap*Sensitivities!$C$468*AB473</f>
        <v/>
      </c>
      <c r="AC474" s="24">
        <f>i_W_cap*Sensitivities!$C$468*AC473</f>
        <v/>
      </c>
      <c r="AD474" s="24">
        <f>i_W_cap*Sensitivities!$C$468*AD473</f>
        <v/>
      </c>
      <c r="AE474" s="24">
        <f>i_W_cap*Sensitivities!$C$468*AE473</f>
        <v/>
      </c>
      <c r="AF474" s="24">
        <f>i_W_cap*Sensitivities!$C$468*AF473</f>
        <v/>
      </c>
      <c r="AG474" s="24">
        <f>i_W_cap*Sensitivities!$C$468*AG473</f>
        <v/>
      </c>
      <c r="AH474" s="24">
        <f>i_W_cap*Sensitivities!$C$468*AH473</f>
        <v/>
      </c>
      <c r="AI474" s="24">
        <f>i_W_cap*Sensitivities!$C$468*AI473</f>
        <v/>
      </c>
    </row>
    <row r="475">
      <c r="B475" s="2" t="inlineStr">
        <is>
          <t xml:space="preserve">  Share on contracts signed before 2027</t>
        </is>
      </c>
      <c r="D475" s="21">
        <f>SUMIF(i_book_years,D$3,i_W_book)</f>
        <v/>
      </c>
      <c r="E475" s="21">
        <f>SUMIF(i_book_years,E$3,i_W_book)</f>
        <v/>
      </c>
      <c r="F475" s="21">
        <f>SUMIF(i_book_years,F$3,i_W_book)</f>
        <v/>
      </c>
      <c r="G475" s="21">
        <f>SUMIF(i_book_years,G$3,i_W_book)</f>
        <v/>
      </c>
      <c r="H475" s="21">
        <f>SUMIF(i_book_years,H$3,i_W_book)</f>
        <v/>
      </c>
      <c r="I475" s="21">
        <f>SUMIF(i_book_years,I$3,i_W_book)</f>
        <v/>
      </c>
      <c r="J475" s="21">
        <f>SUMIF(i_book_years,J$3,i_W_book)</f>
        <v/>
      </c>
      <c r="K475" s="21">
        <f>SUMIF(i_book_years,K$3,i_W_book)</f>
        <v/>
      </c>
      <c r="L475" s="21">
        <f>SUMIF(i_book_years,L$3,i_W_book)</f>
        <v/>
      </c>
      <c r="M475" s="21">
        <f>SUMIF(i_book_years,M$3,i_W_book)</f>
        <v/>
      </c>
      <c r="N475" s="21">
        <f>SUMIF(i_book_years,N$3,i_W_book)</f>
        <v/>
      </c>
      <c r="O475" s="21">
        <f>SUMIF(i_book_years,O$3,i_W_book)</f>
        <v/>
      </c>
      <c r="P475" s="21">
        <f>SUMIF(i_book_years,P$3,i_W_book)</f>
        <v/>
      </c>
      <c r="Q475" s="21">
        <f>SUMIF(i_book_years,Q$3,i_W_book)</f>
        <v/>
      </c>
      <c r="R475" s="21">
        <f>SUMIF(i_book_years,R$3,i_W_book)</f>
        <v/>
      </c>
      <c r="S475" s="21">
        <f>SUMIF(i_book_years,S$3,i_W_book)</f>
        <v/>
      </c>
      <c r="T475" s="21">
        <f>SUMIF(i_book_years,T$3,i_W_book)</f>
        <v/>
      </c>
      <c r="U475" s="21">
        <f>SUMIF(i_book_years,U$3,i_W_book)</f>
        <v/>
      </c>
      <c r="V475" s="21">
        <f>SUMIF(i_book_years,V$3,i_W_book)</f>
        <v/>
      </c>
      <c r="W475" s="21">
        <f>SUMIF(i_book_years,W$3,i_W_book)</f>
        <v/>
      </c>
      <c r="X475" s="21">
        <f>SUMIF(i_book_years,X$3,i_W_book)</f>
        <v/>
      </c>
      <c r="Y475" s="21">
        <f>SUMIF(i_book_years,Y$3,i_W_book)</f>
        <v/>
      </c>
      <c r="Z475" s="21">
        <f>SUMIF(i_book_years,Z$3,i_W_book)</f>
        <v/>
      </c>
      <c r="AA475" s="21">
        <f>SUMIF(i_book_years,AA$3,i_W_book)</f>
        <v/>
      </c>
      <c r="AB475" s="21">
        <f>SUMIF(i_book_years,AB$3,i_W_book)</f>
        <v/>
      </c>
      <c r="AC475" s="21">
        <f>SUMIF(i_book_years,AC$3,i_W_book)</f>
        <v/>
      </c>
      <c r="AD475" s="21">
        <f>SUMIF(i_book_years,AD$3,i_W_book)</f>
        <v/>
      </c>
      <c r="AE475" s="21">
        <f>SUMIF(i_book_years,AE$3,i_W_book)</f>
        <v/>
      </c>
      <c r="AF475" s="21">
        <f>SUMIF(i_book_years,AF$3,i_W_book)</f>
        <v/>
      </c>
      <c r="AG475" s="21">
        <f>SUMIF(i_book_years,AG$3,i_W_book)</f>
        <v/>
      </c>
      <c r="AH475" s="21">
        <f>SUMIF(i_book_years,AH$3,i_W_book)</f>
        <v/>
      </c>
      <c r="AI475" s="21">
        <f>SUMIF(i_book_years,AI$3,i_W_book)</f>
        <v/>
      </c>
    </row>
    <row r="476">
      <c r="B476" s="2" t="inlineStr">
        <is>
          <t xml:space="preserve">  Recontracting factor against current rates</t>
        </is>
      </c>
      <c r="D476" s="21">
        <f>IF(D$4=0,0,IF(Sensitivities!$C$460=1,i_W_mtm,i_W_mtm_plan)+Sensitivities!$C$466)</f>
        <v/>
      </c>
      <c r="E476" s="21">
        <f>IF(E$4=0,0,IF(Sensitivities!$C$460=1,i_W_mtm,i_W_mtm_plan)+Sensitivities!$C$466)</f>
        <v/>
      </c>
      <c r="F476" s="21">
        <f>IF(F$4=0,0,IF(Sensitivities!$C$460=1,i_W_mtm,i_W_mtm_plan)+Sensitivities!$C$466)</f>
        <v/>
      </c>
      <c r="G476" s="21">
        <f>IF(G$4=0,0,IF(Sensitivities!$C$460=1,i_W_mtm,i_W_mtm_plan)+Sensitivities!$C$466)</f>
        <v/>
      </c>
      <c r="H476" s="21">
        <f>IF(H$4=0,0,IF(Sensitivities!$C$460=1,i_W_mtm,i_W_mtm_plan)+Sensitivities!$C$466)</f>
        <v/>
      </c>
      <c r="I476" s="21">
        <f>IF(I$4=0,0,IF(Sensitivities!$C$460=1,i_W_mtm,i_W_mtm_plan)+Sensitivities!$C$466)</f>
        <v/>
      </c>
      <c r="J476" s="21">
        <f>IF(J$4=0,0,IF(Sensitivities!$C$460=1,i_W_mtm,i_W_mtm_plan)+Sensitivities!$C$466)</f>
        <v/>
      </c>
      <c r="K476" s="21">
        <f>IF(K$4=0,0,IF(Sensitivities!$C$460=1,i_W_mtm,i_W_mtm_plan)+Sensitivities!$C$466)</f>
        <v/>
      </c>
      <c r="L476" s="21">
        <f>IF(L$4=0,0,IF(Sensitivities!$C$460=1,i_W_mtm,i_W_mtm_plan)+Sensitivities!$C$466)</f>
        <v/>
      </c>
      <c r="M476" s="21">
        <f>IF(M$4=0,0,IF(Sensitivities!$C$460=1,i_W_mtm,i_W_mtm_plan)+Sensitivities!$C$466)</f>
        <v/>
      </c>
      <c r="N476" s="21">
        <f>IF(N$4=0,0,IF(Sensitivities!$C$460=1,i_W_mtm,i_W_mtm_plan)+Sensitivities!$C$466)</f>
        <v/>
      </c>
      <c r="O476" s="21">
        <f>IF(O$4=0,0,IF(Sensitivities!$C$460=1,i_W_mtm,i_W_mtm_plan)+Sensitivities!$C$466)</f>
        <v/>
      </c>
      <c r="P476" s="21">
        <f>IF(P$4=0,0,IF(Sensitivities!$C$460=1,i_W_mtm,i_W_mtm_plan)+Sensitivities!$C$466)</f>
        <v/>
      </c>
      <c r="Q476" s="21">
        <f>IF(Q$4=0,0,IF(Sensitivities!$C$460=1,i_W_mtm,i_W_mtm_plan)+Sensitivities!$C$466)</f>
        <v/>
      </c>
      <c r="R476" s="21">
        <f>IF(R$4=0,0,IF(Sensitivities!$C$460=1,i_W_mtm,i_W_mtm_plan)+Sensitivities!$C$466)</f>
        <v/>
      </c>
      <c r="S476" s="21">
        <f>IF(S$4=0,0,IF(Sensitivities!$C$460=1,i_W_mtm,i_W_mtm_plan)+Sensitivities!$C$466)</f>
        <v/>
      </c>
      <c r="T476" s="21">
        <f>IF(T$4=0,0,IF(Sensitivities!$C$460=1,i_W_mtm,i_W_mtm_plan)+Sensitivities!$C$466)</f>
        <v/>
      </c>
      <c r="U476" s="21">
        <f>IF(U$4=0,0,IF(Sensitivities!$C$460=1,i_W_mtm,i_W_mtm_plan)+Sensitivities!$C$466)</f>
        <v/>
      </c>
      <c r="V476" s="21">
        <f>IF(V$4=0,0,IF(Sensitivities!$C$460=1,i_W_mtm,i_W_mtm_plan)+Sensitivities!$C$466)</f>
        <v/>
      </c>
      <c r="W476" s="21">
        <f>IF(W$4=0,0,IF(Sensitivities!$C$460=1,i_W_mtm,i_W_mtm_plan)+Sensitivities!$C$466)</f>
        <v/>
      </c>
      <c r="X476" s="21">
        <f>IF(X$4=0,0,IF(Sensitivities!$C$460=1,i_W_mtm,i_W_mtm_plan)+Sensitivities!$C$466)</f>
        <v/>
      </c>
      <c r="Y476" s="21">
        <f>IF(Y$4=0,0,IF(Sensitivities!$C$460=1,i_W_mtm,i_W_mtm_plan)+Sensitivities!$C$466)</f>
        <v/>
      </c>
      <c r="Z476" s="21">
        <f>IF(Z$4=0,0,IF(Sensitivities!$C$460=1,i_W_mtm,i_W_mtm_plan)+Sensitivities!$C$466)</f>
        <v/>
      </c>
      <c r="AA476" s="21">
        <f>IF(AA$4=0,0,IF(Sensitivities!$C$460=1,i_W_mtm,i_W_mtm_plan)+Sensitivities!$C$466)</f>
        <v/>
      </c>
      <c r="AB476" s="21">
        <f>IF(AB$4=0,0,IF(Sensitivities!$C$460=1,i_W_mtm,i_W_mtm_plan)+Sensitivities!$C$466)</f>
        <v/>
      </c>
      <c r="AC476" s="21">
        <f>IF(AC$4=0,0,IF(Sensitivities!$C$460=1,i_W_mtm,i_W_mtm_plan)+Sensitivities!$C$466)</f>
        <v/>
      </c>
      <c r="AD476" s="21">
        <f>IF(AD$4=0,0,IF(Sensitivities!$C$460=1,i_W_mtm,i_W_mtm_plan)+Sensitivities!$C$466)</f>
        <v/>
      </c>
      <c r="AE476" s="21">
        <f>IF(AE$4=0,0,IF(Sensitivities!$C$460=1,i_W_mtm,i_W_mtm_plan)+Sensitivities!$C$466)</f>
        <v/>
      </c>
      <c r="AF476" s="21">
        <f>IF(AF$4=0,0,IF(Sensitivities!$C$460=1,i_W_mtm,i_W_mtm_plan)+Sensitivities!$C$466)</f>
        <v/>
      </c>
      <c r="AG476" s="21">
        <f>IF(AG$4=0,0,IF(Sensitivities!$C$460=1,i_W_mtm,i_W_mtm_plan)+Sensitivities!$C$466)</f>
        <v/>
      </c>
      <c r="AH476" s="21">
        <f>IF(AH$4=0,0,IF(Sensitivities!$C$460=1,i_W_mtm,i_W_mtm_plan)+Sensitivities!$C$466)</f>
        <v/>
      </c>
      <c r="AI476" s="21">
        <f>IF(AI$4=0,0,IF(Sensitivities!$C$460=1,i_W_mtm,i_W_mtm_plan)+Sensitivities!$C$466)</f>
        <v/>
      </c>
    </row>
    <row r="477">
      <c r="B477" s="2" t="inlineStr">
        <is>
          <t xml:space="preserve">  Average rate ($ per m3 per month)</t>
        </is>
      </c>
      <c r="D477" s="24">
        <f>i_W_rate*D471*(D475+(1-D475)*(1+D476))</f>
        <v/>
      </c>
      <c r="E477" s="24">
        <f>i_W_rate*E471*(E475+(1-E475)*(1+E476))</f>
        <v/>
      </c>
      <c r="F477" s="24">
        <f>i_W_rate*F471*(F475+(1-F475)*(1+F476))</f>
        <v/>
      </c>
      <c r="G477" s="24">
        <f>i_W_rate*G471*(G475+(1-G475)*(1+G476))</f>
        <v/>
      </c>
      <c r="H477" s="24">
        <f>i_W_rate*H471*(H475+(1-H475)*(1+H476))</f>
        <v/>
      </c>
      <c r="I477" s="24">
        <f>i_W_rate*I471*(I475+(1-I475)*(1+I476))</f>
        <v/>
      </c>
      <c r="J477" s="24">
        <f>i_W_rate*J471*(J475+(1-J475)*(1+J476))</f>
        <v/>
      </c>
      <c r="K477" s="24">
        <f>i_W_rate*K471*(K475+(1-K475)*(1+K476))</f>
        <v/>
      </c>
      <c r="L477" s="24">
        <f>i_W_rate*L471*(L475+(1-L475)*(1+L476))</f>
        <v/>
      </c>
      <c r="M477" s="24">
        <f>i_W_rate*M471*(M475+(1-M475)*(1+M476))</f>
        <v/>
      </c>
      <c r="N477" s="24">
        <f>i_W_rate*N471*(N475+(1-N475)*(1+N476))</f>
        <v/>
      </c>
      <c r="O477" s="24">
        <f>i_W_rate*O471*(O475+(1-O475)*(1+O476))</f>
        <v/>
      </c>
      <c r="P477" s="24">
        <f>i_W_rate*P471*(P475+(1-P475)*(1+P476))</f>
        <v/>
      </c>
      <c r="Q477" s="24">
        <f>i_W_rate*Q471*(Q475+(1-Q475)*(1+Q476))</f>
        <v/>
      </c>
      <c r="R477" s="24">
        <f>i_W_rate*R471*(R475+(1-R475)*(1+R476))</f>
        <v/>
      </c>
      <c r="S477" s="24">
        <f>i_W_rate*S471*(S475+(1-S475)*(1+S476))</f>
        <v/>
      </c>
      <c r="T477" s="24">
        <f>i_W_rate*T471*(T475+(1-T475)*(1+T476))</f>
        <v/>
      </c>
      <c r="U477" s="24">
        <f>i_W_rate*U471*(U475+(1-U475)*(1+U476))</f>
        <v/>
      </c>
      <c r="V477" s="24">
        <f>i_W_rate*V471*(V475+(1-V475)*(1+V476))</f>
        <v/>
      </c>
      <c r="W477" s="24">
        <f>i_W_rate*W471*(W475+(1-W475)*(1+W476))</f>
        <v/>
      </c>
      <c r="X477" s="24">
        <f>i_W_rate*X471*(X475+(1-X475)*(1+X476))</f>
        <v/>
      </c>
      <c r="Y477" s="24">
        <f>i_W_rate*Y471*(Y475+(1-Y475)*(1+Y476))</f>
        <v/>
      </c>
      <c r="Z477" s="24">
        <f>i_W_rate*Z471*(Z475+(1-Z475)*(1+Z476))</f>
        <v/>
      </c>
      <c r="AA477" s="24">
        <f>i_W_rate*AA471*(AA475+(1-AA475)*(1+AA476))</f>
        <v/>
      </c>
      <c r="AB477" s="24">
        <f>i_W_rate*AB471*(AB475+(1-AB475)*(1+AB476))</f>
        <v/>
      </c>
      <c r="AC477" s="24">
        <f>i_W_rate*AC471*(AC475+(1-AC475)*(1+AC476))</f>
        <v/>
      </c>
      <c r="AD477" s="24">
        <f>i_W_rate*AD471*(AD475+(1-AD475)*(1+AD476))</f>
        <v/>
      </c>
      <c r="AE477" s="24">
        <f>i_W_rate*AE471*(AE475+(1-AE475)*(1+AE476))</f>
        <v/>
      </c>
      <c r="AF477" s="24">
        <f>i_W_rate*AF471*(AF475+(1-AF475)*(1+AF476))</f>
        <v/>
      </c>
      <c r="AG477" s="24">
        <f>i_W_rate*AG471*(AG475+(1-AG475)*(1+AG476))</f>
        <v/>
      </c>
      <c r="AH477" s="24">
        <f>i_W_rate*AH471*(AH475+(1-AH475)*(1+AH476))</f>
        <v/>
      </c>
      <c r="AI477" s="24">
        <f>i_W_rate*AI471*(AI475+(1-AI475)*(1+AI476))</f>
        <v/>
      </c>
    </row>
    <row r="478">
      <c r="B478" s="2" t="inlineStr">
        <is>
          <t xml:space="preserve">  Occupancy after the transition decline and floor</t>
        </is>
      </c>
      <c r="D478" s="21">
        <f>IF(D$3&gt;i_trans_start,MAX(i_W_floor,i_W_occ-i_W_dec*(D$3-i_trans_start)),i_W_occ)</f>
        <v/>
      </c>
      <c r="E478" s="21">
        <f>IF(E$3&gt;i_trans_start,MAX(i_W_floor,i_W_occ-i_W_dec*(E$3-i_trans_start)),i_W_occ)</f>
        <v/>
      </c>
      <c r="F478" s="21">
        <f>IF(F$3&gt;i_trans_start,MAX(i_W_floor,i_W_occ-i_W_dec*(F$3-i_trans_start)),i_W_occ)</f>
        <v/>
      </c>
      <c r="G478" s="21">
        <f>IF(G$3&gt;i_trans_start,MAX(i_W_floor,i_W_occ-i_W_dec*(G$3-i_trans_start)),i_W_occ)</f>
        <v/>
      </c>
      <c r="H478" s="21">
        <f>IF(H$3&gt;i_trans_start,MAX(i_W_floor,i_W_occ-i_W_dec*(H$3-i_trans_start)),i_W_occ)</f>
        <v/>
      </c>
      <c r="I478" s="21">
        <f>IF(I$3&gt;i_trans_start,MAX(i_W_floor,i_W_occ-i_W_dec*(I$3-i_trans_start)),i_W_occ)</f>
        <v/>
      </c>
      <c r="J478" s="21">
        <f>IF(J$3&gt;i_trans_start,MAX(i_W_floor,i_W_occ-i_W_dec*(J$3-i_trans_start)),i_W_occ)</f>
        <v/>
      </c>
      <c r="K478" s="21">
        <f>IF(K$3&gt;i_trans_start,MAX(i_W_floor,i_W_occ-i_W_dec*(K$3-i_trans_start)),i_W_occ)</f>
        <v/>
      </c>
      <c r="L478" s="21">
        <f>IF(L$3&gt;i_trans_start,MAX(i_W_floor,i_W_occ-i_W_dec*(L$3-i_trans_start)),i_W_occ)</f>
        <v/>
      </c>
      <c r="M478" s="21">
        <f>IF(M$3&gt;i_trans_start,MAX(i_W_floor,i_W_occ-i_W_dec*(M$3-i_trans_start)),i_W_occ)</f>
        <v/>
      </c>
      <c r="N478" s="21">
        <f>IF(N$3&gt;i_trans_start,MAX(i_W_floor,i_W_occ-i_W_dec*(N$3-i_trans_start)),i_W_occ)</f>
        <v/>
      </c>
      <c r="O478" s="21">
        <f>IF(O$3&gt;i_trans_start,MAX(i_W_floor,i_W_occ-i_W_dec*(O$3-i_trans_start)),i_W_occ)</f>
        <v/>
      </c>
      <c r="P478" s="21">
        <f>IF(P$3&gt;i_trans_start,MAX(i_W_floor,i_W_occ-i_W_dec*(P$3-i_trans_start)),i_W_occ)</f>
        <v/>
      </c>
      <c r="Q478" s="21">
        <f>IF(Q$3&gt;i_trans_start,MAX(i_W_floor,i_W_occ-i_W_dec*(Q$3-i_trans_start)),i_W_occ)</f>
        <v/>
      </c>
      <c r="R478" s="21">
        <f>IF(R$3&gt;i_trans_start,MAX(i_W_floor,i_W_occ-i_W_dec*(R$3-i_trans_start)),i_W_occ)</f>
        <v/>
      </c>
      <c r="S478" s="21">
        <f>IF(S$3&gt;i_trans_start,MAX(i_W_floor,i_W_occ-i_W_dec*(S$3-i_trans_start)),i_W_occ)</f>
        <v/>
      </c>
      <c r="T478" s="21">
        <f>IF(T$3&gt;i_trans_start,MAX(i_W_floor,i_W_occ-i_W_dec*(T$3-i_trans_start)),i_W_occ)</f>
        <v/>
      </c>
      <c r="U478" s="21">
        <f>IF(U$3&gt;i_trans_start,MAX(i_W_floor,i_W_occ-i_W_dec*(U$3-i_trans_start)),i_W_occ)</f>
        <v/>
      </c>
      <c r="V478" s="21">
        <f>IF(V$3&gt;i_trans_start,MAX(i_W_floor,i_W_occ-i_W_dec*(V$3-i_trans_start)),i_W_occ)</f>
        <v/>
      </c>
      <c r="W478" s="21">
        <f>IF(W$3&gt;i_trans_start,MAX(i_W_floor,i_W_occ-i_W_dec*(W$3-i_trans_start)),i_W_occ)</f>
        <v/>
      </c>
      <c r="X478" s="21">
        <f>IF(X$3&gt;i_trans_start,MAX(i_W_floor,i_W_occ-i_W_dec*(X$3-i_trans_start)),i_W_occ)</f>
        <v/>
      </c>
      <c r="Y478" s="21">
        <f>IF(Y$3&gt;i_trans_start,MAX(i_W_floor,i_W_occ-i_W_dec*(Y$3-i_trans_start)),i_W_occ)</f>
        <v/>
      </c>
      <c r="Z478" s="21">
        <f>IF(Z$3&gt;i_trans_start,MAX(i_W_floor,i_W_occ-i_W_dec*(Z$3-i_trans_start)),i_W_occ)</f>
        <v/>
      </c>
      <c r="AA478" s="21">
        <f>IF(AA$3&gt;i_trans_start,MAX(i_W_floor,i_W_occ-i_W_dec*(AA$3-i_trans_start)),i_W_occ)</f>
        <v/>
      </c>
      <c r="AB478" s="21">
        <f>IF(AB$3&gt;i_trans_start,MAX(i_W_floor,i_W_occ-i_W_dec*(AB$3-i_trans_start)),i_W_occ)</f>
        <v/>
      </c>
      <c r="AC478" s="21">
        <f>IF(AC$3&gt;i_trans_start,MAX(i_W_floor,i_W_occ-i_W_dec*(AC$3-i_trans_start)),i_W_occ)</f>
        <v/>
      </c>
      <c r="AD478" s="21">
        <f>IF(AD$3&gt;i_trans_start,MAX(i_W_floor,i_W_occ-i_W_dec*(AD$3-i_trans_start)),i_W_occ)</f>
        <v/>
      </c>
      <c r="AE478" s="21">
        <f>IF(AE$3&gt;i_trans_start,MAX(i_W_floor,i_W_occ-i_W_dec*(AE$3-i_trans_start)),i_W_occ)</f>
        <v/>
      </c>
      <c r="AF478" s="21">
        <f>IF(AF$3&gt;i_trans_start,MAX(i_W_floor,i_W_occ-i_W_dec*(AF$3-i_trans_start)),i_W_occ)</f>
        <v/>
      </c>
      <c r="AG478" s="21">
        <f>IF(AG$3&gt;i_trans_start,MAX(i_W_floor,i_W_occ-i_W_dec*(AG$3-i_trans_start)),i_W_occ)</f>
        <v/>
      </c>
      <c r="AH478" s="21">
        <f>IF(AH$3&gt;i_trans_start,MAX(i_W_floor,i_W_occ-i_W_dec*(AH$3-i_trans_start)),i_W_occ)</f>
        <v/>
      </c>
      <c r="AI478" s="21">
        <f>IF(AI$3&gt;i_trans_start,MAX(i_W_floor,i_W_occ-i_W_dec*(AI$3-i_trans_start)),i_W_occ)</f>
        <v/>
      </c>
    </row>
    <row r="479">
      <c r="B479" s="2" t="inlineStr">
        <is>
          <t xml:space="preserve">  Customer loss (points)</t>
        </is>
      </c>
      <c r="D479" s="21">
        <f>Sensitivities!$C$461*SUMIF(i_dip_years,D$3,i_dip_vals)</f>
        <v/>
      </c>
      <c r="E479" s="21">
        <f>Sensitivities!$C$461*SUMIF(i_dip_years,E$3,i_dip_vals)</f>
        <v/>
      </c>
      <c r="F479" s="21">
        <f>Sensitivities!$C$461*SUMIF(i_dip_years,F$3,i_dip_vals)</f>
        <v/>
      </c>
      <c r="G479" s="21">
        <f>Sensitivities!$C$461*SUMIF(i_dip_years,G$3,i_dip_vals)</f>
        <v/>
      </c>
      <c r="H479" s="21">
        <f>Sensitivities!$C$461*SUMIF(i_dip_years,H$3,i_dip_vals)</f>
        <v/>
      </c>
      <c r="I479" s="21">
        <f>Sensitivities!$C$461*SUMIF(i_dip_years,I$3,i_dip_vals)</f>
        <v/>
      </c>
      <c r="J479" s="21">
        <f>Sensitivities!$C$461*SUMIF(i_dip_years,J$3,i_dip_vals)</f>
        <v/>
      </c>
      <c r="K479" s="21">
        <f>Sensitivities!$C$461*SUMIF(i_dip_years,K$3,i_dip_vals)</f>
        <v/>
      </c>
      <c r="L479" s="21">
        <f>Sensitivities!$C$461*SUMIF(i_dip_years,L$3,i_dip_vals)</f>
        <v/>
      </c>
      <c r="M479" s="21">
        <f>Sensitivities!$C$461*SUMIF(i_dip_years,M$3,i_dip_vals)</f>
        <v/>
      </c>
      <c r="N479" s="21">
        <f>Sensitivities!$C$461*SUMIF(i_dip_years,N$3,i_dip_vals)</f>
        <v/>
      </c>
      <c r="O479" s="21">
        <f>Sensitivities!$C$461*SUMIF(i_dip_years,O$3,i_dip_vals)</f>
        <v/>
      </c>
      <c r="P479" s="21">
        <f>Sensitivities!$C$461*SUMIF(i_dip_years,P$3,i_dip_vals)</f>
        <v/>
      </c>
      <c r="Q479" s="21">
        <f>Sensitivities!$C$461*SUMIF(i_dip_years,Q$3,i_dip_vals)</f>
        <v/>
      </c>
      <c r="R479" s="21">
        <f>Sensitivities!$C$461*SUMIF(i_dip_years,R$3,i_dip_vals)</f>
        <v/>
      </c>
      <c r="S479" s="21">
        <f>Sensitivities!$C$461*SUMIF(i_dip_years,S$3,i_dip_vals)</f>
        <v/>
      </c>
      <c r="T479" s="21">
        <f>Sensitivities!$C$461*SUMIF(i_dip_years,T$3,i_dip_vals)</f>
        <v/>
      </c>
      <c r="U479" s="21">
        <f>Sensitivities!$C$461*SUMIF(i_dip_years,U$3,i_dip_vals)</f>
        <v/>
      </c>
      <c r="V479" s="21">
        <f>Sensitivities!$C$461*SUMIF(i_dip_years,V$3,i_dip_vals)</f>
        <v/>
      </c>
      <c r="W479" s="21">
        <f>Sensitivities!$C$461*SUMIF(i_dip_years,W$3,i_dip_vals)</f>
        <v/>
      </c>
      <c r="X479" s="21">
        <f>Sensitivities!$C$461*SUMIF(i_dip_years,X$3,i_dip_vals)</f>
        <v/>
      </c>
      <c r="Y479" s="21">
        <f>Sensitivities!$C$461*SUMIF(i_dip_years,Y$3,i_dip_vals)</f>
        <v/>
      </c>
      <c r="Z479" s="21">
        <f>Sensitivities!$C$461*SUMIF(i_dip_years,Z$3,i_dip_vals)</f>
        <v/>
      </c>
      <c r="AA479" s="21">
        <f>Sensitivities!$C$461*SUMIF(i_dip_years,AA$3,i_dip_vals)</f>
        <v/>
      </c>
      <c r="AB479" s="21">
        <f>Sensitivities!$C$461*SUMIF(i_dip_years,AB$3,i_dip_vals)</f>
        <v/>
      </c>
      <c r="AC479" s="21">
        <f>Sensitivities!$C$461*SUMIF(i_dip_years,AC$3,i_dip_vals)</f>
        <v/>
      </c>
      <c r="AD479" s="21">
        <f>Sensitivities!$C$461*SUMIF(i_dip_years,AD$3,i_dip_vals)</f>
        <v/>
      </c>
      <c r="AE479" s="21">
        <f>Sensitivities!$C$461*SUMIF(i_dip_years,AE$3,i_dip_vals)</f>
        <v/>
      </c>
      <c r="AF479" s="21">
        <f>Sensitivities!$C$461*SUMIF(i_dip_years,AF$3,i_dip_vals)</f>
        <v/>
      </c>
      <c r="AG479" s="21">
        <f>Sensitivities!$C$461*SUMIF(i_dip_years,AG$3,i_dip_vals)</f>
        <v/>
      </c>
      <c r="AH479" s="21">
        <f>Sensitivities!$C$461*SUMIF(i_dip_years,AH$3,i_dip_vals)</f>
        <v/>
      </c>
      <c r="AI479" s="21">
        <f>Sensitivities!$C$461*SUMIF(i_dip_years,AI$3,i_dip_vals)</f>
        <v/>
      </c>
    </row>
    <row r="480">
      <c r="B480" s="2" t="inlineStr">
        <is>
          <t xml:space="preserve">  Occupancy (with the shift switch from 2027)</t>
        </is>
      </c>
      <c r="D480" s="21">
        <f>IF(D$4&gt;0,MIN(1,D478-D479+Sensitivities!$C$465),D478-D479)</f>
        <v/>
      </c>
      <c r="E480" s="21">
        <f>IF(E$4&gt;0,MIN(1,E478-E479+Sensitivities!$C$465),E478-E479)</f>
        <v/>
      </c>
      <c r="F480" s="21">
        <f>IF(F$4&gt;0,MIN(1,F478-F479+Sensitivities!$C$465),F478-F479)</f>
        <v/>
      </c>
      <c r="G480" s="21">
        <f>IF(G$4&gt;0,MIN(1,G478-G479+Sensitivities!$C$465),G478-G479)</f>
        <v/>
      </c>
      <c r="H480" s="21">
        <f>IF(H$4&gt;0,MIN(1,H478-H479+Sensitivities!$C$465),H478-H479)</f>
        <v/>
      </c>
      <c r="I480" s="21">
        <f>IF(I$4&gt;0,MIN(1,I478-I479+Sensitivities!$C$465),I478-I479)</f>
        <v/>
      </c>
      <c r="J480" s="21">
        <f>IF(J$4&gt;0,MIN(1,J478-J479+Sensitivities!$C$465),J478-J479)</f>
        <v/>
      </c>
      <c r="K480" s="21">
        <f>IF(K$4&gt;0,MIN(1,K478-K479+Sensitivities!$C$465),K478-K479)</f>
        <v/>
      </c>
      <c r="L480" s="21">
        <f>IF(L$4&gt;0,MIN(1,L478-L479+Sensitivities!$C$465),L478-L479)</f>
        <v/>
      </c>
      <c r="M480" s="21">
        <f>IF(M$4&gt;0,MIN(1,M478-M479+Sensitivities!$C$465),M478-M479)</f>
        <v/>
      </c>
      <c r="N480" s="21">
        <f>IF(N$4&gt;0,MIN(1,N478-N479+Sensitivities!$C$465),N478-N479)</f>
        <v/>
      </c>
      <c r="O480" s="21">
        <f>IF(O$4&gt;0,MIN(1,O478-O479+Sensitivities!$C$465),O478-O479)</f>
        <v/>
      </c>
      <c r="P480" s="21">
        <f>IF(P$4&gt;0,MIN(1,P478-P479+Sensitivities!$C$465),P478-P479)</f>
        <v/>
      </c>
      <c r="Q480" s="21">
        <f>IF(Q$4&gt;0,MIN(1,Q478-Q479+Sensitivities!$C$465),Q478-Q479)</f>
        <v/>
      </c>
      <c r="R480" s="21">
        <f>IF(R$4&gt;0,MIN(1,R478-R479+Sensitivities!$C$465),R478-R479)</f>
        <v/>
      </c>
      <c r="S480" s="21">
        <f>IF(S$4&gt;0,MIN(1,S478-S479+Sensitivities!$C$465),S478-S479)</f>
        <v/>
      </c>
      <c r="T480" s="21">
        <f>IF(T$4&gt;0,MIN(1,T478-T479+Sensitivities!$C$465),T478-T479)</f>
        <v/>
      </c>
      <c r="U480" s="21">
        <f>IF(U$4&gt;0,MIN(1,U478-U479+Sensitivities!$C$465),U478-U479)</f>
        <v/>
      </c>
      <c r="V480" s="21">
        <f>IF(V$4&gt;0,MIN(1,V478-V479+Sensitivities!$C$465),V478-V479)</f>
        <v/>
      </c>
      <c r="W480" s="21">
        <f>IF(W$4&gt;0,MIN(1,W478-W479+Sensitivities!$C$465),W478-W479)</f>
        <v/>
      </c>
      <c r="X480" s="21">
        <f>IF(X$4&gt;0,MIN(1,X478-X479+Sensitivities!$C$465),X478-X479)</f>
        <v/>
      </c>
      <c r="Y480" s="21">
        <f>IF(Y$4&gt;0,MIN(1,Y478-Y479+Sensitivities!$C$465),Y478-Y479)</f>
        <v/>
      </c>
      <c r="Z480" s="21">
        <f>IF(Z$4&gt;0,MIN(1,Z478-Z479+Sensitivities!$C$465),Z478-Z479)</f>
        <v/>
      </c>
      <c r="AA480" s="21">
        <f>IF(AA$4&gt;0,MIN(1,AA478-AA479+Sensitivities!$C$465),AA478-AA479)</f>
        <v/>
      </c>
      <c r="AB480" s="21">
        <f>IF(AB$4&gt;0,MIN(1,AB478-AB479+Sensitivities!$C$465),AB478-AB479)</f>
        <v/>
      </c>
      <c r="AC480" s="21">
        <f>IF(AC$4&gt;0,MIN(1,AC478-AC479+Sensitivities!$C$465),AC478-AC479)</f>
        <v/>
      </c>
      <c r="AD480" s="21">
        <f>IF(AD$4&gt;0,MIN(1,AD478-AD479+Sensitivities!$C$465),AD478-AD479)</f>
        <v/>
      </c>
      <c r="AE480" s="21">
        <f>IF(AE$4&gt;0,MIN(1,AE478-AE479+Sensitivities!$C$465),AE478-AE479)</f>
        <v/>
      </c>
      <c r="AF480" s="21">
        <f>IF(AF$4&gt;0,MIN(1,AF478-AF479+Sensitivities!$C$465),AF478-AF479)</f>
        <v/>
      </c>
      <c r="AG480" s="21">
        <f>IF(AG$4&gt;0,MIN(1,AG478-AG479+Sensitivities!$C$465),AG478-AG479)</f>
        <v/>
      </c>
      <c r="AH480" s="21">
        <f>IF(AH$4&gt;0,MIN(1,AH478-AH479+Sensitivities!$C$465),AH478-AH479)</f>
        <v/>
      </c>
      <c r="AI480" s="21">
        <f>IF(AI$4&gt;0,MIN(1,AI478-AI479+Sensitivities!$C$465),AI478-AI479)</f>
        <v/>
      </c>
    </row>
    <row r="481">
      <c r="B481" s="2" t="inlineStr">
        <is>
          <t xml:space="preserve">  Storage revenue</t>
        </is>
      </c>
      <c r="D481" s="19">
        <f>D474*D477*12*D480</f>
        <v/>
      </c>
      <c r="E481" s="19">
        <f>E474*E477*12*E480</f>
        <v/>
      </c>
      <c r="F481" s="19">
        <f>F474*F477*12*F480</f>
        <v/>
      </c>
      <c r="G481" s="19">
        <f>G474*G477*12*G480</f>
        <v/>
      </c>
      <c r="H481" s="19">
        <f>H474*H477*12*H480</f>
        <v/>
      </c>
      <c r="I481" s="19">
        <f>I474*I477*12*I480</f>
        <v/>
      </c>
      <c r="J481" s="19">
        <f>J474*J477*12*J480</f>
        <v/>
      </c>
      <c r="K481" s="19">
        <f>K474*K477*12*K480</f>
        <v/>
      </c>
      <c r="L481" s="19">
        <f>L474*L477*12*L480</f>
        <v/>
      </c>
      <c r="M481" s="19">
        <f>M474*M477*12*M480</f>
        <v/>
      </c>
      <c r="N481" s="19">
        <f>N474*N477*12*N480</f>
        <v/>
      </c>
      <c r="O481" s="19">
        <f>O474*O477*12*O480</f>
        <v/>
      </c>
      <c r="P481" s="19">
        <f>P474*P477*12*P480</f>
        <v/>
      </c>
      <c r="Q481" s="19">
        <f>Q474*Q477*12*Q480</f>
        <v/>
      </c>
      <c r="R481" s="19">
        <f>R474*R477*12*R480</f>
        <v/>
      </c>
      <c r="S481" s="19">
        <f>S474*S477*12*S480</f>
        <v/>
      </c>
      <c r="T481" s="19">
        <f>T474*T477*12*T480</f>
        <v/>
      </c>
      <c r="U481" s="19">
        <f>U474*U477*12*U480</f>
        <v/>
      </c>
      <c r="V481" s="19">
        <f>V474*V477*12*V480</f>
        <v/>
      </c>
      <c r="W481" s="19">
        <f>W474*W477*12*W480</f>
        <v/>
      </c>
      <c r="X481" s="19">
        <f>X474*X477*12*X480</f>
        <v/>
      </c>
      <c r="Y481" s="19">
        <f>Y474*Y477*12*Y480</f>
        <v/>
      </c>
      <c r="Z481" s="19">
        <f>Z474*Z477*12*Z480</f>
        <v/>
      </c>
      <c r="AA481" s="19">
        <f>AA474*AA477*12*AA480</f>
        <v/>
      </c>
      <c r="AB481" s="19">
        <f>AB474*AB477*12*AB480</f>
        <v/>
      </c>
      <c r="AC481" s="19">
        <f>AC474*AC477*12*AC480</f>
        <v/>
      </c>
      <c r="AD481" s="19">
        <f>AD474*AD477*12*AD480</f>
        <v/>
      </c>
      <c r="AE481" s="19">
        <f>AE474*AE477*12*AE480</f>
        <v/>
      </c>
      <c r="AF481" s="19">
        <f>AF474*AF477*12*AF480</f>
        <v/>
      </c>
      <c r="AG481" s="19">
        <f>AG474*AG477*12*AG480</f>
        <v/>
      </c>
      <c r="AH481" s="19">
        <f>AH474*AH477*12*AH480</f>
        <v/>
      </c>
      <c r="AI481" s="19">
        <f>AI474*AI477*12*AI480</f>
        <v/>
      </c>
    </row>
    <row r="482">
      <c r="B482" s="2" t="inlineStr">
        <is>
          <t xml:space="preserve">  Ancillary and throughput revenue</t>
        </is>
      </c>
      <c r="D482" s="19">
        <f>D481*i_W_anc</f>
        <v/>
      </c>
      <c r="E482" s="19">
        <f>E481*i_W_anc</f>
        <v/>
      </c>
      <c r="F482" s="19">
        <f>F481*i_W_anc</f>
        <v/>
      </c>
      <c r="G482" s="19">
        <f>G481*i_W_anc</f>
        <v/>
      </c>
      <c r="H482" s="19">
        <f>H481*i_W_anc</f>
        <v/>
      </c>
      <c r="I482" s="19">
        <f>I481*i_W_anc</f>
        <v/>
      </c>
      <c r="J482" s="19">
        <f>J481*i_W_anc</f>
        <v/>
      </c>
      <c r="K482" s="19">
        <f>K481*i_W_anc</f>
        <v/>
      </c>
      <c r="L482" s="19">
        <f>L481*i_W_anc</f>
        <v/>
      </c>
      <c r="M482" s="19">
        <f>M481*i_W_anc</f>
        <v/>
      </c>
      <c r="N482" s="19">
        <f>N481*i_W_anc</f>
        <v/>
      </c>
      <c r="O482" s="19">
        <f>O481*i_W_anc</f>
        <v/>
      </c>
      <c r="P482" s="19">
        <f>P481*i_W_anc</f>
        <v/>
      </c>
      <c r="Q482" s="19">
        <f>Q481*i_W_anc</f>
        <v/>
      </c>
      <c r="R482" s="19">
        <f>R481*i_W_anc</f>
        <v/>
      </c>
      <c r="S482" s="19">
        <f>S481*i_W_anc</f>
        <v/>
      </c>
      <c r="T482" s="19">
        <f>T481*i_W_anc</f>
        <v/>
      </c>
      <c r="U482" s="19">
        <f>U481*i_W_anc</f>
        <v/>
      </c>
      <c r="V482" s="19">
        <f>V481*i_W_anc</f>
        <v/>
      </c>
      <c r="W482" s="19">
        <f>W481*i_W_anc</f>
        <v/>
      </c>
      <c r="X482" s="19">
        <f>X481*i_W_anc</f>
        <v/>
      </c>
      <c r="Y482" s="19">
        <f>Y481*i_W_anc</f>
        <v/>
      </c>
      <c r="Z482" s="19">
        <f>Z481*i_W_anc</f>
        <v/>
      </c>
      <c r="AA482" s="19">
        <f>AA481*i_W_anc</f>
        <v/>
      </c>
      <c r="AB482" s="19">
        <f>AB481*i_W_anc</f>
        <v/>
      </c>
      <c r="AC482" s="19">
        <f>AC481*i_W_anc</f>
        <v/>
      </c>
      <c r="AD482" s="19">
        <f>AD481*i_W_anc</f>
        <v/>
      </c>
      <c r="AE482" s="19">
        <f>AE481*i_W_anc</f>
        <v/>
      </c>
      <c r="AF482" s="19">
        <f>AF481*i_W_anc</f>
        <v/>
      </c>
      <c r="AG482" s="19">
        <f>AG481*i_W_anc</f>
        <v/>
      </c>
      <c r="AH482" s="19">
        <f>AH481*i_W_anc</f>
        <v/>
      </c>
      <c r="AI482" s="19">
        <f>AI481*i_W_anc</f>
        <v/>
      </c>
    </row>
    <row r="483">
      <c r="B483" s="3" t="inlineStr">
        <is>
          <t xml:space="preserve">  Revenue</t>
        </is>
      </c>
      <c r="D483" s="31">
        <f>D481+D482</f>
        <v/>
      </c>
      <c r="E483" s="31">
        <f>E481+E482</f>
        <v/>
      </c>
      <c r="F483" s="31">
        <f>F481+F482</f>
        <v/>
      </c>
      <c r="G483" s="31">
        <f>G481+G482</f>
        <v/>
      </c>
      <c r="H483" s="31">
        <f>H481+H482</f>
        <v/>
      </c>
      <c r="I483" s="31">
        <f>I481+I482</f>
        <v/>
      </c>
      <c r="J483" s="31">
        <f>J481+J482</f>
        <v/>
      </c>
      <c r="K483" s="31">
        <f>K481+K482</f>
        <v/>
      </c>
      <c r="L483" s="31">
        <f>L481+L482</f>
        <v/>
      </c>
      <c r="M483" s="31">
        <f>M481+M482</f>
        <v/>
      </c>
      <c r="N483" s="31">
        <f>N481+N482</f>
        <v/>
      </c>
      <c r="O483" s="31">
        <f>O481+O482</f>
        <v/>
      </c>
      <c r="P483" s="31">
        <f>P481+P482</f>
        <v/>
      </c>
      <c r="Q483" s="31">
        <f>Q481+Q482</f>
        <v/>
      </c>
      <c r="R483" s="31">
        <f>R481+R482</f>
        <v/>
      </c>
      <c r="S483" s="31">
        <f>S481+S482</f>
        <v/>
      </c>
      <c r="T483" s="31">
        <f>T481+T482</f>
        <v/>
      </c>
      <c r="U483" s="31">
        <f>U481+U482</f>
        <v/>
      </c>
      <c r="V483" s="31">
        <f>V481+V482</f>
        <v/>
      </c>
      <c r="W483" s="31">
        <f>W481+W482</f>
        <v/>
      </c>
      <c r="X483" s="31">
        <f>X481+X482</f>
        <v/>
      </c>
      <c r="Y483" s="31">
        <f>Y481+Y482</f>
        <v/>
      </c>
      <c r="Z483" s="31">
        <f>Z481+Z482</f>
        <v/>
      </c>
      <c r="AA483" s="31">
        <f>AA481+AA482</f>
        <v/>
      </c>
      <c r="AB483" s="31">
        <f>AB481+AB482</f>
        <v/>
      </c>
      <c r="AC483" s="31">
        <f>AC481+AC482</f>
        <v/>
      </c>
      <c r="AD483" s="31">
        <f>AD481+AD482</f>
        <v/>
      </c>
      <c r="AE483" s="31">
        <f>AE481+AE482</f>
        <v/>
      </c>
      <c r="AF483" s="31">
        <f>AF481+AF482</f>
        <v/>
      </c>
      <c r="AG483" s="31">
        <f>AG481+AG482</f>
        <v/>
      </c>
      <c r="AH483" s="31">
        <f>AH481+AH482</f>
        <v/>
      </c>
      <c r="AI483" s="31">
        <f>AI481+AI482</f>
        <v/>
      </c>
    </row>
    <row r="484">
      <c r="B484" s="2" t="inlineStr">
        <is>
          <t xml:space="preserve">  Fixed cost</t>
        </is>
      </c>
      <c r="D484" s="19">
        <f>D474*i_W_fix*D470</f>
        <v/>
      </c>
      <c r="E484" s="19">
        <f>E474*i_W_fix*E470</f>
        <v/>
      </c>
      <c r="F484" s="19">
        <f>F474*i_W_fix*F470</f>
        <v/>
      </c>
      <c r="G484" s="19">
        <f>G474*i_W_fix*G470</f>
        <v/>
      </c>
      <c r="H484" s="19">
        <f>H474*i_W_fix*H470</f>
        <v/>
      </c>
      <c r="I484" s="19">
        <f>I474*i_W_fix*I470</f>
        <v/>
      </c>
      <c r="J484" s="19">
        <f>J474*i_W_fix*J470</f>
        <v/>
      </c>
      <c r="K484" s="19">
        <f>K474*i_W_fix*K470</f>
        <v/>
      </c>
      <c r="L484" s="19">
        <f>L474*i_W_fix*L470</f>
        <v/>
      </c>
      <c r="M484" s="19">
        <f>M474*i_W_fix*M470</f>
        <v/>
      </c>
      <c r="N484" s="19">
        <f>N474*i_W_fix*N470</f>
        <v/>
      </c>
      <c r="O484" s="19">
        <f>O474*i_W_fix*O470</f>
        <v/>
      </c>
      <c r="P484" s="19">
        <f>P474*i_W_fix*P470</f>
        <v/>
      </c>
      <c r="Q484" s="19">
        <f>Q474*i_W_fix*Q470</f>
        <v/>
      </c>
      <c r="R484" s="19">
        <f>R474*i_W_fix*R470</f>
        <v/>
      </c>
      <c r="S484" s="19">
        <f>S474*i_W_fix*S470</f>
        <v/>
      </c>
      <c r="T484" s="19">
        <f>T474*i_W_fix*T470</f>
        <v/>
      </c>
      <c r="U484" s="19">
        <f>U474*i_W_fix*U470</f>
        <v/>
      </c>
      <c r="V484" s="19">
        <f>V474*i_W_fix*V470</f>
        <v/>
      </c>
      <c r="W484" s="19">
        <f>W474*i_W_fix*W470</f>
        <v/>
      </c>
      <c r="X484" s="19">
        <f>X474*i_W_fix*X470</f>
        <v/>
      </c>
      <c r="Y484" s="19">
        <f>Y474*i_W_fix*Y470</f>
        <v/>
      </c>
      <c r="Z484" s="19">
        <f>Z474*i_W_fix*Z470</f>
        <v/>
      </c>
      <c r="AA484" s="19">
        <f>AA474*i_W_fix*AA470</f>
        <v/>
      </c>
      <c r="AB484" s="19">
        <f>AB474*i_W_fix*AB470</f>
        <v/>
      </c>
      <c r="AC484" s="19">
        <f>AC474*i_W_fix*AC470</f>
        <v/>
      </c>
      <c r="AD484" s="19">
        <f>AD474*i_W_fix*AD470</f>
        <v/>
      </c>
      <c r="AE484" s="19">
        <f>AE474*i_W_fix*AE470</f>
        <v/>
      </c>
      <c r="AF484" s="19">
        <f>AF474*i_W_fix*AF470</f>
        <v/>
      </c>
      <c r="AG484" s="19">
        <f>AG474*i_W_fix*AG470</f>
        <v/>
      </c>
      <c r="AH484" s="19">
        <f>AH474*i_W_fix*AH470</f>
        <v/>
      </c>
      <c r="AI484" s="19">
        <f>AI474*i_W_fix*AI470</f>
        <v/>
      </c>
    </row>
    <row r="485">
      <c r="B485" s="2" t="inlineStr">
        <is>
          <t xml:space="preserve">  Variable cost</t>
        </is>
      </c>
      <c r="D485" s="19">
        <f>i_W_var*D483</f>
        <v/>
      </c>
      <c r="E485" s="19">
        <f>i_W_var*E483</f>
        <v/>
      </c>
      <c r="F485" s="19">
        <f>i_W_var*F483</f>
        <v/>
      </c>
      <c r="G485" s="19">
        <f>i_W_var*G483</f>
        <v/>
      </c>
      <c r="H485" s="19">
        <f>i_W_var*H483</f>
        <v/>
      </c>
      <c r="I485" s="19">
        <f>i_W_var*I483</f>
        <v/>
      </c>
      <c r="J485" s="19">
        <f>i_W_var*J483</f>
        <v/>
      </c>
      <c r="K485" s="19">
        <f>i_W_var*K483</f>
        <v/>
      </c>
      <c r="L485" s="19">
        <f>i_W_var*L483</f>
        <v/>
      </c>
      <c r="M485" s="19">
        <f>i_W_var*M483</f>
        <v/>
      </c>
      <c r="N485" s="19">
        <f>i_W_var*N483</f>
        <v/>
      </c>
      <c r="O485" s="19">
        <f>i_W_var*O483</f>
        <v/>
      </c>
      <c r="P485" s="19">
        <f>i_W_var*P483</f>
        <v/>
      </c>
      <c r="Q485" s="19">
        <f>i_W_var*Q483</f>
        <v/>
      </c>
      <c r="R485" s="19">
        <f>i_W_var*R483</f>
        <v/>
      </c>
      <c r="S485" s="19">
        <f>i_W_var*S483</f>
        <v/>
      </c>
      <c r="T485" s="19">
        <f>i_W_var*T483</f>
        <v/>
      </c>
      <c r="U485" s="19">
        <f>i_W_var*U483</f>
        <v/>
      </c>
      <c r="V485" s="19">
        <f>i_W_var*V483</f>
        <v/>
      </c>
      <c r="W485" s="19">
        <f>i_W_var*W483</f>
        <v/>
      </c>
      <c r="X485" s="19">
        <f>i_W_var*X483</f>
        <v/>
      </c>
      <c r="Y485" s="19">
        <f>i_W_var*Y483</f>
        <v/>
      </c>
      <c r="Z485" s="19">
        <f>i_W_var*Z483</f>
        <v/>
      </c>
      <c r="AA485" s="19">
        <f>i_W_var*AA483</f>
        <v/>
      </c>
      <c r="AB485" s="19">
        <f>i_W_var*AB483</f>
        <v/>
      </c>
      <c r="AC485" s="19">
        <f>i_W_var*AC483</f>
        <v/>
      </c>
      <c r="AD485" s="19">
        <f>i_W_var*AD483</f>
        <v/>
      </c>
      <c r="AE485" s="19">
        <f>i_W_var*AE483</f>
        <v/>
      </c>
      <c r="AF485" s="19">
        <f>i_W_var*AF483</f>
        <v/>
      </c>
      <c r="AG485" s="19">
        <f>i_W_var*AG483</f>
        <v/>
      </c>
      <c r="AH485" s="19">
        <f>i_W_var*AH483</f>
        <v/>
      </c>
      <c r="AI485" s="19">
        <f>i_W_var*AI483</f>
        <v/>
      </c>
    </row>
    <row r="486">
      <c r="B486" s="2" t="inlineStr">
        <is>
          <t xml:space="preserve">  Concession fee</t>
        </is>
      </c>
      <c r="D486" s="19">
        <f>IF(AND(Sensitivities!$C$467=1,D$3&gt;i_conc_end),i_renew_fee,i_W_fee)*D483</f>
        <v/>
      </c>
      <c r="E486" s="19">
        <f>IF(AND(Sensitivities!$C$467=1,E$3&gt;i_conc_end),i_renew_fee,i_W_fee)*E483</f>
        <v/>
      </c>
      <c r="F486" s="19">
        <f>IF(AND(Sensitivities!$C$467=1,F$3&gt;i_conc_end),i_renew_fee,i_W_fee)*F483</f>
        <v/>
      </c>
      <c r="G486" s="19">
        <f>IF(AND(Sensitivities!$C$467=1,G$3&gt;i_conc_end),i_renew_fee,i_W_fee)*G483</f>
        <v/>
      </c>
      <c r="H486" s="19">
        <f>IF(AND(Sensitivities!$C$467=1,H$3&gt;i_conc_end),i_renew_fee,i_W_fee)*H483</f>
        <v/>
      </c>
      <c r="I486" s="19">
        <f>IF(AND(Sensitivities!$C$467=1,I$3&gt;i_conc_end),i_renew_fee,i_W_fee)*I483</f>
        <v/>
      </c>
      <c r="J486" s="19">
        <f>IF(AND(Sensitivities!$C$467=1,J$3&gt;i_conc_end),i_renew_fee,i_W_fee)*J483</f>
        <v/>
      </c>
      <c r="K486" s="19">
        <f>IF(AND(Sensitivities!$C$467=1,K$3&gt;i_conc_end),i_renew_fee,i_W_fee)*K483</f>
        <v/>
      </c>
      <c r="L486" s="19">
        <f>IF(AND(Sensitivities!$C$467=1,L$3&gt;i_conc_end),i_renew_fee,i_W_fee)*L483</f>
        <v/>
      </c>
      <c r="M486" s="19">
        <f>IF(AND(Sensitivities!$C$467=1,M$3&gt;i_conc_end),i_renew_fee,i_W_fee)*M483</f>
        <v/>
      </c>
      <c r="N486" s="19">
        <f>IF(AND(Sensitivities!$C$467=1,N$3&gt;i_conc_end),i_renew_fee,i_W_fee)*N483</f>
        <v/>
      </c>
      <c r="O486" s="19">
        <f>IF(AND(Sensitivities!$C$467=1,O$3&gt;i_conc_end),i_renew_fee,i_W_fee)*O483</f>
        <v/>
      </c>
      <c r="P486" s="19">
        <f>IF(AND(Sensitivities!$C$467=1,P$3&gt;i_conc_end),i_renew_fee,i_W_fee)*P483</f>
        <v/>
      </c>
      <c r="Q486" s="19">
        <f>IF(AND(Sensitivities!$C$467=1,Q$3&gt;i_conc_end),i_renew_fee,i_W_fee)*Q483</f>
        <v/>
      </c>
      <c r="R486" s="19">
        <f>IF(AND(Sensitivities!$C$467=1,R$3&gt;i_conc_end),i_renew_fee,i_W_fee)*R483</f>
        <v/>
      </c>
      <c r="S486" s="19">
        <f>IF(AND(Sensitivities!$C$467=1,S$3&gt;i_conc_end),i_renew_fee,i_W_fee)*S483</f>
        <v/>
      </c>
      <c r="T486" s="19">
        <f>IF(AND(Sensitivities!$C$467=1,T$3&gt;i_conc_end),i_renew_fee,i_W_fee)*T483</f>
        <v/>
      </c>
      <c r="U486" s="19">
        <f>IF(AND(Sensitivities!$C$467=1,U$3&gt;i_conc_end),i_renew_fee,i_W_fee)*U483</f>
        <v/>
      </c>
      <c r="V486" s="19">
        <f>IF(AND(Sensitivities!$C$467=1,V$3&gt;i_conc_end),i_renew_fee,i_W_fee)*V483</f>
        <v/>
      </c>
      <c r="W486" s="19">
        <f>IF(AND(Sensitivities!$C$467=1,W$3&gt;i_conc_end),i_renew_fee,i_W_fee)*W483</f>
        <v/>
      </c>
      <c r="X486" s="19">
        <f>IF(AND(Sensitivities!$C$467=1,X$3&gt;i_conc_end),i_renew_fee,i_W_fee)*X483</f>
        <v/>
      </c>
      <c r="Y486" s="19">
        <f>IF(AND(Sensitivities!$C$467=1,Y$3&gt;i_conc_end),i_renew_fee,i_W_fee)*Y483</f>
        <v/>
      </c>
      <c r="Z486" s="19">
        <f>IF(AND(Sensitivities!$C$467=1,Z$3&gt;i_conc_end),i_renew_fee,i_W_fee)*Z483</f>
        <v/>
      </c>
      <c r="AA486" s="19">
        <f>IF(AND(Sensitivities!$C$467=1,AA$3&gt;i_conc_end),i_renew_fee,i_W_fee)*AA483</f>
        <v/>
      </c>
      <c r="AB486" s="19">
        <f>IF(AND(Sensitivities!$C$467=1,AB$3&gt;i_conc_end),i_renew_fee,i_W_fee)*AB483</f>
        <v/>
      </c>
      <c r="AC486" s="19">
        <f>IF(AND(Sensitivities!$C$467=1,AC$3&gt;i_conc_end),i_renew_fee,i_W_fee)*AC483</f>
        <v/>
      </c>
      <c r="AD486" s="19">
        <f>IF(AND(Sensitivities!$C$467=1,AD$3&gt;i_conc_end),i_renew_fee,i_W_fee)*AD483</f>
        <v/>
      </c>
      <c r="AE486" s="19">
        <f>IF(AND(Sensitivities!$C$467=1,AE$3&gt;i_conc_end),i_renew_fee,i_W_fee)*AE483</f>
        <v/>
      </c>
      <c r="AF486" s="19">
        <f>IF(AND(Sensitivities!$C$467=1,AF$3&gt;i_conc_end),i_renew_fee,i_W_fee)*AF483</f>
        <v/>
      </c>
      <c r="AG486" s="19">
        <f>IF(AND(Sensitivities!$C$467=1,AG$3&gt;i_conc_end),i_renew_fee,i_W_fee)*AG483</f>
        <v/>
      </c>
      <c r="AH486" s="19">
        <f>IF(AND(Sensitivities!$C$467=1,AH$3&gt;i_conc_end),i_renew_fee,i_W_fee)*AH483</f>
        <v/>
      </c>
      <c r="AI486" s="19">
        <f>IF(AND(Sensitivities!$C$467=1,AI$3&gt;i_conc_end),i_renew_fee,i_W_fee)*AI483</f>
        <v/>
      </c>
    </row>
    <row r="487">
      <c r="B487" s="2" t="inlineStr">
        <is>
          <t xml:space="preserve">  Operating cost</t>
        </is>
      </c>
      <c r="D487" s="19">
        <f>D484+D485+D486</f>
        <v/>
      </c>
      <c r="E487" s="19">
        <f>E484+E485+E486</f>
        <v/>
      </c>
      <c r="F487" s="19">
        <f>F484+F485+F486</f>
        <v/>
      </c>
      <c r="G487" s="19">
        <f>G484+G485+G486</f>
        <v/>
      </c>
      <c r="H487" s="19">
        <f>H484+H485+H486</f>
        <v/>
      </c>
      <c r="I487" s="19">
        <f>I484+I485+I486</f>
        <v/>
      </c>
      <c r="J487" s="19">
        <f>J484+J485+J486</f>
        <v/>
      </c>
      <c r="K487" s="19">
        <f>K484+K485+K486</f>
        <v/>
      </c>
      <c r="L487" s="19">
        <f>L484+L485+L486</f>
        <v/>
      </c>
      <c r="M487" s="19">
        <f>M484+M485+M486</f>
        <v/>
      </c>
      <c r="N487" s="19">
        <f>N484+N485+N486</f>
        <v/>
      </c>
      <c r="O487" s="19">
        <f>O484+O485+O486</f>
        <v/>
      </c>
      <c r="P487" s="19">
        <f>P484+P485+P486</f>
        <v/>
      </c>
      <c r="Q487" s="19">
        <f>Q484+Q485+Q486</f>
        <v/>
      </c>
      <c r="R487" s="19">
        <f>R484+R485+R486</f>
        <v/>
      </c>
      <c r="S487" s="19">
        <f>S484+S485+S486</f>
        <v/>
      </c>
      <c r="T487" s="19">
        <f>T484+T485+T486</f>
        <v/>
      </c>
      <c r="U487" s="19">
        <f>U484+U485+U486</f>
        <v/>
      </c>
      <c r="V487" s="19">
        <f>V484+V485+V486</f>
        <v/>
      </c>
      <c r="W487" s="19">
        <f>W484+W485+W486</f>
        <v/>
      </c>
      <c r="X487" s="19">
        <f>X484+X485+X486</f>
        <v/>
      </c>
      <c r="Y487" s="19">
        <f>Y484+Y485+Y486</f>
        <v/>
      </c>
      <c r="Z487" s="19">
        <f>Z484+Z485+Z486</f>
        <v/>
      </c>
      <c r="AA487" s="19">
        <f>AA484+AA485+AA486</f>
        <v/>
      </c>
      <c r="AB487" s="19">
        <f>AB484+AB485+AB486</f>
        <v/>
      </c>
      <c r="AC487" s="19">
        <f>AC484+AC485+AC486</f>
        <v/>
      </c>
      <c r="AD487" s="19">
        <f>AD484+AD485+AD486</f>
        <v/>
      </c>
      <c r="AE487" s="19">
        <f>AE484+AE485+AE486</f>
        <v/>
      </c>
      <c r="AF487" s="19">
        <f>AF484+AF485+AF486</f>
        <v/>
      </c>
      <c r="AG487" s="19">
        <f>AG484+AG485+AG486</f>
        <v/>
      </c>
      <c r="AH487" s="19">
        <f>AH484+AH485+AH486</f>
        <v/>
      </c>
      <c r="AI487" s="19">
        <f>AI484+AI485+AI486</f>
        <v/>
      </c>
    </row>
    <row r="488">
      <c r="B488" s="3" t="inlineStr">
        <is>
          <t xml:space="preserve">  EBITDA</t>
        </is>
      </c>
      <c r="D488" s="31">
        <f>D483-D487</f>
        <v/>
      </c>
      <c r="E488" s="31">
        <f>E483-E487</f>
        <v/>
      </c>
      <c r="F488" s="31">
        <f>F483-F487</f>
        <v/>
      </c>
      <c r="G488" s="31">
        <f>G483-G487</f>
        <v/>
      </c>
      <c r="H488" s="31">
        <f>H483-H487</f>
        <v/>
      </c>
      <c r="I488" s="31">
        <f>I483-I487</f>
        <v/>
      </c>
      <c r="J488" s="31">
        <f>J483-J487</f>
        <v/>
      </c>
      <c r="K488" s="31">
        <f>K483-K487</f>
        <v/>
      </c>
      <c r="L488" s="31">
        <f>L483-L487</f>
        <v/>
      </c>
      <c r="M488" s="31">
        <f>M483-M487</f>
        <v/>
      </c>
      <c r="N488" s="31">
        <f>N483-N487</f>
        <v/>
      </c>
      <c r="O488" s="31">
        <f>O483-O487</f>
        <v/>
      </c>
      <c r="P488" s="31">
        <f>P483-P487</f>
        <v/>
      </c>
      <c r="Q488" s="31">
        <f>Q483-Q487</f>
        <v/>
      </c>
      <c r="R488" s="31">
        <f>R483-R487</f>
        <v/>
      </c>
      <c r="S488" s="31">
        <f>S483-S487</f>
        <v/>
      </c>
      <c r="T488" s="31">
        <f>T483-T487</f>
        <v/>
      </c>
      <c r="U488" s="31">
        <f>U483-U487</f>
        <v/>
      </c>
      <c r="V488" s="31">
        <f>V483-V487</f>
        <v/>
      </c>
      <c r="W488" s="31">
        <f>W483-W487</f>
        <v/>
      </c>
      <c r="X488" s="31">
        <f>X483-X487</f>
        <v/>
      </c>
      <c r="Y488" s="31">
        <f>Y483-Y487</f>
        <v/>
      </c>
      <c r="Z488" s="31">
        <f>Z483-Z487</f>
        <v/>
      </c>
      <c r="AA488" s="31">
        <f>AA483-AA487</f>
        <v/>
      </c>
      <c r="AB488" s="31">
        <f>AB483-AB487</f>
        <v/>
      </c>
      <c r="AC488" s="31">
        <f>AC483-AC487</f>
        <v/>
      </c>
      <c r="AD488" s="31">
        <f>AD483-AD487</f>
        <v/>
      </c>
      <c r="AE488" s="31">
        <f>AE483-AE487</f>
        <v/>
      </c>
      <c r="AF488" s="31">
        <f>AF483-AF487</f>
        <v/>
      </c>
      <c r="AG488" s="31">
        <f>AG483-AG487</f>
        <v/>
      </c>
      <c r="AH488" s="31">
        <f>AH483-AH487</f>
        <v/>
      </c>
      <c r="AI488" s="31">
        <f>AI483-AI487</f>
        <v/>
      </c>
    </row>
    <row r="489">
      <c r="B489" s="2" t="inlineStr">
        <is>
          <t xml:space="preserve">  Maintenance capex (with jetty 3)</t>
        </is>
      </c>
      <c r="D489" s="19">
        <f>D474*i_W_mc*D470+D473*Sensitivities!$C$462*SUMIF(i_jetty_years,D$3,i_jetty_vals)*D470</f>
        <v/>
      </c>
      <c r="E489" s="19">
        <f>E474*i_W_mc*E470+E473*Sensitivities!$C$462*SUMIF(i_jetty_years,E$3,i_jetty_vals)*E470</f>
        <v/>
      </c>
      <c r="F489" s="19">
        <f>F474*i_W_mc*F470+F473*Sensitivities!$C$462*SUMIF(i_jetty_years,F$3,i_jetty_vals)*F470</f>
        <v/>
      </c>
      <c r="G489" s="19">
        <f>G474*i_W_mc*G470+G473*Sensitivities!$C$462*SUMIF(i_jetty_years,G$3,i_jetty_vals)*G470</f>
        <v/>
      </c>
      <c r="H489" s="19">
        <f>H474*i_W_mc*H470+H473*Sensitivities!$C$462*SUMIF(i_jetty_years,H$3,i_jetty_vals)*H470</f>
        <v/>
      </c>
      <c r="I489" s="19">
        <f>I474*i_W_mc*I470+I473*Sensitivities!$C$462*SUMIF(i_jetty_years,I$3,i_jetty_vals)*I470</f>
        <v/>
      </c>
      <c r="J489" s="19">
        <f>J474*i_W_mc*J470+J473*Sensitivities!$C$462*SUMIF(i_jetty_years,J$3,i_jetty_vals)*J470</f>
        <v/>
      </c>
      <c r="K489" s="19">
        <f>K474*i_W_mc*K470+K473*Sensitivities!$C$462*SUMIF(i_jetty_years,K$3,i_jetty_vals)*K470</f>
        <v/>
      </c>
      <c r="L489" s="19">
        <f>L474*i_W_mc*L470+L473*Sensitivities!$C$462*SUMIF(i_jetty_years,L$3,i_jetty_vals)*L470</f>
        <v/>
      </c>
      <c r="M489" s="19">
        <f>M474*i_W_mc*M470+M473*Sensitivities!$C$462*SUMIF(i_jetty_years,M$3,i_jetty_vals)*M470</f>
        <v/>
      </c>
      <c r="N489" s="19">
        <f>N474*i_W_mc*N470+N473*Sensitivities!$C$462*SUMIF(i_jetty_years,N$3,i_jetty_vals)*N470</f>
        <v/>
      </c>
      <c r="O489" s="19">
        <f>O474*i_W_mc*O470+O473*Sensitivities!$C$462*SUMIF(i_jetty_years,O$3,i_jetty_vals)*O470</f>
        <v/>
      </c>
      <c r="P489" s="19">
        <f>P474*i_W_mc*P470+P473*Sensitivities!$C$462*SUMIF(i_jetty_years,P$3,i_jetty_vals)*P470</f>
        <v/>
      </c>
      <c r="Q489" s="19">
        <f>Q474*i_W_mc*Q470+Q473*Sensitivities!$C$462*SUMIF(i_jetty_years,Q$3,i_jetty_vals)*Q470</f>
        <v/>
      </c>
      <c r="R489" s="19">
        <f>R474*i_W_mc*R470+R473*Sensitivities!$C$462*SUMIF(i_jetty_years,R$3,i_jetty_vals)*R470</f>
        <v/>
      </c>
      <c r="S489" s="19">
        <f>S474*i_W_mc*S470+S473*Sensitivities!$C$462*SUMIF(i_jetty_years,S$3,i_jetty_vals)*S470</f>
        <v/>
      </c>
      <c r="T489" s="19">
        <f>T474*i_W_mc*T470+T473*Sensitivities!$C$462*SUMIF(i_jetty_years,T$3,i_jetty_vals)*T470</f>
        <v/>
      </c>
      <c r="U489" s="19">
        <f>U474*i_W_mc*U470+U473*Sensitivities!$C$462*SUMIF(i_jetty_years,U$3,i_jetty_vals)*U470</f>
        <v/>
      </c>
      <c r="V489" s="19">
        <f>V474*i_W_mc*V470+V473*Sensitivities!$C$462*SUMIF(i_jetty_years,V$3,i_jetty_vals)*V470</f>
        <v/>
      </c>
      <c r="W489" s="19">
        <f>W474*i_W_mc*W470+W473*Sensitivities!$C$462*SUMIF(i_jetty_years,W$3,i_jetty_vals)*W470</f>
        <v/>
      </c>
      <c r="X489" s="19">
        <f>X474*i_W_mc*X470+X473*Sensitivities!$C$462*SUMIF(i_jetty_years,X$3,i_jetty_vals)*X470</f>
        <v/>
      </c>
      <c r="Y489" s="19">
        <f>Y474*i_W_mc*Y470+Y473*Sensitivities!$C$462*SUMIF(i_jetty_years,Y$3,i_jetty_vals)*Y470</f>
        <v/>
      </c>
      <c r="Z489" s="19">
        <f>Z474*i_W_mc*Z470+Z473*Sensitivities!$C$462*SUMIF(i_jetty_years,Z$3,i_jetty_vals)*Z470</f>
        <v/>
      </c>
      <c r="AA489" s="19">
        <f>AA474*i_W_mc*AA470+AA473*Sensitivities!$C$462*SUMIF(i_jetty_years,AA$3,i_jetty_vals)*AA470</f>
        <v/>
      </c>
      <c r="AB489" s="19">
        <f>AB474*i_W_mc*AB470+AB473*Sensitivities!$C$462*SUMIF(i_jetty_years,AB$3,i_jetty_vals)*AB470</f>
        <v/>
      </c>
      <c r="AC489" s="19">
        <f>AC474*i_W_mc*AC470+AC473*Sensitivities!$C$462*SUMIF(i_jetty_years,AC$3,i_jetty_vals)*AC470</f>
        <v/>
      </c>
      <c r="AD489" s="19">
        <f>AD474*i_W_mc*AD470+AD473*Sensitivities!$C$462*SUMIF(i_jetty_years,AD$3,i_jetty_vals)*AD470</f>
        <v/>
      </c>
      <c r="AE489" s="19">
        <f>AE474*i_W_mc*AE470+AE473*Sensitivities!$C$462*SUMIF(i_jetty_years,AE$3,i_jetty_vals)*AE470</f>
        <v/>
      </c>
      <c r="AF489" s="19">
        <f>AF474*i_W_mc*AF470+AF473*Sensitivities!$C$462*SUMIF(i_jetty_years,AF$3,i_jetty_vals)*AF470</f>
        <v/>
      </c>
      <c r="AG489" s="19">
        <f>AG474*i_W_mc*AG470+AG473*Sensitivities!$C$462*SUMIF(i_jetty_years,AG$3,i_jetty_vals)*AG470</f>
        <v/>
      </c>
      <c r="AH489" s="19">
        <f>AH474*i_W_mc*AH470+AH473*Sensitivities!$C$462*SUMIF(i_jetty_years,AH$3,i_jetty_vals)*AH470</f>
        <v/>
      </c>
      <c r="AI489" s="19">
        <f>AI474*i_W_mc*AI470+AI473*Sensitivities!$C$462*SUMIF(i_jetty_years,AI$3,i_jetty_vals)*AI470</f>
        <v/>
      </c>
    </row>
    <row r="490">
      <c r="B490" s="3" t="inlineStr">
        <is>
          <t>Rhine Inland</t>
        </is>
      </c>
    </row>
    <row r="491">
      <c r="B491" s="2" t="inlineStr">
        <is>
          <t xml:space="preserve">  Capacity in service (million m3)</t>
        </is>
      </c>
      <c r="D491" s="24">
        <f>i_R_cap</f>
        <v/>
      </c>
      <c r="E491" s="24">
        <f>i_R_cap</f>
        <v/>
      </c>
      <c r="F491" s="24">
        <f>i_R_cap</f>
        <v/>
      </c>
      <c r="G491" s="24">
        <f>i_R_cap</f>
        <v/>
      </c>
      <c r="H491" s="24">
        <f>i_R_cap</f>
        <v/>
      </c>
      <c r="I491" s="24">
        <f>i_R_cap</f>
        <v/>
      </c>
      <c r="J491" s="24">
        <f>i_R_cap</f>
        <v/>
      </c>
      <c r="K491" s="24">
        <f>i_R_cap</f>
        <v/>
      </c>
      <c r="L491" s="24">
        <f>i_R_cap</f>
        <v/>
      </c>
      <c r="M491" s="24">
        <f>i_R_cap</f>
        <v/>
      </c>
      <c r="N491" s="24">
        <f>i_R_cap</f>
        <v/>
      </c>
      <c r="O491" s="24">
        <f>i_R_cap</f>
        <v/>
      </c>
      <c r="P491" s="24">
        <f>i_R_cap</f>
        <v/>
      </c>
      <c r="Q491" s="24">
        <f>i_R_cap</f>
        <v/>
      </c>
      <c r="R491" s="24">
        <f>i_R_cap</f>
        <v/>
      </c>
      <c r="S491" s="24">
        <f>i_R_cap</f>
        <v/>
      </c>
      <c r="T491" s="24">
        <f>i_R_cap</f>
        <v/>
      </c>
      <c r="U491" s="24">
        <f>i_R_cap</f>
        <v/>
      </c>
      <c r="V491" s="24">
        <f>i_R_cap</f>
        <v/>
      </c>
      <c r="W491" s="24">
        <f>i_R_cap</f>
        <v/>
      </c>
      <c r="X491" s="24">
        <f>i_R_cap</f>
        <v/>
      </c>
      <c r="Y491" s="24">
        <f>i_R_cap</f>
        <v/>
      </c>
      <c r="Z491" s="24">
        <f>i_R_cap</f>
        <v/>
      </c>
      <c r="AA491" s="24">
        <f>i_R_cap</f>
        <v/>
      </c>
      <c r="AB491" s="24">
        <f>i_R_cap</f>
        <v/>
      </c>
      <c r="AC491" s="24">
        <f>i_R_cap</f>
        <v/>
      </c>
      <c r="AD491" s="24">
        <f>i_R_cap</f>
        <v/>
      </c>
      <c r="AE491" s="24">
        <f>i_R_cap</f>
        <v/>
      </c>
      <c r="AF491" s="24">
        <f>i_R_cap</f>
        <v/>
      </c>
      <c r="AG491" s="24">
        <f>i_R_cap</f>
        <v/>
      </c>
      <c r="AH491" s="24">
        <f>i_R_cap</f>
        <v/>
      </c>
      <c r="AI491" s="24">
        <f>i_R_cap</f>
        <v/>
      </c>
    </row>
    <row r="492">
      <c r="B492" s="2" t="inlineStr">
        <is>
          <t xml:space="preserve">  Share on contracts signed before 2027</t>
        </is>
      </c>
      <c r="D492" s="21">
        <f>SUMIF(i_book_years,D$3,i_R_book)</f>
        <v/>
      </c>
      <c r="E492" s="21">
        <f>SUMIF(i_book_years,E$3,i_R_book)</f>
        <v/>
      </c>
      <c r="F492" s="21">
        <f>SUMIF(i_book_years,F$3,i_R_book)</f>
        <v/>
      </c>
      <c r="G492" s="21">
        <f>SUMIF(i_book_years,G$3,i_R_book)</f>
        <v/>
      </c>
      <c r="H492" s="21">
        <f>SUMIF(i_book_years,H$3,i_R_book)</f>
        <v/>
      </c>
      <c r="I492" s="21">
        <f>SUMIF(i_book_years,I$3,i_R_book)</f>
        <v/>
      </c>
      <c r="J492" s="21">
        <f>SUMIF(i_book_years,J$3,i_R_book)</f>
        <v/>
      </c>
      <c r="K492" s="21">
        <f>SUMIF(i_book_years,K$3,i_R_book)</f>
        <v/>
      </c>
      <c r="L492" s="21">
        <f>SUMIF(i_book_years,L$3,i_R_book)</f>
        <v/>
      </c>
      <c r="M492" s="21">
        <f>SUMIF(i_book_years,M$3,i_R_book)</f>
        <v/>
      </c>
      <c r="N492" s="21">
        <f>SUMIF(i_book_years,N$3,i_R_book)</f>
        <v/>
      </c>
      <c r="O492" s="21">
        <f>SUMIF(i_book_years,O$3,i_R_book)</f>
        <v/>
      </c>
      <c r="P492" s="21">
        <f>SUMIF(i_book_years,P$3,i_R_book)</f>
        <v/>
      </c>
      <c r="Q492" s="21">
        <f>SUMIF(i_book_years,Q$3,i_R_book)</f>
        <v/>
      </c>
      <c r="R492" s="21">
        <f>SUMIF(i_book_years,R$3,i_R_book)</f>
        <v/>
      </c>
      <c r="S492" s="21">
        <f>SUMIF(i_book_years,S$3,i_R_book)</f>
        <v/>
      </c>
      <c r="T492" s="21">
        <f>SUMIF(i_book_years,T$3,i_R_book)</f>
        <v/>
      </c>
      <c r="U492" s="21">
        <f>SUMIF(i_book_years,U$3,i_R_book)</f>
        <v/>
      </c>
      <c r="V492" s="21">
        <f>SUMIF(i_book_years,V$3,i_R_book)</f>
        <v/>
      </c>
      <c r="W492" s="21">
        <f>SUMIF(i_book_years,W$3,i_R_book)</f>
        <v/>
      </c>
      <c r="X492" s="21">
        <f>SUMIF(i_book_years,X$3,i_R_book)</f>
        <v/>
      </c>
      <c r="Y492" s="21">
        <f>SUMIF(i_book_years,Y$3,i_R_book)</f>
        <v/>
      </c>
      <c r="Z492" s="21">
        <f>SUMIF(i_book_years,Z$3,i_R_book)</f>
        <v/>
      </c>
      <c r="AA492" s="21">
        <f>SUMIF(i_book_years,AA$3,i_R_book)</f>
        <v/>
      </c>
      <c r="AB492" s="21">
        <f>SUMIF(i_book_years,AB$3,i_R_book)</f>
        <v/>
      </c>
      <c r="AC492" s="21">
        <f>SUMIF(i_book_years,AC$3,i_R_book)</f>
        <v/>
      </c>
      <c r="AD492" s="21">
        <f>SUMIF(i_book_years,AD$3,i_R_book)</f>
        <v/>
      </c>
      <c r="AE492" s="21">
        <f>SUMIF(i_book_years,AE$3,i_R_book)</f>
        <v/>
      </c>
      <c r="AF492" s="21">
        <f>SUMIF(i_book_years,AF$3,i_R_book)</f>
        <v/>
      </c>
      <c r="AG492" s="21">
        <f>SUMIF(i_book_years,AG$3,i_R_book)</f>
        <v/>
      </c>
      <c r="AH492" s="21">
        <f>SUMIF(i_book_years,AH$3,i_R_book)</f>
        <v/>
      </c>
      <c r="AI492" s="21">
        <f>SUMIF(i_book_years,AI$3,i_R_book)</f>
        <v/>
      </c>
    </row>
    <row r="493">
      <c r="B493" s="2" t="inlineStr">
        <is>
          <t xml:space="preserve">  Recontracting factor against current rates</t>
        </is>
      </c>
      <c r="D493" s="21">
        <f>IF(D$4=0,0,IF(Sensitivities!$C$460=1,i_R_mtm,i_R_mtm_plan)+Sensitivities!$C$466)</f>
        <v/>
      </c>
      <c r="E493" s="21">
        <f>IF(E$4=0,0,IF(Sensitivities!$C$460=1,i_R_mtm,i_R_mtm_plan)+Sensitivities!$C$466)</f>
        <v/>
      </c>
      <c r="F493" s="21">
        <f>IF(F$4=0,0,IF(Sensitivities!$C$460=1,i_R_mtm,i_R_mtm_plan)+Sensitivities!$C$466)</f>
        <v/>
      </c>
      <c r="G493" s="21">
        <f>IF(G$4=0,0,IF(Sensitivities!$C$460=1,i_R_mtm,i_R_mtm_plan)+Sensitivities!$C$466)</f>
        <v/>
      </c>
      <c r="H493" s="21">
        <f>IF(H$4=0,0,IF(Sensitivities!$C$460=1,i_R_mtm,i_R_mtm_plan)+Sensitivities!$C$466)</f>
        <v/>
      </c>
      <c r="I493" s="21">
        <f>IF(I$4=0,0,IF(Sensitivities!$C$460=1,i_R_mtm,i_R_mtm_plan)+Sensitivities!$C$466)</f>
        <v/>
      </c>
      <c r="J493" s="21">
        <f>IF(J$4=0,0,IF(Sensitivities!$C$460=1,i_R_mtm,i_R_mtm_plan)+Sensitivities!$C$466)</f>
        <v/>
      </c>
      <c r="K493" s="21">
        <f>IF(K$4=0,0,IF(Sensitivities!$C$460=1,i_R_mtm,i_R_mtm_plan)+Sensitivities!$C$466)</f>
        <v/>
      </c>
      <c r="L493" s="21">
        <f>IF(L$4=0,0,IF(Sensitivities!$C$460=1,i_R_mtm,i_R_mtm_plan)+Sensitivities!$C$466)</f>
        <v/>
      </c>
      <c r="M493" s="21">
        <f>IF(M$4=0,0,IF(Sensitivities!$C$460=1,i_R_mtm,i_R_mtm_plan)+Sensitivities!$C$466)</f>
        <v/>
      </c>
      <c r="N493" s="21">
        <f>IF(N$4=0,0,IF(Sensitivities!$C$460=1,i_R_mtm,i_R_mtm_plan)+Sensitivities!$C$466)</f>
        <v/>
      </c>
      <c r="O493" s="21">
        <f>IF(O$4=0,0,IF(Sensitivities!$C$460=1,i_R_mtm,i_R_mtm_plan)+Sensitivities!$C$466)</f>
        <v/>
      </c>
      <c r="P493" s="21">
        <f>IF(P$4=0,0,IF(Sensitivities!$C$460=1,i_R_mtm,i_R_mtm_plan)+Sensitivities!$C$466)</f>
        <v/>
      </c>
      <c r="Q493" s="21">
        <f>IF(Q$4=0,0,IF(Sensitivities!$C$460=1,i_R_mtm,i_R_mtm_plan)+Sensitivities!$C$466)</f>
        <v/>
      </c>
      <c r="R493" s="21">
        <f>IF(R$4=0,0,IF(Sensitivities!$C$460=1,i_R_mtm,i_R_mtm_plan)+Sensitivities!$C$466)</f>
        <v/>
      </c>
      <c r="S493" s="21">
        <f>IF(S$4=0,0,IF(Sensitivities!$C$460=1,i_R_mtm,i_R_mtm_plan)+Sensitivities!$C$466)</f>
        <v/>
      </c>
      <c r="T493" s="21">
        <f>IF(T$4=0,0,IF(Sensitivities!$C$460=1,i_R_mtm,i_R_mtm_plan)+Sensitivities!$C$466)</f>
        <v/>
      </c>
      <c r="U493" s="21">
        <f>IF(U$4=0,0,IF(Sensitivities!$C$460=1,i_R_mtm,i_R_mtm_plan)+Sensitivities!$C$466)</f>
        <v/>
      </c>
      <c r="V493" s="21">
        <f>IF(V$4=0,0,IF(Sensitivities!$C$460=1,i_R_mtm,i_R_mtm_plan)+Sensitivities!$C$466)</f>
        <v/>
      </c>
      <c r="W493" s="21">
        <f>IF(W$4=0,0,IF(Sensitivities!$C$460=1,i_R_mtm,i_R_mtm_plan)+Sensitivities!$C$466)</f>
        <v/>
      </c>
      <c r="X493" s="21">
        <f>IF(X$4=0,0,IF(Sensitivities!$C$460=1,i_R_mtm,i_R_mtm_plan)+Sensitivities!$C$466)</f>
        <v/>
      </c>
      <c r="Y493" s="21">
        <f>IF(Y$4=0,0,IF(Sensitivities!$C$460=1,i_R_mtm,i_R_mtm_plan)+Sensitivities!$C$466)</f>
        <v/>
      </c>
      <c r="Z493" s="21">
        <f>IF(Z$4=0,0,IF(Sensitivities!$C$460=1,i_R_mtm,i_R_mtm_plan)+Sensitivities!$C$466)</f>
        <v/>
      </c>
      <c r="AA493" s="21">
        <f>IF(AA$4=0,0,IF(Sensitivities!$C$460=1,i_R_mtm,i_R_mtm_plan)+Sensitivities!$C$466)</f>
        <v/>
      </c>
      <c r="AB493" s="21">
        <f>IF(AB$4=0,0,IF(Sensitivities!$C$460=1,i_R_mtm,i_R_mtm_plan)+Sensitivities!$C$466)</f>
        <v/>
      </c>
      <c r="AC493" s="21">
        <f>IF(AC$4=0,0,IF(Sensitivities!$C$460=1,i_R_mtm,i_R_mtm_plan)+Sensitivities!$C$466)</f>
        <v/>
      </c>
      <c r="AD493" s="21">
        <f>IF(AD$4=0,0,IF(Sensitivities!$C$460=1,i_R_mtm,i_R_mtm_plan)+Sensitivities!$C$466)</f>
        <v/>
      </c>
      <c r="AE493" s="21">
        <f>IF(AE$4=0,0,IF(Sensitivities!$C$460=1,i_R_mtm,i_R_mtm_plan)+Sensitivities!$C$466)</f>
        <v/>
      </c>
      <c r="AF493" s="21">
        <f>IF(AF$4=0,0,IF(Sensitivities!$C$460=1,i_R_mtm,i_R_mtm_plan)+Sensitivities!$C$466)</f>
        <v/>
      </c>
      <c r="AG493" s="21">
        <f>IF(AG$4=0,0,IF(Sensitivities!$C$460=1,i_R_mtm,i_R_mtm_plan)+Sensitivities!$C$466)</f>
        <v/>
      </c>
      <c r="AH493" s="21">
        <f>IF(AH$4=0,0,IF(Sensitivities!$C$460=1,i_R_mtm,i_R_mtm_plan)+Sensitivities!$C$466)</f>
        <v/>
      </c>
      <c r="AI493" s="21">
        <f>IF(AI$4=0,0,IF(Sensitivities!$C$460=1,i_R_mtm,i_R_mtm_plan)+Sensitivities!$C$466)</f>
        <v/>
      </c>
    </row>
    <row r="494">
      <c r="B494" s="2" t="inlineStr">
        <is>
          <t xml:space="preserve">  Average rate ($ per m3 per month)</t>
        </is>
      </c>
      <c r="D494" s="24">
        <f>i_R_rate*D471*(D492+(1-D492)*(1+D493))</f>
        <v/>
      </c>
      <c r="E494" s="24">
        <f>i_R_rate*E471*(E492+(1-E492)*(1+E493))</f>
        <v/>
      </c>
      <c r="F494" s="24">
        <f>i_R_rate*F471*(F492+(1-F492)*(1+F493))</f>
        <v/>
      </c>
      <c r="G494" s="24">
        <f>i_R_rate*G471*(G492+(1-G492)*(1+G493))</f>
        <v/>
      </c>
      <c r="H494" s="24">
        <f>i_R_rate*H471*(H492+(1-H492)*(1+H493))</f>
        <v/>
      </c>
      <c r="I494" s="24">
        <f>i_R_rate*I471*(I492+(1-I492)*(1+I493))</f>
        <v/>
      </c>
      <c r="J494" s="24">
        <f>i_R_rate*J471*(J492+(1-J492)*(1+J493))</f>
        <v/>
      </c>
      <c r="K494" s="24">
        <f>i_R_rate*K471*(K492+(1-K492)*(1+K493))</f>
        <v/>
      </c>
      <c r="L494" s="24">
        <f>i_R_rate*L471*(L492+(1-L492)*(1+L493))</f>
        <v/>
      </c>
      <c r="M494" s="24">
        <f>i_R_rate*M471*(M492+(1-M492)*(1+M493))</f>
        <v/>
      </c>
      <c r="N494" s="24">
        <f>i_R_rate*N471*(N492+(1-N492)*(1+N493))</f>
        <v/>
      </c>
      <c r="O494" s="24">
        <f>i_R_rate*O471*(O492+(1-O492)*(1+O493))</f>
        <v/>
      </c>
      <c r="P494" s="24">
        <f>i_R_rate*P471*(P492+(1-P492)*(1+P493))</f>
        <v/>
      </c>
      <c r="Q494" s="24">
        <f>i_R_rate*Q471*(Q492+(1-Q492)*(1+Q493))</f>
        <v/>
      </c>
      <c r="R494" s="24">
        <f>i_R_rate*R471*(R492+(1-R492)*(1+R493))</f>
        <v/>
      </c>
      <c r="S494" s="24">
        <f>i_R_rate*S471*(S492+(1-S492)*(1+S493))</f>
        <v/>
      </c>
      <c r="T494" s="24">
        <f>i_R_rate*T471*(T492+(1-T492)*(1+T493))</f>
        <v/>
      </c>
      <c r="U494" s="24">
        <f>i_R_rate*U471*(U492+(1-U492)*(1+U493))</f>
        <v/>
      </c>
      <c r="V494" s="24">
        <f>i_R_rate*V471*(V492+(1-V492)*(1+V493))</f>
        <v/>
      </c>
      <c r="W494" s="24">
        <f>i_R_rate*W471*(W492+(1-W492)*(1+W493))</f>
        <v/>
      </c>
      <c r="X494" s="24">
        <f>i_R_rate*X471*(X492+(1-X492)*(1+X493))</f>
        <v/>
      </c>
      <c r="Y494" s="24">
        <f>i_R_rate*Y471*(Y492+(1-Y492)*(1+Y493))</f>
        <v/>
      </c>
      <c r="Z494" s="24">
        <f>i_R_rate*Z471*(Z492+(1-Z492)*(1+Z493))</f>
        <v/>
      </c>
      <c r="AA494" s="24">
        <f>i_R_rate*AA471*(AA492+(1-AA492)*(1+AA493))</f>
        <v/>
      </c>
      <c r="AB494" s="24">
        <f>i_R_rate*AB471*(AB492+(1-AB492)*(1+AB493))</f>
        <v/>
      </c>
      <c r="AC494" s="24">
        <f>i_R_rate*AC471*(AC492+(1-AC492)*(1+AC493))</f>
        <v/>
      </c>
      <c r="AD494" s="24">
        <f>i_R_rate*AD471*(AD492+(1-AD492)*(1+AD493))</f>
        <v/>
      </c>
      <c r="AE494" s="24">
        <f>i_R_rate*AE471*(AE492+(1-AE492)*(1+AE493))</f>
        <v/>
      </c>
      <c r="AF494" s="24">
        <f>i_R_rate*AF471*(AF492+(1-AF492)*(1+AF493))</f>
        <v/>
      </c>
      <c r="AG494" s="24">
        <f>i_R_rate*AG471*(AG492+(1-AG492)*(1+AG493))</f>
        <v/>
      </c>
      <c r="AH494" s="24">
        <f>i_R_rate*AH471*(AH492+(1-AH492)*(1+AH493))</f>
        <v/>
      </c>
      <c r="AI494" s="24">
        <f>i_R_rate*AI471*(AI492+(1-AI492)*(1+AI493))</f>
        <v/>
      </c>
    </row>
    <row r="495">
      <c r="B495" s="2" t="inlineStr">
        <is>
          <t xml:space="preserve">  Occupancy after the transition decline and floor</t>
        </is>
      </c>
      <c r="D495" s="21">
        <f>IF(D$3&gt;i_trans_start,MAX(i_R_floor,i_R_occ-i_R_dec*(D$3-i_trans_start)),i_R_occ)</f>
        <v/>
      </c>
      <c r="E495" s="21">
        <f>IF(E$3&gt;i_trans_start,MAX(i_R_floor,i_R_occ-i_R_dec*(E$3-i_trans_start)),i_R_occ)</f>
        <v/>
      </c>
      <c r="F495" s="21">
        <f>IF(F$3&gt;i_trans_start,MAX(i_R_floor,i_R_occ-i_R_dec*(F$3-i_trans_start)),i_R_occ)</f>
        <v/>
      </c>
      <c r="G495" s="21">
        <f>IF(G$3&gt;i_trans_start,MAX(i_R_floor,i_R_occ-i_R_dec*(G$3-i_trans_start)),i_R_occ)</f>
        <v/>
      </c>
      <c r="H495" s="21">
        <f>IF(H$3&gt;i_trans_start,MAX(i_R_floor,i_R_occ-i_R_dec*(H$3-i_trans_start)),i_R_occ)</f>
        <v/>
      </c>
      <c r="I495" s="21">
        <f>IF(I$3&gt;i_trans_start,MAX(i_R_floor,i_R_occ-i_R_dec*(I$3-i_trans_start)),i_R_occ)</f>
        <v/>
      </c>
      <c r="J495" s="21">
        <f>IF(J$3&gt;i_trans_start,MAX(i_R_floor,i_R_occ-i_R_dec*(J$3-i_trans_start)),i_R_occ)</f>
        <v/>
      </c>
      <c r="K495" s="21">
        <f>IF(K$3&gt;i_trans_start,MAX(i_R_floor,i_R_occ-i_R_dec*(K$3-i_trans_start)),i_R_occ)</f>
        <v/>
      </c>
      <c r="L495" s="21">
        <f>IF(L$3&gt;i_trans_start,MAX(i_R_floor,i_R_occ-i_R_dec*(L$3-i_trans_start)),i_R_occ)</f>
        <v/>
      </c>
      <c r="M495" s="21">
        <f>IF(M$3&gt;i_trans_start,MAX(i_R_floor,i_R_occ-i_R_dec*(M$3-i_trans_start)),i_R_occ)</f>
        <v/>
      </c>
      <c r="N495" s="21">
        <f>IF(N$3&gt;i_trans_start,MAX(i_R_floor,i_R_occ-i_R_dec*(N$3-i_trans_start)),i_R_occ)</f>
        <v/>
      </c>
      <c r="O495" s="21">
        <f>IF(O$3&gt;i_trans_start,MAX(i_R_floor,i_R_occ-i_R_dec*(O$3-i_trans_start)),i_R_occ)</f>
        <v/>
      </c>
      <c r="P495" s="21">
        <f>IF(P$3&gt;i_trans_start,MAX(i_R_floor,i_R_occ-i_R_dec*(P$3-i_trans_start)),i_R_occ)</f>
        <v/>
      </c>
      <c r="Q495" s="21">
        <f>IF(Q$3&gt;i_trans_start,MAX(i_R_floor,i_R_occ-i_R_dec*(Q$3-i_trans_start)),i_R_occ)</f>
        <v/>
      </c>
      <c r="R495" s="21">
        <f>IF(R$3&gt;i_trans_start,MAX(i_R_floor,i_R_occ-i_R_dec*(R$3-i_trans_start)),i_R_occ)</f>
        <v/>
      </c>
      <c r="S495" s="21">
        <f>IF(S$3&gt;i_trans_start,MAX(i_R_floor,i_R_occ-i_R_dec*(S$3-i_trans_start)),i_R_occ)</f>
        <v/>
      </c>
      <c r="T495" s="21">
        <f>IF(T$3&gt;i_trans_start,MAX(i_R_floor,i_R_occ-i_R_dec*(T$3-i_trans_start)),i_R_occ)</f>
        <v/>
      </c>
      <c r="U495" s="21">
        <f>IF(U$3&gt;i_trans_start,MAX(i_R_floor,i_R_occ-i_R_dec*(U$3-i_trans_start)),i_R_occ)</f>
        <v/>
      </c>
      <c r="V495" s="21">
        <f>IF(V$3&gt;i_trans_start,MAX(i_R_floor,i_R_occ-i_R_dec*(V$3-i_trans_start)),i_R_occ)</f>
        <v/>
      </c>
      <c r="W495" s="21">
        <f>IF(W$3&gt;i_trans_start,MAX(i_R_floor,i_R_occ-i_R_dec*(W$3-i_trans_start)),i_R_occ)</f>
        <v/>
      </c>
      <c r="X495" s="21">
        <f>IF(X$3&gt;i_trans_start,MAX(i_R_floor,i_R_occ-i_R_dec*(X$3-i_trans_start)),i_R_occ)</f>
        <v/>
      </c>
      <c r="Y495" s="21">
        <f>IF(Y$3&gt;i_trans_start,MAX(i_R_floor,i_R_occ-i_R_dec*(Y$3-i_trans_start)),i_R_occ)</f>
        <v/>
      </c>
      <c r="Z495" s="21">
        <f>IF(Z$3&gt;i_trans_start,MAX(i_R_floor,i_R_occ-i_R_dec*(Z$3-i_trans_start)),i_R_occ)</f>
        <v/>
      </c>
      <c r="AA495" s="21">
        <f>IF(AA$3&gt;i_trans_start,MAX(i_R_floor,i_R_occ-i_R_dec*(AA$3-i_trans_start)),i_R_occ)</f>
        <v/>
      </c>
      <c r="AB495" s="21">
        <f>IF(AB$3&gt;i_trans_start,MAX(i_R_floor,i_R_occ-i_R_dec*(AB$3-i_trans_start)),i_R_occ)</f>
        <v/>
      </c>
      <c r="AC495" s="21">
        <f>IF(AC$3&gt;i_trans_start,MAX(i_R_floor,i_R_occ-i_R_dec*(AC$3-i_trans_start)),i_R_occ)</f>
        <v/>
      </c>
      <c r="AD495" s="21">
        <f>IF(AD$3&gt;i_trans_start,MAX(i_R_floor,i_R_occ-i_R_dec*(AD$3-i_trans_start)),i_R_occ)</f>
        <v/>
      </c>
      <c r="AE495" s="21">
        <f>IF(AE$3&gt;i_trans_start,MAX(i_R_floor,i_R_occ-i_R_dec*(AE$3-i_trans_start)),i_R_occ)</f>
        <v/>
      </c>
      <c r="AF495" s="21">
        <f>IF(AF$3&gt;i_trans_start,MAX(i_R_floor,i_R_occ-i_R_dec*(AF$3-i_trans_start)),i_R_occ)</f>
        <v/>
      </c>
      <c r="AG495" s="21">
        <f>IF(AG$3&gt;i_trans_start,MAX(i_R_floor,i_R_occ-i_R_dec*(AG$3-i_trans_start)),i_R_occ)</f>
        <v/>
      </c>
      <c r="AH495" s="21">
        <f>IF(AH$3&gt;i_trans_start,MAX(i_R_floor,i_R_occ-i_R_dec*(AH$3-i_trans_start)),i_R_occ)</f>
        <v/>
      </c>
      <c r="AI495" s="21">
        <f>IF(AI$3&gt;i_trans_start,MAX(i_R_floor,i_R_occ-i_R_dec*(AI$3-i_trans_start)),i_R_occ)</f>
        <v/>
      </c>
    </row>
    <row r="496">
      <c r="B496" s="2" t="inlineStr">
        <is>
          <t xml:space="preserve">  Occupancy (with the shift switch from 2027)</t>
        </is>
      </c>
      <c r="D496" s="21">
        <f>IF(D$4&gt;0,MIN(1,D495+Sensitivities!$C$465),D495)</f>
        <v/>
      </c>
      <c r="E496" s="21">
        <f>IF(E$4&gt;0,MIN(1,E495+Sensitivities!$C$465),E495)</f>
        <v/>
      </c>
      <c r="F496" s="21">
        <f>IF(F$4&gt;0,MIN(1,F495+Sensitivities!$C$465),F495)</f>
        <v/>
      </c>
      <c r="G496" s="21">
        <f>IF(G$4&gt;0,MIN(1,G495+Sensitivities!$C$465),G495)</f>
        <v/>
      </c>
      <c r="H496" s="21">
        <f>IF(H$4&gt;0,MIN(1,H495+Sensitivities!$C$465),H495)</f>
        <v/>
      </c>
      <c r="I496" s="21">
        <f>IF(I$4&gt;0,MIN(1,I495+Sensitivities!$C$465),I495)</f>
        <v/>
      </c>
      <c r="J496" s="21">
        <f>IF(J$4&gt;0,MIN(1,J495+Sensitivities!$C$465),J495)</f>
        <v/>
      </c>
      <c r="K496" s="21">
        <f>IF(K$4&gt;0,MIN(1,K495+Sensitivities!$C$465),K495)</f>
        <v/>
      </c>
      <c r="L496" s="21">
        <f>IF(L$4&gt;0,MIN(1,L495+Sensitivities!$C$465),L495)</f>
        <v/>
      </c>
      <c r="M496" s="21">
        <f>IF(M$4&gt;0,MIN(1,M495+Sensitivities!$C$465),M495)</f>
        <v/>
      </c>
      <c r="N496" s="21">
        <f>IF(N$4&gt;0,MIN(1,N495+Sensitivities!$C$465),N495)</f>
        <v/>
      </c>
      <c r="O496" s="21">
        <f>IF(O$4&gt;0,MIN(1,O495+Sensitivities!$C$465),O495)</f>
        <v/>
      </c>
      <c r="P496" s="21">
        <f>IF(P$4&gt;0,MIN(1,P495+Sensitivities!$C$465),P495)</f>
        <v/>
      </c>
      <c r="Q496" s="21">
        <f>IF(Q$4&gt;0,MIN(1,Q495+Sensitivities!$C$465),Q495)</f>
        <v/>
      </c>
      <c r="R496" s="21">
        <f>IF(R$4&gt;0,MIN(1,R495+Sensitivities!$C$465),R495)</f>
        <v/>
      </c>
      <c r="S496" s="21">
        <f>IF(S$4&gt;0,MIN(1,S495+Sensitivities!$C$465),S495)</f>
        <v/>
      </c>
      <c r="T496" s="21">
        <f>IF(T$4&gt;0,MIN(1,T495+Sensitivities!$C$465),T495)</f>
        <v/>
      </c>
      <c r="U496" s="21">
        <f>IF(U$4&gt;0,MIN(1,U495+Sensitivities!$C$465),U495)</f>
        <v/>
      </c>
      <c r="V496" s="21">
        <f>IF(V$4&gt;0,MIN(1,V495+Sensitivities!$C$465),V495)</f>
        <v/>
      </c>
      <c r="W496" s="21">
        <f>IF(W$4&gt;0,MIN(1,W495+Sensitivities!$C$465),W495)</f>
        <v/>
      </c>
      <c r="X496" s="21">
        <f>IF(X$4&gt;0,MIN(1,X495+Sensitivities!$C$465),X495)</f>
        <v/>
      </c>
      <c r="Y496" s="21">
        <f>IF(Y$4&gt;0,MIN(1,Y495+Sensitivities!$C$465),Y495)</f>
        <v/>
      </c>
      <c r="Z496" s="21">
        <f>IF(Z$4&gt;0,MIN(1,Z495+Sensitivities!$C$465),Z495)</f>
        <v/>
      </c>
      <c r="AA496" s="21">
        <f>IF(AA$4&gt;0,MIN(1,AA495+Sensitivities!$C$465),AA495)</f>
        <v/>
      </c>
      <c r="AB496" s="21">
        <f>IF(AB$4&gt;0,MIN(1,AB495+Sensitivities!$C$465),AB495)</f>
        <v/>
      </c>
      <c r="AC496" s="21">
        <f>IF(AC$4&gt;0,MIN(1,AC495+Sensitivities!$C$465),AC495)</f>
        <v/>
      </c>
      <c r="AD496" s="21">
        <f>IF(AD$4&gt;0,MIN(1,AD495+Sensitivities!$C$465),AD495)</f>
        <v/>
      </c>
      <c r="AE496" s="21">
        <f>IF(AE$4&gt;0,MIN(1,AE495+Sensitivities!$C$465),AE495)</f>
        <v/>
      </c>
      <c r="AF496" s="21">
        <f>IF(AF$4&gt;0,MIN(1,AF495+Sensitivities!$C$465),AF495)</f>
        <v/>
      </c>
      <c r="AG496" s="21">
        <f>IF(AG$4&gt;0,MIN(1,AG495+Sensitivities!$C$465),AG495)</f>
        <v/>
      </c>
      <c r="AH496" s="21">
        <f>IF(AH$4&gt;0,MIN(1,AH495+Sensitivities!$C$465),AH495)</f>
        <v/>
      </c>
      <c r="AI496" s="21">
        <f>IF(AI$4&gt;0,MIN(1,AI495+Sensitivities!$C$465),AI495)</f>
        <v/>
      </c>
    </row>
    <row r="497">
      <c r="B497" s="2" t="inlineStr">
        <is>
          <t xml:space="preserve">  Storage revenue</t>
        </is>
      </c>
      <c r="D497" s="19">
        <f>D491*D494*12*D496</f>
        <v/>
      </c>
      <c r="E497" s="19">
        <f>E491*E494*12*E496</f>
        <v/>
      </c>
      <c r="F497" s="19">
        <f>F491*F494*12*F496</f>
        <v/>
      </c>
      <c r="G497" s="19">
        <f>G491*G494*12*G496</f>
        <v/>
      </c>
      <c r="H497" s="19">
        <f>H491*H494*12*H496</f>
        <v/>
      </c>
      <c r="I497" s="19">
        <f>I491*I494*12*I496</f>
        <v/>
      </c>
      <c r="J497" s="19">
        <f>J491*J494*12*J496</f>
        <v/>
      </c>
      <c r="K497" s="19">
        <f>K491*K494*12*K496</f>
        <v/>
      </c>
      <c r="L497" s="19">
        <f>L491*L494*12*L496</f>
        <v/>
      </c>
      <c r="M497" s="19">
        <f>M491*M494*12*M496</f>
        <v/>
      </c>
      <c r="N497" s="19">
        <f>N491*N494*12*N496</f>
        <v/>
      </c>
      <c r="O497" s="19">
        <f>O491*O494*12*O496</f>
        <v/>
      </c>
      <c r="P497" s="19">
        <f>P491*P494*12*P496</f>
        <v/>
      </c>
      <c r="Q497" s="19">
        <f>Q491*Q494*12*Q496</f>
        <v/>
      </c>
      <c r="R497" s="19">
        <f>R491*R494*12*R496</f>
        <v/>
      </c>
      <c r="S497" s="19">
        <f>S491*S494*12*S496</f>
        <v/>
      </c>
      <c r="T497" s="19">
        <f>T491*T494*12*T496</f>
        <v/>
      </c>
      <c r="U497" s="19">
        <f>U491*U494*12*U496</f>
        <v/>
      </c>
      <c r="V497" s="19">
        <f>V491*V494*12*V496</f>
        <v/>
      </c>
      <c r="W497" s="19">
        <f>W491*W494*12*W496</f>
        <v/>
      </c>
      <c r="X497" s="19">
        <f>X491*X494*12*X496</f>
        <v/>
      </c>
      <c r="Y497" s="19">
        <f>Y491*Y494*12*Y496</f>
        <v/>
      </c>
      <c r="Z497" s="19">
        <f>Z491*Z494*12*Z496</f>
        <v/>
      </c>
      <c r="AA497" s="19">
        <f>AA491*AA494*12*AA496</f>
        <v/>
      </c>
      <c r="AB497" s="19">
        <f>AB491*AB494*12*AB496</f>
        <v/>
      </c>
      <c r="AC497" s="19">
        <f>AC491*AC494*12*AC496</f>
        <v/>
      </c>
      <c r="AD497" s="19">
        <f>AD491*AD494*12*AD496</f>
        <v/>
      </c>
      <c r="AE497" s="19">
        <f>AE491*AE494*12*AE496</f>
        <v/>
      </c>
      <c r="AF497" s="19">
        <f>AF491*AF494*12*AF496</f>
        <v/>
      </c>
      <c r="AG497" s="19">
        <f>AG491*AG494*12*AG496</f>
        <v/>
      </c>
      <c r="AH497" s="19">
        <f>AH491*AH494*12*AH496</f>
        <v/>
      </c>
      <c r="AI497" s="19">
        <f>AI491*AI494*12*AI496</f>
        <v/>
      </c>
    </row>
    <row r="498">
      <c r="B498" s="2" t="inlineStr">
        <is>
          <t xml:space="preserve">  Ancillary and throughput revenue</t>
        </is>
      </c>
      <c r="D498" s="19">
        <f>D497*i_R_anc</f>
        <v/>
      </c>
      <c r="E498" s="19">
        <f>E497*i_R_anc</f>
        <v/>
      </c>
      <c r="F498" s="19">
        <f>F497*i_R_anc</f>
        <v/>
      </c>
      <c r="G498" s="19">
        <f>G497*i_R_anc</f>
        <v/>
      </c>
      <c r="H498" s="19">
        <f>H497*i_R_anc</f>
        <v/>
      </c>
      <c r="I498" s="19">
        <f>I497*i_R_anc</f>
        <v/>
      </c>
      <c r="J498" s="19">
        <f>J497*i_R_anc</f>
        <v/>
      </c>
      <c r="K498" s="19">
        <f>K497*i_R_anc</f>
        <v/>
      </c>
      <c r="L498" s="19">
        <f>L497*i_R_anc</f>
        <v/>
      </c>
      <c r="M498" s="19">
        <f>M497*i_R_anc</f>
        <v/>
      </c>
      <c r="N498" s="19">
        <f>N497*i_R_anc</f>
        <v/>
      </c>
      <c r="O498" s="19">
        <f>O497*i_R_anc</f>
        <v/>
      </c>
      <c r="P498" s="19">
        <f>P497*i_R_anc</f>
        <v/>
      </c>
      <c r="Q498" s="19">
        <f>Q497*i_R_anc</f>
        <v/>
      </c>
      <c r="R498" s="19">
        <f>R497*i_R_anc</f>
        <v/>
      </c>
      <c r="S498" s="19">
        <f>S497*i_R_anc</f>
        <v/>
      </c>
      <c r="T498" s="19">
        <f>T497*i_R_anc</f>
        <v/>
      </c>
      <c r="U498" s="19">
        <f>U497*i_R_anc</f>
        <v/>
      </c>
      <c r="V498" s="19">
        <f>V497*i_R_anc</f>
        <v/>
      </c>
      <c r="W498" s="19">
        <f>W497*i_R_anc</f>
        <v/>
      </c>
      <c r="X498" s="19">
        <f>X497*i_R_anc</f>
        <v/>
      </c>
      <c r="Y498" s="19">
        <f>Y497*i_R_anc</f>
        <v/>
      </c>
      <c r="Z498" s="19">
        <f>Z497*i_R_anc</f>
        <v/>
      </c>
      <c r="AA498" s="19">
        <f>AA497*i_R_anc</f>
        <v/>
      </c>
      <c r="AB498" s="19">
        <f>AB497*i_R_anc</f>
        <v/>
      </c>
      <c r="AC498" s="19">
        <f>AC497*i_R_anc</f>
        <v/>
      </c>
      <c r="AD498" s="19">
        <f>AD497*i_R_anc</f>
        <v/>
      </c>
      <c r="AE498" s="19">
        <f>AE497*i_R_anc</f>
        <v/>
      </c>
      <c r="AF498" s="19">
        <f>AF497*i_R_anc</f>
        <v/>
      </c>
      <c r="AG498" s="19">
        <f>AG497*i_R_anc</f>
        <v/>
      </c>
      <c r="AH498" s="19">
        <f>AH497*i_R_anc</f>
        <v/>
      </c>
      <c r="AI498" s="19">
        <f>AI497*i_R_anc</f>
        <v/>
      </c>
    </row>
    <row r="499">
      <c r="B499" s="3" t="inlineStr">
        <is>
          <t xml:space="preserve">  Revenue</t>
        </is>
      </c>
      <c r="D499" s="31">
        <f>D497+D498</f>
        <v/>
      </c>
      <c r="E499" s="31">
        <f>E497+E498</f>
        <v/>
      </c>
      <c r="F499" s="31">
        <f>F497+F498</f>
        <v/>
      </c>
      <c r="G499" s="31">
        <f>G497+G498</f>
        <v/>
      </c>
      <c r="H499" s="31">
        <f>H497+H498</f>
        <v/>
      </c>
      <c r="I499" s="31">
        <f>I497+I498</f>
        <v/>
      </c>
      <c r="J499" s="31">
        <f>J497+J498</f>
        <v/>
      </c>
      <c r="K499" s="31">
        <f>K497+K498</f>
        <v/>
      </c>
      <c r="L499" s="31">
        <f>L497+L498</f>
        <v/>
      </c>
      <c r="M499" s="31">
        <f>M497+M498</f>
        <v/>
      </c>
      <c r="N499" s="31">
        <f>N497+N498</f>
        <v/>
      </c>
      <c r="O499" s="31">
        <f>O497+O498</f>
        <v/>
      </c>
      <c r="P499" s="31">
        <f>P497+P498</f>
        <v/>
      </c>
      <c r="Q499" s="31">
        <f>Q497+Q498</f>
        <v/>
      </c>
      <c r="R499" s="31">
        <f>R497+R498</f>
        <v/>
      </c>
      <c r="S499" s="31">
        <f>S497+S498</f>
        <v/>
      </c>
      <c r="T499" s="31">
        <f>T497+T498</f>
        <v/>
      </c>
      <c r="U499" s="31">
        <f>U497+U498</f>
        <v/>
      </c>
      <c r="V499" s="31">
        <f>V497+V498</f>
        <v/>
      </c>
      <c r="W499" s="31">
        <f>W497+W498</f>
        <v/>
      </c>
      <c r="X499" s="31">
        <f>X497+X498</f>
        <v/>
      </c>
      <c r="Y499" s="31">
        <f>Y497+Y498</f>
        <v/>
      </c>
      <c r="Z499" s="31">
        <f>Z497+Z498</f>
        <v/>
      </c>
      <c r="AA499" s="31">
        <f>AA497+AA498</f>
        <v/>
      </c>
      <c r="AB499" s="31">
        <f>AB497+AB498</f>
        <v/>
      </c>
      <c r="AC499" s="31">
        <f>AC497+AC498</f>
        <v/>
      </c>
      <c r="AD499" s="31">
        <f>AD497+AD498</f>
        <v/>
      </c>
      <c r="AE499" s="31">
        <f>AE497+AE498</f>
        <v/>
      </c>
      <c r="AF499" s="31">
        <f>AF497+AF498</f>
        <v/>
      </c>
      <c r="AG499" s="31">
        <f>AG497+AG498</f>
        <v/>
      </c>
      <c r="AH499" s="31">
        <f>AH497+AH498</f>
        <v/>
      </c>
      <c r="AI499" s="31">
        <f>AI497+AI498</f>
        <v/>
      </c>
    </row>
    <row r="500">
      <c r="B500" s="2" t="inlineStr">
        <is>
          <t xml:space="preserve">  Fixed cost</t>
        </is>
      </c>
      <c r="D500" s="19">
        <f>D491*i_R_fix*D470</f>
        <v/>
      </c>
      <c r="E500" s="19">
        <f>E491*i_R_fix*E470</f>
        <v/>
      </c>
      <c r="F500" s="19">
        <f>F491*i_R_fix*F470</f>
        <v/>
      </c>
      <c r="G500" s="19">
        <f>G491*i_R_fix*G470</f>
        <v/>
      </c>
      <c r="H500" s="19">
        <f>H491*i_R_fix*H470</f>
        <v/>
      </c>
      <c r="I500" s="19">
        <f>I491*i_R_fix*I470</f>
        <v/>
      </c>
      <c r="J500" s="19">
        <f>J491*i_R_fix*J470</f>
        <v/>
      </c>
      <c r="K500" s="19">
        <f>K491*i_R_fix*K470</f>
        <v/>
      </c>
      <c r="L500" s="19">
        <f>L491*i_R_fix*L470</f>
        <v/>
      </c>
      <c r="M500" s="19">
        <f>M491*i_R_fix*M470</f>
        <v/>
      </c>
      <c r="N500" s="19">
        <f>N491*i_R_fix*N470</f>
        <v/>
      </c>
      <c r="O500" s="19">
        <f>O491*i_R_fix*O470</f>
        <v/>
      </c>
      <c r="P500" s="19">
        <f>P491*i_R_fix*P470</f>
        <v/>
      </c>
      <c r="Q500" s="19">
        <f>Q491*i_R_fix*Q470</f>
        <v/>
      </c>
      <c r="R500" s="19">
        <f>R491*i_R_fix*R470</f>
        <v/>
      </c>
      <c r="S500" s="19">
        <f>S491*i_R_fix*S470</f>
        <v/>
      </c>
      <c r="T500" s="19">
        <f>T491*i_R_fix*T470</f>
        <v/>
      </c>
      <c r="U500" s="19">
        <f>U491*i_R_fix*U470</f>
        <v/>
      </c>
      <c r="V500" s="19">
        <f>V491*i_R_fix*V470</f>
        <v/>
      </c>
      <c r="W500" s="19">
        <f>W491*i_R_fix*W470</f>
        <v/>
      </c>
      <c r="X500" s="19">
        <f>X491*i_R_fix*X470</f>
        <v/>
      </c>
      <c r="Y500" s="19">
        <f>Y491*i_R_fix*Y470</f>
        <v/>
      </c>
      <c r="Z500" s="19">
        <f>Z491*i_R_fix*Z470</f>
        <v/>
      </c>
      <c r="AA500" s="19">
        <f>AA491*i_R_fix*AA470</f>
        <v/>
      </c>
      <c r="AB500" s="19">
        <f>AB491*i_R_fix*AB470</f>
        <v/>
      </c>
      <c r="AC500" s="19">
        <f>AC491*i_R_fix*AC470</f>
        <v/>
      </c>
      <c r="AD500" s="19">
        <f>AD491*i_R_fix*AD470</f>
        <v/>
      </c>
      <c r="AE500" s="19">
        <f>AE491*i_R_fix*AE470</f>
        <v/>
      </c>
      <c r="AF500" s="19">
        <f>AF491*i_R_fix*AF470</f>
        <v/>
      </c>
      <c r="AG500" s="19">
        <f>AG491*i_R_fix*AG470</f>
        <v/>
      </c>
      <c r="AH500" s="19">
        <f>AH491*i_R_fix*AH470</f>
        <v/>
      </c>
      <c r="AI500" s="19">
        <f>AI491*i_R_fix*AI470</f>
        <v/>
      </c>
    </row>
    <row r="501">
      <c r="B501" s="2" t="inlineStr">
        <is>
          <t xml:space="preserve">  Variable cost</t>
        </is>
      </c>
      <c r="D501" s="19">
        <f>i_R_var*D499</f>
        <v/>
      </c>
      <c r="E501" s="19">
        <f>i_R_var*E499</f>
        <v/>
      </c>
      <c r="F501" s="19">
        <f>i_R_var*F499</f>
        <v/>
      </c>
      <c r="G501" s="19">
        <f>i_R_var*G499</f>
        <v/>
      </c>
      <c r="H501" s="19">
        <f>i_R_var*H499</f>
        <v/>
      </c>
      <c r="I501" s="19">
        <f>i_R_var*I499</f>
        <v/>
      </c>
      <c r="J501" s="19">
        <f>i_R_var*J499</f>
        <v/>
      </c>
      <c r="K501" s="19">
        <f>i_R_var*K499</f>
        <v/>
      </c>
      <c r="L501" s="19">
        <f>i_R_var*L499</f>
        <v/>
      </c>
      <c r="M501" s="19">
        <f>i_R_var*M499</f>
        <v/>
      </c>
      <c r="N501" s="19">
        <f>i_R_var*N499</f>
        <v/>
      </c>
      <c r="O501" s="19">
        <f>i_R_var*O499</f>
        <v/>
      </c>
      <c r="P501" s="19">
        <f>i_R_var*P499</f>
        <v/>
      </c>
      <c r="Q501" s="19">
        <f>i_R_var*Q499</f>
        <v/>
      </c>
      <c r="R501" s="19">
        <f>i_R_var*R499</f>
        <v/>
      </c>
      <c r="S501" s="19">
        <f>i_R_var*S499</f>
        <v/>
      </c>
      <c r="T501" s="19">
        <f>i_R_var*T499</f>
        <v/>
      </c>
      <c r="U501" s="19">
        <f>i_R_var*U499</f>
        <v/>
      </c>
      <c r="V501" s="19">
        <f>i_R_var*V499</f>
        <v/>
      </c>
      <c r="W501" s="19">
        <f>i_R_var*W499</f>
        <v/>
      </c>
      <c r="X501" s="19">
        <f>i_R_var*X499</f>
        <v/>
      </c>
      <c r="Y501" s="19">
        <f>i_R_var*Y499</f>
        <v/>
      </c>
      <c r="Z501" s="19">
        <f>i_R_var*Z499</f>
        <v/>
      </c>
      <c r="AA501" s="19">
        <f>i_R_var*AA499</f>
        <v/>
      </c>
      <c r="AB501" s="19">
        <f>i_R_var*AB499</f>
        <v/>
      </c>
      <c r="AC501" s="19">
        <f>i_R_var*AC499</f>
        <v/>
      </c>
      <c r="AD501" s="19">
        <f>i_R_var*AD499</f>
        <v/>
      </c>
      <c r="AE501" s="19">
        <f>i_R_var*AE499</f>
        <v/>
      </c>
      <c r="AF501" s="19">
        <f>i_R_var*AF499</f>
        <v/>
      </c>
      <c r="AG501" s="19">
        <f>i_R_var*AG499</f>
        <v/>
      </c>
      <c r="AH501" s="19">
        <f>i_R_var*AH499</f>
        <v/>
      </c>
      <c r="AI501" s="19">
        <f>i_R_var*AI499</f>
        <v/>
      </c>
    </row>
    <row r="502">
      <c r="B502" s="2" t="inlineStr">
        <is>
          <t xml:space="preserve">  Operating cost</t>
        </is>
      </c>
      <c r="D502" s="19">
        <f>D500+D501</f>
        <v/>
      </c>
      <c r="E502" s="19">
        <f>E500+E501</f>
        <v/>
      </c>
      <c r="F502" s="19">
        <f>F500+F501</f>
        <v/>
      </c>
      <c r="G502" s="19">
        <f>G500+G501</f>
        <v/>
      </c>
      <c r="H502" s="19">
        <f>H500+H501</f>
        <v/>
      </c>
      <c r="I502" s="19">
        <f>I500+I501</f>
        <v/>
      </c>
      <c r="J502" s="19">
        <f>J500+J501</f>
        <v/>
      </c>
      <c r="K502" s="19">
        <f>K500+K501</f>
        <v/>
      </c>
      <c r="L502" s="19">
        <f>L500+L501</f>
        <v/>
      </c>
      <c r="M502" s="19">
        <f>M500+M501</f>
        <v/>
      </c>
      <c r="N502" s="19">
        <f>N500+N501</f>
        <v/>
      </c>
      <c r="O502" s="19">
        <f>O500+O501</f>
        <v/>
      </c>
      <c r="P502" s="19">
        <f>P500+P501</f>
        <v/>
      </c>
      <c r="Q502" s="19">
        <f>Q500+Q501</f>
        <v/>
      </c>
      <c r="R502" s="19">
        <f>R500+R501</f>
        <v/>
      </c>
      <c r="S502" s="19">
        <f>S500+S501</f>
        <v/>
      </c>
      <c r="T502" s="19">
        <f>T500+T501</f>
        <v/>
      </c>
      <c r="U502" s="19">
        <f>U500+U501</f>
        <v/>
      </c>
      <c r="V502" s="19">
        <f>V500+V501</f>
        <v/>
      </c>
      <c r="W502" s="19">
        <f>W500+W501</f>
        <v/>
      </c>
      <c r="X502" s="19">
        <f>X500+X501</f>
        <v/>
      </c>
      <c r="Y502" s="19">
        <f>Y500+Y501</f>
        <v/>
      </c>
      <c r="Z502" s="19">
        <f>Z500+Z501</f>
        <v/>
      </c>
      <c r="AA502" s="19">
        <f>AA500+AA501</f>
        <v/>
      </c>
      <c r="AB502" s="19">
        <f>AB500+AB501</f>
        <v/>
      </c>
      <c r="AC502" s="19">
        <f>AC500+AC501</f>
        <v/>
      </c>
      <c r="AD502" s="19">
        <f>AD500+AD501</f>
        <v/>
      </c>
      <c r="AE502" s="19">
        <f>AE500+AE501</f>
        <v/>
      </c>
      <c r="AF502" s="19">
        <f>AF500+AF501</f>
        <v/>
      </c>
      <c r="AG502" s="19">
        <f>AG500+AG501</f>
        <v/>
      </c>
      <c r="AH502" s="19">
        <f>AH500+AH501</f>
        <v/>
      </c>
      <c r="AI502" s="19">
        <f>AI500+AI501</f>
        <v/>
      </c>
    </row>
    <row r="503">
      <c r="B503" s="3" t="inlineStr">
        <is>
          <t xml:space="preserve">  EBITDA</t>
        </is>
      </c>
      <c r="D503" s="31">
        <f>D499-D502</f>
        <v/>
      </c>
      <c r="E503" s="31">
        <f>E499-E502</f>
        <v/>
      </c>
      <c r="F503" s="31">
        <f>F499-F502</f>
        <v/>
      </c>
      <c r="G503" s="31">
        <f>G499-G502</f>
        <v/>
      </c>
      <c r="H503" s="31">
        <f>H499-H502</f>
        <v/>
      </c>
      <c r="I503" s="31">
        <f>I499-I502</f>
        <v/>
      </c>
      <c r="J503" s="31">
        <f>J499-J502</f>
        <v/>
      </c>
      <c r="K503" s="31">
        <f>K499-K502</f>
        <v/>
      </c>
      <c r="L503" s="31">
        <f>L499-L502</f>
        <v/>
      </c>
      <c r="M503" s="31">
        <f>M499-M502</f>
        <v/>
      </c>
      <c r="N503" s="31">
        <f>N499-N502</f>
        <v/>
      </c>
      <c r="O503" s="31">
        <f>O499-O502</f>
        <v/>
      </c>
      <c r="P503" s="31">
        <f>P499-P502</f>
        <v/>
      </c>
      <c r="Q503" s="31">
        <f>Q499-Q502</f>
        <v/>
      </c>
      <c r="R503" s="31">
        <f>R499-R502</f>
        <v/>
      </c>
      <c r="S503" s="31">
        <f>S499-S502</f>
        <v/>
      </c>
      <c r="T503" s="31">
        <f>T499-T502</f>
        <v/>
      </c>
      <c r="U503" s="31">
        <f>U499-U502</f>
        <v/>
      </c>
      <c r="V503" s="31">
        <f>V499-V502</f>
        <v/>
      </c>
      <c r="W503" s="31">
        <f>W499-W502</f>
        <v/>
      </c>
      <c r="X503" s="31">
        <f>X499-X502</f>
        <v/>
      </c>
      <c r="Y503" s="31">
        <f>Y499-Y502</f>
        <v/>
      </c>
      <c r="Z503" s="31">
        <f>Z499-Z502</f>
        <v/>
      </c>
      <c r="AA503" s="31">
        <f>AA499-AA502</f>
        <v/>
      </c>
      <c r="AB503" s="31">
        <f>AB499-AB502</f>
        <v/>
      </c>
      <c r="AC503" s="31">
        <f>AC499-AC502</f>
        <v/>
      </c>
      <c r="AD503" s="31">
        <f>AD499-AD502</f>
        <v/>
      </c>
      <c r="AE503" s="31">
        <f>AE499-AE502</f>
        <v/>
      </c>
      <c r="AF503" s="31">
        <f>AF499-AF502</f>
        <v/>
      </c>
      <c r="AG503" s="31">
        <f>AG499-AG502</f>
        <v/>
      </c>
      <c r="AH503" s="31">
        <f>AH499-AH502</f>
        <v/>
      </c>
      <c r="AI503" s="31">
        <f>AI499-AI502</f>
        <v/>
      </c>
    </row>
    <row r="504">
      <c r="B504" s="2" t="inlineStr">
        <is>
          <t xml:space="preserve">  Maintenance capex</t>
        </is>
      </c>
      <c r="D504" s="19">
        <f>D491*i_R_mc*D470</f>
        <v/>
      </c>
      <c r="E504" s="19">
        <f>E491*i_R_mc*E470</f>
        <v/>
      </c>
      <c r="F504" s="19">
        <f>F491*i_R_mc*F470</f>
        <v/>
      </c>
      <c r="G504" s="19">
        <f>G491*i_R_mc*G470</f>
        <v/>
      </c>
      <c r="H504" s="19">
        <f>H491*i_R_mc*H470</f>
        <v/>
      </c>
      <c r="I504" s="19">
        <f>I491*i_R_mc*I470</f>
        <v/>
      </c>
      <c r="J504" s="19">
        <f>J491*i_R_mc*J470</f>
        <v/>
      </c>
      <c r="K504" s="19">
        <f>K491*i_R_mc*K470</f>
        <v/>
      </c>
      <c r="L504" s="19">
        <f>L491*i_R_mc*L470</f>
        <v/>
      </c>
      <c r="M504" s="19">
        <f>M491*i_R_mc*M470</f>
        <v/>
      </c>
      <c r="N504" s="19">
        <f>N491*i_R_mc*N470</f>
        <v/>
      </c>
      <c r="O504" s="19">
        <f>O491*i_R_mc*O470</f>
        <v/>
      </c>
      <c r="P504" s="19">
        <f>P491*i_R_mc*P470</f>
        <v/>
      </c>
      <c r="Q504" s="19">
        <f>Q491*i_R_mc*Q470</f>
        <v/>
      </c>
      <c r="R504" s="19">
        <f>R491*i_R_mc*R470</f>
        <v/>
      </c>
      <c r="S504" s="19">
        <f>S491*i_R_mc*S470</f>
        <v/>
      </c>
      <c r="T504" s="19">
        <f>T491*i_R_mc*T470</f>
        <v/>
      </c>
      <c r="U504" s="19">
        <f>U491*i_R_mc*U470</f>
        <v/>
      </c>
      <c r="V504" s="19">
        <f>V491*i_R_mc*V470</f>
        <v/>
      </c>
      <c r="W504" s="19">
        <f>W491*i_R_mc*W470</f>
        <v/>
      </c>
      <c r="X504" s="19">
        <f>X491*i_R_mc*X470</f>
        <v/>
      </c>
      <c r="Y504" s="19">
        <f>Y491*i_R_mc*Y470</f>
        <v/>
      </c>
      <c r="Z504" s="19">
        <f>Z491*i_R_mc*Z470</f>
        <v/>
      </c>
      <c r="AA504" s="19">
        <f>AA491*i_R_mc*AA470</f>
        <v/>
      </c>
      <c r="AB504" s="19">
        <f>AB491*i_R_mc*AB470</f>
        <v/>
      </c>
      <c r="AC504" s="19">
        <f>AC491*i_R_mc*AC470</f>
        <v/>
      </c>
      <c r="AD504" s="19">
        <f>AD491*i_R_mc*AD470</f>
        <v/>
      </c>
      <c r="AE504" s="19">
        <f>AE491*i_R_mc*AE470</f>
        <v/>
      </c>
      <c r="AF504" s="19">
        <f>AF491*i_R_mc*AF470</f>
        <v/>
      </c>
      <c r="AG504" s="19">
        <f>AG491*i_R_mc*AG470</f>
        <v/>
      </c>
      <c r="AH504" s="19">
        <f>AH491*i_R_mc*AH470</f>
        <v/>
      </c>
      <c r="AI504" s="19">
        <f>AI491*i_R_mc*AI470</f>
        <v/>
      </c>
    </row>
    <row r="505">
      <c r="B505" s="3" t="inlineStr">
        <is>
          <t>Thamesbridge</t>
        </is>
      </c>
    </row>
    <row r="506">
      <c r="B506" s="2" t="inlineStr">
        <is>
          <t xml:space="preserve">  Capacity in service (million m3)</t>
        </is>
      </c>
      <c r="D506" s="24">
        <f>i_T_cap</f>
        <v/>
      </c>
      <c r="E506" s="24">
        <f>i_T_cap</f>
        <v/>
      </c>
      <c r="F506" s="24">
        <f>i_T_cap</f>
        <v/>
      </c>
      <c r="G506" s="24">
        <f>i_T_cap</f>
        <v/>
      </c>
      <c r="H506" s="24">
        <f>i_T_cap</f>
        <v/>
      </c>
      <c r="I506" s="24">
        <f>i_T_cap</f>
        <v/>
      </c>
      <c r="J506" s="24">
        <f>i_T_cap</f>
        <v/>
      </c>
      <c r="K506" s="24">
        <f>i_T_cap</f>
        <v/>
      </c>
      <c r="L506" s="24">
        <f>i_T_cap</f>
        <v/>
      </c>
      <c r="M506" s="24">
        <f>i_T_cap</f>
        <v/>
      </c>
      <c r="N506" s="24">
        <f>i_T_cap</f>
        <v/>
      </c>
      <c r="O506" s="24">
        <f>i_T_cap</f>
        <v/>
      </c>
      <c r="P506" s="24">
        <f>i_T_cap</f>
        <v/>
      </c>
      <c r="Q506" s="24">
        <f>i_T_cap</f>
        <v/>
      </c>
      <c r="R506" s="24">
        <f>i_T_cap</f>
        <v/>
      </c>
      <c r="S506" s="24">
        <f>i_T_cap</f>
        <v/>
      </c>
      <c r="T506" s="24">
        <f>i_T_cap</f>
        <v/>
      </c>
      <c r="U506" s="24">
        <f>i_T_cap</f>
        <v/>
      </c>
      <c r="V506" s="24">
        <f>i_T_cap</f>
        <v/>
      </c>
      <c r="W506" s="24">
        <f>i_T_cap</f>
        <v/>
      </c>
      <c r="X506" s="24">
        <f>i_T_cap</f>
        <v/>
      </c>
      <c r="Y506" s="24">
        <f>i_T_cap</f>
        <v/>
      </c>
      <c r="Z506" s="24">
        <f>i_T_cap</f>
        <v/>
      </c>
      <c r="AA506" s="24">
        <f>i_T_cap</f>
        <v/>
      </c>
      <c r="AB506" s="24">
        <f>i_T_cap</f>
        <v/>
      </c>
      <c r="AC506" s="24">
        <f>i_T_cap</f>
        <v/>
      </c>
      <c r="AD506" s="24">
        <f>i_T_cap</f>
        <v/>
      </c>
      <c r="AE506" s="24">
        <f>i_T_cap</f>
        <v/>
      </c>
      <c r="AF506" s="24">
        <f>i_T_cap</f>
        <v/>
      </c>
      <c r="AG506" s="24">
        <f>i_T_cap</f>
        <v/>
      </c>
      <c r="AH506" s="24">
        <f>i_T_cap</f>
        <v/>
      </c>
      <c r="AI506" s="24">
        <f>i_T_cap</f>
        <v/>
      </c>
    </row>
    <row r="507">
      <c r="B507" s="2" t="inlineStr">
        <is>
          <t xml:space="preserve">  Share on contracts signed before 2027</t>
        </is>
      </c>
      <c r="D507" s="21">
        <f>SUMIF(i_book_years,D$3,i_T_book)</f>
        <v/>
      </c>
      <c r="E507" s="21">
        <f>SUMIF(i_book_years,E$3,i_T_book)</f>
        <v/>
      </c>
      <c r="F507" s="21">
        <f>SUMIF(i_book_years,F$3,i_T_book)</f>
        <v/>
      </c>
      <c r="G507" s="21">
        <f>SUMIF(i_book_years,G$3,i_T_book)</f>
        <v/>
      </c>
      <c r="H507" s="21">
        <f>SUMIF(i_book_years,H$3,i_T_book)</f>
        <v/>
      </c>
      <c r="I507" s="21">
        <f>SUMIF(i_book_years,I$3,i_T_book)</f>
        <v/>
      </c>
      <c r="J507" s="21">
        <f>SUMIF(i_book_years,J$3,i_T_book)</f>
        <v/>
      </c>
      <c r="K507" s="21">
        <f>SUMIF(i_book_years,K$3,i_T_book)</f>
        <v/>
      </c>
      <c r="L507" s="21">
        <f>SUMIF(i_book_years,L$3,i_T_book)</f>
        <v/>
      </c>
      <c r="M507" s="21">
        <f>SUMIF(i_book_years,M$3,i_T_book)</f>
        <v/>
      </c>
      <c r="N507" s="21">
        <f>SUMIF(i_book_years,N$3,i_T_book)</f>
        <v/>
      </c>
      <c r="O507" s="21">
        <f>SUMIF(i_book_years,O$3,i_T_book)</f>
        <v/>
      </c>
      <c r="P507" s="21">
        <f>SUMIF(i_book_years,P$3,i_T_book)</f>
        <v/>
      </c>
      <c r="Q507" s="21">
        <f>SUMIF(i_book_years,Q$3,i_T_book)</f>
        <v/>
      </c>
      <c r="R507" s="21">
        <f>SUMIF(i_book_years,R$3,i_T_book)</f>
        <v/>
      </c>
      <c r="S507" s="21">
        <f>SUMIF(i_book_years,S$3,i_T_book)</f>
        <v/>
      </c>
      <c r="T507" s="21">
        <f>SUMIF(i_book_years,T$3,i_T_book)</f>
        <v/>
      </c>
      <c r="U507" s="21">
        <f>SUMIF(i_book_years,U$3,i_T_book)</f>
        <v/>
      </c>
      <c r="V507" s="21">
        <f>SUMIF(i_book_years,V$3,i_T_book)</f>
        <v/>
      </c>
      <c r="W507" s="21">
        <f>SUMIF(i_book_years,W$3,i_T_book)</f>
        <v/>
      </c>
      <c r="X507" s="21">
        <f>SUMIF(i_book_years,X$3,i_T_book)</f>
        <v/>
      </c>
      <c r="Y507" s="21">
        <f>SUMIF(i_book_years,Y$3,i_T_book)</f>
        <v/>
      </c>
      <c r="Z507" s="21">
        <f>SUMIF(i_book_years,Z$3,i_T_book)</f>
        <v/>
      </c>
      <c r="AA507" s="21">
        <f>SUMIF(i_book_years,AA$3,i_T_book)</f>
        <v/>
      </c>
      <c r="AB507" s="21">
        <f>SUMIF(i_book_years,AB$3,i_T_book)</f>
        <v/>
      </c>
      <c r="AC507" s="21">
        <f>SUMIF(i_book_years,AC$3,i_T_book)</f>
        <v/>
      </c>
      <c r="AD507" s="21">
        <f>SUMIF(i_book_years,AD$3,i_T_book)</f>
        <v/>
      </c>
      <c r="AE507" s="21">
        <f>SUMIF(i_book_years,AE$3,i_T_book)</f>
        <v/>
      </c>
      <c r="AF507" s="21">
        <f>SUMIF(i_book_years,AF$3,i_T_book)</f>
        <v/>
      </c>
      <c r="AG507" s="21">
        <f>SUMIF(i_book_years,AG$3,i_T_book)</f>
        <v/>
      </c>
      <c r="AH507" s="21">
        <f>SUMIF(i_book_years,AH$3,i_T_book)</f>
        <v/>
      </c>
      <c r="AI507" s="21">
        <f>SUMIF(i_book_years,AI$3,i_T_book)</f>
        <v/>
      </c>
    </row>
    <row r="508">
      <c r="B508" s="2" t="inlineStr">
        <is>
          <t xml:space="preserve">  Recontracting factor against current rates</t>
        </is>
      </c>
      <c r="D508" s="21">
        <f>IF(D$4=0,0,IF(Sensitivities!$C$460=1,i_T_mtm,i_T_mtm_plan)+Sensitivities!$C$466)</f>
        <v/>
      </c>
      <c r="E508" s="21">
        <f>IF(E$4=0,0,IF(Sensitivities!$C$460=1,i_T_mtm,i_T_mtm_plan)+Sensitivities!$C$466)</f>
        <v/>
      </c>
      <c r="F508" s="21">
        <f>IF(F$4=0,0,IF(Sensitivities!$C$460=1,i_T_mtm,i_T_mtm_plan)+Sensitivities!$C$466)</f>
        <v/>
      </c>
      <c r="G508" s="21">
        <f>IF(G$4=0,0,IF(Sensitivities!$C$460=1,i_T_mtm,i_T_mtm_plan)+Sensitivities!$C$466)</f>
        <v/>
      </c>
      <c r="H508" s="21">
        <f>IF(H$4=0,0,IF(Sensitivities!$C$460=1,i_T_mtm,i_T_mtm_plan)+Sensitivities!$C$466)</f>
        <v/>
      </c>
      <c r="I508" s="21">
        <f>IF(I$4=0,0,IF(Sensitivities!$C$460=1,i_T_mtm,i_T_mtm_plan)+Sensitivities!$C$466)</f>
        <v/>
      </c>
      <c r="J508" s="21">
        <f>IF(J$4=0,0,IF(Sensitivities!$C$460=1,i_T_mtm,i_T_mtm_plan)+Sensitivities!$C$466)</f>
        <v/>
      </c>
      <c r="K508" s="21">
        <f>IF(K$4=0,0,IF(Sensitivities!$C$460=1,i_T_mtm,i_T_mtm_plan)+Sensitivities!$C$466)</f>
        <v/>
      </c>
      <c r="L508" s="21">
        <f>IF(L$4=0,0,IF(Sensitivities!$C$460=1,i_T_mtm,i_T_mtm_plan)+Sensitivities!$C$466)</f>
        <v/>
      </c>
      <c r="M508" s="21">
        <f>IF(M$4=0,0,IF(Sensitivities!$C$460=1,i_T_mtm,i_T_mtm_plan)+Sensitivities!$C$466)</f>
        <v/>
      </c>
      <c r="N508" s="21">
        <f>IF(N$4=0,0,IF(Sensitivities!$C$460=1,i_T_mtm,i_T_mtm_plan)+Sensitivities!$C$466)</f>
        <v/>
      </c>
      <c r="O508" s="21">
        <f>IF(O$4=0,0,IF(Sensitivities!$C$460=1,i_T_mtm,i_T_mtm_plan)+Sensitivities!$C$466)</f>
        <v/>
      </c>
      <c r="P508" s="21">
        <f>IF(P$4=0,0,IF(Sensitivities!$C$460=1,i_T_mtm,i_T_mtm_plan)+Sensitivities!$C$466)</f>
        <v/>
      </c>
      <c r="Q508" s="21">
        <f>IF(Q$4=0,0,IF(Sensitivities!$C$460=1,i_T_mtm,i_T_mtm_plan)+Sensitivities!$C$466)</f>
        <v/>
      </c>
      <c r="R508" s="21">
        <f>IF(R$4=0,0,IF(Sensitivities!$C$460=1,i_T_mtm,i_T_mtm_plan)+Sensitivities!$C$466)</f>
        <v/>
      </c>
      <c r="S508" s="21">
        <f>IF(S$4=0,0,IF(Sensitivities!$C$460=1,i_T_mtm,i_T_mtm_plan)+Sensitivities!$C$466)</f>
        <v/>
      </c>
      <c r="T508" s="21">
        <f>IF(T$4=0,0,IF(Sensitivities!$C$460=1,i_T_mtm,i_T_mtm_plan)+Sensitivities!$C$466)</f>
        <v/>
      </c>
      <c r="U508" s="21">
        <f>IF(U$4=0,0,IF(Sensitivities!$C$460=1,i_T_mtm,i_T_mtm_plan)+Sensitivities!$C$466)</f>
        <v/>
      </c>
      <c r="V508" s="21">
        <f>IF(V$4=0,0,IF(Sensitivities!$C$460=1,i_T_mtm,i_T_mtm_plan)+Sensitivities!$C$466)</f>
        <v/>
      </c>
      <c r="W508" s="21">
        <f>IF(W$4=0,0,IF(Sensitivities!$C$460=1,i_T_mtm,i_T_mtm_plan)+Sensitivities!$C$466)</f>
        <v/>
      </c>
      <c r="X508" s="21">
        <f>IF(X$4=0,0,IF(Sensitivities!$C$460=1,i_T_mtm,i_T_mtm_plan)+Sensitivities!$C$466)</f>
        <v/>
      </c>
      <c r="Y508" s="21">
        <f>IF(Y$4=0,0,IF(Sensitivities!$C$460=1,i_T_mtm,i_T_mtm_plan)+Sensitivities!$C$466)</f>
        <v/>
      </c>
      <c r="Z508" s="21">
        <f>IF(Z$4=0,0,IF(Sensitivities!$C$460=1,i_T_mtm,i_T_mtm_plan)+Sensitivities!$C$466)</f>
        <v/>
      </c>
      <c r="AA508" s="21">
        <f>IF(AA$4=0,0,IF(Sensitivities!$C$460=1,i_T_mtm,i_T_mtm_plan)+Sensitivities!$C$466)</f>
        <v/>
      </c>
      <c r="AB508" s="21">
        <f>IF(AB$4=0,0,IF(Sensitivities!$C$460=1,i_T_mtm,i_T_mtm_plan)+Sensitivities!$C$466)</f>
        <v/>
      </c>
      <c r="AC508" s="21">
        <f>IF(AC$4=0,0,IF(Sensitivities!$C$460=1,i_T_mtm,i_T_mtm_plan)+Sensitivities!$C$466)</f>
        <v/>
      </c>
      <c r="AD508" s="21">
        <f>IF(AD$4=0,0,IF(Sensitivities!$C$460=1,i_T_mtm,i_T_mtm_plan)+Sensitivities!$C$466)</f>
        <v/>
      </c>
      <c r="AE508" s="21">
        <f>IF(AE$4=0,0,IF(Sensitivities!$C$460=1,i_T_mtm,i_T_mtm_plan)+Sensitivities!$C$466)</f>
        <v/>
      </c>
      <c r="AF508" s="21">
        <f>IF(AF$4=0,0,IF(Sensitivities!$C$460=1,i_T_mtm,i_T_mtm_plan)+Sensitivities!$C$466)</f>
        <v/>
      </c>
      <c r="AG508" s="21">
        <f>IF(AG$4=0,0,IF(Sensitivities!$C$460=1,i_T_mtm,i_T_mtm_plan)+Sensitivities!$C$466)</f>
        <v/>
      </c>
      <c r="AH508" s="21">
        <f>IF(AH$4=0,0,IF(Sensitivities!$C$460=1,i_T_mtm,i_T_mtm_plan)+Sensitivities!$C$466)</f>
        <v/>
      </c>
      <c r="AI508" s="21">
        <f>IF(AI$4=0,0,IF(Sensitivities!$C$460=1,i_T_mtm,i_T_mtm_plan)+Sensitivities!$C$466)</f>
        <v/>
      </c>
    </row>
    <row r="509">
      <c r="B509" s="2" t="inlineStr">
        <is>
          <t xml:space="preserve">  Average rate ($ per m3 per month)</t>
        </is>
      </c>
      <c r="D509" s="24">
        <f>i_T_rate*D471*(D507+(1-D507)*(1+D508))</f>
        <v/>
      </c>
      <c r="E509" s="24">
        <f>i_T_rate*E471*(E507+(1-E507)*(1+E508))</f>
        <v/>
      </c>
      <c r="F509" s="24">
        <f>i_T_rate*F471*(F507+(1-F507)*(1+F508))</f>
        <v/>
      </c>
      <c r="G509" s="24">
        <f>i_T_rate*G471*(G507+(1-G507)*(1+G508))</f>
        <v/>
      </c>
      <c r="H509" s="24">
        <f>i_T_rate*H471*(H507+(1-H507)*(1+H508))</f>
        <v/>
      </c>
      <c r="I509" s="24">
        <f>i_T_rate*I471*(I507+(1-I507)*(1+I508))</f>
        <v/>
      </c>
      <c r="J509" s="24">
        <f>i_T_rate*J471*(J507+(1-J507)*(1+J508))</f>
        <v/>
      </c>
      <c r="K509" s="24">
        <f>i_T_rate*K471*(K507+(1-K507)*(1+K508))</f>
        <v/>
      </c>
      <c r="L509" s="24">
        <f>i_T_rate*L471*(L507+(1-L507)*(1+L508))</f>
        <v/>
      </c>
      <c r="M509" s="24">
        <f>i_T_rate*M471*(M507+(1-M507)*(1+M508))</f>
        <v/>
      </c>
      <c r="N509" s="24">
        <f>i_T_rate*N471*(N507+(1-N507)*(1+N508))</f>
        <v/>
      </c>
      <c r="O509" s="24">
        <f>i_T_rate*O471*(O507+(1-O507)*(1+O508))</f>
        <v/>
      </c>
      <c r="P509" s="24">
        <f>i_T_rate*P471*(P507+(1-P507)*(1+P508))</f>
        <v/>
      </c>
      <c r="Q509" s="24">
        <f>i_T_rate*Q471*(Q507+(1-Q507)*(1+Q508))</f>
        <v/>
      </c>
      <c r="R509" s="24">
        <f>i_T_rate*R471*(R507+(1-R507)*(1+R508))</f>
        <v/>
      </c>
      <c r="S509" s="24">
        <f>i_T_rate*S471*(S507+(1-S507)*(1+S508))</f>
        <v/>
      </c>
      <c r="T509" s="24">
        <f>i_T_rate*T471*(T507+(1-T507)*(1+T508))</f>
        <v/>
      </c>
      <c r="U509" s="24">
        <f>i_T_rate*U471*(U507+(1-U507)*(1+U508))</f>
        <v/>
      </c>
      <c r="V509" s="24">
        <f>i_T_rate*V471*(V507+(1-V507)*(1+V508))</f>
        <v/>
      </c>
      <c r="W509" s="24">
        <f>i_T_rate*W471*(W507+(1-W507)*(1+W508))</f>
        <v/>
      </c>
      <c r="X509" s="24">
        <f>i_T_rate*X471*(X507+(1-X507)*(1+X508))</f>
        <v/>
      </c>
      <c r="Y509" s="24">
        <f>i_T_rate*Y471*(Y507+(1-Y507)*(1+Y508))</f>
        <v/>
      </c>
      <c r="Z509" s="24">
        <f>i_T_rate*Z471*(Z507+(1-Z507)*(1+Z508))</f>
        <v/>
      </c>
      <c r="AA509" s="24">
        <f>i_T_rate*AA471*(AA507+(1-AA507)*(1+AA508))</f>
        <v/>
      </c>
      <c r="AB509" s="24">
        <f>i_T_rate*AB471*(AB507+(1-AB507)*(1+AB508))</f>
        <v/>
      </c>
      <c r="AC509" s="24">
        <f>i_T_rate*AC471*(AC507+(1-AC507)*(1+AC508))</f>
        <v/>
      </c>
      <c r="AD509" s="24">
        <f>i_T_rate*AD471*(AD507+(1-AD507)*(1+AD508))</f>
        <v/>
      </c>
      <c r="AE509" s="24">
        <f>i_T_rate*AE471*(AE507+(1-AE507)*(1+AE508))</f>
        <v/>
      </c>
      <c r="AF509" s="24">
        <f>i_T_rate*AF471*(AF507+(1-AF507)*(1+AF508))</f>
        <v/>
      </c>
      <c r="AG509" s="24">
        <f>i_T_rate*AG471*(AG507+(1-AG507)*(1+AG508))</f>
        <v/>
      </c>
      <c r="AH509" s="24">
        <f>i_T_rate*AH471*(AH507+(1-AH507)*(1+AH508))</f>
        <v/>
      </c>
      <c r="AI509" s="24">
        <f>i_T_rate*AI471*(AI507+(1-AI507)*(1+AI508))</f>
        <v/>
      </c>
    </row>
    <row r="510">
      <c r="B510" s="2" t="inlineStr">
        <is>
          <t xml:space="preserve">  Occupancy after the transition decline and floor</t>
        </is>
      </c>
      <c r="D510" s="21">
        <f>IF(D$3&gt;i_trans_start,MAX(i_T_floor,i_T_occ-i_T_dec*(D$3-i_trans_start)),i_T_occ)</f>
        <v/>
      </c>
      <c r="E510" s="21">
        <f>IF(E$3&gt;i_trans_start,MAX(i_T_floor,i_T_occ-i_T_dec*(E$3-i_trans_start)),i_T_occ)</f>
        <v/>
      </c>
      <c r="F510" s="21">
        <f>IF(F$3&gt;i_trans_start,MAX(i_T_floor,i_T_occ-i_T_dec*(F$3-i_trans_start)),i_T_occ)</f>
        <v/>
      </c>
      <c r="G510" s="21">
        <f>IF(G$3&gt;i_trans_start,MAX(i_T_floor,i_T_occ-i_T_dec*(G$3-i_trans_start)),i_T_occ)</f>
        <v/>
      </c>
      <c r="H510" s="21">
        <f>IF(H$3&gt;i_trans_start,MAX(i_T_floor,i_T_occ-i_T_dec*(H$3-i_trans_start)),i_T_occ)</f>
        <v/>
      </c>
      <c r="I510" s="21">
        <f>IF(I$3&gt;i_trans_start,MAX(i_T_floor,i_T_occ-i_T_dec*(I$3-i_trans_start)),i_T_occ)</f>
        <v/>
      </c>
      <c r="J510" s="21">
        <f>IF(J$3&gt;i_trans_start,MAX(i_T_floor,i_T_occ-i_T_dec*(J$3-i_trans_start)),i_T_occ)</f>
        <v/>
      </c>
      <c r="K510" s="21">
        <f>IF(K$3&gt;i_trans_start,MAX(i_T_floor,i_T_occ-i_T_dec*(K$3-i_trans_start)),i_T_occ)</f>
        <v/>
      </c>
      <c r="L510" s="21">
        <f>IF(L$3&gt;i_trans_start,MAX(i_T_floor,i_T_occ-i_T_dec*(L$3-i_trans_start)),i_T_occ)</f>
        <v/>
      </c>
      <c r="M510" s="21">
        <f>IF(M$3&gt;i_trans_start,MAX(i_T_floor,i_T_occ-i_T_dec*(M$3-i_trans_start)),i_T_occ)</f>
        <v/>
      </c>
      <c r="N510" s="21">
        <f>IF(N$3&gt;i_trans_start,MAX(i_T_floor,i_T_occ-i_T_dec*(N$3-i_trans_start)),i_T_occ)</f>
        <v/>
      </c>
      <c r="O510" s="21">
        <f>IF(O$3&gt;i_trans_start,MAX(i_T_floor,i_T_occ-i_T_dec*(O$3-i_trans_start)),i_T_occ)</f>
        <v/>
      </c>
      <c r="P510" s="21">
        <f>IF(P$3&gt;i_trans_start,MAX(i_T_floor,i_T_occ-i_T_dec*(P$3-i_trans_start)),i_T_occ)</f>
        <v/>
      </c>
      <c r="Q510" s="21">
        <f>IF(Q$3&gt;i_trans_start,MAX(i_T_floor,i_T_occ-i_T_dec*(Q$3-i_trans_start)),i_T_occ)</f>
        <v/>
      </c>
      <c r="R510" s="21">
        <f>IF(R$3&gt;i_trans_start,MAX(i_T_floor,i_T_occ-i_T_dec*(R$3-i_trans_start)),i_T_occ)</f>
        <v/>
      </c>
      <c r="S510" s="21">
        <f>IF(S$3&gt;i_trans_start,MAX(i_T_floor,i_T_occ-i_T_dec*(S$3-i_trans_start)),i_T_occ)</f>
        <v/>
      </c>
      <c r="T510" s="21">
        <f>IF(T$3&gt;i_trans_start,MAX(i_T_floor,i_T_occ-i_T_dec*(T$3-i_trans_start)),i_T_occ)</f>
        <v/>
      </c>
      <c r="U510" s="21">
        <f>IF(U$3&gt;i_trans_start,MAX(i_T_floor,i_T_occ-i_T_dec*(U$3-i_trans_start)),i_T_occ)</f>
        <v/>
      </c>
      <c r="V510" s="21">
        <f>IF(V$3&gt;i_trans_start,MAX(i_T_floor,i_T_occ-i_T_dec*(V$3-i_trans_start)),i_T_occ)</f>
        <v/>
      </c>
      <c r="W510" s="21">
        <f>IF(W$3&gt;i_trans_start,MAX(i_T_floor,i_T_occ-i_T_dec*(W$3-i_trans_start)),i_T_occ)</f>
        <v/>
      </c>
      <c r="X510" s="21">
        <f>IF(X$3&gt;i_trans_start,MAX(i_T_floor,i_T_occ-i_T_dec*(X$3-i_trans_start)),i_T_occ)</f>
        <v/>
      </c>
      <c r="Y510" s="21">
        <f>IF(Y$3&gt;i_trans_start,MAX(i_T_floor,i_T_occ-i_T_dec*(Y$3-i_trans_start)),i_T_occ)</f>
        <v/>
      </c>
      <c r="Z510" s="21">
        <f>IF(Z$3&gt;i_trans_start,MAX(i_T_floor,i_T_occ-i_T_dec*(Z$3-i_trans_start)),i_T_occ)</f>
        <v/>
      </c>
      <c r="AA510" s="21">
        <f>IF(AA$3&gt;i_trans_start,MAX(i_T_floor,i_T_occ-i_T_dec*(AA$3-i_trans_start)),i_T_occ)</f>
        <v/>
      </c>
      <c r="AB510" s="21">
        <f>IF(AB$3&gt;i_trans_start,MAX(i_T_floor,i_T_occ-i_T_dec*(AB$3-i_trans_start)),i_T_occ)</f>
        <v/>
      </c>
      <c r="AC510" s="21">
        <f>IF(AC$3&gt;i_trans_start,MAX(i_T_floor,i_T_occ-i_T_dec*(AC$3-i_trans_start)),i_T_occ)</f>
        <v/>
      </c>
      <c r="AD510" s="21">
        <f>IF(AD$3&gt;i_trans_start,MAX(i_T_floor,i_T_occ-i_T_dec*(AD$3-i_trans_start)),i_T_occ)</f>
        <v/>
      </c>
      <c r="AE510" s="21">
        <f>IF(AE$3&gt;i_trans_start,MAX(i_T_floor,i_T_occ-i_T_dec*(AE$3-i_trans_start)),i_T_occ)</f>
        <v/>
      </c>
      <c r="AF510" s="21">
        <f>IF(AF$3&gt;i_trans_start,MAX(i_T_floor,i_T_occ-i_T_dec*(AF$3-i_trans_start)),i_T_occ)</f>
        <v/>
      </c>
      <c r="AG510" s="21">
        <f>IF(AG$3&gt;i_trans_start,MAX(i_T_floor,i_T_occ-i_T_dec*(AG$3-i_trans_start)),i_T_occ)</f>
        <v/>
      </c>
      <c r="AH510" s="21">
        <f>IF(AH$3&gt;i_trans_start,MAX(i_T_floor,i_T_occ-i_T_dec*(AH$3-i_trans_start)),i_T_occ)</f>
        <v/>
      </c>
      <c r="AI510" s="21">
        <f>IF(AI$3&gt;i_trans_start,MAX(i_T_floor,i_T_occ-i_T_dec*(AI$3-i_trans_start)),i_T_occ)</f>
        <v/>
      </c>
    </row>
    <row r="511">
      <c r="B511" s="2" t="inlineStr">
        <is>
          <t xml:space="preserve">  Occupancy (with the shift switch from 2027)</t>
        </is>
      </c>
      <c r="D511" s="21">
        <f>IF(D$4&gt;0,MIN(1,D510+Sensitivities!$C$465),D510)</f>
        <v/>
      </c>
      <c r="E511" s="21">
        <f>IF(E$4&gt;0,MIN(1,E510+Sensitivities!$C$465),E510)</f>
        <v/>
      </c>
      <c r="F511" s="21">
        <f>IF(F$4&gt;0,MIN(1,F510+Sensitivities!$C$465),F510)</f>
        <v/>
      </c>
      <c r="G511" s="21">
        <f>IF(G$4&gt;0,MIN(1,G510+Sensitivities!$C$465),G510)</f>
        <v/>
      </c>
      <c r="H511" s="21">
        <f>IF(H$4&gt;0,MIN(1,H510+Sensitivities!$C$465),H510)</f>
        <v/>
      </c>
      <c r="I511" s="21">
        <f>IF(I$4&gt;0,MIN(1,I510+Sensitivities!$C$465),I510)</f>
        <v/>
      </c>
      <c r="J511" s="21">
        <f>IF(J$4&gt;0,MIN(1,J510+Sensitivities!$C$465),J510)</f>
        <v/>
      </c>
      <c r="K511" s="21">
        <f>IF(K$4&gt;0,MIN(1,K510+Sensitivities!$C$465),K510)</f>
        <v/>
      </c>
      <c r="L511" s="21">
        <f>IF(L$4&gt;0,MIN(1,L510+Sensitivities!$C$465),L510)</f>
        <v/>
      </c>
      <c r="M511" s="21">
        <f>IF(M$4&gt;0,MIN(1,M510+Sensitivities!$C$465),M510)</f>
        <v/>
      </c>
      <c r="N511" s="21">
        <f>IF(N$4&gt;0,MIN(1,N510+Sensitivities!$C$465),N510)</f>
        <v/>
      </c>
      <c r="O511" s="21">
        <f>IF(O$4&gt;0,MIN(1,O510+Sensitivities!$C$465),O510)</f>
        <v/>
      </c>
      <c r="P511" s="21">
        <f>IF(P$4&gt;0,MIN(1,P510+Sensitivities!$C$465),P510)</f>
        <v/>
      </c>
      <c r="Q511" s="21">
        <f>IF(Q$4&gt;0,MIN(1,Q510+Sensitivities!$C$465),Q510)</f>
        <v/>
      </c>
      <c r="R511" s="21">
        <f>IF(R$4&gt;0,MIN(1,R510+Sensitivities!$C$465),R510)</f>
        <v/>
      </c>
      <c r="S511" s="21">
        <f>IF(S$4&gt;0,MIN(1,S510+Sensitivities!$C$465),S510)</f>
        <v/>
      </c>
      <c r="T511" s="21">
        <f>IF(T$4&gt;0,MIN(1,T510+Sensitivities!$C$465),T510)</f>
        <v/>
      </c>
      <c r="U511" s="21">
        <f>IF(U$4&gt;0,MIN(1,U510+Sensitivities!$C$465),U510)</f>
        <v/>
      </c>
      <c r="V511" s="21">
        <f>IF(V$4&gt;0,MIN(1,V510+Sensitivities!$C$465),V510)</f>
        <v/>
      </c>
      <c r="W511" s="21">
        <f>IF(W$4&gt;0,MIN(1,W510+Sensitivities!$C$465),W510)</f>
        <v/>
      </c>
      <c r="X511" s="21">
        <f>IF(X$4&gt;0,MIN(1,X510+Sensitivities!$C$465),X510)</f>
        <v/>
      </c>
      <c r="Y511" s="21">
        <f>IF(Y$4&gt;0,MIN(1,Y510+Sensitivities!$C$465),Y510)</f>
        <v/>
      </c>
      <c r="Z511" s="21">
        <f>IF(Z$4&gt;0,MIN(1,Z510+Sensitivities!$C$465),Z510)</f>
        <v/>
      </c>
      <c r="AA511" s="21">
        <f>IF(AA$4&gt;0,MIN(1,AA510+Sensitivities!$C$465),AA510)</f>
        <v/>
      </c>
      <c r="AB511" s="21">
        <f>IF(AB$4&gt;0,MIN(1,AB510+Sensitivities!$C$465),AB510)</f>
        <v/>
      </c>
      <c r="AC511" s="21">
        <f>IF(AC$4&gt;0,MIN(1,AC510+Sensitivities!$C$465),AC510)</f>
        <v/>
      </c>
      <c r="AD511" s="21">
        <f>IF(AD$4&gt;0,MIN(1,AD510+Sensitivities!$C$465),AD510)</f>
        <v/>
      </c>
      <c r="AE511" s="21">
        <f>IF(AE$4&gt;0,MIN(1,AE510+Sensitivities!$C$465),AE510)</f>
        <v/>
      </c>
      <c r="AF511" s="21">
        <f>IF(AF$4&gt;0,MIN(1,AF510+Sensitivities!$C$465),AF510)</f>
        <v/>
      </c>
      <c r="AG511" s="21">
        <f>IF(AG$4&gt;0,MIN(1,AG510+Sensitivities!$C$465),AG510)</f>
        <v/>
      </c>
      <c r="AH511" s="21">
        <f>IF(AH$4&gt;0,MIN(1,AH510+Sensitivities!$C$465),AH510)</f>
        <v/>
      </c>
      <c r="AI511" s="21">
        <f>IF(AI$4&gt;0,MIN(1,AI510+Sensitivities!$C$465),AI510)</f>
        <v/>
      </c>
    </row>
    <row r="512">
      <c r="B512" s="2" t="inlineStr">
        <is>
          <t xml:space="preserve">  Storage revenue</t>
        </is>
      </c>
      <c r="D512" s="19">
        <f>D506*D509*12*D511</f>
        <v/>
      </c>
      <c r="E512" s="19">
        <f>E506*E509*12*E511</f>
        <v/>
      </c>
      <c r="F512" s="19">
        <f>F506*F509*12*F511</f>
        <v/>
      </c>
      <c r="G512" s="19">
        <f>G506*G509*12*G511</f>
        <v/>
      </c>
      <c r="H512" s="19">
        <f>H506*H509*12*H511</f>
        <v/>
      </c>
      <c r="I512" s="19">
        <f>I506*I509*12*I511</f>
        <v/>
      </c>
      <c r="J512" s="19">
        <f>J506*J509*12*J511</f>
        <v/>
      </c>
      <c r="K512" s="19">
        <f>K506*K509*12*K511</f>
        <v/>
      </c>
      <c r="L512" s="19">
        <f>L506*L509*12*L511</f>
        <v/>
      </c>
      <c r="M512" s="19">
        <f>M506*M509*12*M511</f>
        <v/>
      </c>
      <c r="N512" s="19">
        <f>N506*N509*12*N511</f>
        <v/>
      </c>
      <c r="O512" s="19">
        <f>O506*O509*12*O511</f>
        <v/>
      </c>
      <c r="P512" s="19">
        <f>P506*P509*12*P511</f>
        <v/>
      </c>
      <c r="Q512" s="19">
        <f>Q506*Q509*12*Q511</f>
        <v/>
      </c>
      <c r="R512" s="19">
        <f>R506*R509*12*R511</f>
        <v/>
      </c>
      <c r="S512" s="19">
        <f>S506*S509*12*S511</f>
        <v/>
      </c>
      <c r="T512" s="19">
        <f>T506*T509*12*T511</f>
        <v/>
      </c>
      <c r="U512" s="19">
        <f>U506*U509*12*U511</f>
        <v/>
      </c>
      <c r="V512" s="19">
        <f>V506*V509*12*V511</f>
        <v/>
      </c>
      <c r="W512" s="19">
        <f>W506*W509*12*W511</f>
        <v/>
      </c>
      <c r="X512" s="19">
        <f>X506*X509*12*X511</f>
        <v/>
      </c>
      <c r="Y512" s="19">
        <f>Y506*Y509*12*Y511</f>
        <v/>
      </c>
      <c r="Z512" s="19">
        <f>Z506*Z509*12*Z511</f>
        <v/>
      </c>
      <c r="AA512" s="19">
        <f>AA506*AA509*12*AA511</f>
        <v/>
      </c>
      <c r="AB512" s="19">
        <f>AB506*AB509*12*AB511</f>
        <v/>
      </c>
      <c r="AC512" s="19">
        <f>AC506*AC509*12*AC511</f>
        <v/>
      </c>
      <c r="AD512" s="19">
        <f>AD506*AD509*12*AD511</f>
        <v/>
      </c>
      <c r="AE512" s="19">
        <f>AE506*AE509*12*AE511</f>
        <v/>
      </c>
      <c r="AF512" s="19">
        <f>AF506*AF509*12*AF511</f>
        <v/>
      </c>
      <c r="AG512" s="19">
        <f>AG506*AG509*12*AG511</f>
        <v/>
      </c>
      <c r="AH512" s="19">
        <f>AH506*AH509*12*AH511</f>
        <v/>
      </c>
      <c r="AI512" s="19">
        <f>AI506*AI509*12*AI511</f>
        <v/>
      </c>
    </row>
    <row r="513">
      <c r="B513" s="2" t="inlineStr">
        <is>
          <t xml:space="preserve">  Ancillary and throughput revenue</t>
        </is>
      </c>
      <c r="D513" s="19">
        <f>D512*i_T_anc</f>
        <v/>
      </c>
      <c r="E513" s="19">
        <f>E512*i_T_anc</f>
        <v/>
      </c>
      <c r="F513" s="19">
        <f>F512*i_T_anc</f>
        <v/>
      </c>
      <c r="G513" s="19">
        <f>G512*i_T_anc</f>
        <v/>
      </c>
      <c r="H513" s="19">
        <f>H512*i_T_anc</f>
        <v/>
      </c>
      <c r="I513" s="19">
        <f>I512*i_T_anc</f>
        <v/>
      </c>
      <c r="J513" s="19">
        <f>J512*i_T_anc</f>
        <v/>
      </c>
      <c r="K513" s="19">
        <f>K512*i_T_anc</f>
        <v/>
      </c>
      <c r="L513" s="19">
        <f>L512*i_T_anc</f>
        <v/>
      </c>
      <c r="M513" s="19">
        <f>M512*i_T_anc</f>
        <v/>
      </c>
      <c r="N513" s="19">
        <f>N512*i_T_anc</f>
        <v/>
      </c>
      <c r="O513" s="19">
        <f>O512*i_T_anc</f>
        <v/>
      </c>
      <c r="P513" s="19">
        <f>P512*i_T_anc</f>
        <v/>
      </c>
      <c r="Q513" s="19">
        <f>Q512*i_T_anc</f>
        <v/>
      </c>
      <c r="R513" s="19">
        <f>R512*i_T_anc</f>
        <v/>
      </c>
      <c r="S513" s="19">
        <f>S512*i_T_anc</f>
        <v/>
      </c>
      <c r="T513" s="19">
        <f>T512*i_T_anc</f>
        <v/>
      </c>
      <c r="U513" s="19">
        <f>U512*i_T_anc</f>
        <v/>
      </c>
      <c r="V513" s="19">
        <f>V512*i_T_anc</f>
        <v/>
      </c>
      <c r="W513" s="19">
        <f>W512*i_T_anc</f>
        <v/>
      </c>
      <c r="X513" s="19">
        <f>X512*i_T_anc</f>
        <v/>
      </c>
      <c r="Y513" s="19">
        <f>Y512*i_T_anc</f>
        <v/>
      </c>
      <c r="Z513" s="19">
        <f>Z512*i_T_anc</f>
        <v/>
      </c>
      <c r="AA513" s="19">
        <f>AA512*i_T_anc</f>
        <v/>
      </c>
      <c r="AB513" s="19">
        <f>AB512*i_T_anc</f>
        <v/>
      </c>
      <c r="AC513" s="19">
        <f>AC512*i_T_anc</f>
        <v/>
      </c>
      <c r="AD513" s="19">
        <f>AD512*i_T_anc</f>
        <v/>
      </c>
      <c r="AE513" s="19">
        <f>AE512*i_T_anc</f>
        <v/>
      </c>
      <c r="AF513" s="19">
        <f>AF512*i_T_anc</f>
        <v/>
      </c>
      <c r="AG513" s="19">
        <f>AG512*i_T_anc</f>
        <v/>
      </c>
      <c r="AH513" s="19">
        <f>AH512*i_T_anc</f>
        <v/>
      </c>
      <c r="AI513" s="19">
        <f>AI512*i_T_anc</f>
        <v/>
      </c>
    </row>
    <row r="514">
      <c r="B514" s="3" t="inlineStr">
        <is>
          <t xml:space="preserve">  Revenue</t>
        </is>
      </c>
      <c r="D514" s="31">
        <f>D512+D513</f>
        <v/>
      </c>
      <c r="E514" s="31">
        <f>E512+E513</f>
        <v/>
      </c>
      <c r="F514" s="31">
        <f>F512+F513</f>
        <v/>
      </c>
      <c r="G514" s="31">
        <f>G512+G513</f>
        <v/>
      </c>
      <c r="H514" s="31">
        <f>H512+H513</f>
        <v/>
      </c>
      <c r="I514" s="31">
        <f>I512+I513</f>
        <v/>
      </c>
      <c r="J514" s="31">
        <f>J512+J513</f>
        <v/>
      </c>
      <c r="K514" s="31">
        <f>K512+K513</f>
        <v/>
      </c>
      <c r="L514" s="31">
        <f>L512+L513</f>
        <v/>
      </c>
      <c r="M514" s="31">
        <f>M512+M513</f>
        <v/>
      </c>
      <c r="N514" s="31">
        <f>N512+N513</f>
        <v/>
      </c>
      <c r="O514" s="31">
        <f>O512+O513</f>
        <v/>
      </c>
      <c r="P514" s="31">
        <f>P512+P513</f>
        <v/>
      </c>
      <c r="Q514" s="31">
        <f>Q512+Q513</f>
        <v/>
      </c>
      <c r="R514" s="31">
        <f>R512+R513</f>
        <v/>
      </c>
      <c r="S514" s="31">
        <f>S512+S513</f>
        <v/>
      </c>
      <c r="T514" s="31">
        <f>T512+T513</f>
        <v/>
      </c>
      <c r="U514" s="31">
        <f>U512+U513</f>
        <v/>
      </c>
      <c r="V514" s="31">
        <f>V512+V513</f>
        <v/>
      </c>
      <c r="W514" s="31">
        <f>W512+W513</f>
        <v/>
      </c>
      <c r="X514" s="31">
        <f>X512+X513</f>
        <v/>
      </c>
      <c r="Y514" s="31">
        <f>Y512+Y513</f>
        <v/>
      </c>
      <c r="Z514" s="31">
        <f>Z512+Z513</f>
        <v/>
      </c>
      <c r="AA514" s="31">
        <f>AA512+AA513</f>
        <v/>
      </c>
      <c r="AB514" s="31">
        <f>AB512+AB513</f>
        <v/>
      </c>
      <c r="AC514" s="31">
        <f>AC512+AC513</f>
        <v/>
      </c>
      <c r="AD514" s="31">
        <f>AD512+AD513</f>
        <v/>
      </c>
      <c r="AE514" s="31">
        <f>AE512+AE513</f>
        <v/>
      </c>
      <c r="AF514" s="31">
        <f>AF512+AF513</f>
        <v/>
      </c>
      <c r="AG514" s="31">
        <f>AG512+AG513</f>
        <v/>
      </c>
      <c r="AH514" s="31">
        <f>AH512+AH513</f>
        <v/>
      </c>
      <c r="AI514" s="31">
        <f>AI512+AI513</f>
        <v/>
      </c>
    </row>
    <row r="515">
      <c r="B515" s="2" t="inlineStr">
        <is>
          <t xml:space="preserve">  Fixed cost</t>
        </is>
      </c>
      <c r="D515" s="19">
        <f>D506*i_T_fix*D470</f>
        <v/>
      </c>
      <c r="E515" s="19">
        <f>E506*i_T_fix*E470</f>
        <v/>
      </c>
      <c r="F515" s="19">
        <f>F506*i_T_fix*F470</f>
        <v/>
      </c>
      <c r="G515" s="19">
        <f>G506*i_T_fix*G470</f>
        <v/>
      </c>
      <c r="H515" s="19">
        <f>H506*i_T_fix*H470</f>
        <v/>
      </c>
      <c r="I515" s="19">
        <f>I506*i_T_fix*I470</f>
        <v/>
      </c>
      <c r="J515" s="19">
        <f>J506*i_T_fix*J470</f>
        <v/>
      </c>
      <c r="K515" s="19">
        <f>K506*i_T_fix*K470</f>
        <v/>
      </c>
      <c r="L515" s="19">
        <f>L506*i_T_fix*L470</f>
        <v/>
      </c>
      <c r="M515" s="19">
        <f>M506*i_T_fix*M470</f>
        <v/>
      </c>
      <c r="N515" s="19">
        <f>N506*i_T_fix*N470</f>
        <v/>
      </c>
      <c r="O515" s="19">
        <f>O506*i_T_fix*O470</f>
        <v/>
      </c>
      <c r="P515" s="19">
        <f>P506*i_T_fix*P470</f>
        <v/>
      </c>
      <c r="Q515" s="19">
        <f>Q506*i_T_fix*Q470</f>
        <v/>
      </c>
      <c r="R515" s="19">
        <f>R506*i_T_fix*R470</f>
        <v/>
      </c>
      <c r="S515" s="19">
        <f>S506*i_T_fix*S470</f>
        <v/>
      </c>
      <c r="T515" s="19">
        <f>T506*i_T_fix*T470</f>
        <v/>
      </c>
      <c r="U515" s="19">
        <f>U506*i_T_fix*U470</f>
        <v/>
      </c>
      <c r="V515" s="19">
        <f>V506*i_T_fix*V470</f>
        <v/>
      </c>
      <c r="W515" s="19">
        <f>W506*i_T_fix*W470</f>
        <v/>
      </c>
      <c r="X515" s="19">
        <f>X506*i_T_fix*X470</f>
        <v/>
      </c>
      <c r="Y515" s="19">
        <f>Y506*i_T_fix*Y470</f>
        <v/>
      </c>
      <c r="Z515" s="19">
        <f>Z506*i_T_fix*Z470</f>
        <v/>
      </c>
      <c r="AA515" s="19">
        <f>AA506*i_T_fix*AA470</f>
        <v/>
      </c>
      <c r="AB515" s="19">
        <f>AB506*i_T_fix*AB470</f>
        <v/>
      </c>
      <c r="AC515" s="19">
        <f>AC506*i_T_fix*AC470</f>
        <v/>
      </c>
      <c r="AD515" s="19">
        <f>AD506*i_T_fix*AD470</f>
        <v/>
      </c>
      <c r="AE515" s="19">
        <f>AE506*i_T_fix*AE470</f>
        <v/>
      </c>
      <c r="AF515" s="19">
        <f>AF506*i_T_fix*AF470</f>
        <v/>
      </c>
      <c r="AG515" s="19">
        <f>AG506*i_T_fix*AG470</f>
        <v/>
      </c>
      <c r="AH515" s="19">
        <f>AH506*i_T_fix*AH470</f>
        <v/>
      </c>
      <c r="AI515" s="19">
        <f>AI506*i_T_fix*AI470</f>
        <v/>
      </c>
    </row>
    <row r="516">
      <c r="B516" s="2" t="inlineStr">
        <is>
          <t xml:space="preserve">  Variable cost</t>
        </is>
      </c>
      <c r="D516" s="19">
        <f>i_T_var*D514</f>
        <v/>
      </c>
      <c r="E516" s="19">
        <f>i_T_var*E514</f>
        <v/>
      </c>
      <c r="F516" s="19">
        <f>i_T_var*F514</f>
        <v/>
      </c>
      <c r="G516" s="19">
        <f>i_T_var*G514</f>
        <v/>
      </c>
      <c r="H516" s="19">
        <f>i_T_var*H514</f>
        <v/>
      </c>
      <c r="I516" s="19">
        <f>i_T_var*I514</f>
        <v/>
      </c>
      <c r="J516" s="19">
        <f>i_T_var*J514</f>
        <v/>
      </c>
      <c r="K516" s="19">
        <f>i_T_var*K514</f>
        <v/>
      </c>
      <c r="L516" s="19">
        <f>i_T_var*L514</f>
        <v/>
      </c>
      <c r="M516" s="19">
        <f>i_T_var*M514</f>
        <v/>
      </c>
      <c r="N516" s="19">
        <f>i_T_var*N514</f>
        <v/>
      </c>
      <c r="O516" s="19">
        <f>i_T_var*O514</f>
        <v/>
      </c>
      <c r="P516" s="19">
        <f>i_T_var*P514</f>
        <v/>
      </c>
      <c r="Q516" s="19">
        <f>i_T_var*Q514</f>
        <v/>
      </c>
      <c r="R516" s="19">
        <f>i_T_var*R514</f>
        <v/>
      </c>
      <c r="S516" s="19">
        <f>i_T_var*S514</f>
        <v/>
      </c>
      <c r="T516" s="19">
        <f>i_T_var*T514</f>
        <v/>
      </c>
      <c r="U516" s="19">
        <f>i_T_var*U514</f>
        <v/>
      </c>
      <c r="V516" s="19">
        <f>i_T_var*V514</f>
        <v/>
      </c>
      <c r="W516" s="19">
        <f>i_T_var*W514</f>
        <v/>
      </c>
      <c r="X516" s="19">
        <f>i_T_var*X514</f>
        <v/>
      </c>
      <c r="Y516" s="19">
        <f>i_T_var*Y514</f>
        <v/>
      </c>
      <c r="Z516" s="19">
        <f>i_T_var*Z514</f>
        <v/>
      </c>
      <c r="AA516" s="19">
        <f>i_T_var*AA514</f>
        <v/>
      </c>
      <c r="AB516" s="19">
        <f>i_T_var*AB514</f>
        <v/>
      </c>
      <c r="AC516" s="19">
        <f>i_T_var*AC514</f>
        <v/>
      </c>
      <c r="AD516" s="19">
        <f>i_T_var*AD514</f>
        <v/>
      </c>
      <c r="AE516" s="19">
        <f>i_T_var*AE514</f>
        <v/>
      </c>
      <c r="AF516" s="19">
        <f>i_T_var*AF514</f>
        <v/>
      </c>
      <c r="AG516" s="19">
        <f>i_T_var*AG514</f>
        <v/>
      </c>
      <c r="AH516" s="19">
        <f>i_T_var*AH514</f>
        <v/>
      </c>
      <c r="AI516" s="19">
        <f>i_T_var*AI514</f>
        <v/>
      </c>
    </row>
    <row r="517">
      <c r="B517" s="2" t="inlineStr">
        <is>
          <t xml:space="preserve">  Operating cost</t>
        </is>
      </c>
      <c r="D517" s="19">
        <f>D515+D516</f>
        <v/>
      </c>
      <c r="E517" s="19">
        <f>E515+E516</f>
        <v/>
      </c>
      <c r="F517" s="19">
        <f>F515+F516</f>
        <v/>
      </c>
      <c r="G517" s="19">
        <f>G515+G516</f>
        <v/>
      </c>
      <c r="H517" s="19">
        <f>H515+H516</f>
        <v/>
      </c>
      <c r="I517" s="19">
        <f>I515+I516</f>
        <v/>
      </c>
      <c r="J517" s="19">
        <f>J515+J516</f>
        <v/>
      </c>
      <c r="K517" s="19">
        <f>K515+K516</f>
        <v/>
      </c>
      <c r="L517" s="19">
        <f>L515+L516</f>
        <v/>
      </c>
      <c r="M517" s="19">
        <f>M515+M516</f>
        <v/>
      </c>
      <c r="N517" s="19">
        <f>N515+N516</f>
        <v/>
      </c>
      <c r="O517" s="19">
        <f>O515+O516</f>
        <v/>
      </c>
      <c r="P517" s="19">
        <f>P515+P516</f>
        <v/>
      </c>
      <c r="Q517" s="19">
        <f>Q515+Q516</f>
        <v/>
      </c>
      <c r="R517" s="19">
        <f>R515+R516</f>
        <v/>
      </c>
      <c r="S517" s="19">
        <f>S515+S516</f>
        <v/>
      </c>
      <c r="T517" s="19">
        <f>T515+T516</f>
        <v/>
      </c>
      <c r="U517" s="19">
        <f>U515+U516</f>
        <v/>
      </c>
      <c r="V517" s="19">
        <f>V515+V516</f>
        <v/>
      </c>
      <c r="W517" s="19">
        <f>W515+W516</f>
        <v/>
      </c>
      <c r="X517" s="19">
        <f>X515+X516</f>
        <v/>
      </c>
      <c r="Y517" s="19">
        <f>Y515+Y516</f>
        <v/>
      </c>
      <c r="Z517" s="19">
        <f>Z515+Z516</f>
        <v/>
      </c>
      <c r="AA517" s="19">
        <f>AA515+AA516</f>
        <v/>
      </c>
      <c r="AB517" s="19">
        <f>AB515+AB516</f>
        <v/>
      </c>
      <c r="AC517" s="19">
        <f>AC515+AC516</f>
        <v/>
      </c>
      <c r="AD517" s="19">
        <f>AD515+AD516</f>
        <v/>
      </c>
      <c r="AE517" s="19">
        <f>AE515+AE516</f>
        <v/>
      </c>
      <c r="AF517" s="19">
        <f>AF515+AF516</f>
        <v/>
      </c>
      <c r="AG517" s="19">
        <f>AG515+AG516</f>
        <v/>
      </c>
      <c r="AH517" s="19">
        <f>AH515+AH516</f>
        <v/>
      </c>
      <c r="AI517" s="19">
        <f>AI515+AI516</f>
        <v/>
      </c>
    </row>
    <row r="518">
      <c r="B518" s="3" t="inlineStr">
        <is>
          <t xml:space="preserve">  EBITDA</t>
        </is>
      </c>
      <c r="D518" s="31">
        <f>D514-D517</f>
        <v/>
      </c>
      <c r="E518" s="31">
        <f>E514-E517</f>
        <v/>
      </c>
      <c r="F518" s="31">
        <f>F514-F517</f>
        <v/>
      </c>
      <c r="G518" s="31">
        <f>G514-G517</f>
        <v/>
      </c>
      <c r="H518" s="31">
        <f>H514-H517</f>
        <v/>
      </c>
      <c r="I518" s="31">
        <f>I514-I517</f>
        <v/>
      </c>
      <c r="J518" s="31">
        <f>J514-J517</f>
        <v/>
      </c>
      <c r="K518" s="31">
        <f>K514-K517</f>
        <v/>
      </c>
      <c r="L518" s="31">
        <f>L514-L517</f>
        <v/>
      </c>
      <c r="M518" s="31">
        <f>M514-M517</f>
        <v/>
      </c>
      <c r="N518" s="31">
        <f>N514-N517</f>
        <v/>
      </c>
      <c r="O518" s="31">
        <f>O514-O517</f>
        <v/>
      </c>
      <c r="P518" s="31">
        <f>P514-P517</f>
        <v/>
      </c>
      <c r="Q518" s="31">
        <f>Q514-Q517</f>
        <v/>
      </c>
      <c r="R518" s="31">
        <f>R514-R517</f>
        <v/>
      </c>
      <c r="S518" s="31">
        <f>S514-S517</f>
        <v/>
      </c>
      <c r="T518" s="31">
        <f>T514-T517</f>
        <v/>
      </c>
      <c r="U518" s="31">
        <f>U514-U517</f>
        <v/>
      </c>
      <c r="V518" s="31">
        <f>V514-V517</f>
        <v/>
      </c>
      <c r="W518" s="31">
        <f>W514-W517</f>
        <v/>
      </c>
      <c r="X518" s="31">
        <f>X514-X517</f>
        <v/>
      </c>
      <c r="Y518" s="31">
        <f>Y514-Y517</f>
        <v/>
      </c>
      <c r="Z518" s="31">
        <f>Z514-Z517</f>
        <v/>
      </c>
      <c r="AA518" s="31">
        <f>AA514-AA517</f>
        <v/>
      </c>
      <c r="AB518" s="31">
        <f>AB514-AB517</f>
        <v/>
      </c>
      <c r="AC518" s="31">
        <f>AC514-AC517</f>
        <v/>
      </c>
      <c r="AD518" s="31">
        <f>AD514-AD517</f>
        <v/>
      </c>
      <c r="AE518" s="31">
        <f>AE514-AE517</f>
        <v/>
      </c>
      <c r="AF518" s="31">
        <f>AF514-AF517</f>
        <v/>
      </c>
      <c r="AG518" s="31">
        <f>AG514-AG517</f>
        <v/>
      </c>
      <c r="AH518" s="31">
        <f>AH514-AH517</f>
        <v/>
      </c>
      <c r="AI518" s="31">
        <f>AI514-AI517</f>
        <v/>
      </c>
    </row>
    <row r="519">
      <c r="B519" s="2" t="inlineStr">
        <is>
          <t xml:space="preserve">  Maintenance capex</t>
        </is>
      </c>
      <c r="D519" s="19">
        <f>D506*i_T_mc*D470</f>
        <v/>
      </c>
      <c r="E519" s="19">
        <f>E506*i_T_mc*E470</f>
        <v/>
      </c>
      <c r="F519" s="19">
        <f>F506*i_T_mc*F470</f>
        <v/>
      </c>
      <c r="G519" s="19">
        <f>G506*i_T_mc*G470</f>
        <v/>
      </c>
      <c r="H519" s="19">
        <f>H506*i_T_mc*H470</f>
        <v/>
      </c>
      <c r="I519" s="19">
        <f>I506*i_T_mc*I470</f>
        <v/>
      </c>
      <c r="J519" s="19">
        <f>J506*i_T_mc*J470</f>
        <v/>
      </c>
      <c r="K519" s="19">
        <f>K506*i_T_mc*K470</f>
        <v/>
      </c>
      <c r="L519" s="19">
        <f>L506*i_T_mc*L470</f>
        <v/>
      </c>
      <c r="M519" s="19">
        <f>M506*i_T_mc*M470</f>
        <v/>
      </c>
      <c r="N519" s="19">
        <f>N506*i_T_mc*N470</f>
        <v/>
      </c>
      <c r="O519" s="19">
        <f>O506*i_T_mc*O470</f>
        <v/>
      </c>
      <c r="P519" s="19">
        <f>P506*i_T_mc*P470</f>
        <v/>
      </c>
      <c r="Q519" s="19">
        <f>Q506*i_T_mc*Q470</f>
        <v/>
      </c>
      <c r="R519" s="19">
        <f>R506*i_T_mc*R470</f>
        <v/>
      </c>
      <c r="S519" s="19">
        <f>S506*i_T_mc*S470</f>
        <v/>
      </c>
      <c r="T519" s="19">
        <f>T506*i_T_mc*T470</f>
        <v/>
      </c>
      <c r="U519" s="19">
        <f>U506*i_T_mc*U470</f>
        <v/>
      </c>
      <c r="V519" s="19">
        <f>V506*i_T_mc*V470</f>
        <v/>
      </c>
      <c r="W519" s="19">
        <f>W506*i_T_mc*W470</f>
        <v/>
      </c>
      <c r="X519" s="19">
        <f>X506*i_T_mc*X470</f>
        <v/>
      </c>
      <c r="Y519" s="19">
        <f>Y506*i_T_mc*Y470</f>
        <v/>
      </c>
      <c r="Z519" s="19">
        <f>Z506*i_T_mc*Z470</f>
        <v/>
      </c>
      <c r="AA519" s="19">
        <f>AA506*i_T_mc*AA470</f>
        <v/>
      </c>
      <c r="AB519" s="19">
        <f>AB506*i_T_mc*AB470</f>
        <v/>
      </c>
      <c r="AC519" s="19">
        <f>AC506*i_T_mc*AC470</f>
        <v/>
      </c>
      <c r="AD519" s="19">
        <f>AD506*i_T_mc*AD470</f>
        <v/>
      </c>
      <c r="AE519" s="19">
        <f>AE506*i_T_mc*AE470</f>
        <v/>
      </c>
      <c r="AF519" s="19">
        <f>AF506*i_T_mc*AF470</f>
        <v/>
      </c>
      <c r="AG519" s="19">
        <f>AG506*i_T_mc*AG470</f>
        <v/>
      </c>
      <c r="AH519" s="19">
        <f>AH506*i_T_mc*AH470</f>
        <v/>
      </c>
      <c r="AI519" s="19">
        <f>AI506*i_T_mc*AI470</f>
        <v/>
      </c>
    </row>
    <row r="520">
      <c r="B520" s="3" t="inlineStr">
        <is>
          <t>Sabine Bend</t>
        </is>
      </c>
    </row>
    <row r="521">
      <c r="B521" s="2" t="inlineStr">
        <is>
          <t xml:space="preserve">  Capacity in service (million m3)</t>
        </is>
      </c>
      <c r="D521" s="24">
        <f>i_G_cap</f>
        <v/>
      </c>
      <c r="E521" s="24">
        <f>i_G_cap</f>
        <v/>
      </c>
      <c r="F521" s="24">
        <f>i_G_cap</f>
        <v/>
      </c>
      <c r="G521" s="24">
        <f>i_G_cap</f>
        <v/>
      </c>
      <c r="H521" s="24">
        <f>i_G_cap</f>
        <v/>
      </c>
      <c r="I521" s="24">
        <f>i_G_cap</f>
        <v/>
      </c>
      <c r="J521" s="24">
        <f>i_G_cap</f>
        <v/>
      </c>
      <c r="K521" s="24">
        <f>i_G_cap</f>
        <v/>
      </c>
      <c r="L521" s="24">
        <f>i_G_cap</f>
        <v/>
      </c>
      <c r="M521" s="24">
        <f>i_G_cap</f>
        <v/>
      </c>
      <c r="N521" s="24">
        <f>i_G_cap</f>
        <v/>
      </c>
      <c r="O521" s="24">
        <f>i_G_cap</f>
        <v/>
      </c>
      <c r="P521" s="24">
        <f>i_G_cap</f>
        <v/>
      </c>
      <c r="Q521" s="24">
        <f>i_G_cap</f>
        <v/>
      </c>
      <c r="R521" s="24">
        <f>i_G_cap</f>
        <v/>
      </c>
      <c r="S521" s="24">
        <f>i_G_cap</f>
        <v/>
      </c>
      <c r="T521" s="24">
        <f>i_G_cap</f>
        <v/>
      </c>
      <c r="U521" s="24">
        <f>i_G_cap</f>
        <v/>
      </c>
      <c r="V521" s="24">
        <f>i_G_cap</f>
        <v/>
      </c>
      <c r="W521" s="24">
        <f>i_G_cap</f>
        <v/>
      </c>
      <c r="X521" s="24">
        <f>i_G_cap</f>
        <v/>
      </c>
      <c r="Y521" s="24">
        <f>i_G_cap</f>
        <v/>
      </c>
      <c r="Z521" s="24">
        <f>i_G_cap</f>
        <v/>
      </c>
      <c r="AA521" s="24">
        <f>i_G_cap</f>
        <v/>
      </c>
      <c r="AB521" s="24">
        <f>i_G_cap</f>
        <v/>
      </c>
      <c r="AC521" s="24">
        <f>i_G_cap</f>
        <v/>
      </c>
      <c r="AD521" s="24">
        <f>i_G_cap</f>
        <v/>
      </c>
      <c r="AE521" s="24">
        <f>i_G_cap</f>
        <v/>
      </c>
      <c r="AF521" s="24">
        <f>i_G_cap</f>
        <v/>
      </c>
      <c r="AG521" s="24">
        <f>i_G_cap</f>
        <v/>
      </c>
      <c r="AH521" s="24">
        <f>i_G_cap</f>
        <v/>
      </c>
      <c r="AI521" s="24">
        <f>i_G_cap</f>
        <v/>
      </c>
    </row>
    <row r="522">
      <c r="B522" s="2" t="inlineStr">
        <is>
          <t xml:space="preserve">  Share on contracts signed before 2027</t>
        </is>
      </c>
      <c r="D522" s="21">
        <f>SUMIF(i_book_years,D$3,i_G_book)</f>
        <v/>
      </c>
      <c r="E522" s="21">
        <f>SUMIF(i_book_years,E$3,i_G_book)</f>
        <v/>
      </c>
      <c r="F522" s="21">
        <f>SUMIF(i_book_years,F$3,i_G_book)</f>
        <v/>
      </c>
      <c r="G522" s="21">
        <f>SUMIF(i_book_years,G$3,i_G_book)</f>
        <v/>
      </c>
      <c r="H522" s="21">
        <f>SUMIF(i_book_years,H$3,i_G_book)</f>
        <v/>
      </c>
      <c r="I522" s="21">
        <f>SUMIF(i_book_years,I$3,i_G_book)</f>
        <v/>
      </c>
      <c r="J522" s="21">
        <f>SUMIF(i_book_years,J$3,i_G_book)</f>
        <v/>
      </c>
      <c r="K522" s="21">
        <f>SUMIF(i_book_years,K$3,i_G_book)</f>
        <v/>
      </c>
      <c r="L522" s="21">
        <f>SUMIF(i_book_years,L$3,i_G_book)</f>
        <v/>
      </c>
      <c r="M522" s="21">
        <f>SUMIF(i_book_years,M$3,i_G_book)</f>
        <v/>
      </c>
      <c r="N522" s="21">
        <f>SUMIF(i_book_years,N$3,i_G_book)</f>
        <v/>
      </c>
      <c r="O522" s="21">
        <f>SUMIF(i_book_years,O$3,i_G_book)</f>
        <v/>
      </c>
      <c r="P522" s="21">
        <f>SUMIF(i_book_years,P$3,i_G_book)</f>
        <v/>
      </c>
      <c r="Q522" s="21">
        <f>SUMIF(i_book_years,Q$3,i_G_book)</f>
        <v/>
      </c>
      <c r="R522" s="21">
        <f>SUMIF(i_book_years,R$3,i_G_book)</f>
        <v/>
      </c>
      <c r="S522" s="21">
        <f>SUMIF(i_book_years,S$3,i_G_book)</f>
        <v/>
      </c>
      <c r="T522" s="21">
        <f>SUMIF(i_book_years,T$3,i_G_book)</f>
        <v/>
      </c>
      <c r="U522" s="21">
        <f>SUMIF(i_book_years,U$3,i_G_book)</f>
        <v/>
      </c>
      <c r="V522" s="21">
        <f>SUMIF(i_book_years,V$3,i_G_book)</f>
        <v/>
      </c>
      <c r="W522" s="21">
        <f>SUMIF(i_book_years,W$3,i_G_book)</f>
        <v/>
      </c>
      <c r="X522" s="21">
        <f>SUMIF(i_book_years,X$3,i_G_book)</f>
        <v/>
      </c>
      <c r="Y522" s="21">
        <f>SUMIF(i_book_years,Y$3,i_G_book)</f>
        <v/>
      </c>
      <c r="Z522" s="21">
        <f>SUMIF(i_book_years,Z$3,i_G_book)</f>
        <v/>
      </c>
      <c r="AA522" s="21">
        <f>SUMIF(i_book_years,AA$3,i_G_book)</f>
        <v/>
      </c>
      <c r="AB522" s="21">
        <f>SUMIF(i_book_years,AB$3,i_G_book)</f>
        <v/>
      </c>
      <c r="AC522" s="21">
        <f>SUMIF(i_book_years,AC$3,i_G_book)</f>
        <v/>
      </c>
      <c r="AD522" s="21">
        <f>SUMIF(i_book_years,AD$3,i_G_book)</f>
        <v/>
      </c>
      <c r="AE522" s="21">
        <f>SUMIF(i_book_years,AE$3,i_G_book)</f>
        <v/>
      </c>
      <c r="AF522" s="21">
        <f>SUMIF(i_book_years,AF$3,i_G_book)</f>
        <v/>
      </c>
      <c r="AG522" s="21">
        <f>SUMIF(i_book_years,AG$3,i_G_book)</f>
        <v/>
      </c>
      <c r="AH522" s="21">
        <f>SUMIF(i_book_years,AH$3,i_G_book)</f>
        <v/>
      </c>
      <c r="AI522" s="21">
        <f>SUMIF(i_book_years,AI$3,i_G_book)</f>
        <v/>
      </c>
    </row>
    <row r="523">
      <c r="B523" s="2" t="inlineStr">
        <is>
          <t xml:space="preserve">  Recontracting factor against current rates</t>
        </is>
      </c>
      <c r="D523" s="21">
        <f>IF(D$4=0,0,IF(Sensitivities!$C$460=1,i_G_mtm,i_G_mtm_plan)+Sensitivities!$C$466)</f>
        <v/>
      </c>
      <c r="E523" s="21">
        <f>IF(E$4=0,0,IF(Sensitivities!$C$460=1,i_G_mtm,i_G_mtm_plan)+Sensitivities!$C$466)</f>
        <v/>
      </c>
      <c r="F523" s="21">
        <f>IF(F$4=0,0,IF(Sensitivities!$C$460=1,i_G_mtm,i_G_mtm_plan)+Sensitivities!$C$466)</f>
        <v/>
      </c>
      <c r="G523" s="21">
        <f>IF(G$4=0,0,IF(Sensitivities!$C$460=1,i_G_mtm,i_G_mtm_plan)+Sensitivities!$C$466)</f>
        <v/>
      </c>
      <c r="H523" s="21">
        <f>IF(H$4=0,0,IF(Sensitivities!$C$460=1,i_G_mtm,i_G_mtm_plan)+Sensitivities!$C$466)</f>
        <v/>
      </c>
      <c r="I523" s="21">
        <f>IF(I$4=0,0,IF(Sensitivities!$C$460=1,i_G_mtm,i_G_mtm_plan)+Sensitivities!$C$466)</f>
        <v/>
      </c>
      <c r="J523" s="21">
        <f>IF(J$4=0,0,IF(Sensitivities!$C$460=1,i_G_mtm,i_G_mtm_plan)+Sensitivities!$C$466)</f>
        <v/>
      </c>
      <c r="K523" s="21">
        <f>IF(K$4=0,0,IF(Sensitivities!$C$460=1,i_G_mtm,i_G_mtm_plan)+Sensitivities!$C$466)</f>
        <v/>
      </c>
      <c r="L523" s="21">
        <f>IF(L$4=0,0,IF(Sensitivities!$C$460=1,i_G_mtm,i_G_mtm_plan)+Sensitivities!$C$466)</f>
        <v/>
      </c>
      <c r="M523" s="21">
        <f>IF(M$4=0,0,IF(Sensitivities!$C$460=1,i_G_mtm,i_G_mtm_plan)+Sensitivities!$C$466)</f>
        <v/>
      </c>
      <c r="N523" s="21">
        <f>IF(N$4=0,0,IF(Sensitivities!$C$460=1,i_G_mtm,i_G_mtm_plan)+Sensitivities!$C$466)</f>
        <v/>
      </c>
      <c r="O523" s="21">
        <f>IF(O$4=0,0,IF(Sensitivities!$C$460=1,i_G_mtm,i_G_mtm_plan)+Sensitivities!$C$466)</f>
        <v/>
      </c>
      <c r="P523" s="21">
        <f>IF(P$4=0,0,IF(Sensitivities!$C$460=1,i_G_mtm,i_G_mtm_plan)+Sensitivities!$C$466)</f>
        <v/>
      </c>
      <c r="Q523" s="21">
        <f>IF(Q$4=0,0,IF(Sensitivities!$C$460=1,i_G_mtm,i_G_mtm_plan)+Sensitivities!$C$466)</f>
        <v/>
      </c>
      <c r="R523" s="21">
        <f>IF(R$4=0,0,IF(Sensitivities!$C$460=1,i_G_mtm,i_G_mtm_plan)+Sensitivities!$C$466)</f>
        <v/>
      </c>
      <c r="S523" s="21">
        <f>IF(S$4=0,0,IF(Sensitivities!$C$460=1,i_G_mtm,i_G_mtm_plan)+Sensitivities!$C$466)</f>
        <v/>
      </c>
      <c r="T523" s="21">
        <f>IF(T$4=0,0,IF(Sensitivities!$C$460=1,i_G_mtm,i_G_mtm_plan)+Sensitivities!$C$466)</f>
        <v/>
      </c>
      <c r="U523" s="21">
        <f>IF(U$4=0,0,IF(Sensitivities!$C$460=1,i_G_mtm,i_G_mtm_plan)+Sensitivities!$C$466)</f>
        <v/>
      </c>
      <c r="V523" s="21">
        <f>IF(V$4=0,0,IF(Sensitivities!$C$460=1,i_G_mtm,i_G_mtm_plan)+Sensitivities!$C$466)</f>
        <v/>
      </c>
      <c r="W523" s="21">
        <f>IF(W$4=0,0,IF(Sensitivities!$C$460=1,i_G_mtm,i_G_mtm_plan)+Sensitivities!$C$466)</f>
        <v/>
      </c>
      <c r="X523" s="21">
        <f>IF(X$4=0,0,IF(Sensitivities!$C$460=1,i_G_mtm,i_G_mtm_plan)+Sensitivities!$C$466)</f>
        <v/>
      </c>
      <c r="Y523" s="21">
        <f>IF(Y$4=0,0,IF(Sensitivities!$C$460=1,i_G_mtm,i_G_mtm_plan)+Sensitivities!$C$466)</f>
        <v/>
      </c>
      <c r="Z523" s="21">
        <f>IF(Z$4=0,0,IF(Sensitivities!$C$460=1,i_G_mtm,i_G_mtm_plan)+Sensitivities!$C$466)</f>
        <v/>
      </c>
      <c r="AA523" s="21">
        <f>IF(AA$4=0,0,IF(Sensitivities!$C$460=1,i_G_mtm,i_G_mtm_plan)+Sensitivities!$C$466)</f>
        <v/>
      </c>
      <c r="AB523" s="21">
        <f>IF(AB$4=0,0,IF(Sensitivities!$C$460=1,i_G_mtm,i_G_mtm_plan)+Sensitivities!$C$466)</f>
        <v/>
      </c>
      <c r="AC523" s="21">
        <f>IF(AC$4=0,0,IF(Sensitivities!$C$460=1,i_G_mtm,i_G_mtm_plan)+Sensitivities!$C$466)</f>
        <v/>
      </c>
      <c r="AD523" s="21">
        <f>IF(AD$4=0,0,IF(Sensitivities!$C$460=1,i_G_mtm,i_G_mtm_plan)+Sensitivities!$C$466)</f>
        <v/>
      </c>
      <c r="AE523" s="21">
        <f>IF(AE$4=0,0,IF(Sensitivities!$C$460=1,i_G_mtm,i_G_mtm_plan)+Sensitivities!$C$466)</f>
        <v/>
      </c>
      <c r="AF523" s="21">
        <f>IF(AF$4=0,0,IF(Sensitivities!$C$460=1,i_G_mtm,i_G_mtm_plan)+Sensitivities!$C$466)</f>
        <v/>
      </c>
      <c r="AG523" s="21">
        <f>IF(AG$4=0,0,IF(Sensitivities!$C$460=1,i_G_mtm,i_G_mtm_plan)+Sensitivities!$C$466)</f>
        <v/>
      </c>
      <c r="AH523" s="21">
        <f>IF(AH$4=0,0,IF(Sensitivities!$C$460=1,i_G_mtm,i_G_mtm_plan)+Sensitivities!$C$466)</f>
        <v/>
      </c>
      <c r="AI523" s="21">
        <f>IF(AI$4=0,0,IF(Sensitivities!$C$460=1,i_G_mtm,i_G_mtm_plan)+Sensitivities!$C$466)</f>
        <v/>
      </c>
    </row>
    <row r="524">
      <c r="B524" s="2" t="inlineStr">
        <is>
          <t xml:space="preserve">  Average rate ($ per m3 per month)</t>
        </is>
      </c>
      <c r="D524" s="24">
        <f>i_G_rate*D471*(D522+(1-D522)*(1+D523))</f>
        <v/>
      </c>
      <c r="E524" s="24">
        <f>i_G_rate*E471*(E522+(1-E522)*(1+E523))</f>
        <v/>
      </c>
      <c r="F524" s="24">
        <f>i_G_rate*F471*(F522+(1-F522)*(1+F523))</f>
        <v/>
      </c>
      <c r="G524" s="24">
        <f>i_G_rate*G471*(G522+(1-G522)*(1+G523))</f>
        <v/>
      </c>
      <c r="H524" s="24">
        <f>i_G_rate*H471*(H522+(1-H522)*(1+H523))</f>
        <v/>
      </c>
      <c r="I524" s="24">
        <f>i_G_rate*I471*(I522+(1-I522)*(1+I523))</f>
        <v/>
      </c>
      <c r="J524" s="24">
        <f>i_G_rate*J471*(J522+(1-J522)*(1+J523))</f>
        <v/>
      </c>
      <c r="K524" s="24">
        <f>i_G_rate*K471*(K522+(1-K522)*(1+K523))</f>
        <v/>
      </c>
      <c r="L524" s="24">
        <f>i_G_rate*L471*(L522+(1-L522)*(1+L523))</f>
        <v/>
      </c>
      <c r="M524" s="24">
        <f>i_G_rate*M471*(M522+(1-M522)*(1+M523))</f>
        <v/>
      </c>
      <c r="N524" s="24">
        <f>i_G_rate*N471*(N522+(1-N522)*(1+N523))</f>
        <v/>
      </c>
      <c r="O524" s="24">
        <f>i_G_rate*O471*(O522+(1-O522)*(1+O523))</f>
        <v/>
      </c>
      <c r="P524" s="24">
        <f>i_G_rate*P471*(P522+(1-P522)*(1+P523))</f>
        <v/>
      </c>
      <c r="Q524" s="24">
        <f>i_G_rate*Q471*(Q522+(1-Q522)*(1+Q523))</f>
        <v/>
      </c>
      <c r="R524" s="24">
        <f>i_G_rate*R471*(R522+(1-R522)*(1+R523))</f>
        <v/>
      </c>
      <c r="S524" s="24">
        <f>i_G_rate*S471*(S522+(1-S522)*(1+S523))</f>
        <v/>
      </c>
      <c r="T524" s="24">
        <f>i_G_rate*T471*(T522+(1-T522)*(1+T523))</f>
        <v/>
      </c>
      <c r="U524" s="24">
        <f>i_G_rate*U471*(U522+(1-U522)*(1+U523))</f>
        <v/>
      </c>
      <c r="V524" s="24">
        <f>i_G_rate*V471*(V522+(1-V522)*(1+V523))</f>
        <v/>
      </c>
      <c r="W524" s="24">
        <f>i_G_rate*W471*(W522+(1-W522)*(1+W523))</f>
        <v/>
      </c>
      <c r="X524" s="24">
        <f>i_G_rate*X471*(X522+(1-X522)*(1+X523))</f>
        <v/>
      </c>
      <c r="Y524" s="24">
        <f>i_G_rate*Y471*(Y522+(1-Y522)*(1+Y523))</f>
        <v/>
      </c>
      <c r="Z524" s="24">
        <f>i_G_rate*Z471*(Z522+(1-Z522)*(1+Z523))</f>
        <v/>
      </c>
      <c r="AA524" s="24">
        <f>i_G_rate*AA471*(AA522+(1-AA522)*(1+AA523))</f>
        <v/>
      </c>
      <c r="AB524" s="24">
        <f>i_G_rate*AB471*(AB522+(1-AB522)*(1+AB523))</f>
        <v/>
      </c>
      <c r="AC524" s="24">
        <f>i_G_rate*AC471*(AC522+(1-AC522)*(1+AC523))</f>
        <v/>
      </c>
      <c r="AD524" s="24">
        <f>i_G_rate*AD471*(AD522+(1-AD522)*(1+AD523))</f>
        <v/>
      </c>
      <c r="AE524" s="24">
        <f>i_G_rate*AE471*(AE522+(1-AE522)*(1+AE523))</f>
        <v/>
      </c>
      <c r="AF524" s="24">
        <f>i_G_rate*AF471*(AF522+(1-AF522)*(1+AF523))</f>
        <v/>
      </c>
      <c r="AG524" s="24">
        <f>i_G_rate*AG471*(AG522+(1-AG522)*(1+AG523))</f>
        <v/>
      </c>
      <c r="AH524" s="24">
        <f>i_G_rate*AH471*(AH522+(1-AH522)*(1+AH523))</f>
        <v/>
      </c>
      <c r="AI524" s="24">
        <f>i_G_rate*AI471*(AI522+(1-AI522)*(1+AI523))</f>
        <v/>
      </c>
    </row>
    <row r="525">
      <c r="B525" s="2" t="inlineStr">
        <is>
          <t xml:space="preserve">  Occupancy after the transition decline and floor</t>
        </is>
      </c>
      <c r="D525" s="21">
        <f>IF(D$3&gt;i_trans_start,MAX(i_G_floor,i_G_occ-i_G_dec*(D$3-i_trans_start)),i_G_occ)</f>
        <v/>
      </c>
      <c r="E525" s="21">
        <f>IF(E$3&gt;i_trans_start,MAX(i_G_floor,i_G_occ-i_G_dec*(E$3-i_trans_start)),i_G_occ)</f>
        <v/>
      </c>
      <c r="F525" s="21">
        <f>IF(F$3&gt;i_trans_start,MAX(i_G_floor,i_G_occ-i_G_dec*(F$3-i_trans_start)),i_G_occ)</f>
        <v/>
      </c>
      <c r="G525" s="21">
        <f>IF(G$3&gt;i_trans_start,MAX(i_G_floor,i_G_occ-i_G_dec*(G$3-i_trans_start)),i_G_occ)</f>
        <v/>
      </c>
      <c r="H525" s="21">
        <f>IF(H$3&gt;i_trans_start,MAX(i_G_floor,i_G_occ-i_G_dec*(H$3-i_trans_start)),i_G_occ)</f>
        <v/>
      </c>
      <c r="I525" s="21">
        <f>IF(I$3&gt;i_trans_start,MAX(i_G_floor,i_G_occ-i_G_dec*(I$3-i_trans_start)),i_G_occ)</f>
        <v/>
      </c>
      <c r="J525" s="21">
        <f>IF(J$3&gt;i_trans_start,MAX(i_G_floor,i_G_occ-i_G_dec*(J$3-i_trans_start)),i_G_occ)</f>
        <v/>
      </c>
      <c r="K525" s="21">
        <f>IF(K$3&gt;i_trans_start,MAX(i_G_floor,i_G_occ-i_G_dec*(K$3-i_trans_start)),i_G_occ)</f>
        <v/>
      </c>
      <c r="L525" s="21">
        <f>IF(L$3&gt;i_trans_start,MAX(i_G_floor,i_G_occ-i_G_dec*(L$3-i_trans_start)),i_G_occ)</f>
        <v/>
      </c>
      <c r="M525" s="21">
        <f>IF(M$3&gt;i_trans_start,MAX(i_G_floor,i_G_occ-i_G_dec*(M$3-i_trans_start)),i_G_occ)</f>
        <v/>
      </c>
      <c r="N525" s="21">
        <f>IF(N$3&gt;i_trans_start,MAX(i_G_floor,i_G_occ-i_G_dec*(N$3-i_trans_start)),i_G_occ)</f>
        <v/>
      </c>
      <c r="O525" s="21">
        <f>IF(O$3&gt;i_trans_start,MAX(i_G_floor,i_G_occ-i_G_dec*(O$3-i_trans_start)),i_G_occ)</f>
        <v/>
      </c>
      <c r="P525" s="21">
        <f>IF(P$3&gt;i_trans_start,MAX(i_G_floor,i_G_occ-i_G_dec*(P$3-i_trans_start)),i_G_occ)</f>
        <v/>
      </c>
      <c r="Q525" s="21">
        <f>IF(Q$3&gt;i_trans_start,MAX(i_G_floor,i_G_occ-i_G_dec*(Q$3-i_trans_start)),i_G_occ)</f>
        <v/>
      </c>
      <c r="R525" s="21">
        <f>IF(R$3&gt;i_trans_start,MAX(i_G_floor,i_G_occ-i_G_dec*(R$3-i_trans_start)),i_G_occ)</f>
        <v/>
      </c>
      <c r="S525" s="21">
        <f>IF(S$3&gt;i_trans_start,MAX(i_G_floor,i_G_occ-i_G_dec*(S$3-i_trans_start)),i_G_occ)</f>
        <v/>
      </c>
      <c r="T525" s="21">
        <f>IF(T$3&gt;i_trans_start,MAX(i_G_floor,i_G_occ-i_G_dec*(T$3-i_trans_start)),i_G_occ)</f>
        <v/>
      </c>
      <c r="U525" s="21">
        <f>IF(U$3&gt;i_trans_start,MAX(i_G_floor,i_G_occ-i_G_dec*(U$3-i_trans_start)),i_G_occ)</f>
        <v/>
      </c>
      <c r="V525" s="21">
        <f>IF(V$3&gt;i_trans_start,MAX(i_G_floor,i_G_occ-i_G_dec*(V$3-i_trans_start)),i_G_occ)</f>
        <v/>
      </c>
      <c r="W525" s="21">
        <f>IF(W$3&gt;i_trans_start,MAX(i_G_floor,i_G_occ-i_G_dec*(W$3-i_trans_start)),i_G_occ)</f>
        <v/>
      </c>
      <c r="X525" s="21">
        <f>IF(X$3&gt;i_trans_start,MAX(i_G_floor,i_G_occ-i_G_dec*(X$3-i_trans_start)),i_G_occ)</f>
        <v/>
      </c>
      <c r="Y525" s="21">
        <f>IF(Y$3&gt;i_trans_start,MAX(i_G_floor,i_G_occ-i_G_dec*(Y$3-i_trans_start)),i_G_occ)</f>
        <v/>
      </c>
      <c r="Z525" s="21">
        <f>IF(Z$3&gt;i_trans_start,MAX(i_G_floor,i_G_occ-i_G_dec*(Z$3-i_trans_start)),i_G_occ)</f>
        <v/>
      </c>
      <c r="AA525" s="21">
        <f>IF(AA$3&gt;i_trans_start,MAX(i_G_floor,i_G_occ-i_G_dec*(AA$3-i_trans_start)),i_G_occ)</f>
        <v/>
      </c>
      <c r="AB525" s="21">
        <f>IF(AB$3&gt;i_trans_start,MAX(i_G_floor,i_G_occ-i_G_dec*(AB$3-i_trans_start)),i_G_occ)</f>
        <v/>
      </c>
      <c r="AC525" s="21">
        <f>IF(AC$3&gt;i_trans_start,MAX(i_G_floor,i_G_occ-i_G_dec*(AC$3-i_trans_start)),i_G_occ)</f>
        <v/>
      </c>
      <c r="AD525" s="21">
        <f>IF(AD$3&gt;i_trans_start,MAX(i_G_floor,i_G_occ-i_G_dec*(AD$3-i_trans_start)),i_G_occ)</f>
        <v/>
      </c>
      <c r="AE525" s="21">
        <f>IF(AE$3&gt;i_trans_start,MAX(i_G_floor,i_G_occ-i_G_dec*(AE$3-i_trans_start)),i_G_occ)</f>
        <v/>
      </c>
      <c r="AF525" s="21">
        <f>IF(AF$3&gt;i_trans_start,MAX(i_G_floor,i_G_occ-i_G_dec*(AF$3-i_trans_start)),i_G_occ)</f>
        <v/>
      </c>
      <c r="AG525" s="21">
        <f>IF(AG$3&gt;i_trans_start,MAX(i_G_floor,i_G_occ-i_G_dec*(AG$3-i_trans_start)),i_G_occ)</f>
        <v/>
      </c>
      <c r="AH525" s="21">
        <f>IF(AH$3&gt;i_trans_start,MAX(i_G_floor,i_G_occ-i_G_dec*(AH$3-i_trans_start)),i_G_occ)</f>
        <v/>
      </c>
      <c r="AI525" s="21">
        <f>IF(AI$3&gt;i_trans_start,MAX(i_G_floor,i_G_occ-i_G_dec*(AI$3-i_trans_start)),i_G_occ)</f>
        <v/>
      </c>
    </row>
    <row r="526">
      <c r="B526" s="2" t="inlineStr">
        <is>
          <t xml:space="preserve">  Occupancy (with the shift switch from 2027)</t>
        </is>
      </c>
      <c r="D526" s="21">
        <f>IF(D$4&gt;0,MIN(1,D525+Sensitivities!$C$465),D525)</f>
        <v/>
      </c>
      <c r="E526" s="21">
        <f>IF(E$4&gt;0,MIN(1,E525+Sensitivities!$C$465),E525)</f>
        <v/>
      </c>
      <c r="F526" s="21">
        <f>IF(F$4&gt;0,MIN(1,F525+Sensitivities!$C$465),F525)</f>
        <v/>
      </c>
      <c r="G526" s="21">
        <f>IF(G$4&gt;0,MIN(1,G525+Sensitivities!$C$465),G525)</f>
        <v/>
      </c>
      <c r="H526" s="21">
        <f>IF(H$4&gt;0,MIN(1,H525+Sensitivities!$C$465),H525)</f>
        <v/>
      </c>
      <c r="I526" s="21">
        <f>IF(I$4&gt;0,MIN(1,I525+Sensitivities!$C$465),I525)</f>
        <v/>
      </c>
      <c r="J526" s="21">
        <f>IF(J$4&gt;0,MIN(1,J525+Sensitivities!$C$465),J525)</f>
        <v/>
      </c>
      <c r="K526" s="21">
        <f>IF(K$4&gt;0,MIN(1,K525+Sensitivities!$C$465),K525)</f>
        <v/>
      </c>
      <c r="L526" s="21">
        <f>IF(L$4&gt;0,MIN(1,L525+Sensitivities!$C$465),L525)</f>
        <v/>
      </c>
      <c r="M526" s="21">
        <f>IF(M$4&gt;0,MIN(1,M525+Sensitivities!$C$465),M525)</f>
        <v/>
      </c>
      <c r="N526" s="21">
        <f>IF(N$4&gt;0,MIN(1,N525+Sensitivities!$C$465),N525)</f>
        <v/>
      </c>
      <c r="O526" s="21">
        <f>IF(O$4&gt;0,MIN(1,O525+Sensitivities!$C$465),O525)</f>
        <v/>
      </c>
      <c r="P526" s="21">
        <f>IF(P$4&gt;0,MIN(1,P525+Sensitivities!$C$465),P525)</f>
        <v/>
      </c>
      <c r="Q526" s="21">
        <f>IF(Q$4&gt;0,MIN(1,Q525+Sensitivities!$C$465),Q525)</f>
        <v/>
      </c>
      <c r="R526" s="21">
        <f>IF(R$4&gt;0,MIN(1,R525+Sensitivities!$C$465),R525)</f>
        <v/>
      </c>
      <c r="S526" s="21">
        <f>IF(S$4&gt;0,MIN(1,S525+Sensitivities!$C$465),S525)</f>
        <v/>
      </c>
      <c r="T526" s="21">
        <f>IF(T$4&gt;0,MIN(1,T525+Sensitivities!$C$465),T525)</f>
        <v/>
      </c>
      <c r="U526" s="21">
        <f>IF(U$4&gt;0,MIN(1,U525+Sensitivities!$C$465),U525)</f>
        <v/>
      </c>
      <c r="V526" s="21">
        <f>IF(V$4&gt;0,MIN(1,V525+Sensitivities!$C$465),V525)</f>
        <v/>
      </c>
      <c r="W526" s="21">
        <f>IF(W$4&gt;0,MIN(1,W525+Sensitivities!$C$465),W525)</f>
        <v/>
      </c>
      <c r="X526" s="21">
        <f>IF(X$4&gt;0,MIN(1,X525+Sensitivities!$C$465),X525)</f>
        <v/>
      </c>
      <c r="Y526" s="21">
        <f>IF(Y$4&gt;0,MIN(1,Y525+Sensitivities!$C$465),Y525)</f>
        <v/>
      </c>
      <c r="Z526" s="21">
        <f>IF(Z$4&gt;0,MIN(1,Z525+Sensitivities!$C$465),Z525)</f>
        <v/>
      </c>
      <c r="AA526" s="21">
        <f>IF(AA$4&gt;0,MIN(1,AA525+Sensitivities!$C$465),AA525)</f>
        <v/>
      </c>
      <c r="AB526" s="21">
        <f>IF(AB$4&gt;0,MIN(1,AB525+Sensitivities!$C$465),AB525)</f>
        <v/>
      </c>
      <c r="AC526" s="21">
        <f>IF(AC$4&gt;0,MIN(1,AC525+Sensitivities!$C$465),AC525)</f>
        <v/>
      </c>
      <c r="AD526" s="21">
        <f>IF(AD$4&gt;0,MIN(1,AD525+Sensitivities!$C$465),AD525)</f>
        <v/>
      </c>
      <c r="AE526" s="21">
        <f>IF(AE$4&gt;0,MIN(1,AE525+Sensitivities!$C$465),AE525)</f>
        <v/>
      </c>
      <c r="AF526" s="21">
        <f>IF(AF$4&gt;0,MIN(1,AF525+Sensitivities!$C$465),AF525)</f>
        <v/>
      </c>
      <c r="AG526" s="21">
        <f>IF(AG$4&gt;0,MIN(1,AG525+Sensitivities!$C$465),AG525)</f>
        <v/>
      </c>
      <c r="AH526" s="21">
        <f>IF(AH$4&gt;0,MIN(1,AH525+Sensitivities!$C$465),AH525)</f>
        <v/>
      </c>
      <c r="AI526" s="21">
        <f>IF(AI$4&gt;0,MIN(1,AI525+Sensitivities!$C$465),AI525)</f>
        <v/>
      </c>
    </row>
    <row r="527">
      <c r="B527" s="2" t="inlineStr">
        <is>
          <t xml:space="preserve">  Storage revenue</t>
        </is>
      </c>
      <c r="D527" s="19">
        <f>D521*D524*12*D526</f>
        <v/>
      </c>
      <c r="E527" s="19">
        <f>E521*E524*12*E526</f>
        <v/>
      </c>
      <c r="F527" s="19">
        <f>F521*F524*12*F526</f>
        <v/>
      </c>
      <c r="G527" s="19">
        <f>G521*G524*12*G526</f>
        <v/>
      </c>
      <c r="H527" s="19">
        <f>H521*H524*12*H526</f>
        <v/>
      </c>
      <c r="I527" s="19">
        <f>I521*I524*12*I526</f>
        <v/>
      </c>
      <c r="J527" s="19">
        <f>J521*J524*12*J526</f>
        <v/>
      </c>
      <c r="K527" s="19">
        <f>K521*K524*12*K526</f>
        <v/>
      </c>
      <c r="L527" s="19">
        <f>L521*L524*12*L526</f>
        <v/>
      </c>
      <c r="M527" s="19">
        <f>M521*M524*12*M526</f>
        <v/>
      </c>
      <c r="N527" s="19">
        <f>N521*N524*12*N526</f>
        <v/>
      </c>
      <c r="O527" s="19">
        <f>O521*O524*12*O526</f>
        <v/>
      </c>
      <c r="P527" s="19">
        <f>P521*P524*12*P526</f>
        <v/>
      </c>
      <c r="Q527" s="19">
        <f>Q521*Q524*12*Q526</f>
        <v/>
      </c>
      <c r="R527" s="19">
        <f>R521*R524*12*R526</f>
        <v/>
      </c>
      <c r="S527" s="19">
        <f>S521*S524*12*S526</f>
        <v/>
      </c>
      <c r="T527" s="19">
        <f>T521*T524*12*T526</f>
        <v/>
      </c>
      <c r="U527" s="19">
        <f>U521*U524*12*U526</f>
        <v/>
      </c>
      <c r="V527" s="19">
        <f>V521*V524*12*V526</f>
        <v/>
      </c>
      <c r="W527" s="19">
        <f>W521*W524*12*W526</f>
        <v/>
      </c>
      <c r="X527" s="19">
        <f>X521*X524*12*X526</f>
        <v/>
      </c>
      <c r="Y527" s="19">
        <f>Y521*Y524*12*Y526</f>
        <v/>
      </c>
      <c r="Z527" s="19">
        <f>Z521*Z524*12*Z526</f>
        <v/>
      </c>
      <c r="AA527" s="19">
        <f>AA521*AA524*12*AA526</f>
        <v/>
      </c>
      <c r="AB527" s="19">
        <f>AB521*AB524*12*AB526</f>
        <v/>
      </c>
      <c r="AC527" s="19">
        <f>AC521*AC524*12*AC526</f>
        <v/>
      </c>
      <c r="AD527" s="19">
        <f>AD521*AD524*12*AD526</f>
        <v/>
      </c>
      <c r="AE527" s="19">
        <f>AE521*AE524*12*AE526</f>
        <v/>
      </c>
      <c r="AF527" s="19">
        <f>AF521*AF524*12*AF526</f>
        <v/>
      </c>
      <c r="AG527" s="19">
        <f>AG521*AG524*12*AG526</f>
        <v/>
      </c>
      <c r="AH527" s="19">
        <f>AH521*AH524*12*AH526</f>
        <v/>
      </c>
      <c r="AI527" s="19">
        <f>AI521*AI524*12*AI526</f>
        <v/>
      </c>
    </row>
    <row r="528">
      <c r="B528" s="2" t="inlineStr">
        <is>
          <t xml:space="preserve">  Ancillary and throughput revenue</t>
        </is>
      </c>
      <c r="D528" s="19">
        <f>D527*i_G_anc</f>
        <v/>
      </c>
      <c r="E528" s="19">
        <f>E527*i_G_anc</f>
        <v/>
      </c>
      <c r="F528" s="19">
        <f>F527*i_G_anc</f>
        <v/>
      </c>
      <c r="G528" s="19">
        <f>G527*i_G_anc</f>
        <v/>
      </c>
      <c r="H528" s="19">
        <f>H527*i_G_anc</f>
        <v/>
      </c>
      <c r="I528" s="19">
        <f>I527*i_G_anc</f>
        <v/>
      </c>
      <c r="J528" s="19">
        <f>J527*i_G_anc</f>
        <v/>
      </c>
      <c r="K528" s="19">
        <f>K527*i_G_anc</f>
        <v/>
      </c>
      <c r="L528" s="19">
        <f>L527*i_G_anc</f>
        <v/>
      </c>
      <c r="M528" s="19">
        <f>M527*i_G_anc</f>
        <v/>
      </c>
      <c r="N528" s="19">
        <f>N527*i_G_anc</f>
        <v/>
      </c>
      <c r="O528" s="19">
        <f>O527*i_G_anc</f>
        <v/>
      </c>
      <c r="P528" s="19">
        <f>P527*i_G_anc</f>
        <v/>
      </c>
      <c r="Q528" s="19">
        <f>Q527*i_G_anc</f>
        <v/>
      </c>
      <c r="R528" s="19">
        <f>R527*i_G_anc</f>
        <v/>
      </c>
      <c r="S528" s="19">
        <f>S527*i_G_anc</f>
        <v/>
      </c>
      <c r="T528" s="19">
        <f>T527*i_G_anc</f>
        <v/>
      </c>
      <c r="U528" s="19">
        <f>U527*i_G_anc</f>
        <v/>
      </c>
      <c r="V528" s="19">
        <f>V527*i_G_anc</f>
        <v/>
      </c>
      <c r="W528" s="19">
        <f>W527*i_G_anc</f>
        <v/>
      </c>
      <c r="X528" s="19">
        <f>X527*i_G_anc</f>
        <v/>
      </c>
      <c r="Y528" s="19">
        <f>Y527*i_G_anc</f>
        <v/>
      </c>
      <c r="Z528" s="19">
        <f>Z527*i_G_anc</f>
        <v/>
      </c>
      <c r="AA528" s="19">
        <f>AA527*i_G_anc</f>
        <v/>
      </c>
      <c r="AB528" s="19">
        <f>AB527*i_G_anc</f>
        <v/>
      </c>
      <c r="AC528" s="19">
        <f>AC527*i_G_anc</f>
        <v/>
      </c>
      <c r="AD528" s="19">
        <f>AD527*i_G_anc</f>
        <v/>
      </c>
      <c r="AE528" s="19">
        <f>AE527*i_G_anc</f>
        <v/>
      </c>
      <c r="AF528" s="19">
        <f>AF527*i_G_anc</f>
        <v/>
      </c>
      <c r="AG528" s="19">
        <f>AG527*i_G_anc</f>
        <v/>
      </c>
      <c r="AH528" s="19">
        <f>AH527*i_G_anc</f>
        <v/>
      </c>
      <c r="AI528" s="19">
        <f>AI527*i_G_anc</f>
        <v/>
      </c>
    </row>
    <row r="529">
      <c r="B529" s="3" t="inlineStr">
        <is>
          <t xml:space="preserve">  Revenue</t>
        </is>
      </c>
      <c r="D529" s="31">
        <f>D527+D528</f>
        <v/>
      </c>
      <c r="E529" s="31">
        <f>E527+E528</f>
        <v/>
      </c>
      <c r="F529" s="31">
        <f>F527+F528</f>
        <v/>
      </c>
      <c r="G529" s="31">
        <f>G527+G528</f>
        <v/>
      </c>
      <c r="H529" s="31">
        <f>H527+H528</f>
        <v/>
      </c>
      <c r="I529" s="31">
        <f>I527+I528</f>
        <v/>
      </c>
      <c r="J529" s="31">
        <f>J527+J528</f>
        <v/>
      </c>
      <c r="K529" s="31">
        <f>K527+K528</f>
        <v/>
      </c>
      <c r="L529" s="31">
        <f>L527+L528</f>
        <v/>
      </c>
      <c r="M529" s="31">
        <f>M527+M528</f>
        <v/>
      </c>
      <c r="N529" s="31">
        <f>N527+N528</f>
        <v/>
      </c>
      <c r="O529" s="31">
        <f>O527+O528</f>
        <v/>
      </c>
      <c r="P529" s="31">
        <f>P527+P528</f>
        <v/>
      </c>
      <c r="Q529" s="31">
        <f>Q527+Q528</f>
        <v/>
      </c>
      <c r="R529" s="31">
        <f>R527+R528</f>
        <v/>
      </c>
      <c r="S529" s="31">
        <f>S527+S528</f>
        <v/>
      </c>
      <c r="T529" s="31">
        <f>T527+T528</f>
        <v/>
      </c>
      <c r="U529" s="31">
        <f>U527+U528</f>
        <v/>
      </c>
      <c r="V529" s="31">
        <f>V527+V528</f>
        <v/>
      </c>
      <c r="W529" s="31">
        <f>W527+W528</f>
        <v/>
      </c>
      <c r="X529" s="31">
        <f>X527+X528</f>
        <v/>
      </c>
      <c r="Y529" s="31">
        <f>Y527+Y528</f>
        <v/>
      </c>
      <c r="Z529" s="31">
        <f>Z527+Z528</f>
        <v/>
      </c>
      <c r="AA529" s="31">
        <f>AA527+AA528</f>
        <v/>
      </c>
      <c r="AB529" s="31">
        <f>AB527+AB528</f>
        <v/>
      </c>
      <c r="AC529" s="31">
        <f>AC527+AC528</f>
        <v/>
      </c>
      <c r="AD529" s="31">
        <f>AD527+AD528</f>
        <v/>
      </c>
      <c r="AE529" s="31">
        <f>AE527+AE528</f>
        <v/>
      </c>
      <c r="AF529" s="31">
        <f>AF527+AF528</f>
        <v/>
      </c>
      <c r="AG529" s="31">
        <f>AG527+AG528</f>
        <v/>
      </c>
      <c r="AH529" s="31">
        <f>AH527+AH528</f>
        <v/>
      </c>
      <c r="AI529" s="31">
        <f>AI527+AI528</f>
        <v/>
      </c>
    </row>
    <row r="530">
      <c r="B530" s="2" t="inlineStr">
        <is>
          <t xml:space="preserve">  Fixed cost</t>
        </is>
      </c>
      <c r="D530" s="19">
        <f>D521*i_G_fix*D470</f>
        <v/>
      </c>
      <c r="E530" s="19">
        <f>E521*i_G_fix*E470</f>
        <v/>
      </c>
      <c r="F530" s="19">
        <f>F521*i_G_fix*F470</f>
        <v/>
      </c>
      <c r="G530" s="19">
        <f>G521*i_G_fix*G470</f>
        <v/>
      </c>
      <c r="H530" s="19">
        <f>H521*i_G_fix*H470</f>
        <v/>
      </c>
      <c r="I530" s="19">
        <f>I521*i_G_fix*I470</f>
        <v/>
      </c>
      <c r="J530" s="19">
        <f>J521*i_G_fix*J470</f>
        <v/>
      </c>
      <c r="K530" s="19">
        <f>K521*i_G_fix*K470</f>
        <v/>
      </c>
      <c r="L530" s="19">
        <f>L521*i_G_fix*L470</f>
        <v/>
      </c>
      <c r="M530" s="19">
        <f>M521*i_G_fix*M470</f>
        <v/>
      </c>
      <c r="N530" s="19">
        <f>N521*i_G_fix*N470</f>
        <v/>
      </c>
      <c r="O530" s="19">
        <f>O521*i_G_fix*O470</f>
        <v/>
      </c>
      <c r="P530" s="19">
        <f>P521*i_G_fix*P470</f>
        <v/>
      </c>
      <c r="Q530" s="19">
        <f>Q521*i_G_fix*Q470</f>
        <v/>
      </c>
      <c r="R530" s="19">
        <f>R521*i_G_fix*R470</f>
        <v/>
      </c>
      <c r="S530" s="19">
        <f>S521*i_G_fix*S470</f>
        <v/>
      </c>
      <c r="T530" s="19">
        <f>T521*i_G_fix*T470</f>
        <v/>
      </c>
      <c r="U530" s="19">
        <f>U521*i_G_fix*U470</f>
        <v/>
      </c>
      <c r="V530" s="19">
        <f>V521*i_G_fix*V470</f>
        <v/>
      </c>
      <c r="W530" s="19">
        <f>W521*i_G_fix*W470</f>
        <v/>
      </c>
      <c r="X530" s="19">
        <f>X521*i_G_fix*X470</f>
        <v/>
      </c>
      <c r="Y530" s="19">
        <f>Y521*i_G_fix*Y470</f>
        <v/>
      </c>
      <c r="Z530" s="19">
        <f>Z521*i_G_fix*Z470</f>
        <v/>
      </c>
      <c r="AA530" s="19">
        <f>AA521*i_G_fix*AA470</f>
        <v/>
      </c>
      <c r="AB530" s="19">
        <f>AB521*i_G_fix*AB470</f>
        <v/>
      </c>
      <c r="AC530" s="19">
        <f>AC521*i_G_fix*AC470</f>
        <v/>
      </c>
      <c r="AD530" s="19">
        <f>AD521*i_G_fix*AD470</f>
        <v/>
      </c>
      <c r="AE530" s="19">
        <f>AE521*i_G_fix*AE470</f>
        <v/>
      </c>
      <c r="AF530" s="19">
        <f>AF521*i_G_fix*AF470</f>
        <v/>
      </c>
      <c r="AG530" s="19">
        <f>AG521*i_G_fix*AG470</f>
        <v/>
      </c>
      <c r="AH530" s="19">
        <f>AH521*i_G_fix*AH470</f>
        <v/>
      </c>
      <c r="AI530" s="19">
        <f>AI521*i_G_fix*AI470</f>
        <v/>
      </c>
    </row>
    <row r="531">
      <c r="B531" s="2" t="inlineStr">
        <is>
          <t xml:space="preserve">  Variable cost</t>
        </is>
      </c>
      <c r="D531" s="19">
        <f>i_G_var*D529</f>
        <v/>
      </c>
      <c r="E531" s="19">
        <f>i_G_var*E529</f>
        <v/>
      </c>
      <c r="F531" s="19">
        <f>i_G_var*F529</f>
        <v/>
      </c>
      <c r="G531" s="19">
        <f>i_G_var*G529</f>
        <v/>
      </c>
      <c r="H531" s="19">
        <f>i_G_var*H529</f>
        <v/>
      </c>
      <c r="I531" s="19">
        <f>i_G_var*I529</f>
        <v/>
      </c>
      <c r="J531" s="19">
        <f>i_G_var*J529</f>
        <v/>
      </c>
      <c r="K531" s="19">
        <f>i_G_var*K529</f>
        <v/>
      </c>
      <c r="L531" s="19">
        <f>i_G_var*L529</f>
        <v/>
      </c>
      <c r="M531" s="19">
        <f>i_G_var*M529</f>
        <v/>
      </c>
      <c r="N531" s="19">
        <f>i_G_var*N529</f>
        <v/>
      </c>
      <c r="O531" s="19">
        <f>i_G_var*O529</f>
        <v/>
      </c>
      <c r="P531" s="19">
        <f>i_G_var*P529</f>
        <v/>
      </c>
      <c r="Q531" s="19">
        <f>i_G_var*Q529</f>
        <v/>
      </c>
      <c r="R531" s="19">
        <f>i_G_var*R529</f>
        <v/>
      </c>
      <c r="S531" s="19">
        <f>i_G_var*S529</f>
        <v/>
      </c>
      <c r="T531" s="19">
        <f>i_G_var*T529</f>
        <v/>
      </c>
      <c r="U531" s="19">
        <f>i_G_var*U529</f>
        <v/>
      </c>
      <c r="V531" s="19">
        <f>i_G_var*V529</f>
        <v/>
      </c>
      <c r="W531" s="19">
        <f>i_G_var*W529</f>
        <v/>
      </c>
      <c r="X531" s="19">
        <f>i_G_var*X529</f>
        <v/>
      </c>
      <c r="Y531" s="19">
        <f>i_G_var*Y529</f>
        <v/>
      </c>
      <c r="Z531" s="19">
        <f>i_G_var*Z529</f>
        <v/>
      </c>
      <c r="AA531" s="19">
        <f>i_G_var*AA529</f>
        <v/>
      </c>
      <c r="AB531" s="19">
        <f>i_G_var*AB529</f>
        <v/>
      </c>
      <c r="AC531" s="19">
        <f>i_G_var*AC529</f>
        <v/>
      </c>
      <c r="AD531" s="19">
        <f>i_G_var*AD529</f>
        <v/>
      </c>
      <c r="AE531" s="19">
        <f>i_G_var*AE529</f>
        <v/>
      </c>
      <c r="AF531" s="19">
        <f>i_G_var*AF529</f>
        <v/>
      </c>
      <c r="AG531" s="19">
        <f>i_G_var*AG529</f>
        <v/>
      </c>
      <c r="AH531" s="19">
        <f>i_G_var*AH529</f>
        <v/>
      </c>
      <c r="AI531" s="19">
        <f>i_G_var*AI529</f>
        <v/>
      </c>
    </row>
    <row r="532">
      <c r="B532" s="2" t="inlineStr">
        <is>
          <t xml:space="preserve">  Extra windstorm insurance</t>
        </is>
      </c>
      <c r="D532" s="19">
        <f>IF(D$4&gt;0,Sensitivities!$C$463*i_g_ins*D470,0)</f>
        <v/>
      </c>
      <c r="E532" s="19">
        <f>IF(E$4&gt;0,Sensitivities!$C$463*i_g_ins*E470,0)</f>
        <v/>
      </c>
      <c r="F532" s="19">
        <f>IF(F$4&gt;0,Sensitivities!$C$463*i_g_ins*F470,0)</f>
        <v/>
      </c>
      <c r="G532" s="19">
        <f>IF(G$4&gt;0,Sensitivities!$C$463*i_g_ins*G470,0)</f>
        <v/>
      </c>
      <c r="H532" s="19">
        <f>IF(H$4&gt;0,Sensitivities!$C$463*i_g_ins*H470,0)</f>
        <v/>
      </c>
      <c r="I532" s="19">
        <f>IF(I$4&gt;0,Sensitivities!$C$463*i_g_ins*I470,0)</f>
        <v/>
      </c>
      <c r="J532" s="19">
        <f>IF(J$4&gt;0,Sensitivities!$C$463*i_g_ins*J470,0)</f>
        <v/>
      </c>
      <c r="K532" s="19">
        <f>IF(K$4&gt;0,Sensitivities!$C$463*i_g_ins*K470,0)</f>
        <v/>
      </c>
      <c r="L532" s="19">
        <f>IF(L$4&gt;0,Sensitivities!$C$463*i_g_ins*L470,0)</f>
        <v/>
      </c>
      <c r="M532" s="19">
        <f>IF(M$4&gt;0,Sensitivities!$C$463*i_g_ins*M470,0)</f>
        <v/>
      </c>
      <c r="N532" s="19">
        <f>IF(N$4&gt;0,Sensitivities!$C$463*i_g_ins*N470,0)</f>
        <v/>
      </c>
      <c r="O532" s="19">
        <f>IF(O$4&gt;0,Sensitivities!$C$463*i_g_ins*O470,0)</f>
        <v/>
      </c>
      <c r="P532" s="19">
        <f>IF(P$4&gt;0,Sensitivities!$C$463*i_g_ins*P470,0)</f>
        <v/>
      </c>
      <c r="Q532" s="19">
        <f>IF(Q$4&gt;0,Sensitivities!$C$463*i_g_ins*Q470,0)</f>
        <v/>
      </c>
      <c r="R532" s="19">
        <f>IF(R$4&gt;0,Sensitivities!$C$463*i_g_ins*R470,0)</f>
        <v/>
      </c>
      <c r="S532" s="19">
        <f>IF(S$4&gt;0,Sensitivities!$C$463*i_g_ins*S470,0)</f>
        <v/>
      </c>
      <c r="T532" s="19">
        <f>IF(T$4&gt;0,Sensitivities!$C$463*i_g_ins*T470,0)</f>
        <v/>
      </c>
      <c r="U532" s="19">
        <f>IF(U$4&gt;0,Sensitivities!$C$463*i_g_ins*U470,0)</f>
        <v/>
      </c>
      <c r="V532" s="19">
        <f>IF(V$4&gt;0,Sensitivities!$C$463*i_g_ins*V470,0)</f>
        <v/>
      </c>
      <c r="W532" s="19">
        <f>IF(W$4&gt;0,Sensitivities!$C$463*i_g_ins*W470,0)</f>
        <v/>
      </c>
      <c r="X532" s="19">
        <f>IF(X$4&gt;0,Sensitivities!$C$463*i_g_ins*X470,0)</f>
        <v/>
      </c>
      <c r="Y532" s="19">
        <f>IF(Y$4&gt;0,Sensitivities!$C$463*i_g_ins*Y470,0)</f>
        <v/>
      </c>
      <c r="Z532" s="19">
        <f>IF(Z$4&gt;0,Sensitivities!$C$463*i_g_ins*Z470,0)</f>
        <v/>
      </c>
      <c r="AA532" s="19">
        <f>IF(AA$4&gt;0,Sensitivities!$C$463*i_g_ins*AA470,0)</f>
        <v/>
      </c>
      <c r="AB532" s="19">
        <f>IF(AB$4&gt;0,Sensitivities!$C$463*i_g_ins*AB470,0)</f>
        <v/>
      </c>
      <c r="AC532" s="19">
        <f>IF(AC$4&gt;0,Sensitivities!$C$463*i_g_ins*AC470,0)</f>
        <v/>
      </c>
      <c r="AD532" s="19">
        <f>IF(AD$4&gt;0,Sensitivities!$C$463*i_g_ins*AD470,0)</f>
        <v/>
      </c>
      <c r="AE532" s="19">
        <f>IF(AE$4&gt;0,Sensitivities!$C$463*i_g_ins*AE470,0)</f>
        <v/>
      </c>
      <c r="AF532" s="19">
        <f>IF(AF$4&gt;0,Sensitivities!$C$463*i_g_ins*AF470,0)</f>
        <v/>
      </c>
      <c r="AG532" s="19">
        <f>IF(AG$4&gt;0,Sensitivities!$C$463*i_g_ins*AG470,0)</f>
        <v/>
      </c>
      <c r="AH532" s="19">
        <f>IF(AH$4&gt;0,Sensitivities!$C$463*i_g_ins*AH470,0)</f>
        <v/>
      </c>
      <c r="AI532" s="19">
        <f>IF(AI$4&gt;0,Sensitivities!$C$463*i_g_ins*AI470,0)</f>
        <v/>
      </c>
    </row>
    <row r="533">
      <c r="B533" s="2" t="inlineStr">
        <is>
          <t xml:space="preserve">  Operating cost</t>
        </is>
      </c>
      <c r="D533" s="19">
        <f>D530+D531+D532</f>
        <v/>
      </c>
      <c r="E533" s="19">
        <f>E530+E531+E532</f>
        <v/>
      </c>
      <c r="F533" s="19">
        <f>F530+F531+F532</f>
        <v/>
      </c>
      <c r="G533" s="19">
        <f>G530+G531+G532</f>
        <v/>
      </c>
      <c r="H533" s="19">
        <f>H530+H531+H532</f>
        <v/>
      </c>
      <c r="I533" s="19">
        <f>I530+I531+I532</f>
        <v/>
      </c>
      <c r="J533" s="19">
        <f>J530+J531+J532</f>
        <v/>
      </c>
      <c r="K533" s="19">
        <f>K530+K531+K532</f>
        <v/>
      </c>
      <c r="L533" s="19">
        <f>L530+L531+L532</f>
        <v/>
      </c>
      <c r="M533" s="19">
        <f>M530+M531+M532</f>
        <v/>
      </c>
      <c r="N533" s="19">
        <f>N530+N531+N532</f>
        <v/>
      </c>
      <c r="O533" s="19">
        <f>O530+O531+O532</f>
        <v/>
      </c>
      <c r="P533" s="19">
        <f>P530+P531+P532</f>
        <v/>
      </c>
      <c r="Q533" s="19">
        <f>Q530+Q531+Q532</f>
        <v/>
      </c>
      <c r="R533" s="19">
        <f>R530+R531+R532</f>
        <v/>
      </c>
      <c r="S533" s="19">
        <f>S530+S531+S532</f>
        <v/>
      </c>
      <c r="T533" s="19">
        <f>T530+T531+T532</f>
        <v/>
      </c>
      <c r="U533" s="19">
        <f>U530+U531+U532</f>
        <v/>
      </c>
      <c r="V533" s="19">
        <f>V530+V531+V532</f>
        <v/>
      </c>
      <c r="W533" s="19">
        <f>W530+W531+W532</f>
        <v/>
      </c>
      <c r="X533" s="19">
        <f>X530+X531+X532</f>
        <v/>
      </c>
      <c r="Y533" s="19">
        <f>Y530+Y531+Y532</f>
        <v/>
      </c>
      <c r="Z533" s="19">
        <f>Z530+Z531+Z532</f>
        <v/>
      </c>
      <c r="AA533" s="19">
        <f>AA530+AA531+AA532</f>
        <v/>
      </c>
      <c r="AB533" s="19">
        <f>AB530+AB531+AB532</f>
        <v/>
      </c>
      <c r="AC533" s="19">
        <f>AC530+AC531+AC532</f>
        <v/>
      </c>
      <c r="AD533" s="19">
        <f>AD530+AD531+AD532</f>
        <v/>
      </c>
      <c r="AE533" s="19">
        <f>AE530+AE531+AE532</f>
        <v/>
      </c>
      <c r="AF533" s="19">
        <f>AF530+AF531+AF532</f>
        <v/>
      </c>
      <c r="AG533" s="19">
        <f>AG530+AG531+AG532</f>
        <v/>
      </c>
      <c r="AH533" s="19">
        <f>AH530+AH531+AH532</f>
        <v/>
      </c>
      <c r="AI533" s="19">
        <f>AI530+AI531+AI532</f>
        <v/>
      </c>
    </row>
    <row r="534">
      <c r="B534" s="3" t="inlineStr">
        <is>
          <t xml:space="preserve">  EBITDA</t>
        </is>
      </c>
      <c r="D534" s="31">
        <f>D529-D533</f>
        <v/>
      </c>
      <c r="E534" s="31">
        <f>E529-E533</f>
        <v/>
      </c>
      <c r="F534" s="31">
        <f>F529-F533</f>
        <v/>
      </c>
      <c r="G534" s="31">
        <f>G529-G533</f>
        <v/>
      </c>
      <c r="H534" s="31">
        <f>H529-H533</f>
        <v/>
      </c>
      <c r="I534" s="31">
        <f>I529-I533</f>
        <v/>
      </c>
      <c r="J534" s="31">
        <f>J529-J533</f>
        <v/>
      </c>
      <c r="K534" s="31">
        <f>K529-K533</f>
        <v/>
      </c>
      <c r="L534" s="31">
        <f>L529-L533</f>
        <v/>
      </c>
      <c r="M534" s="31">
        <f>M529-M533</f>
        <v/>
      </c>
      <c r="N534" s="31">
        <f>N529-N533</f>
        <v/>
      </c>
      <c r="O534" s="31">
        <f>O529-O533</f>
        <v/>
      </c>
      <c r="P534" s="31">
        <f>P529-P533</f>
        <v/>
      </c>
      <c r="Q534" s="31">
        <f>Q529-Q533</f>
        <v/>
      </c>
      <c r="R534" s="31">
        <f>R529-R533</f>
        <v/>
      </c>
      <c r="S534" s="31">
        <f>S529-S533</f>
        <v/>
      </c>
      <c r="T534" s="31">
        <f>T529-T533</f>
        <v/>
      </c>
      <c r="U534" s="31">
        <f>U529-U533</f>
        <v/>
      </c>
      <c r="V534" s="31">
        <f>V529-V533</f>
        <v/>
      </c>
      <c r="W534" s="31">
        <f>W529-W533</f>
        <v/>
      </c>
      <c r="X534" s="31">
        <f>X529-X533</f>
        <v/>
      </c>
      <c r="Y534" s="31">
        <f>Y529-Y533</f>
        <v/>
      </c>
      <c r="Z534" s="31">
        <f>Z529-Z533</f>
        <v/>
      </c>
      <c r="AA534" s="31">
        <f>AA529-AA533</f>
        <v/>
      </c>
      <c r="AB534" s="31">
        <f>AB529-AB533</f>
        <v/>
      </c>
      <c r="AC534" s="31">
        <f>AC529-AC533</f>
        <v/>
      </c>
      <c r="AD534" s="31">
        <f>AD529-AD533</f>
        <v/>
      </c>
      <c r="AE534" s="31">
        <f>AE529-AE533</f>
        <v/>
      </c>
      <c r="AF534" s="31">
        <f>AF529-AF533</f>
        <v/>
      </c>
      <c r="AG534" s="31">
        <f>AG529-AG533</f>
        <v/>
      </c>
      <c r="AH534" s="31">
        <f>AH529-AH533</f>
        <v/>
      </c>
      <c r="AI534" s="31">
        <f>AI529-AI533</f>
        <v/>
      </c>
    </row>
    <row r="535">
      <c r="B535" s="2" t="inlineStr">
        <is>
          <t xml:space="preserve">  Maintenance capex</t>
        </is>
      </c>
      <c r="D535" s="19">
        <f>D521*i_G_mc*D470</f>
        <v/>
      </c>
      <c r="E535" s="19">
        <f>E521*i_G_mc*E470</f>
        <v/>
      </c>
      <c r="F535" s="19">
        <f>F521*i_G_mc*F470</f>
        <v/>
      </c>
      <c r="G535" s="19">
        <f>G521*i_G_mc*G470</f>
        <v/>
      </c>
      <c r="H535" s="19">
        <f>H521*i_G_mc*H470</f>
        <v/>
      </c>
      <c r="I535" s="19">
        <f>I521*i_G_mc*I470</f>
        <v/>
      </c>
      <c r="J535" s="19">
        <f>J521*i_G_mc*J470</f>
        <v/>
      </c>
      <c r="K535" s="19">
        <f>K521*i_G_mc*K470</f>
        <v/>
      </c>
      <c r="L535" s="19">
        <f>L521*i_G_mc*L470</f>
        <v/>
      </c>
      <c r="M535" s="19">
        <f>M521*i_G_mc*M470</f>
        <v/>
      </c>
      <c r="N535" s="19">
        <f>N521*i_G_mc*N470</f>
        <v/>
      </c>
      <c r="O535" s="19">
        <f>O521*i_G_mc*O470</f>
        <v/>
      </c>
      <c r="P535" s="19">
        <f>P521*i_G_mc*P470</f>
        <v/>
      </c>
      <c r="Q535" s="19">
        <f>Q521*i_G_mc*Q470</f>
        <v/>
      </c>
      <c r="R535" s="19">
        <f>R521*i_G_mc*R470</f>
        <v/>
      </c>
      <c r="S535" s="19">
        <f>S521*i_G_mc*S470</f>
        <v/>
      </c>
      <c r="T535" s="19">
        <f>T521*i_G_mc*T470</f>
        <v/>
      </c>
      <c r="U535" s="19">
        <f>U521*i_G_mc*U470</f>
        <v/>
      </c>
      <c r="V535" s="19">
        <f>V521*i_G_mc*V470</f>
        <v/>
      </c>
      <c r="W535" s="19">
        <f>W521*i_G_mc*W470</f>
        <v/>
      </c>
      <c r="X535" s="19">
        <f>X521*i_G_mc*X470</f>
        <v/>
      </c>
      <c r="Y535" s="19">
        <f>Y521*i_G_mc*Y470</f>
        <v/>
      </c>
      <c r="Z535" s="19">
        <f>Z521*i_G_mc*Z470</f>
        <v/>
      </c>
      <c r="AA535" s="19">
        <f>AA521*i_G_mc*AA470</f>
        <v/>
      </c>
      <c r="AB535" s="19">
        <f>AB521*i_G_mc*AB470</f>
        <v/>
      </c>
      <c r="AC535" s="19">
        <f>AC521*i_G_mc*AC470</f>
        <v/>
      </c>
      <c r="AD535" s="19">
        <f>AD521*i_G_mc*AD470</f>
        <v/>
      </c>
      <c r="AE535" s="19">
        <f>AE521*i_G_mc*AE470</f>
        <v/>
      </c>
      <c r="AF535" s="19">
        <f>AF521*i_G_mc*AF470</f>
        <v/>
      </c>
      <c r="AG535" s="19">
        <f>AG521*i_G_mc*AG470</f>
        <v/>
      </c>
      <c r="AH535" s="19">
        <f>AH521*i_G_mc*AH470</f>
        <v/>
      </c>
      <c r="AI535" s="19">
        <f>AI521*i_G_mc*AI470</f>
        <v/>
      </c>
    </row>
    <row r="536">
      <c r="B536" s="3" t="inlineStr">
        <is>
          <t>Sabine Bend expansion (renewable fuels)</t>
        </is>
      </c>
    </row>
    <row r="537">
      <c r="B537" s="2" t="inlineStr">
        <is>
          <t xml:space="preserve">  Growth capex</t>
        </is>
      </c>
      <c r="D537" s="19">
        <f>Sensitivities!$C$464*SUMIF(i_exp_capex_years,D$3,i_exp_capex_vals)*D470</f>
        <v/>
      </c>
      <c r="E537" s="19">
        <f>Sensitivities!$C$464*SUMIF(i_exp_capex_years,E$3,i_exp_capex_vals)*E470</f>
        <v/>
      </c>
      <c r="F537" s="19">
        <f>Sensitivities!$C$464*SUMIF(i_exp_capex_years,F$3,i_exp_capex_vals)*F470</f>
        <v/>
      </c>
      <c r="G537" s="19">
        <f>Sensitivities!$C$464*SUMIF(i_exp_capex_years,G$3,i_exp_capex_vals)*G470</f>
        <v/>
      </c>
      <c r="H537" s="19">
        <f>Sensitivities!$C$464*SUMIF(i_exp_capex_years,H$3,i_exp_capex_vals)*H470</f>
        <v/>
      </c>
      <c r="I537" s="19">
        <f>Sensitivities!$C$464*SUMIF(i_exp_capex_years,I$3,i_exp_capex_vals)*I470</f>
        <v/>
      </c>
      <c r="J537" s="19">
        <f>Sensitivities!$C$464*SUMIF(i_exp_capex_years,J$3,i_exp_capex_vals)*J470</f>
        <v/>
      </c>
      <c r="K537" s="19">
        <f>Sensitivities!$C$464*SUMIF(i_exp_capex_years,K$3,i_exp_capex_vals)*K470</f>
        <v/>
      </c>
      <c r="L537" s="19">
        <f>Sensitivities!$C$464*SUMIF(i_exp_capex_years,L$3,i_exp_capex_vals)*L470</f>
        <v/>
      </c>
      <c r="M537" s="19">
        <f>Sensitivities!$C$464*SUMIF(i_exp_capex_years,M$3,i_exp_capex_vals)*M470</f>
        <v/>
      </c>
      <c r="N537" s="19">
        <f>Sensitivities!$C$464*SUMIF(i_exp_capex_years,N$3,i_exp_capex_vals)*N470</f>
        <v/>
      </c>
      <c r="O537" s="19">
        <f>Sensitivities!$C$464*SUMIF(i_exp_capex_years,O$3,i_exp_capex_vals)*O470</f>
        <v/>
      </c>
      <c r="P537" s="19">
        <f>Sensitivities!$C$464*SUMIF(i_exp_capex_years,P$3,i_exp_capex_vals)*P470</f>
        <v/>
      </c>
      <c r="Q537" s="19">
        <f>Sensitivities!$C$464*SUMIF(i_exp_capex_years,Q$3,i_exp_capex_vals)*Q470</f>
        <v/>
      </c>
      <c r="R537" s="19">
        <f>Sensitivities!$C$464*SUMIF(i_exp_capex_years,R$3,i_exp_capex_vals)*R470</f>
        <v/>
      </c>
      <c r="S537" s="19">
        <f>Sensitivities!$C$464*SUMIF(i_exp_capex_years,S$3,i_exp_capex_vals)*S470</f>
        <v/>
      </c>
      <c r="T537" s="19">
        <f>Sensitivities!$C$464*SUMIF(i_exp_capex_years,T$3,i_exp_capex_vals)*T470</f>
        <v/>
      </c>
      <c r="U537" s="19">
        <f>Sensitivities!$C$464*SUMIF(i_exp_capex_years,U$3,i_exp_capex_vals)*U470</f>
        <v/>
      </c>
      <c r="V537" s="19">
        <f>Sensitivities!$C$464*SUMIF(i_exp_capex_years,V$3,i_exp_capex_vals)*V470</f>
        <v/>
      </c>
      <c r="W537" s="19">
        <f>Sensitivities!$C$464*SUMIF(i_exp_capex_years,W$3,i_exp_capex_vals)*W470</f>
        <v/>
      </c>
      <c r="X537" s="19">
        <f>Sensitivities!$C$464*SUMIF(i_exp_capex_years,X$3,i_exp_capex_vals)*X470</f>
        <v/>
      </c>
      <c r="Y537" s="19">
        <f>Sensitivities!$C$464*SUMIF(i_exp_capex_years,Y$3,i_exp_capex_vals)*Y470</f>
        <v/>
      </c>
      <c r="Z537" s="19">
        <f>Sensitivities!$C$464*SUMIF(i_exp_capex_years,Z$3,i_exp_capex_vals)*Z470</f>
        <v/>
      </c>
      <c r="AA537" s="19">
        <f>Sensitivities!$C$464*SUMIF(i_exp_capex_years,AA$3,i_exp_capex_vals)*AA470</f>
        <v/>
      </c>
      <c r="AB537" s="19">
        <f>Sensitivities!$C$464*SUMIF(i_exp_capex_years,AB$3,i_exp_capex_vals)*AB470</f>
        <v/>
      </c>
      <c r="AC537" s="19">
        <f>Sensitivities!$C$464*SUMIF(i_exp_capex_years,AC$3,i_exp_capex_vals)*AC470</f>
        <v/>
      </c>
      <c r="AD537" s="19">
        <f>Sensitivities!$C$464*SUMIF(i_exp_capex_years,AD$3,i_exp_capex_vals)*AD470</f>
        <v/>
      </c>
      <c r="AE537" s="19">
        <f>Sensitivities!$C$464*SUMIF(i_exp_capex_years,AE$3,i_exp_capex_vals)*AE470</f>
        <v/>
      </c>
      <c r="AF537" s="19">
        <f>Sensitivities!$C$464*SUMIF(i_exp_capex_years,AF$3,i_exp_capex_vals)*AF470</f>
        <v/>
      </c>
      <c r="AG537" s="19">
        <f>Sensitivities!$C$464*SUMIF(i_exp_capex_years,AG$3,i_exp_capex_vals)*AG470</f>
        <v/>
      </c>
      <c r="AH537" s="19">
        <f>Sensitivities!$C$464*SUMIF(i_exp_capex_years,AH$3,i_exp_capex_vals)*AH470</f>
        <v/>
      </c>
      <c r="AI537" s="19">
        <f>Sensitivities!$C$464*SUMIF(i_exp_capex_years,AI$3,i_exp_capex_vals)*AI470</f>
        <v/>
      </c>
    </row>
    <row r="538">
      <c r="B538" s="2" t="inlineStr">
        <is>
          <t xml:space="preserve">  Operating (1/0)</t>
        </is>
      </c>
      <c r="D538" s="22">
        <f>IF(D$3&gt;=i_exp_start,Sensitivities!$C$464,0)</f>
        <v/>
      </c>
      <c r="E538" s="22">
        <f>IF(E$3&gt;=i_exp_start,Sensitivities!$C$464,0)</f>
        <v/>
      </c>
      <c r="F538" s="22">
        <f>IF(F$3&gt;=i_exp_start,Sensitivities!$C$464,0)</f>
        <v/>
      </c>
      <c r="G538" s="22">
        <f>IF(G$3&gt;=i_exp_start,Sensitivities!$C$464,0)</f>
        <v/>
      </c>
      <c r="H538" s="22">
        <f>IF(H$3&gt;=i_exp_start,Sensitivities!$C$464,0)</f>
        <v/>
      </c>
      <c r="I538" s="22">
        <f>IF(I$3&gt;=i_exp_start,Sensitivities!$C$464,0)</f>
        <v/>
      </c>
      <c r="J538" s="22">
        <f>IF(J$3&gt;=i_exp_start,Sensitivities!$C$464,0)</f>
        <v/>
      </c>
      <c r="K538" s="22">
        <f>IF(K$3&gt;=i_exp_start,Sensitivities!$C$464,0)</f>
        <v/>
      </c>
      <c r="L538" s="22">
        <f>IF(L$3&gt;=i_exp_start,Sensitivities!$C$464,0)</f>
        <v/>
      </c>
      <c r="M538" s="22">
        <f>IF(M$3&gt;=i_exp_start,Sensitivities!$C$464,0)</f>
        <v/>
      </c>
      <c r="N538" s="22">
        <f>IF(N$3&gt;=i_exp_start,Sensitivities!$C$464,0)</f>
        <v/>
      </c>
      <c r="O538" s="22">
        <f>IF(O$3&gt;=i_exp_start,Sensitivities!$C$464,0)</f>
        <v/>
      </c>
      <c r="P538" s="22">
        <f>IF(P$3&gt;=i_exp_start,Sensitivities!$C$464,0)</f>
        <v/>
      </c>
      <c r="Q538" s="22">
        <f>IF(Q$3&gt;=i_exp_start,Sensitivities!$C$464,0)</f>
        <v/>
      </c>
      <c r="R538" s="22">
        <f>IF(R$3&gt;=i_exp_start,Sensitivities!$C$464,0)</f>
        <v/>
      </c>
      <c r="S538" s="22">
        <f>IF(S$3&gt;=i_exp_start,Sensitivities!$C$464,0)</f>
        <v/>
      </c>
      <c r="T538" s="22">
        <f>IF(T$3&gt;=i_exp_start,Sensitivities!$C$464,0)</f>
        <v/>
      </c>
      <c r="U538" s="22">
        <f>IF(U$3&gt;=i_exp_start,Sensitivities!$C$464,0)</f>
        <v/>
      </c>
      <c r="V538" s="22">
        <f>IF(V$3&gt;=i_exp_start,Sensitivities!$C$464,0)</f>
        <v/>
      </c>
      <c r="W538" s="22">
        <f>IF(W$3&gt;=i_exp_start,Sensitivities!$C$464,0)</f>
        <v/>
      </c>
      <c r="X538" s="22">
        <f>IF(X$3&gt;=i_exp_start,Sensitivities!$C$464,0)</f>
        <v/>
      </c>
      <c r="Y538" s="22">
        <f>IF(Y$3&gt;=i_exp_start,Sensitivities!$C$464,0)</f>
        <v/>
      </c>
      <c r="Z538" s="22">
        <f>IF(Z$3&gt;=i_exp_start,Sensitivities!$C$464,0)</f>
        <v/>
      </c>
      <c r="AA538" s="22">
        <f>IF(AA$3&gt;=i_exp_start,Sensitivities!$C$464,0)</f>
        <v/>
      </c>
      <c r="AB538" s="22">
        <f>IF(AB$3&gt;=i_exp_start,Sensitivities!$C$464,0)</f>
        <v/>
      </c>
      <c r="AC538" s="22">
        <f>IF(AC$3&gt;=i_exp_start,Sensitivities!$C$464,0)</f>
        <v/>
      </c>
      <c r="AD538" s="22">
        <f>IF(AD$3&gt;=i_exp_start,Sensitivities!$C$464,0)</f>
        <v/>
      </c>
      <c r="AE538" s="22">
        <f>IF(AE$3&gt;=i_exp_start,Sensitivities!$C$464,0)</f>
        <v/>
      </c>
      <c r="AF538" s="22">
        <f>IF(AF$3&gt;=i_exp_start,Sensitivities!$C$464,0)</f>
        <v/>
      </c>
      <c r="AG538" s="22">
        <f>IF(AG$3&gt;=i_exp_start,Sensitivities!$C$464,0)</f>
        <v/>
      </c>
      <c r="AH538" s="22">
        <f>IF(AH$3&gt;=i_exp_start,Sensitivities!$C$464,0)</f>
        <v/>
      </c>
      <c r="AI538" s="22">
        <f>IF(AI$3&gt;=i_exp_start,Sensitivities!$C$464,0)</f>
        <v/>
      </c>
    </row>
    <row r="539">
      <c r="B539" s="2" t="inlineStr">
        <is>
          <t xml:space="preserve">  Under the anchor contract (1/0)</t>
        </is>
      </c>
      <c r="D539" s="22">
        <f>IF(D$3&lt;i_exp_start+i_exp_years,1,0)</f>
        <v/>
      </c>
      <c r="E539" s="22">
        <f>IF(E$3&lt;i_exp_start+i_exp_years,1,0)</f>
        <v/>
      </c>
      <c r="F539" s="22">
        <f>IF(F$3&lt;i_exp_start+i_exp_years,1,0)</f>
        <v/>
      </c>
      <c r="G539" s="22">
        <f>IF(G$3&lt;i_exp_start+i_exp_years,1,0)</f>
        <v/>
      </c>
      <c r="H539" s="22">
        <f>IF(H$3&lt;i_exp_start+i_exp_years,1,0)</f>
        <v/>
      </c>
      <c r="I539" s="22">
        <f>IF(I$3&lt;i_exp_start+i_exp_years,1,0)</f>
        <v/>
      </c>
      <c r="J539" s="22">
        <f>IF(J$3&lt;i_exp_start+i_exp_years,1,0)</f>
        <v/>
      </c>
      <c r="K539" s="22">
        <f>IF(K$3&lt;i_exp_start+i_exp_years,1,0)</f>
        <v/>
      </c>
      <c r="L539" s="22">
        <f>IF(L$3&lt;i_exp_start+i_exp_years,1,0)</f>
        <v/>
      </c>
      <c r="M539" s="22">
        <f>IF(M$3&lt;i_exp_start+i_exp_years,1,0)</f>
        <v/>
      </c>
      <c r="N539" s="22">
        <f>IF(N$3&lt;i_exp_start+i_exp_years,1,0)</f>
        <v/>
      </c>
      <c r="O539" s="22">
        <f>IF(O$3&lt;i_exp_start+i_exp_years,1,0)</f>
        <v/>
      </c>
      <c r="P539" s="22">
        <f>IF(P$3&lt;i_exp_start+i_exp_years,1,0)</f>
        <v/>
      </c>
      <c r="Q539" s="22">
        <f>IF(Q$3&lt;i_exp_start+i_exp_years,1,0)</f>
        <v/>
      </c>
      <c r="R539" s="22">
        <f>IF(R$3&lt;i_exp_start+i_exp_years,1,0)</f>
        <v/>
      </c>
      <c r="S539" s="22">
        <f>IF(S$3&lt;i_exp_start+i_exp_years,1,0)</f>
        <v/>
      </c>
      <c r="T539" s="22">
        <f>IF(T$3&lt;i_exp_start+i_exp_years,1,0)</f>
        <v/>
      </c>
      <c r="U539" s="22">
        <f>IF(U$3&lt;i_exp_start+i_exp_years,1,0)</f>
        <v/>
      </c>
      <c r="V539" s="22">
        <f>IF(V$3&lt;i_exp_start+i_exp_years,1,0)</f>
        <v/>
      </c>
      <c r="W539" s="22">
        <f>IF(W$3&lt;i_exp_start+i_exp_years,1,0)</f>
        <v/>
      </c>
      <c r="X539" s="22">
        <f>IF(X$3&lt;i_exp_start+i_exp_years,1,0)</f>
        <v/>
      </c>
      <c r="Y539" s="22">
        <f>IF(Y$3&lt;i_exp_start+i_exp_years,1,0)</f>
        <v/>
      </c>
      <c r="Z539" s="22">
        <f>IF(Z$3&lt;i_exp_start+i_exp_years,1,0)</f>
        <v/>
      </c>
      <c r="AA539" s="22">
        <f>IF(AA$3&lt;i_exp_start+i_exp_years,1,0)</f>
        <v/>
      </c>
      <c r="AB539" s="22">
        <f>IF(AB$3&lt;i_exp_start+i_exp_years,1,0)</f>
        <v/>
      </c>
      <c r="AC539" s="22">
        <f>IF(AC$3&lt;i_exp_start+i_exp_years,1,0)</f>
        <v/>
      </c>
      <c r="AD539" s="22">
        <f>IF(AD$3&lt;i_exp_start+i_exp_years,1,0)</f>
        <v/>
      </c>
      <c r="AE539" s="22">
        <f>IF(AE$3&lt;i_exp_start+i_exp_years,1,0)</f>
        <v/>
      </c>
      <c r="AF539" s="22">
        <f>IF(AF$3&lt;i_exp_start+i_exp_years,1,0)</f>
        <v/>
      </c>
      <c r="AG539" s="22">
        <f>IF(AG$3&lt;i_exp_start+i_exp_years,1,0)</f>
        <v/>
      </c>
      <c r="AH539" s="22">
        <f>IF(AH$3&lt;i_exp_start+i_exp_years,1,0)</f>
        <v/>
      </c>
      <c r="AI539" s="22">
        <f>IF(AI$3&lt;i_exp_start+i_exp_years,1,0)</f>
        <v/>
      </c>
    </row>
    <row r="540">
      <c r="B540" s="2" t="inlineStr">
        <is>
          <t xml:space="preserve">  Rate ($ per m3 per month)</t>
        </is>
      </c>
      <c r="D540" s="24">
        <f>i_exp_rate*D471*IF(D539=1,1,1+i_exp_mtm)</f>
        <v/>
      </c>
      <c r="E540" s="24">
        <f>i_exp_rate*E471*IF(E539=1,1,1+i_exp_mtm)</f>
        <v/>
      </c>
      <c r="F540" s="24">
        <f>i_exp_rate*F471*IF(F539=1,1,1+i_exp_mtm)</f>
        <v/>
      </c>
      <c r="G540" s="24">
        <f>i_exp_rate*G471*IF(G539=1,1,1+i_exp_mtm)</f>
        <v/>
      </c>
      <c r="H540" s="24">
        <f>i_exp_rate*H471*IF(H539=1,1,1+i_exp_mtm)</f>
        <v/>
      </c>
      <c r="I540" s="24">
        <f>i_exp_rate*I471*IF(I539=1,1,1+i_exp_mtm)</f>
        <v/>
      </c>
      <c r="J540" s="24">
        <f>i_exp_rate*J471*IF(J539=1,1,1+i_exp_mtm)</f>
        <v/>
      </c>
      <c r="K540" s="24">
        <f>i_exp_rate*K471*IF(K539=1,1,1+i_exp_mtm)</f>
        <v/>
      </c>
      <c r="L540" s="24">
        <f>i_exp_rate*L471*IF(L539=1,1,1+i_exp_mtm)</f>
        <v/>
      </c>
      <c r="M540" s="24">
        <f>i_exp_rate*M471*IF(M539=1,1,1+i_exp_mtm)</f>
        <v/>
      </c>
      <c r="N540" s="24">
        <f>i_exp_rate*N471*IF(N539=1,1,1+i_exp_mtm)</f>
        <v/>
      </c>
      <c r="O540" s="24">
        <f>i_exp_rate*O471*IF(O539=1,1,1+i_exp_mtm)</f>
        <v/>
      </c>
      <c r="P540" s="24">
        <f>i_exp_rate*P471*IF(P539=1,1,1+i_exp_mtm)</f>
        <v/>
      </c>
      <c r="Q540" s="24">
        <f>i_exp_rate*Q471*IF(Q539=1,1,1+i_exp_mtm)</f>
        <v/>
      </c>
      <c r="R540" s="24">
        <f>i_exp_rate*R471*IF(R539=1,1,1+i_exp_mtm)</f>
        <v/>
      </c>
      <c r="S540" s="24">
        <f>i_exp_rate*S471*IF(S539=1,1,1+i_exp_mtm)</f>
        <v/>
      </c>
      <c r="T540" s="24">
        <f>i_exp_rate*T471*IF(T539=1,1,1+i_exp_mtm)</f>
        <v/>
      </c>
      <c r="U540" s="24">
        <f>i_exp_rate*U471*IF(U539=1,1,1+i_exp_mtm)</f>
        <v/>
      </c>
      <c r="V540" s="24">
        <f>i_exp_rate*V471*IF(V539=1,1,1+i_exp_mtm)</f>
        <v/>
      </c>
      <c r="W540" s="24">
        <f>i_exp_rate*W471*IF(W539=1,1,1+i_exp_mtm)</f>
        <v/>
      </c>
      <c r="X540" s="24">
        <f>i_exp_rate*X471*IF(X539=1,1,1+i_exp_mtm)</f>
        <v/>
      </c>
      <c r="Y540" s="24">
        <f>i_exp_rate*Y471*IF(Y539=1,1,1+i_exp_mtm)</f>
        <v/>
      </c>
      <c r="Z540" s="24">
        <f>i_exp_rate*Z471*IF(Z539=1,1,1+i_exp_mtm)</f>
        <v/>
      </c>
      <c r="AA540" s="24">
        <f>i_exp_rate*AA471*IF(AA539=1,1,1+i_exp_mtm)</f>
        <v/>
      </c>
      <c r="AB540" s="24">
        <f>i_exp_rate*AB471*IF(AB539=1,1,1+i_exp_mtm)</f>
        <v/>
      </c>
      <c r="AC540" s="24">
        <f>i_exp_rate*AC471*IF(AC539=1,1,1+i_exp_mtm)</f>
        <v/>
      </c>
      <c r="AD540" s="24">
        <f>i_exp_rate*AD471*IF(AD539=1,1,1+i_exp_mtm)</f>
        <v/>
      </c>
      <c r="AE540" s="24">
        <f>i_exp_rate*AE471*IF(AE539=1,1,1+i_exp_mtm)</f>
        <v/>
      </c>
      <c r="AF540" s="24">
        <f>i_exp_rate*AF471*IF(AF539=1,1,1+i_exp_mtm)</f>
        <v/>
      </c>
      <c r="AG540" s="24">
        <f>i_exp_rate*AG471*IF(AG539=1,1,1+i_exp_mtm)</f>
        <v/>
      </c>
      <c r="AH540" s="24">
        <f>i_exp_rate*AH471*IF(AH539=1,1,1+i_exp_mtm)</f>
        <v/>
      </c>
      <c r="AI540" s="24">
        <f>i_exp_rate*AI471*IF(AI539=1,1,1+i_exp_mtm)</f>
        <v/>
      </c>
    </row>
    <row r="541">
      <c r="B541" s="2" t="inlineStr">
        <is>
          <t xml:space="preserve">  Occupancy</t>
        </is>
      </c>
      <c r="D541" s="21">
        <f>IF(D539=1,i_exp_occ_c,i_exp_occ_m)</f>
        <v/>
      </c>
      <c r="E541" s="21">
        <f>IF(E539=1,i_exp_occ_c,i_exp_occ_m)</f>
        <v/>
      </c>
      <c r="F541" s="21">
        <f>IF(F539=1,i_exp_occ_c,i_exp_occ_m)</f>
        <v/>
      </c>
      <c r="G541" s="21">
        <f>IF(G539=1,i_exp_occ_c,i_exp_occ_m)</f>
        <v/>
      </c>
      <c r="H541" s="21">
        <f>IF(H539=1,i_exp_occ_c,i_exp_occ_m)</f>
        <v/>
      </c>
      <c r="I541" s="21">
        <f>IF(I539=1,i_exp_occ_c,i_exp_occ_m)</f>
        <v/>
      </c>
      <c r="J541" s="21">
        <f>IF(J539=1,i_exp_occ_c,i_exp_occ_m)</f>
        <v/>
      </c>
      <c r="K541" s="21">
        <f>IF(K539=1,i_exp_occ_c,i_exp_occ_m)</f>
        <v/>
      </c>
      <c r="L541" s="21">
        <f>IF(L539=1,i_exp_occ_c,i_exp_occ_m)</f>
        <v/>
      </c>
      <c r="M541" s="21">
        <f>IF(M539=1,i_exp_occ_c,i_exp_occ_m)</f>
        <v/>
      </c>
      <c r="N541" s="21">
        <f>IF(N539=1,i_exp_occ_c,i_exp_occ_m)</f>
        <v/>
      </c>
      <c r="O541" s="21">
        <f>IF(O539=1,i_exp_occ_c,i_exp_occ_m)</f>
        <v/>
      </c>
      <c r="P541" s="21">
        <f>IF(P539=1,i_exp_occ_c,i_exp_occ_m)</f>
        <v/>
      </c>
      <c r="Q541" s="21">
        <f>IF(Q539=1,i_exp_occ_c,i_exp_occ_m)</f>
        <v/>
      </c>
      <c r="R541" s="21">
        <f>IF(R539=1,i_exp_occ_c,i_exp_occ_m)</f>
        <v/>
      </c>
      <c r="S541" s="21">
        <f>IF(S539=1,i_exp_occ_c,i_exp_occ_m)</f>
        <v/>
      </c>
      <c r="T541" s="21">
        <f>IF(T539=1,i_exp_occ_c,i_exp_occ_m)</f>
        <v/>
      </c>
      <c r="U541" s="21">
        <f>IF(U539=1,i_exp_occ_c,i_exp_occ_m)</f>
        <v/>
      </c>
      <c r="V541" s="21">
        <f>IF(V539=1,i_exp_occ_c,i_exp_occ_m)</f>
        <v/>
      </c>
      <c r="W541" s="21">
        <f>IF(W539=1,i_exp_occ_c,i_exp_occ_m)</f>
        <v/>
      </c>
      <c r="X541" s="21">
        <f>IF(X539=1,i_exp_occ_c,i_exp_occ_m)</f>
        <v/>
      </c>
      <c r="Y541" s="21">
        <f>IF(Y539=1,i_exp_occ_c,i_exp_occ_m)</f>
        <v/>
      </c>
      <c r="Z541" s="21">
        <f>IF(Z539=1,i_exp_occ_c,i_exp_occ_m)</f>
        <v/>
      </c>
      <c r="AA541" s="21">
        <f>IF(AA539=1,i_exp_occ_c,i_exp_occ_m)</f>
        <v/>
      </c>
      <c r="AB541" s="21">
        <f>IF(AB539=1,i_exp_occ_c,i_exp_occ_m)</f>
        <v/>
      </c>
      <c r="AC541" s="21">
        <f>IF(AC539=1,i_exp_occ_c,i_exp_occ_m)</f>
        <v/>
      </c>
      <c r="AD541" s="21">
        <f>IF(AD539=1,i_exp_occ_c,i_exp_occ_m)</f>
        <v/>
      </c>
      <c r="AE541" s="21">
        <f>IF(AE539=1,i_exp_occ_c,i_exp_occ_m)</f>
        <v/>
      </c>
      <c r="AF541" s="21">
        <f>IF(AF539=1,i_exp_occ_c,i_exp_occ_m)</f>
        <v/>
      </c>
      <c r="AG541" s="21">
        <f>IF(AG539=1,i_exp_occ_c,i_exp_occ_m)</f>
        <v/>
      </c>
      <c r="AH541" s="21">
        <f>IF(AH539=1,i_exp_occ_c,i_exp_occ_m)</f>
        <v/>
      </c>
      <c r="AI541" s="21">
        <f>IF(AI539=1,i_exp_occ_c,i_exp_occ_m)</f>
        <v/>
      </c>
    </row>
    <row r="542">
      <c r="B542" s="2" t="inlineStr">
        <is>
          <t xml:space="preserve">  Storage revenue</t>
        </is>
      </c>
      <c r="D542" s="19">
        <f>D538*i_exp_cap*D540*12*D541</f>
        <v/>
      </c>
      <c r="E542" s="19">
        <f>E538*i_exp_cap*E540*12*E541</f>
        <v/>
      </c>
      <c r="F542" s="19">
        <f>F538*i_exp_cap*F540*12*F541</f>
        <v/>
      </c>
      <c r="G542" s="19">
        <f>G538*i_exp_cap*G540*12*G541</f>
        <v/>
      </c>
      <c r="H542" s="19">
        <f>H538*i_exp_cap*H540*12*H541</f>
        <v/>
      </c>
      <c r="I542" s="19">
        <f>I538*i_exp_cap*I540*12*I541</f>
        <v/>
      </c>
      <c r="J542" s="19">
        <f>J538*i_exp_cap*J540*12*J541</f>
        <v/>
      </c>
      <c r="K542" s="19">
        <f>K538*i_exp_cap*K540*12*K541</f>
        <v/>
      </c>
      <c r="L542" s="19">
        <f>L538*i_exp_cap*L540*12*L541</f>
        <v/>
      </c>
      <c r="M542" s="19">
        <f>M538*i_exp_cap*M540*12*M541</f>
        <v/>
      </c>
      <c r="N542" s="19">
        <f>N538*i_exp_cap*N540*12*N541</f>
        <v/>
      </c>
      <c r="O542" s="19">
        <f>O538*i_exp_cap*O540*12*O541</f>
        <v/>
      </c>
      <c r="P542" s="19">
        <f>P538*i_exp_cap*P540*12*P541</f>
        <v/>
      </c>
      <c r="Q542" s="19">
        <f>Q538*i_exp_cap*Q540*12*Q541</f>
        <v/>
      </c>
      <c r="R542" s="19">
        <f>R538*i_exp_cap*R540*12*R541</f>
        <v/>
      </c>
      <c r="S542" s="19">
        <f>S538*i_exp_cap*S540*12*S541</f>
        <v/>
      </c>
      <c r="T542" s="19">
        <f>T538*i_exp_cap*T540*12*T541</f>
        <v/>
      </c>
      <c r="U542" s="19">
        <f>U538*i_exp_cap*U540*12*U541</f>
        <v/>
      </c>
      <c r="V542" s="19">
        <f>V538*i_exp_cap*V540*12*V541</f>
        <v/>
      </c>
      <c r="W542" s="19">
        <f>W538*i_exp_cap*W540*12*W541</f>
        <v/>
      </c>
      <c r="X542" s="19">
        <f>X538*i_exp_cap*X540*12*X541</f>
        <v/>
      </c>
      <c r="Y542" s="19">
        <f>Y538*i_exp_cap*Y540*12*Y541</f>
        <v/>
      </c>
      <c r="Z542" s="19">
        <f>Z538*i_exp_cap*Z540*12*Z541</f>
        <v/>
      </c>
      <c r="AA542" s="19">
        <f>AA538*i_exp_cap*AA540*12*AA541</f>
        <v/>
      </c>
      <c r="AB542" s="19">
        <f>AB538*i_exp_cap*AB540*12*AB541</f>
        <v/>
      </c>
      <c r="AC542" s="19">
        <f>AC538*i_exp_cap*AC540*12*AC541</f>
        <v/>
      </c>
      <c r="AD542" s="19">
        <f>AD538*i_exp_cap*AD540*12*AD541</f>
        <v/>
      </c>
      <c r="AE542" s="19">
        <f>AE538*i_exp_cap*AE540*12*AE541</f>
        <v/>
      </c>
      <c r="AF542" s="19">
        <f>AF538*i_exp_cap*AF540*12*AF541</f>
        <v/>
      </c>
      <c r="AG542" s="19">
        <f>AG538*i_exp_cap*AG540*12*AG541</f>
        <v/>
      </c>
      <c r="AH542" s="19">
        <f>AH538*i_exp_cap*AH540*12*AH541</f>
        <v/>
      </c>
      <c r="AI542" s="19">
        <f>AI538*i_exp_cap*AI540*12*AI541</f>
        <v/>
      </c>
    </row>
    <row r="543">
      <c r="B543" s="3" t="inlineStr">
        <is>
          <t xml:space="preserve">  Revenue</t>
        </is>
      </c>
      <c r="D543" s="31">
        <f>D542*(1+i_exp_anc)</f>
        <v/>
      </c>
      <c r="E543" s="31">
        <f>E542*(1+i_exp_anc)</f>
        <v/>
      </c>
      <c r="F543" s="31">
        <f>F542*(1+i_exp_anc)</f>
        <v/>
      </c>
      <c r="G543" s="31">
        <f>G542*(1+i_exp_anc)</f>
        <v/>
      </c>
      <c r="H543" s="31">
        <f>H542*(1+i_exp_anc)</f>
        <v/>
      </c>
      <c r="I543" s="31">
        <f>I542*(1+i_exp_anc)</f>
        <v/>
      </c>
      <c r="J543" s="31">
        <f>J542*(1+i_exp_anc)</f>
        <v/>
      </c>
      <c r="K543" s="31">
        <f>K542*(1+i_exp_anc)</f>
        <v/>
      </c>
      <c r="L543" s="31">
        <f>L542*(1+i_exp_anc)</f>
        <v/>
      </c>
      <c r="M543" s="31">
        <f>M542*(1+i_exp_anc)</f>
        <v/>
      </c>
      <c r="N543" s="31">
        <f>N542*(1+i_exp_anc)</f>
        <v/>
      </c>
      <c r="O543" s="31">
        <f>O542*(1+i_exp_anc)</f>
        <v/>
      </c>
      <c r="P543" s="31">
        <f>P542*(1+i_exp_anc)</f>
        <v/>
      </c>
      <c r="Q543" s="31">
        <f>Q542*(1+i_exp_anc)</f>
        <v/>
      </c>
      <c r="R543" s="31">
        <f>R542*(1+i_exp_anc)</f>
        <v/>
      </c>
      <c r="S543" s="31">
        <f>S542*(1+i_exp_anc)</f>
        <v/>
      </c>
      <c r="T543" s="31">
        <f>T542*(1+i_exp_anc)</f>
        <v/>
      </c>
      <c r="U543" s="31">
        <f>U542*(1+i_exp_anc)</f>
        <v/>
      </c>
      <c r="V543" s="31">
        <f>V542*(1+i_exp_anc)</f>
        <v/>
      </c>
      <c r="W543" s="31">
        <f>W542*(1+i_exp_anc)</f>
        <v/>
      </c>
      <c r="X543" s="31">
        <f>X542*(1+i_exp_anc)</f>
        <v/>
      </c>
      <c r="Y543" s="31">
        <f>Y542*(1+i_exp_anc)</f>
        <v/>
      </c>
      <c r="Z543" s="31">
        <f>Z542*(1+i_exp_anc)</f>
        <v/>
      </c>
      <c r="AA543" s="31">
        <f>AA542*(1+i_exp_anc)</f>
        <v/>
      </c>
      <c r="AB543" s="31">
        <f>AB542*(1+i_exp_anc)</f>
        <v/>
      </c>
      <c r="AC543" s="31">
        <f>AC542*(1+i_exp_anc)</f>
        <v/>
      </c>
      <c r="AD543" s="31">
        <f>AD542*(1+i_exp_anc)</f>
        <v/>
      </c>
      <c r="AE543" s="31">
        <f>AE542*(1+i_exp_anc)</f>
        <v/>
      </c>
      <c r="AF543" s="31">
        <f>AF542*(1+i_exp_anc)</f>
        <v/>
      </c>
      <c r="AG543" s="31">
        <f>AG542*(1+i_exp_anc)</f>
        <v/>
      </c>
      <c r="AH543" s="31">
        <f>AH542*(1+i_exp_anc)</f>
        <v/>
      </c>
      <c r="AI543" s="31">
        <f>AI542*(1+i_exp_anc)</f>
        <v/>
      </c>
    </row>
    <row r="544">
      <c r="B544" s="2" t="inlineStr">
        <is>
          <t xml:space="preserve">  Operating cost</t>
        </is>
      </c>
      <c r="D544" s="19">
        <f>D538*i_exp_fix*i_exp_cap*D470+i_exp_var*D543</f>
        <v/>
      </c>
      <c r="E544" s="19">
        <f>E538*i_exp_fix*i_exp_cap*E470+i_exp_var*E543</f>
        <v/>
      </c>
      <c r="F544" s="19">
        <f>F538*i_exp_fix*i_exp_cap*F470+i_exp_var*F543</f>
        <v/>
      </c>
      <c r="G544" s="19">
        <f>G538*i_exp_fix*i_exp_cap*G470+i_exp_var*G543</f>
        <v/>
      </c>
      <c r="H544" s="19">
        <f>H538*i_exp_fix*i_exp_cap*H470+i_exp_var*H543</f>
        <v/>
      </c>
      <c r="I544" s="19">
        <f>I538*i_exp_fix*i_exp_cap*I470+i_exp_var*I543</f>
        <v/>
      </c>
      <c r="J544" s="19">
        <f>J538*i_exp_fix*i_exp_cap*J470+i_exp_var*J543</f>
        <v/>
      </c>
      <c r="K544" s="19">
        <f>K538*i_exp_fix*i_exp_cap*K470+i_exp_var*K543</f>
        <v/>
      </c>
      <c r="L544" s="19">
        <f>L538*i_exp_fix*i_exp_cap*L470+i_exp_var*L543</f>
        <v/>
      </c>
      <c r="M544" s="19">
        <f>M538*i_exp_fix*i_exp_cap*M470+i_exp_var*M543</f>
        <v/>
      </c>
      <c r="N544" s="19">
        <f>N538*i_exp_fix*i_exp_cap*N470+i_exp_var*N543</f>
        <v/>
      </c>
      <c r="O544" s="19">
        <f>O538*i_exp_fix*i_exp_cap*O470+i_exp_var*O543</f>
        <v/>
      </c>
      <c r="P544" s="19">
        <f>P538*i_exp_fix*i_exp_cap*P470+i_exp_var*P543</f>
        <v/>
      </c>
      <c r="Q544" s="19">
        <f>Q538*i_exp_fix*i_exp_cap*Q470+i_exp_var*Q543</f>
        <v/>
      </c>
      <c r="R544" s="19">
        <f>R538*i_exp_fix*i_exp_cap*R470+i_exp_var*R543</f>
        <v/>
      </c>
      <c r="S544" s="19">
        <f>S538*i_exp_fix*i_exp_cap*S470+i_exp_var*S543</f>
        <v/>
      </c>
      <c r="T544" s="19">
        <f>T538*i_exp_fix*i_exp_cap*T470+i_exp_var*T543</f>
        <v/>
      </c>
      <c r="U544" s="19">
        <f>U538*i_exp_fix*i_exp_cap*U470+i_exp_var*U543</f>
        <v/>
      </c>
      <c r="V544" s="19">
        <f>V538*i_exp_fix*i_exp_cap*V470+i_exp_var*V543</f>
        <v/>
      </c>
      <c r="W544" s="19">
        <f>W538*i_exp_fix*i_exp_cap*W470+i_exp_var*W543</f>
        <v/>
      </c>
      <c r="X544" s="19">
        <f>X538*i_exp_fix*i_exp_cap*X470+i_exp_var*X543</f>
        <v/>
      </c>
      <c r="Y544" s="19">
        <f>Y538*i_exp_fix*i_exp_cap*Y470+i_exp_var*Y543</f>
        <v/>
      </c>
      <c r="Z544" s="19">
        <f>Z538*i_exp_fix*i_exp_cap*Z470+i_exp_var*Z543</f>
        <v/>
      </c>
      <c r="AA544" s="19">
        <f>AA538*i_exp_fix*i_exp_cap*AA470+i_exp_var*AA543</f>
        <v/>
      </c>
      <c r="AB544" s="19">
        <f>AB538*i_exp_fix*i_exp_cap*AB470+i_exp_var*AB543</f>
        <v/>
      </c>
      <c r="AC544" s="19">
        <f>AC538*i_exp_fix*i_exp_cap*AC470+i_exp_var*AC543</f>
        <v/>
      </c>
      <c r="AD544" s="19">
        <f>AD538*i_exp_fix*i_exp_cap*AD470+i_exp_var*AD543</f>
        <v/>
      </c>
      <c r="AE544" s="19">
        <f>AE538*i_exp_fix*i_exp_cap*AE470+i_exp_var*AE543</f>
        <v/>
      </c>
      <c r="AF544" s="19">
        <f>AF538*i_exp_fix*i_exp_cap*AF470+i_exp_var*AF543</f>
        <v/>
      </c>
      <c r="AG544" s="19">
        <f>AG538*i_exp_fix*i_exp_cap*AG470+i_exp_var*AG543</f>
        <v/>
      </c>
      <c r="AH544" s="19">
        <f>AH538*i_exp_fix*i_exp_cap*AH470+i_exp_var*AH543</f>
        <v/>
      </c>
      <c r="AI544" s="19">
        <f>AI538*i_exp_fix*i_exp_cap*AI470+i_exp_var*AI543</f>
        <v/>
      </c>
    </row>
    <row r="545">
      <c r="B545" s="3" t="inlineStr">
        <is>
          <t xml:space="preserve">  EBITDA</t>
        </is>
      </c>
      <c r="D545" s="31">
        <f>D543-D544</f>
        <v/>
      </c>
      <c r="E545" s="31">
        <f>E543-E544</f>
        <v/>
      </c>
      <c r="F545" s="31">
        <f>F543-F544</f>
        <v/>
      </c>
      <c r="G545" s="31">
        <f>G543-G544</f>
        <v/>
      </c>
      <c r="H545" s="31">
        <f>H543-H544</f>
        <v/>
      </c>
      <c r="I545" s="31">
        <f>I543-I544</f>
        <v/>
      </c>
      <c r="J545" s="31">
        <f>J543-J544</f>
        <v/>
      </c>
      <c r="K545" s="31">
        <f>K543-K544</f>
        <v/>
      </c>
      <c r="L545" s="31">
        <f>L543-L544</f>
        <v/>
      </c>
      <c r="M545" s="31">
        <f>M543-M544</f>
        <v/>
      </c>
      <c r="N545" s="31">
        <f>N543-N544</f>
        <v/>
      </c>
      <c r="O545" s="31">
        <f>O543-O544</f>
        <v/>
      </c>
      <c r="P545" s="31">
        <f>P543-P544</f>
        <v/>
      </c>
      <c r="Q545" s="31">
        <f>Q543-Q544</f>
        <v/>
      </c>
      <c r="R545" s="31">
        <f>R543-R544</f>
        <v/>
      </c>
      <c r="S545" s="31">
        <f>S543-S544</f>
        <v/>
      </c>
      <c r="T545" s="31">
        <f>T543-T544</f>
        <v/>
      </c>
      <c r="U545" s="31">
        <f>U543-U544</f>
        <v/>
      </c>
      <c r="V545" s="31">
        <f>V543-V544</f>
        <v/>
      </c>
      <c r="W545" s="31">
        <f>W543-W544</f>
        <v/>
      </c>
      <c r="X545" s="31">
        <f>X543-X544</f>
        <v/>
      </c>
      <c r="Y545" s="31">
        <f>Y543-Y544</f>
        <v/>
      </c>
      <c r="Z545" s="31">
        <f>Z543-Z544</f>
        <v/>
      </c>
      <c r="AA545" s="31">
        <f>AA543-AA544</f>
        <v/>
      </c>
      <c r="AB545" s="31">
        <f>AB543-AB544</f>
        <v/>
      </c>
      <c r="AC545" s="31">
        <f>AC543-AC544</f>
        <v/>
      </c>
      <c r="AD545" s="31">
        <f>AD543-AD544</f>
        <v/>
      </c>
      <c r="AE545" s="31">
        <f>AE543-AE544</f>
        <v/>
      </c>
      <c r="AF545" s="31">
        <f>AF543-AF544</f>
        <v/>
      </c>
      <c r="AG545" s="31">
        <f>AG543-AG544</f>
        <v/>
      </c>
      <c r="AH545" s="31">
        <f>AH543-AH544</f>
        <v/>
      </c>
      <c r="AI545" s="31">
        <f>AI543-AI544</f>
        <v/>
      </c>
    </row>
    <row r="546">
      <c r="B546" s="2" t="inlineStr">
        <is>
          <t xml:space="preserve">  Maintenance capex</t>
        </is>
      </c>
      <c r="D546" s="19">
        <f>D538*i_exp_mc*i_exp_cap*D470</f>
        <v/>
      </c>
      <c r="E546" s="19">
        <f>E538*i_exp_mc*i_exp_cap*E470</f>
        <v/>
      </c>
      <c r="F546" s="19">
        <f>F538*i_exp_mc*i_exp_cap*F470</f>
        <v/>
      </c>
      <c r="G546" s="19">
        <f>G538*i_exp_mc*i_exp_cap*G470</f>
        <v/>
      </c>
      <c r="H546" s="19">
        <f>H538*i_exp_mc*i_exp_cap*H470</f>
        <v/>
      </c>
      <c r="I546" s="19">
        <f>I538*i_exp_mc*i_exp_cap*I470</f>
        <v/>
      </c>
      <c r="J546" s="19">
        <f>J538*i_exp_mc*i_exp_cap*J470</f>
        <v/>
      </c>
      <c r="K546" s="19">
        <f>K538*i_exp_mc*i_exp_cap*K470</f>
        <v/>
      </c>
      <c r="L546" s="19">
        <f>L538*i_exp_mc*i_exp_cap*L470</f>
        <v/>
      </c>
      <c r="M546" s="19">
        <f>M538*i_exp_mc*i_exp_cap*M470</f>
        <v/>
      </c>
      <c r="N546" s="19">
        <f>N538*i_exp_mc*i_exp_cap*N470</f>
        <v/>
      </c>
      <c r="O546" s="19">
        <f>O538*i_exp_mc*i_exp_cap*O470</f>
        <v/>
      </c>
      <c r="P546" s="19">
        <f>P538*i_exp_mc*i_exp_cap*P470</f>
        <v/>
      </c>
      <c r="Q546" s="19">
        <f>Q538*i_exp_mc*i_exp_cap*Q470</f>
        <v/>
      </c>
      <c r="R546" s="19">
        <f>R538*i_exp_mc*i_exp_cap*R470</f>
        <v/>
      </c>
      <c r="S546" s="19">
        <f>S538*i_exp_mc*i_exp_cap*S470</f>
        <v/>
      </c>
      <c r="T546" s="19">
        <f>T538*i_exp_mc*i_exp_cap*T470</f>
        <v/>
      </c>
      <c r="U546" s="19">
        <f>U538*i_exp_mc*i_exp_cap*U470</f>
        <v/>
      </c>
      <c r="V546" s="19">
        <f>V538*i_exp_mc*i_exp_cap*V470</f>
        <v/>
      </c>
      <c r="W546" s="19">
        <f>W538*i_exp_mc*i_exp_cap*W470</f>
        <v/>
      </c>
      <c r="X546" s="19">
        <f>X538*i_exp_mc*i_exp_cap*X470</f>
        <v/>
      </c>
      <c r="Y546" s="19">
        <f>Y538*i_exp_mc*i_exp_cap*Y470</f>
        <v/>
      </c>
      <c r="Z546" s="19">
        <f>Z538*i_exp_mc*i_exp_cap*Z470</f>
        <v/>
      </c>
      <c r="AA546" s="19">
        <f>AA538*i_exp_mc*i_exp_cap*AA470</f>
        <v/>
      </c>
      <c r="AB546" s="19">
        <f>AB538*i_exp_mc*i_exp_cap*AB470</f>
        <v/>
      </c>
      <c r="AC546" s="19">
        <f>AC538*i_exp_mc*i_exp_cap*AC470</f>
        <v/>
      </c>
      <c r="AD546" s="19">
        <f>AD538*i_exp_mc*i_exp_cap*AD470</f>
        <v/>
      </c>
      <c r="AE546" s="19">
        <f>AE538*i_exp_mc*i_exp_cap*AE470</f>
        <v/>
      </c>
      <c r="AF546" s="19">
        <f>AF538*i_exp_mc*i_exp_cap*AF470</f>
        <v/>
      </c>
      <c r="AG546" s="19">
        <f>AG538*i_exp_mc*i_exp_cap*AG470</f>
        <v/>
      </c>
      <c r="AH546" s="19">
        <f>AH538*i_exp_mc*i_exp_cap*AH470</f>
        <v/>
      </c>
      <c r="AI546" s="19">
        <f>AI538*i_exp_mc*i_exp_cap*AI470</f>
        <v/>
      </c>
    </row>
    <row r="548">
      <c r="B548" s="5" t="inlineStr">
        <is>
          <t>Consolidated</t>
        </is>
      </c>
    </row>
    <row r="549">
      <c r="B549" s="2" t="inlineStr">
        <is>
          <t>Revenue</t>
        </is>
      </c>
      <c r="D549" s="19">
        <f>D483+D499+D514+D529+D543</f>
        <v/>
      </c>
      <c r="E549" s="19">
        <f>E483+E499+E514+E529+E543</f>
        <v/>
      </c>
      <c r="F549" s="19">
        <f>F483+F499+F514+F529+F543</f>
        <v/>
      </c>
      <c r="G549" s="19">
        <f>G483+G499+G514+G529+G543</f>
        <v/>
      </c>
      <c r="H549" s="19">
        <f>H483+H499+H514+H529+H543</f>
        <v/>
      </c>
      <c r="I549" s="19">
        <f>I483+I499+I514+I529+I543</f>
        <v/>
      </c>
      <c r="J549" s="19">
        <f>J483+J499+J514+J529+J543</f>
        <v/>
      </c>
      <c r="K549" s="19">
        <f>K483+K499+K514+K529+K543</f>
        <v/>
      </c>
      <c r="L549" s="19">
        <f>L483+L499+L514+L529+L543</f>
        <v/>
      </c>
      <c r="M549" s="19">
        <f>M483+M499+M514+M529+M543</f>
        <v/>
      </c>
      <c r="N549" s="19">
        <f>N483+N499+N514+N529+N543</f>
        <v/>
      </c>
      <c r="O549" s="19">
        <f>O483+O499+O514+O529+O543</f>
        <v/>
      </c>
      <c r="P549" s="19">
        <f>P483+P499+P514+P529+P543</f>
        <v/>
      </c>
      <c r="Q549" s="19">
        <f>Q483+Q499+Q514+Q529+Q543</f>
        <v/>
      </c>
      <c r="R549" s="19">
        <f>R483+R499+R514+R529+R543</f>
        <v/>
      </c>
      <c r="S549" s="19">
        <f>S483+S499+S514+S529+S543</f>
        <v/>
      </c>
      <c r="T549" s="19">
        <f>T483+T499+T514+T529+T543</f>
        <v/>
      </c>
      <c r="U549" s="19">
        <f>U483+U499+U514+U529+U543</f>
        <v/>
      </c>
      <c r="V549" s="19">
        <f>V483+V499+V514+V529+V543</f>
        <v/>
      </c>
      <c r="W549" s="19">
        <f>W483+W499+W514+W529+W543</f>
        <v/>
      </c>
      <c r="X549" s="19">
        <f>X483+X499+X514+X529+X543</f>
        <v/>
      </c>
      <c r="Y549" s="19">
        <f>Y483+Y499+Y514+Y529+Y543</f>
        <v/>
      </c>
      <c r="Z549" s="19">
        <f>Z483+Z499+Z514+Z529+Z543</f>
        <v/>
      </c>
      <c r="AA549" s="19">
        <f>AA483+AA499+AA514+AA529+AA543</f>
        <v/>
      </c>
      <c r="AB549" s="19">
        <f>AB483+AB499+AB514+AB529+AB543</f>
        <v/>
      </c>
      <c r="AC549" s="19">
        <f>AC483+AC499+AC514+AC529+AC543</f>
        <v/>
      </c>
      <c r="AD549" s="19">
        <f>AD483+AD499+AD514+AD529+AD543</f>
        <v/>
      </c>
      <c r="AE549" s="19">
        <f>AE483+AE499+AE514+AE529+AE543</f>
        <v/>
      </c>
      <c r="AF549" s="19">
        <f>AF483+AF499+AF514+AF529+AF543</f>
        <v/>
      </c>
      <c r="AG549" s="19">
        <f>AG483+AG499+AG514+AG529+AG543</f>
        <v/>
      </c>
      <c r="AH549" s="19">
        <f>AH483+AH499+AH514+AH529+AH543</f>
        <v/>
      </c>
      <c r="AI549" s="19">
        <f>AI483+AI499+AI514+AI529+AI543</f>
        <v/>
      </c>
    </row>
    <row r="550">
      <c r="B550" s="2" t="inlineStr">
        <is>
          <t>Business unit EBITDA (with the expansion)</t>
        </is>
      </c>
      <c r="D550" s="19">
        <f>D488+D503+D518+D534+D545</f>
        <v/>
      </c>
      <c r="E550" s="19">
        <f>E488+E503+E518+E534+E545</f>
        <v/>
      </c>
      <c r="F550" s="19">
        <f>F488+F503+F518+F534+F545</f>
        <v/>
      </c>
      <c r="G550" s="19">
        <f>G488+G503+G518+G534+G545</f>
        <v/>
      </c>
      <c r="H550" s="19">
        <f>H488+H503+H518+H534+H545</f>
        <v/>
      </c>
      <c r="I550" s="19">
        <f>I488+I503+I518+I534+I545</f>
        <v/>
      </c>
      <c r="J550" s="19">
        <f>J488+J503+J518+J534+J545</f>
        <v/>
      </c>
      <c r="K550" s="19">
        <f>K488+K503+K518+K534+K545</f>
        <v/>
      </c>
      <c r="L550" s="19">
        <f>L488+L503+L518+L534+L545</f>
        <v/>
      </c>
      <c r="M550" s="19">
        <f>M488+M503+M518+M534+M545</f>
        <v/>
      </c>
      <c r="N550" s="19">
        <f>N488+N503+N518+N534+N545</f>
        <v/>
      </c>
      <c r="O550" s="19">
        <f>O488+O503+O518+O534+O545</f>
        <v/>
      </c>
      <c r="P550" s="19">
        <f>P488+P503+P518+P534+P545</f>
        <v/>
      </c>
      <c r="Q550" s="19">
        <f>Q488+Q503+Q518+Q534+Q545</f>
        <v/>
      </c>
      <c r="R550" s="19">
        <f>R488+R503+R518+R534+R545</f>
        <v/>
      </c>
      <c r="S550" s="19">
        <f>S488+S503+S518+S534+S545</f>
        <v/>
      </c>
      <c r="T550" s="19">
        <f>T488+T503+T518+T534+T545</f>
        <v/>
      </c>
      <c r="U550" s="19">
        <f>U488+U503+U518+U534+U545</f>
        <v/>
      </c>
      <c r="V550" s="19">
        <f>V488+V503+V518+V534+V545</f>
        <v/>
      </c>
      <c r="W550" s="19">
        <f>W488+W503+W518+W534+W545</f>
        <v/>
      </c>
      <c r="X550" s="19">
        <f>X488+X503+X518+X534+X545</f>
        <v/>
      </c>
      <c r="Y550" s="19">
        <f>Y488+Y503+Y518+Y534+Y545</f>
        <v/>
      </c>
      <c r="Z550" s="19">
        <f>Z488+Z503+Z518+Z534+Z545</f>
        <v/>
      </c>
      <c r="AA550" s="19">
        <f>AA488+AA503+AA518+AA534+AA545</f>
        <v/>
      </c>
      <c r="AB550" s="19">
        <f>AB488+AB503+AB518+AB534+AB545</f>
        <v/>
      </c>
      <c r="AC550" s="19">
        <f>AC488+AC503+AC518+AC534+AC545</f>
        <v/>
      </c>
      <c r="AD550" s="19">
        <f>AD488+AD503+AD518+AD534+AD545</f>
        <v/>
      </c>
      <c r="AE550" s="19">
        <f>AE488+AE503+AE518+AE534+AE545</f>
        <v/>
      </c>
      <c r="AF550" s="19">
        <f>AF488+AF503+AF518+AF534+AF545</f>
        <v/>
      </c>
      <c r="AG550" s="19">
        <f>AG488+AG503+AG518+AG534+AG545</f>
        <v/>
      </c>
      <c r="AH550" s="19">
        <f>AH488+AH503+AH518+AH534+AH545</f>
        <v/>
      </c>
      <c r="AI550" s="19">
        <f>AI488+AI503+AI518+AI534+AI545</f>
        <v/>
      </c>
    </row>
    <row r="551">
      <c r="B551" s="2" t="inlineStr">
        <is>
          <t>Corporate costs</t>
        </is>
      </c>
      <c r="D551" s="19">
        <f>i_corp*D470*IF(OR(Sensitivities!$C$467=1,D$3&lt;=i_conc_end),1,i_corp_after_w)+IF(D$3&gt;=i_mitig_start,Sensitivities!$C$469*D470,0)</f>
        <v/>
      </c>
      <c r="E551" s="19">
        <f>i_corp*E470*IF(OR(Sensitivities!$C$467=1,E$3&lt;=i_conc_end),1,i_corp_after_w)+IF(E$3&gt;=i_mitig_start,Sensitivities!$C$469*E470,0)</f>
        <v/>
      </c>
      <c r="F551" s="19">
        <f>i_corp*F470*IF(OR(Sensitivities!$C$467=1,F$3&lt;=i_conc_end),1,i_corp_after_w)+IF(F$3&gt;=i_mitig_start,Sensitivities!$C$469*F470,0)</f>
        <v/>
      </c>
      <c r="G551" s="19">
        <f>i_corp*G470*IF(OR(Sensitivities!$C$467=1,G$3&lt;=i_conc_end),1,i_corp_after_w)+IF(G$3&gt;=i_mitig_start,Sensitivities!$C$469*G470,0)</f>
        <v/>
      </c>
      <c r="H551" s="19">
        <f>i_corp*H470*IF(OR(Sensitivities!$C$467=1,H$3&lt;=i_conc_end),1,i_corp_after_w)+IF(H$3&gt;=i_mitig_start,Sensitivities!$C$469*H470,0)</f>
        <v/>
      </c>
      <c r="I551" s="19">
        <f>i_corp*I470*IF(OR(Sensitivities!$C$467=1,I$3&lt;=i_conc_end),1,i_corp_after_w)+IF(I$3&gt;=i_mitig_start,Sensitivities!$C$469*I470,0)</f>
        <v/>
      </c>
      <c r="J551" s="19">
        <f>i_corp*J470*IF(OR(Sensitivities!$C$467=1,J$3&lt;=i_conc_end),1,i_corp_after_w)+IF(J$3&gt;=i_mitig_start,Sensitivities!$C$469*J470,0)</f>
        <v/>
      </c>
      <c r="K551" s="19">
        <f>i_corp*K470*IF(OR(Sensitivities!$C$467=1,K$3&lt;=i_conc_end),1,i_corp_after_w)+IF(K$3&gt;=i_mitig_start,Sensitivities!$C$469*K470,0)</f>
        <v/>
      </c>
      <c r="L551" s="19">
        <f>i_corp*L470*IF(OR(Sensitivities!$C$467=1,L$3&lt;=i_conc_end),1,i_corp_after_w)+IF(L$3&gt;=i_mitig_start,Sensitivities!$C$469*L470,0)</f>
        <v/>
      </c>
      <c r="M551" s="19">
        <f>i_corp*M470*IF(OR(Sensitivities!$C$467=1,M$3&lt;=i_conc_end),1,i_corp_after_w)+IF(M$3&gt;=i_mitig_start,Sensitivities!$C$469*M470,0)</f>
        <v/>
      </c>
      <c r="N551" s="19">
        <f>i_corp*N470*IF(OR(Sensitivities!$C$467=1,N$3&lt;=i_conc_end),1,i_corp_after_w)+IF(N$3&gt;=i_mitig_start,Sensitivities!$C$469*N470,0)</f>
        <v/>
      </c>
      <c r="O551" s="19">
        <f>i_corp*O470*IF(OR(Sensitivities!$C$467=1,O$3&lt;=i_conc_end),1,i_corp_after_w)+IF(O$3&gt;=i_mitig_start,Sensitivities!$C$469*O470,0)</f>
        <v/>
      </c>
      <c r="P551" s="19">
        <f>i_corp*P470*IF(OR(Sensitivities!$C$467=1,P$3&lt;=i_conc_end),1,i_corp_after_w)+IF(P$3&gt;=i_mitig_start,Sensitivities!$C$469*P470,0)</f>
        <v/>
      </c>
      <c r="Q551" s="19">
        <f>i_corp*Q470*IF(OR(Sensitivities!$C$467=1,Q$3&lt;=i_conc_end),1,i_corp_after_w)+IF(Q$3&gt;=i_mitig_start,Sensitivities!$C$469*Q470,0)</f>
        <v/>
      </c>
      <c r="R551" s="19">
        <f>i_corp*R470*IF(OR(Sensitivities!$C$467=1,R$3&lt;=i_conc_end),1,i_corp_after_w)+IF(R$3&gt;=i_mitig_start,Sensitivities!$C$469*R470,0)</f>
        <v/>
      </c>
      <c r="S551" s="19">
        <f>i_corp*S470*IF(OR(Sensitivities!$C$467=1,S$3&lt;=i_conc_end),1,i_corp_after_w)+IF(S$3&gt;=i_mitig_start,Sensitivities!$C$469*S470,0)</f>
        <v/>
      </c>
      <c r="T551" s="19">
        <f>i_corp*T470*IF(OR(Sensitivities!$C$467=1,T$3&lt;=i_conc_end),1,i_corp_after_w)+IF(T$3&gt;=i_mitig_start,Sensitivities!$C$469*T470,0)</f>
        <v/>
      </c>
      <c r="U551" s="19">
        <f>i_corp*U470*IF(OR(Sensitivities!$C$467=1,U$3&lt;=i_conc_end),1,i_corp_after_w)+IF(U$3&gt;=i_mitig_start,Sensitivities!$C$469*U470,0)</f>
        <v/>
      </c>
      <c r="V551" s="19">
        <f>i_corp*V470*IF(OR(Sensitivities!$C$467=1,V$3&lt;=i_conc_end),1,i_corp_after_w)+IF(V$3&gt;=i_mitig_start,Sensitivities!$C$469*V470,0)</f>
        <v/>
      </c>
      <c r="W551" s="19">
        <f>i_corp*W470*IF(OR(Sensitivities!$C$467=1,W$3&lt;=i_conc_end),1,i_corp_after_w)+IF(W$3&gt;=i_mitig_start,Sensitivities!$C$469*W470,0)</f>
        <v/>
      </c>
      <c r="X551" s="19">
        <f>i_corp*X470*IF(OR(Sensitivities!$C$467=1,X$3&lt;=i_conc_end),1,i_corp_after_w)+IF(X$3&gt;=i_mitig_start,Sensitivities!$C$469*X470,0)</f>
        <v/>
      </c>
      <c r="Y551" s="19">
        <f>i_corp*Y470*IF(OR(Sensitivities!$C$467=1,Y$3&lt;=i_conc_end),1,i_corp_after_w)+IF(Y$3&gt;=i_mitig_start,Sensitivities!$C$469*Y470,0)</f>
        <v/>
      </c>
      <c r="Z551" s="19">
        <f>i_corp*Z470*IF(OR(Sensitivities!$C$467=1,Z$3&lt;=i_conc_end),1,i_corp_after_w)+IF(Z$3&gt;=i_mitig_start,Sensitivities!$C$469*Z470,0)</f>
        <v/>
      </c>
      <c r="AA551" s="19">
        <f>i_corp*AA470*IF(OR(Sensitivities!$C$467=1,AA$3&lt;=i_conc_end),1,i_corp_after_w)+IF(AA$3&gt;=i_mitig_start,Sensitivities!$C$469*AA470,0)</f>
        <v/>
      </c>
      <c r="AB551" s="19">
        <f>i_corp*AB470*IF(OR(Sensitivities!$C$467=1,AB$3&lt;=i_conc_end),1,i_corp_after_w)+IF(AB$3&gt;=i_mitig_start,Sensitivities!$C$469*AB470,0)</f>
        <v/>
      </c>
      <c r="AC551" s="19">
        <f>i_corp*AC470*IF(OR(Sensitivities!$C$467=1,AC$3&lt;=i_conc_end),1,i_corp_after_w)+IF(AC$3&gt;=i_mitig_start,Sensitivities!$C$469*AC470,0)</f>
        <v/>
      </c>
      <c r="AD551" s="19">
        <f>i_corp*AD470*IF(OR(Sensitivities!$C$467=1,AD$3&lt;=i_conc_end),1,i_corp_after_w)+IF(AD$3&gt;=i_mitig_start,Sensitivities!$C$469*AD470,0)</f>
        <v/>
      </c>
      <c r="AE551" s="19">
        <f>i_corp*AE470*IF(OR(Sensitivities!$C$467=1,AE$3&lt;=i_conc_end),1,i_corp_after_w)+IF(AE$3&gt;=i_mitig_start,Sensitivities!$C$469*AE470,0)</f>
        <v/>
      </c>
      <c r="AF551" s="19">
        <f>i_corp*AF470*IF(OR(Sensitivities!$C$467=1,AF$3&lt;=i_conc_end),1,i_corp_after_w)+IF(AF$3&gt;=i_mitig_start,Sensitivities!$C$469*AF470,0)</f>
        <v/>
      </c>
      <c r="AG551" s="19">
        <f>i_corp*AG470*IF(OR(Sensitivities!$C$467=1,AG$3&lt;=i_conc_end),1,i_corp_after_w)+IF(AG$3&gt;=i_mitig_start,Sensitivities!$C$469*AG470,0)</f>
        <v/>
      </c>
      <c r="AH551" s="19">
        <f>i_corp*AH470*IF(OR(Sensitivities!$C$467=1,AH$3&lt;=i_conc_end),1,i_corp_after_w)+IF(AH$3&gt;=i_mitig_start,Sensitivities!$C$469*AH470,0)</f>
        <v/>
      </c>
      <c r="AI551" s="19">
        <f>i_corp*AI470*IF(OR(Sensitivities!$C$467=1,AI$3&lt;=i_conc_end),1,i_corp_after_w)+IF(AI$3&gt;=i_mitig_start,Sensitivities!$C$469*AI470,0)</f>
        <v/>
      </c>
    </row>
    <row r="552">
      <c r="B552" s="3" t="inlineStr">
        <is>
          <t>EBITDA</t>
        </is>
      </c>
      <c r="D552" s="31">
        <f>D550-D551</f>
        <v/>
      </c>
      <c r="E552" s="31">
        <f>E550-E551</f>
        <v/>
      </c>
      <c r="F552" s="31">
        <f>F550-F551</f>
        <v/>
      </c>
      <c r="G552" s="31">
        <f>G550-G551</f>
        <v/>
      </c>
      <c r="H552" s="31">
        <f>H550-H551</f>
        <v/>
      </c>
      <c r="I552" s="31">
        <f>I550-I551</f>
        <v/>
      </c>
      <c r="J552" s="31">
        <f>J550-J551</f>
        <v/>
      </c>
      <c r="K552" s="31">
        <f>K550-K551</f>
        <v/>
      </c>
      <c r="L552" s="31">
        <f>L550-L551</f>
        <v/>
      </c>
      <c r="M552" s="31">
        <f>M550-M551</f>
        <v/>
      </c>
      <c r="N552" s="31">
        <f>N550-N551</f>
        <v/>
      </c>
      <c r="O552" s="31">
        <f>O550-O551</f>
        <v/>
      </c>
      <c r="P552" s="31">
        <f>P550-P551</f>
        <v/>
      </c>
      <c r="Q552" s="31">
        <f>Q550-Q551</f>
        <v/>
      </c>
      <c r="R552" s="31">
        <f>R550-R551</f>
        <v/>
      </c>
      <c r="S552" s="31">
        <f>S550-S551</f>
        <v/>
      </c>
      <c r="T552" s="31">
        <f>T550-T551</f>
        <v/>
      </c>
      <c r="U552" s="31">
        <f>U550-U551</f>
        <v/>
      </c>
      <c r="V552" s="31">
        <f>V550-V551</f>
        <v/>
      </c>
      <c r="W552" s="31">
        <f>W550-W551</f>
        <v/>
      </c>
      <c r="X552" s="31">
        <f>X550-X551</f>
        <v/>
      </c>
      <c r="Y552" s="31">
        <f>Y550-Y551</f>
        <v/>
      </c>
      <c r="Z552" s="31">
        <f>Z550-Z551</f>
        <v/>
      </c>
      <c r="AA552" s="31">
        <f>AA550-AA551</f>
        <v/>
      </c>
      <c r="AB552" s="31">
        <f>AB550-AB551</f>
        <v/>
      </c>
      <c r="AC552" s="31">
        <f>AC550-AC551</f>
        <v/>
      </c>
      <c r="AD552" s="31">
        <f>AD550-AD551</f>
        <v/>
      </c>
      <c r="AE552" s="31">
        <f>AE550-AE551</f>
        <v/>
      </c>
      <c r="AF552" s="31">
        <f>AF550-AF551</f>
        <v/>
      </c>
      <c r="AG552" s="31">
        <f>AG550-AG551</f>
        <v/>
      </c>
      <c r="AH552" s="31">
        <f>AH550-AH551</f>
        <v/>
      </c>
      <c r="AI552" s="31">
        <f>AI550-AI551</f>
        <v/>
      </c>
    </row>
    <row r="553">
      <c r="B553" s="2" t="inlineStr">
        <is>
          <t>Maintenance capex</t>
        </is>
      </c>
      <c r="D553" s="19">
        <f>D489+D504+D519+D535+D546</f>
        <v/>
      </c>
      <c r="E553" s="19">
        <f>E489+E504+E519+E535+E546</f>
        <v/>
      </c>
      <c r="F553" s="19">
        <f>F489+F504+F519+F535+F546</f>
        <v/>
      </c>
      <c r="G553" s="19">
        <f>G489+G504+G519+G535+G546</f>
        <v/>
      </c>
      <c r="H553" s="19">
        <f>H489+H504+H519+H535+H546</f>
        <v/>
      </c>
      <c r="I553" s="19">
        <f>I489+I504+I519+I535+I546</f>
        <v/>
      </c>
      <c r="J553" s="19">
        <f>J489+J504+J519+J535+J546</f>
        <v/>
      </c>
      <c r="K553" s="19">
        <f>K489+K504+K519+K535+K546</f>
        <v/>
      </c>
      <c r="L553" s="19">
        <f>L489+L504+L519+L535+L546</f>
        <v/>
      </c>
      <c r="M553" s="19">
        <f>M489+M504+M519+M535+M546</f>
        <v/>
      </c>
      <c r="N553" s="19">
        <f>N489+N504+N519+N535+N546</f>
        <v/>
      </c>
      <c r="O553" s="19">
        <f>O489+O504+O519+O535+O546</f>
        <v/>
      </c>
      <c r="P553" s="19">
        <f>P489+P504+P519+P535+P546</f>
        <v/>
      </c>
      <c r="Q553" s="19">
        <f>Q489+Q504+Q519+Q535+Q546</f>
        <v/>
      </c>
      <c r="R553" s="19">
        <f>R489+R504+R519+R535+R546</f>
        <v/>
      </c>
      <c r="S553" s="19">
        <f>S489+S504+S519+S535+S546</f>
        <v/>
      </c>
      <c r="T553" s="19">
        <f>T489+T504+T519+T535+T546</f>
        <v/>
      </c>
      <c r="U553" s="19">
        <f>U489+U504+U519+U535+U546</f>
        <v/>
      </c>
      <c r="V553" s="19">
        <f>V489+V504+V519+V535+V546</f>
        <v/>
      </c>
      <c r="W553" s="19">
        <f>W489+W504+W519+W535+W546</f>
        <v/>
      </c>
      <c r="X553" s="19">
        <f>X489+X504+X519+X535+X546</f>
        <v/>
      </c>
      <c r="Y553" s="19">
        <f>Y489+Y504+Y519+Y535+Y546</f>
        <v/>
      </c>
      <c r="Z553" s="19">
        <f>Z489+Z504+Z519+Z535+Z546</f>
        <v/>
      </c>
      <c r="AA553" s="19">
        <f>AA489+AA504+AA519+AA535+AA546</f>
        <v/>
      </c>
      <c r="AB553" s="19">
        <f>AB489+AB504+AB519+AB535+AB546</f>
        <v/>
      </c>
      <c r="AC553" s="19">
        <f>AC489+AC504+AC519+AC535+AC546</f>
        <v/>
      </c>
      <c r="AD553" s="19">
        <f>AD489+AD504+AD519+AD535+AD546</f>
        <v/>
      </c>
      <c r="AE553" s="19">
        <f>AE489+AE504+AE519+AE535+AE546</f>
        <v/>
      </c>
      <c r="AF553" s="19">
        <f>AF489+AF504+AF519+AF535+AF546</f>
        <v/>
      </c>
      <c r="AG553" s="19">
        <f>AG489+AG504+AG519+AG535+AG546</f>
        <v/>
      </c>
      <c r="AH553" s="19">
        <f>AH489+AH504+AH519+AH535+AH546</f>
        <v/>
      </c>
      <c r="AI553" s="19">
        <f>AI489+AI504+AI519+AI535+AI546</f>
        <v/>
      </c>
    </row>
    <row r="554">
      <c r="B554" s="2" t="inlineStr">
        <is>
          <t>Growth capex</t>
        </is>
      </c>
      <c r="D554" s="19">
        <f>D537</f>
        <v/>
      </c>
      <c r="E554" s="19">
        <f>E537</f>
        <v/>
      </c>
      <c r="F554" s="19">
        <f>F537</f>
        <v/>
      </c>
      <c r="G554" s="19">
        <f>G537</f>
        <v/>
      </c>
      <c r="H554" s="19">
        <f>H537</f>
        <v/>
      </c>
      <c r="I554" s="19">
        <f>I537</f>
        <v/>
      </c>
      <c r="J554" s="19">
        <f>J537</f>
        <v/>
      </c>
      <c r="K554" s="19">
        <f>K537</f>
        <v/>
      </c>
      <c r="L554" s="19">
        <f>L537</f>
        <v/>
      </c>
      <c r="M554" s="19">
        <f>M537</f>
        <v/>
      </c>
      <c r="N554" s="19">
        <f>N537</f>
        <v/>
      </c>
      <c r="O554" s="19">
        <f>O537</f>
        <v/>
      </c>
      <c r="P554" s="19">
        <f>P537</f>
        <v/>
      </c>
      <c r="Q554" s="19">
        <f>Q537</f>
        <v/>
      </c>
      <c r="R554" s="19">
        <f>R537</f>
        <v/>
      </c>
      <c r="S554" s="19">
        <f>S537</f>
        <v/>
      </c>
      <c r="T554" s="19">
        <f>T537</f>
        <v/>
      </c>
      <c r="U554" s="19">
        <f>U537</f>
        <v/>
      </c>
      <c r="V554" s="19">
        <f>V537</f>
        <v/>
      </c>
      <c r="W554" s="19">
        <f>W537</f>
        <v/>
      </c>
      <c r="X554" s="19">
        <f>X537</f>
        <v/>
      </c>
      <c r="Y554" s="19">
        <f>Y537</f>
        <v/>
      </c>
      <c r="Z554" s="19">
        <f>Z537</f>
        <v/>
      </c>
      <c r="AA554" s="19">
        <f>AA537</f>
        <v/>
      </c>
      <c r="AB554" s="19">
        <f>AB537</f>
        <v/>
      </c>
      <c r="AC554" s="19">
        <f>AC537</f>
        <v/>
      </c>
      <c r="AD554" s="19">
        <f>AD537</f>
        <v/>
      </c>
      <c r="AE554" s="19">
        <f>AE537</f>
        <v/>
      </c>
      <c r="AF554" s="19">
        <f>AF537</f>
        <v/>
      </c>
      <c r="AG554" s="19">
        <f>AG537</f>
        <v/>
      </c>
      <c r="AH554" s="19">
        <f>AH537</f>
        <v/>
      </c>
      <c r="AI554" s="19">
        <f>AI537</f>
        <v/>
      </c>
    </row>
    <row r="555">
      <c r="B555" s="2" t="inlineStr">
        <is>
          <t>Tax depreciation</t>
        </is>
      </c>
      <c r="D555" s="19">
        <f>D553+IF(D$3&lt;=i_tax_dep_end,i_tax_dep_extra,0)</f>
        <v/>
      </c>
      <c r="E555" s="19">
        <f>E553+IF(E$3&lt;=i_tax_dep_end,i_tax_dep_extra,0)</f>
        <v/>
      </c>
      <c r="F555" s="19">
        <f>F553+IF(F$3&lt;=i_tax_dep_end,i_tax_dep_extra,0)</f>
        <v/>
      </c>
      <c r="G555" s="19">
        <f>G553+IF(G$3&lt;=i_tax_dep_end,i_tax_dep_extra,0)</f>
        <v/>
      </c>
      <c r="H555" s="19">
        <f>H553+IF(H$3&lt;=i_tax_dep_end,i_tax_dep_extra,0)</f>
        <v/>
      </c>
      <c r="I555" s="19">
        <f>I553+IF(I$3&lt;=i_tax_dep_end,i_tax_dep_extra,0)</f>
        <v/>
      </c>
      <c r="J555" s="19">
        <f>J553+IF(J$3&lt;=i_tax_dep_end,i_tax_dep_extra,0)</f>
        <v/>
      </c>
      <c r="K555" s="19">
        <f>K553+IF(K$3&lt;=i_tax_dep_end,i_tax_dep_extra,0)</f>
        <v/>
      </c>
      <c r="L555" s="19">
        <f>L553+IF(L$3&lt;=i_tax_dep_end,i_tax_dep_extra,0)</f>
        <v/>
      </c>
      <c r="M555" s="19">
        <f>M553+IF(M$3&lt;=i_tax_dep_end,i_tax_dep_extra,0)</f>
        <v/>
      </c>
      <c r="N555" s="19">
        <f>N553+IF(N$3&lt;=i_tax_dep_end,i_tax_dep_extra,0)</f>
        <v/>
      </c>
      <c r="O555" s="19">
        <f>O553+IF(O$3&lt;=i_tax_dep_end,i_tax_dep_extra,0)</f>
        <v/>
      </c>
      <c r="P555" s="19">
        <f>P553+IF(P$3&lt;=i_tax_dep_end,i_tax_dep_extra,0)</f>
        <v/>
      </c>
      <c r="Q555" s="19">
        <f>Q553+IF(Q$3&lt;=i_tax_dep_end,i_tax_dep_extra,0)</f>
        <v/>
      </c>
      <c r="R555" s="19">
        <f>R553+IF(R$3&lt;=i_tax_dep_end,i_tax_dep_extra,0)</f>
        <v/>
      </c>
      <c r="S555" s="19">
        <f>S553+IF(S$3&lt;=i_tax_dep_end,i_tax_dep_extra,0)</f>
        <v/>
      </c>
      <c r="T555" s="19">
        <f>T553+IF(T$3&lt;=i_tax_dep_end,i_tax_dep_extra,0)</f>
        <v/>
      </c>
      <c r="U555" s="19">
        <f>U553+IF(U$3&lt;=i_tax_dep_end,i_tax_dep_extra,0)</f>
        <v/>
      </c>
      <c r="V555" s="19">
        <f>V553+IF(V$3&lt;=i_tax_dep_end,i_tax_dep_extra,0)</f>
        <v/>
      </c>
      <c r="W555" s="19">
        <f>W553+IF(W$3&lt;=i_tax_dep_end,i_tax_dep_extra,0)</f>
        <v/>
      </c>
      <c r="X555" s="19">
        <f>X553+IF(X$3&lt;=i_tax_dep_end,i_tax_dep_extra,0)</f>
        <v/>
      </c>
      <c r="Y555" s="19">
        <f>Y553+IF(Y$3&lt;=i_tax_dep_end,i_tax_dep_extra,0)</f>
        <v/>
      </c>
      <c r="Z555" s="19">
        <f>Z553+IF(Z$3&lt;=i_tax_dep_end,i_tax_dep_extra,0)</f>
        <v/>
      </c>
      <c r="AA555" s="19">
        <f>AA553+IF(AA$3&lt;=i_tax_dep_end,i_tax_dep_extra,0)</f>
        <v/>
      </c>
      <c r="AB555" s="19">
        <f>AB553+IF(AB$3&lt;=i_tax_dep_end,i_tax_dep_extra,0)</f>
        <v/>
      </c>
      <c r="AC555" s="19">
        <f>AC553+IF(AC$3&lt;=i_tax_dep_end,i_tax_dep_extra,0)</f>
        <v/>
      </c>
      <c r="AD555" s="19">
        <f>AD553+IF(AD$3&lt;=i_tax_dep_end,i_tax_dep_extra,0)</f>
        <v/>
      </c>
      <c r="AE555" s="19">
        <f>AE553+IF(AE$3&lt;=i_tax_dep_end,i_tax_dep_extra,0)</f>
        <v/>
      </c>
      <c r="AF555" s="19">
        <f>AF553+IF(AF$3&lt;=i_tax_dep_end,i_tax_dep_extra,0)</f>
        <v/>
      </c>
      <c r="AG555" s="19">
        <f>AG553+IF(AG$3&lt;=i_tax_dep_end,i_tax_dep_extra,0)</f>
        <v/>
      </c>
      <c r="AH555" s="19">
        <f>AH553+IF(AH$3&lt;=i_tax_dep_end,i_tax_dep_extra,0)</f>
        <v/>
      </c>
      <c r="AI555" s="19">
        <f>AI553+IF(AI$3&lt;=i_tax_dep_end,i_tax_dep_extra,0)</f>
        <v/>
      </c>
    </row>
    <row r="556">
      <c r="B556" s="2" t="inlineStr">
        <is>
          <t>Unlevered cash tax</t>
        </is>
      </c>
      <c r="D556" s="19">
        <f>i_tax*MAX(0,D552-D555)</f>
        <v/>
      </c>
      <c r="E556" s="19">
        <f>i_tax*MAX(0,E552-E555)</f>
        <v/>
      </c>
      <c r="F556" s="19">
        <f>i_tax*MAX(0,F552-F555)</f>
        <v/>
      </c>
      <c r="G556" s="19">
        <f>i_tax*MAX(0,G552-G555)</f>
        <v/>
      </c>
      <c r="H556" s="19">
        <f>i_tax*MAX(0,H552-H555)</f>
        <v/>
      </c>
      <c r="I556" s="19">
        <f>i_tax*MAX(0,I552-I555)</f>
        <v/>
      </c>
      <c r="J556" s="19">
        <f>i_tax*MAX(0,J552-J555)</f>
        <v/>
      </c>
      <c r="K556" s="19">
        <f>i_tax*MAX(0,K552-K555)</f>
        <v/>
      </c>
      <c r="L556" s="19">
        <f>i_tax*MAX(0,L552-L555)</f>
        <v/>
      </c>
      <c r="M556" s="19">
        <f>i_tax*MAX(0,M552-M555)</f>
        <v/>
      </c>
      <c r="N556" s="19">
        <f>i_tax*MAX(0,N552-N555)</f>
        <v/>
      </c>
      <c r="O556" s="19">
        <f>i_tax*MAX(0,O552-O555)</f>
        <v/>
      </c>
      <c r="P556" s="19">
        <f>i_tax*MAX(0,P552-P555)</f>
        <v/>
      </c>
      <c r="Q556" s="19">
        <f>i_tax*MAX(0,Q552-Q555)</f>
        <v/>
      </c>
      <c r="R556" s="19">
        <f>i_tax*MAX(0,R552-R555)</f>
        <v/>
      </c>
      <c r="S556" s="19">
        <f>i_tax*MAX(0,S552-S555)</f>
        <v/>
      </c>
      <c r="T556" s="19">
        <f>i_tax*MAX(0,T552-T555)</f>
        <v/>
      </c>
      <c r="U556" s="19">
        <f>i_tax*MAX(0,U552-U555)</f>
        <v/>
      </c>
      <c r="V556" s="19">
        <f>i_tax*MAX(0,V552-V555)</f>
        <v/>
      </c>
      <c r="W556" s="19">
        <f>i_tax*MAX(0,W552-W555)</f>
        <v/>
      </c>
      <c r="X556" s="19">
        <f>i_tax*MAX(0,X552-X555)</f>
        <v/>
      </c>
      <c r="Y556" s="19">
        <f>i_tax*MAX(0,Y552-Y555)</f>
        <v/>
      </c>
      <c r="Z556" s="19">
        <f>i_tax*MAX(0,Z552-Z555)</f>
        <v/>
      </c>
      <c r="AA556" s="19">
        <f>i_tax*MAX(0,AA552-AA555)</f>
        <v/>
      </c>
      <c r="AB556" s="19">
        <f>i_tax*MAX(0,AB552-AB555)</f>
        <v/>
      </c>
      <c r="AC556" s="19">
        <f>i_tax*MAX(0,AC552-AC555)</f>
        <v/>
      </c>
      <c r="AD556" s="19">
        <f>i_tax*MAX(0,AD552-AD555)</f>
        <v/>
      </c>
      <c r="AE556" s="19">
        <f>i_tax*MAX(0,AE552-AE555)</f>
        <v/>
      </c>
      <c r="AF556" s="19">
        <f>i_tax*MAX(0,AF552-AF555)</f>
        <v/>
      </c>
      <c r="AG556" s="19">
        <f>i_tax*MAX(0,AG552-AG555)</f>
        <v/>
      </c>
      <c r="AH556" s="19">
        <f>i_tax*MAX(0,AH552-AH555)</f>
        <v/>
      </c>
      <c r="AI556" s="19">
        <f>i_tax*MAX(0,AI552-AI555)</f>
        <v/>
      </c>
    </row>
    <row r="557">
      <c r="B557" s="2" t="inlineStr">
        <is>
          <t>Westerhaven handback works</t>
        </is>
      </c>
      <c r="D557" s="19">
        <f>IF(AND(Sensitivities!$C$467=0,D$3=i_conc_end),i_handback*D470,0)</f>
        <v/>
      </c>
      <c r="E557" s="19">
        <f>IF(AND(Sensitivities!$C$467=0,E$3=i_conc_end),i_handback*E470,0)</f>
        <v/>
      </c>
      <c r="F557" s="19">
        <f>IF(AND(Sensitivities!$C$467=0,F$3=i_conc_end),i_handback*F470,0)</f>
        <v/>
      </c>
      <c r="G557" s="19">
        <f>IF(AND(Sensitivities!$C$467=0,G$3=i_conc_end),i_handback*G470,0)</f>
        <v/>
      </c>
      <c r="H557" s="19">
        <f>IF(AND(Sensitivities!$C$467=0,H$3=i_conc_end),i_handback*H470,0)</f>
        <v/>
      </c>
      <c r="I557" s="19">
        <f>IF(AND(Sensitivities!$C$467=0,I$3=i_conc_end),i_handback*I470,0)</f>
        <v/>
      </c>
      <c r="J557" s="19">
        <f>IF(AND(Sensitivities!$C$467=0,J$3=i_conc_end),i_handback*J470,0)</f>
        <v/>
      </c>
      <c r="K557" s="19">
        <f>IF(AND(Sensitivities!$C$467=0,K$3=i_conc_end),i_handback*K470,0)</f>
        <v/>
      </c>
      <c r="L557" s="19">
        <f>IF(AND(Sensitivities!$C$467=0,L$3=i_conc_end),i_handback*L470,0)</f>
        <v/>
      </c>
      <c r="M557" s="19">
        <f>IF(AND(Sensitivities!$C$467=0,M$3=i_conc_end),i_handback*M470,0)</f>
        <v/>
      </c>
      <c r="N557" s="19">
        <f>IF(AND(Sensitivities!$C$467=0,N$3=i_conc_end),i_handback*N470,0)</f>
        <v/>
      </c>
      <c r="O557" s="19">
        <f>IF(AND(Sensitivities!$C$467=0,O$3=i_conc_end),i_handback*O470,0)</f>
        <v/>
      </c>
      <c r="P557" s="19">
        <f>IF(AND(Sensitivities!$C$467=0,P$3=i_conc_end),i_handback*P470,0)</f>
        <v/>
      </c>
      <c r="Q557" s="19">
        <f>IF(AND(Sensitivities!$C$467=0,Q$3=i_conc_end),i_handback*Q470,0)</f>
        <v/>
      </c>
      <c r="R557" s="19">
        <f>IF(AND(Sensitivities!$C$467=0,R$3=i_conc_end),i_handback*R470,0)</f>
        <v/>
      </c>
      <c r="S557" s="19">
        <f>IF(AND(Sensitivities!$C$467=0,S$3=i_conc_end),i_handback*S470,0)</f>
        <v/>
      </c>
      <c r="T557" s="19">
        <f>IF(AND(Sensitivities!$C$467=0,T$3=i_conc_end),i_handback*T470,0)</f>
        <v/>
      </c>
      <c r="U557" s="19">
        <f>IF(AND(Sensitivities!$C$467=0,U$3=i_conc_end),i_handback*U470,0)</f>
        <v/>
      </c>
      <c r="V557" s="19">
        <f>IF(AND(Sensitivities!$C$467=0,V$3=i_conc_end),i_handback*V470,0)</f>
        <v/>
      </c>
      <c r="W557" s="19">
        <f>IF(AND(Sensitivities!$C$467=0,W$3=i_conc_end),i_handback*W470,0)</f>
        <v/>
      </c>
      <c r="X557" s="19">
        <f>IF(AND(Sensitivities!$C$467=0,X$3=i_conc_end),i_handback*X470,0)</f>
        <v/>
      </c>
      <c r="Y557" s="19">
        <f>IF(AND(Sensitivities!$C$467=0,Y$3=i_conc_end),i_handback*Y470,0)</f>
        <v/>
      </c>
      <c r="Z557" s="19">
        <f>IF(AND(Sensitivities!$C$467=0,Z$3=i_conc_end),i_handback*Z470,0)</f>
        <v/>
      </c>
      <c r="AA557" s="19">
        <f>IF(AND(Sensitivities!$C$467=0,AA$3=i_conc_end),i_handback*AA470,0)</f>
        <v/>
      </c>
      <c r="AB557" s="19">
        <f>IF(AND(Sensitivities!$C$467=0,AB$3=i_conc_end),i_handback*AB470,0)</f>
        <v/>
      </c>
      <c r="AC557" s="19">
        <f>IF(AND(Sensitivities!$C$467=0,AC$3=i_conc_end),i_handback*AC470,0)</f>
        <v/>
      </c>
      <c r="AD557" s="19">
        <f>IF(AND(Sensitivities!$C$467=0,AD$3=i_conc_end),i_handback*AD470,0)</f>
        <v/>
      </c>
      <c r="AE557" s="19">
        <f>IF(AND(Sensitivities!$C$467=0,AE$3=i_conc_end),i_handback*AE470,0)</f>
        <v/>
      </c>
      <c r="AF557" s="19">
        <f>IF(AND(Sensitivities!$C$467=0,AF$3=i_conc_end),i_handback*AF470,0)</f>
        <v/>
      </c>
      <c r="AG557" s="19">
        <f>IF(AND(Sensitivities!$C$467=0,AG$3=i_conc_end),i_handback*AG470,0)</f>
        <v/>
      </c>
      <c r="AH557" s="19">
        <f>IF(AND(Sensitivities!$C$467=0,AH$3=i_conc_end),i_handback*AH470,0)</f>
        <v/>
      </c>
      <c r="AI557" s="19">
        <f>IF(AND(Sensitivities!$C$467=0,AI$3=i_conc_end),i_handback*AI470,0)</f>
        <v/>
      </c>
    </row>
    <row r="558">
      <c r="B558" s="3" t="inlineStr">
        <is>
          <t>Free cash flow (unlevered)</t>
        </is>
      </c>
      <c r="D558" s="31">
        <f>D552-D553-D554-D556-D557</f>
        <v/>
      </c>
      <c r="E558" s="31">
        <f>E552-E553-E554-E556-E557</f>
        <v/>
      </c>
      <c r="F558" s="31">
        <f>F552-F553-F554-F556-F557</f>
        <v/>
      </c>
      <c r="G558" s="31">
        <f>G552-G553-G554-G556-G557</f>
        <v/>
      </c>
      <c r="H558" s="31">
        <f>H552-H553-H554-H556-H557</f>
        <v/>
      </c>
      <c r="I558" s="31">
        <f>I552-I553-I554-I556-I557</f>
        <v/>
      </c>
      <c r="J558" s="31">
        <f>J552-J553-J554-J556-J557</f>
        <v/>
      </c>
      <c r="K558" s="31">
        <f>K552-K553-K554-K556-K557</f>
        <v/>
      </c>
      <c r="L558" s="31">
        <f>L552-L553-L554-L556-L557</f>
        <v/>
      </c>
      <c r="M558" s="31">
        <f>M552-M553-M554-M556-M557</f>
        <v/>
      </c>
      <c r="N558" s="31">
        <f>N552-N553-N554-N556-N557</f>
        <v/>
      </c>
      <c r="O558" s="31">
        <f>O552-O553-O554-O556-O557</f>
        <v/>
      </c>
      <c r="P558" s="31">
        <f>P552-P553-P554-P556-P557</f>
        <v/>
      </c>
      <c r="Q558" s="31">
        <f>Q552-Q553-Q554-Q556-Q557</f>
        <v/>
      </c>
      <c r="R558" s="31">
        <f>R552-R553-R554-R556-R557</f>
        <v/>
      </c>
      <c r="S558" s="31">
        <f>S552-S553-S554-S556-S557</f>
        <v/>
      </c>
      <c r="T558" s="31">
        <f>T552-T553-T554-T556-T557</f>
        <v/>
      </c>
      <c r="U558" s="31">
        <f>U552-U553-U554-U556-U557</f>
        <v/>
      </c>
      <c r="V558" s="31">
        <f>V552-V553-V554-V556-V557</f>
        <v/>
      </c>
      <c r="W558" s="31">
        <f>W552-W553-W554-W556-W557</f>
        <v/>
      </c>
      <c r="X558" s="31">
        <f>X552-X553-X554-X556-X557</f>
        <v/>
      </c>
      <c r="Y558" s="31">
        <f>Y552-Y553-Y554-Y556-Y557</f>
        <v/>
      </c>
      <c r="Z558" s="31">
        <f>Z552-Z553-Z554-Z556-Z557</f>
        <v/>
      </c>
      <c r="AA558" s="31">
        <f>AA552-AA553-AA554-AA556-AA557</f>
        <v/>
      </c>
      <c r="AB558" s="31">
        <f>AB552-AB553-AB554-AB556-AB557</f>
        <v/>
      </c>
      <c r="AC558" s="31">
        <f>AC552-AC553-AC554-AC556-AC557</f>
        <v/>
      </c>
      <c r="AD558" s="31">
        <f>AD552-AD553-AD554-AD556-AD557</f>
        <v/>
      </c>
      <c r="AE558" s="31">
        <f>AE552-AE553-AE554-AE556-AE557</f>
        <v/>
      </c>
      <c r="AF558" s="31">
        <f>AF552-AF553-AF554-AF556-AF557</f>
        <v/>
      </c>
      <c r="AG558" s="31">
        <f>AG552-AG553-AG554-AG556-AG557</f>
        <v/>
      </c>
      <c r="AH558" s="31">
        <f>AH552-AH553-AH554-AH556-AH557</f>
        <v/>
      </c>
      <c r="AI558" s="31">
        <f>AI552-AI553-AI554-AI556-AI557</f>
        <v/>
      </c>
    </row>
    <row r="559">
      <c r="B559" s="2" t="inlineStr">
        <is>
          <t>Present value at the discount rate (2027 to 2056)</t>
        </is>
      </c>
      <c r="D559" s="19">
        <f>IF(AND(D$3&gt;i_base_year,D$3&lt;=i_last),D558/(1+i_r)^D$4,0)</f>
        <v/>
      </c>
      <c r="E559" s="19">
        <f>IF(AND(E$3&gt;i_base_year,E$3&lt;=i_last),E558/(1+i_r)^E$4,0)</f>
        <v/>
      </c>
      <c r="F559" s="19">
        <f>IF(AND(F$3&gt;i_base_year,F$3&lt;=i_last),F558/(1+i_r)^F$4,0)</f>
        <v/>
      </c>
      <c r="G559" s="19">
        <f>IF(AND(G$3&gt;i_base_year,G$3&lt;=i_last),G558/(1+i_r)^G$4,0)</f>
        <v/>
      </c>
      <c r="H559" s="19">
        <f>IF(AND(H$3&gt;i_base_year,H$3&lt;=i_last),H558/(1+i_r)^H$4,0)</f>
        <v/>
      </c>
      <c r="I559" s="19">
        <f>IF(AND(I$3&gt;i_base_year,I$3&lt;=i_last),I558/(1+i_r)^I$4,0)</f>
        <v/>
      </c>
      <c r="J559" s="19">
        <f>IF(AND(J$3&gt;i_base_year,J$3&lt;=i_last),J558/(1+i_r)^J$4,0)</f>
        <v/>
      </c>
      <c r="K559" s="19">
        <f>IF(AND(K$3&gt;i_base_year,K$3&lt;=i_last),K558/(1+i_r)^K$4,0)</f>
        <v/>
      </c>
      <c r="L559" s="19">
        <f>IF(AND(L$3&gt;i_base_year,L$3&lt;=i_last),L558/(1+i_r)^L$4,0)</f>
        <v/>
      </c>
      <c r="M559" s="19">
        <f>IF(AND(M$3&gt;i_base_year,M$3&lt;=i_last),M558/(1+i_r)^M$4,0)</f>
        <v/>
      </c>
      <c r="N559" s="19">
        <f>IF(AND(N$3&gt;i_base_year,N$3&lt;=i_last),N558/(1+i_r)^N$4,0)</f>
        <v/>
      </c>
      <c r="O559" s="19">
        <f>IF(AND(O$3&gt;i_base_year,O$3&lt;=i_last),O558/(1+i_r)^O$4,0)</f>
        <v/>
      </c>
      <c r="P559" s="19">
        <f>IF(AND(P$3&gt;i_base_year,P$3&lt;=i_last),P558/(1+i_r)^P$4,0)</f>
        <v/>
      </c>
      <c r="Q559" s="19">
        <f>IF(AND(Q$3&gt;i_base_year,Q$3&lt;=i_last),Q558/(1+i_r)^Q$4,0)</f>
        <v/>
      </c>
      <c r="R559" s="19">
        <f>IF(AND(R$3&gt;i_base_year,R$3&lt;=i_last),R558/(1+i_r)^R$4,0)</f>
        <v/>
      </c>
      <c r="S559" s="19">
        <f>IF(AND(S$3&gt;i_base_year,S$3&lt;=i_last),S558/(1+i_r)^S$4,0)</f>
        <v/>
      </c>
      <c r="T559" s="19">
        <f>IF(AND(T$3&gt;i_base_year,T$3&lt;=i_last),T558/(1+i_r)^T$4,0)</f>
        <v/>
      </c>
      <c r="U559" s="19">
        <f>IF(AND(U$3&gt;i_base_year,U$3&lt;=i_last),U558/(1+i_r)^U$4,0)</f>
        <v/>
      </c>
      <c r="V559" s="19">
        <f>IF(AND(V$3&gt;i_base_year,V$3&lt;=i_last),V558/(1+i_r)^V$4,0)</f>
        <v/>
      </c>
      <c r="W559" s="19">
        <f>IF(AND(W$3&gt;i_base_year,W$3&lt;=i_last),W558/(1+i_r)^W$4,0)</f>
        <v/>
      </c>
      <c r="X559" s="19">
        <f>IF(AND(X$3&gt;i_base_year,X$3&lt;=i_last),X558/(1+i_r)^X$4,0)</f>
        <v/>
      </c>
      <c r="Y559" s="19">
        <f>IF(AND(Y$3&gt;i_base_year,Y$3&lt;=i_last),Y558/(1+i_r)^Y$4,0)</f>
        <v/>
      </c>
      <c r="Z559" s="19">
        <f>IF(AND(Z$3&gt;i_base_year,Z$3&lt;=i_last),Z558/(1+i_r)^Z$4,0)</f>
        <v/>
      </c>
      <c r="AA559" s="19">
        <f>IF(AND(AA$3&gt;i_base_year,AA$3&lt;=i_last),AA558/(1+i_r)^AA$4,0)</f>
        <v/>
      </c>
      <c r="AB559" s="19">
        <f>IF(AND(AB$3&gt;i_base_year,AB$3&lt;=i_last),AB558/(1+i_r)^AB$4,0)</f>
        <v/>
      </c>
      <c r="AC559" s="19">
        <f>IF(AND(AC$3&gt;i_base_year,AC$3&lt;=i_last),AC558/(1+i_r)^AC$4,0)</f>
        <v/>
      </c>
      <c r="AD559" s="19">
        <f>IF(AND(AD$3&gt;i_base_year,AD$3&lt;=i_last),AD558/(1+i_r)^AD$4,0)</f>
        <v/>
      </c>
      <c r="AE559" s="19">
        <f>IF(AND(AE$3&gt;i_base_year,AE$3&lt;=i_last),AE558/(1+i_r)^AE$4,0)</f>
        <v/>
      </c>
      <c r="AF559" s="19">
        <f>IF(AND(AF$3&gt;i_base_year,AF$3&lt;=i_last),AF558/(1+i_r)^AF$4,0)</f>
        <v/>
      </c>
      <c r="AG559" s="19">
        <f>IF(AND(AG$3&gt;i_base_year,AG$3&lt;=i_last),AG558/(1+i_r)^AG$4,0)</f>
        <v/>
      </c>
      <c r="AH559" s="19">
        <f>IF(AND(AH$3&gt;i_base_year,AH$3&lt;=i_last),AH558/(1+i_r)^AH$4,0)</f>
        <v/>
      </c>
      <c r="AI559" s="19">
        <f>IF(AND(AI$3&gt;i_base_year,AI$3&lt;=i_last),AI558/(1+i_r)^AI$4,0)</f>
        <v/>
      </c>
    </row>
    <row r="560">
      <c r="B560" s="2" t="inlineStr">
        <is>
          <t>Present value of 2027 to 2056 free cash flow</t>
        </is>
      </c>
      <c r="C560" s="19">
        <f>SUM(D559:AI559)</f>
        <v/>
      </c>
    </row>
    <row r="561">
      <c r="B561" s="2" t="inlineStr">
        <is>
          <t>Terminal value at the end of 2056 (on 2057 free cash flow)</t>
        </is>
      </c>
      <c r="C561" s="19">
        <f>AI558/(i_r-i_g)</f>
        <v/>
      </c>
    </row>
    <row r="562">
      <c r="B562" s="2" t="inlineStr">
        <is>
          <t>Present value of the terminal value</t>
        </is>
      </c>
      <c r="C562" s="19">
        <f>C561/(1+i_r)^(i_last-i_base_year)</f>
        <v/>
      </c>
    </row>
    <row r="563">
      <c r="B563" s="3" t="inlineStr">
        <is>
          <t>Enterprise value at 31 December 2026</t>
        </is>
      </c>
      <c r="C563" s="31">
        <f>C560+C562</f>
        <v/>
      </c>
    </row>
    <row r="566">
      <c r="B566" s="5" t="inlineStr">
        <is>
          <t>Deal: base case</t>
        </is>
      </c>
    </row>
    <row r="567">
      <c r="B567" s="4" t="inlineStr">
        <is>
          <t>Enterprise value at 31 December 2026</t>
        </is>
      </c>
      <c r="C567" s="29">
        <f>i_bid_ev</f>
        <v/>
      </c>
    </row>
    <row r="568">
      <c r="B568" s="4" t="inlineStr">
        <is>
          <t>Closing (years after 31 December 2026)</t>
        </is>
      </c>
      <c r="C568" s="28">
        <f>Inputs!$F$234</f>
        <v/>
      </c>
    </row>
    <row r="569">
      <c r="B569" s="4" t="inlineStr">
        <is>
          <t>Staple financing (1) or own debt (0)</t>
        </is>
      </c>
      <c r="C569" s="26">
        <f>0</f>
        <v/>
      </c>
    </row>
    <row r="570">
      <c r="B570" s="4" t="inlineStr">
        <is>
          <t>Minority sale in 2031 (1) or full exit (0)</t>
        </is>
      </c>
      <c r="C570" s="26">
        <f>0</f>
        <v/>
      </c>
    </row>
    <row r="571">
      <c r="B571" s="4" t="inlineStr">
        <is>
          <t>Exit discount rate</t>
        </is>
      </c>
      <c r="C571" s="38">
        <f>Inputs!$E$234</f>
        <v/>
      </c>
    </row>
    <row r="572">
      <c r="B572" s="4" t="inlineStr">
        <is>
          <t>Change in the opco rate at refinancing</t>
        </is>
      </c>
      <c r="C572" s="38">
        <f>Inputs!$D$234</f>
        <v/>
      </c>
    </row>
    <row r="573">
      <c r="B573" s="2" t="inlineStr">
        <is>
          <t>Enterprise value</t>
        </is>
      </c>
      <c r="C573" s="19">
        <f>Sensitivities!$C$567</f>
        <v/>
      </c>
    </row>
    <row r="574">
      <c r="B574" s="2" t="inlineStr">
        <is>
          <t>less existing financial debt (term loan and notes)</t>
        </is>
      </c>
      <c r="C574" s="19">
        <f>i_old_tl+i_old_notes</f>
        <v/>
      </c>
    </row>
    <row r="575">
      <c r="B575" s="2" t="inlineStr">
        <is>
          <t>less make-whole on the notes</t>
        </is>
      </c>
      <c r="C575" s="19">
        <f>i_make_whole</f>
        <v/>
      </c>
    </row>
    <row r="576">
      <c r="B576" s="2" t="inlineStr">
        <is>
          <t>less debt-like items (pension, accrued capex, 2026 tax)</t>
        </is>
      </c>
      <c r="C576" s="19">
        <f>i_pension+i_def_capex+i_acc_tax</f>
        <v/>
      </c>
    </row>
    <row r="577">
      <c r="B577" s="2" t="inlineStr">
        <is>
          <t>plus cash at the locked box date</t>
        </is>
      </c>
      <c r="C577" s="19">
        <f>i_lb_cash</f>
        <v/>
      </c>
    </row>
    <row r="578">
      <c r="B578" s="2" t="inlineStr">
        <is>
          <t>less permitted leakage</t>
        </is>
      </c>
      <c r="C578" s="19">
        <f>i_permitted_leak</f>
        <v/>
      </c>
    </row>
    <row r="579">
      <c r="B579" s="3" t="inlineStr">
        <is>
          <t>Equity price (shares and shareholder loan)</t>
        </is>
      </c>
      <c r="C579" s="31">
        <f>Sensitivities!$C$573-Sensitivities!$C$574-Sensitivities!$C$575-Sensitivities!$C$576+Sensitivities!$C$577-Sensitivities!$C$578</f>
        <v/>
      </c>
    </row>
    <row r="580">
      <c r="B580" s="2" t="inlineStr">
        <is>
          <t xml:space="preserve">  of which shareholder loan at face value</t>
        </is>
      </c>
      <c r="C580" s="19">
        <f>i_shl</f>
        <v/>
      </c>
    </row>
    <row r="581">
      <c r="B581" s="2" t="inlineStr">
        <is>
          <t xml:space="preserve">  of which shares</t>
        </is>
      </c>
      <c r="C581" s="19">
        <f>Sensitivities!$C$579-Sensitivities!$C$580</f>
        <v/>
      </c>
    </row>
    <row r="582">
      <c r="B582" s="2" t="inlineStr">
        <is>
          <t>Ticking fee to closing</t>
        </is>
      </c>
      <c r="C582" s="19">
        <f>Sensitivities!$C$579*i_ticking*Sensitivities!$C$568</f>
        <v/>
      </c>
    </row>
    <row r="583">
      <c r="B583" s="2" t="inlineStr">
        <is>
          <t>Share of the year before closing (box period)</t>
        </is>
      </c>
      <c r="D583" s="24">
        <f>IF(D$4&lt;1,0,MAX(0,MIN(1,Sensitivities!$C$568-(D$4-1))))</f>
        <v/>
      </c>
      <c r="E583" s="24">
        <f>IF(E$4&lt;1,0,MAX(0,MIN(1,Sensitivities!$C$568-(E$4-1))))</f>
        <v/>
      </c>
      <c r="F583" s="24">
        <f>IF(F$4&lt;1,0,MAX(0,MIN(1,Sensitivities!$C$568-(F$4-1))))</f>
        <v/>
      </c>
      <c r="G583" s="24">
        <f>IF(G$4&lt;1,0,MAX(0,MIN(1,Sensitivities!$C$568-(G$4-1))))</f>
        <v/>
      </c>
      <c r="H583" s="24">
        <f>IF(H$4&lt;1,0,MAX(0,MIN(1,Sensitivities!$C$568-(H$4-1))))</f>
        <v/>
      </c>
      <c r="I583" s="24">
        <f>IF(I$4&lt;1,0,MAX(0,MIN(1,Sensitivities!$C$568-(I$4-1))))</f>
        <v/>
      </c>
      <c r="J583" s="24">
        <f>IF(J$4&lt;1,0,MAX(0,MIN(1,Sensitivities!$C$568-(J$4-1))))</f>
        <v/>
      </c>
      <c r="K583" s="24">
        <f>IF(K$4&lt;1,0,MAX(0,MIN(1,Sensitivities!$C$568-(K$4-1))))</f>
        <v/>
      </c>
      <c r="L583" s="24">
        <f>IF(L$4&lt;1,0,MAX(0,MIN(1,Sensitivities!$C$568-(L$4-1))))</f>
        <v/>
      </c>
      <c r="M583" s="24">
        <f>IF(M$4&lt;1,0,MAX(0,MIN(1,Sensitivities!$C$568-(M$4-1))))</f>
        <v/>
      </c>
      <c r="N583" s="24">
        <f>IF(N$4&lt;1,0,MAX(0,MIN(1,Sensitivities!$C$568-(N$4-1))))</f>
        <v/>
      </c>
      <c r="O583" s="24">
        <f>IF(O$4&lt;1,0,MAX(0,MIN(1,Sensitivities!$C$568-(O$4-1))))</f>
        <v/>
      </c>
      <c r="P583" s="24">
        <f>IF(P$4&lt;1,0,MAX(0,MIN(1,Sensitivities!$C$568-(P$4-1))))</f>
        <v/>
      </c>
      <c r="Q583" s="24">
        <f>IF(Q$4&lt;1,0,MAX(0,MIN(1,Sensitivities!$C$568-(Q$4-1))))</f>
        <v/>
      </c>
      <c r="R583" s="24">
        <f>IF(R$4&lt;1,0,MAX(0,MIN(1,Sensitivities!$C$568-(R$4-1))))</f>
        <v/>
      </c>
      <c r="S583" s="24">
        <f>IF(S$4&lt;1,0,MAX(0,MIN(1,Sensitivities!$C$568-(S$4-1))))</f>
        <v/>
      </c>
      <c r="T583" s="24">
        <f>IF(T$4&lt;1,0,MAX(0,MIN(1,Sensitivities!$C$568-(T$4-1))))</f>
        <v/>
      </c>
      <c r="U583" s="24">
        <f>IF(U$4&lt;1,0,MAX(0,MIN(1,Sensitivities!$C$568-(U$4-1))))</f>
        <v/>
      </c>
      <c r="V583" s="24">
        <f>IF(V$4&lt;1,0,MAX(0,MIN(1,Sensitivities!$C$568-(V$4-1))))</f>
        <v/>
      </c>
      <c r="W583" s="24">
        <f>IF(W$4&lt;1,0,MAX(0,MIN(1,Sensitivities!$C$568-(W$4-1))))</f>
        <v/>
      </c>
      <c r="X583" s="24">
        <f>IF(X$4&lt;1,0,MAX(0,MIN(1,Sensitivities!$C$568-(X$4-1))))</f>
        <v/>
      </c>
      <c r="Y583" s="24">
        <f>IF(Y$4&lt;1,0,MAX(0,MIN(1,Sensitivities!$C$568-(Y$4-1))))</f>
        <v/>
      </c>
      <c r="Z583" s="24">
        <f>IF(Z$4&lt;1,0,MAX(0,MIN(1,Sensitivities!$C$568-(Z$4-1))))</f>
        <v/>
      </c>
      <c r="AA583" s="24">
        <f>IF(AA$4&lt;1,0,MAX(0,MIN(1,Sensitivities!$C$568-(AA$4-1))))</f>
        <v/>
      </c>
      <c r="AB583" s="24">
        <f>IF(AB$4&lt;1,0,MAX(0,MIN(1,Sensitivities!$C$568-(AB$4-1))))</f>
        <v/>
      </c>
      <c r="AC583" s="24">
        <f>IF(AC$4&lt;1,0,MAX(0,MIN(1,Sensitivities!$C$568-(AC$4-1))))</f>
        <v/>
      </c>
      <c r="AD583" s="24">
        <f>IF(AD$4&lt;1,0,MAX(0,MIN(1,Sensitivities!$C$568-(AD$4-1))))</f>
        <v/>
      </c>
      <c r="AE583" s="24">
        <f>IF(AE$4&lt;1,0,MAX(0,MIN(1,Sensitivities!$C$568-(AE$4-1))))</f>
        <v/>
      </c>
      <c r="AF583" s="24">
        <f>IF(AF$4&lt;1,0,MAX(0,MIN(1,Sensitivities!$C$568-(AF$4-1))))</f>
        <v/>
      </c>
      <c r="AG583" s="24">
        <f>IF(AG$4&lt;1,0,MAX(0,MIN(1,Sensitivities!$C$568-(AG$4-1))))</f>
        <v/>
      </c>
      <c r="AH583" s="24">
        <f>IF(AH$4&lt;1,0,MAX(0,MIN(1,Sensitivities!$C$568-(AH$4-1))))</f>
        <v/>
      </c>
      <c r="AI583" s="24">
        <f>IF(AI$4&lt;1,0,MAX(0,MIN(1,Sensitivities!$C$568-(AI$4-1))))</f>
        <v/>
      </c>
    </row>
    <row r="584">
      <c r="B584" s="2" t="inlineStr">
        <is>
          <t>Box cash: free cash flow less interest on the old debt</t>
        </is>
      </c>
      <c r="D584" s="19">
        <f>D583*(Diligence!D145-i_old_rate*(i_old_tl+i_old_notes))</f>
        <v/>
      </c>
      <c r="E584" s="19">
        <f>E583*(Diligence!E145-i_old_rate*(i_old_tl+i_old_notes))</f>
        <v/>
      </c>
      <c r="F584" s="19">
        <f>F583*(Diligence!F145-i_old_rate*(i_old_tl+i_old_notes))</f>
        <v/>
      </c>
      <c r="G584" s="19">
        <f>G583*(Diligence!G145-i_old_rate*(i_old_tl+i_old_notes))</f>
        <v/>
      </c>
      <c r="H584" s="19">
        <f>H583*(Diligence!H145-i_old_rate*(i_old_tl+i_old_notes))</f>
        <v/>
      </c>
      <c r="I584" s="19">
        <f>I583*(Diligence!I145-i_old_rate*(i_old_tl+i_old_notes))</f>
        <v/>
      </c>
      <c r="J584" s="19">
        <f>J583*(Diligence!J145-i_old_rate*(i_old_tl+i_old_notes))</f>
        <v/>
      </c>
      <c r="K584" s="19">
        <f>K583*(Diligence!K145-i_old_rate*(i_old_tl+i_old_notes))</f>
        <v/>
      </c>
      <c r="L584" s="19">
        <f>L583*(Diligence!L145-i_old_rate*(i_old_tl+i_old_notes))</f>
        <v/>
      </c>
      <c r="M584" s="19">
        <f>M583*(Diligence!M145-i_old_rate*(i_old_tl+i_old_notes))</f>
        <v/>
      </c>
      <c r="N584" s="19">
        <f>N583*(Diligence!N145-i_old_rate*(i_old_tl+i_old_notes))</f>
        <v/>
      </c>
      <c r="O584" s="19">
        <f>O583*(Diligence!O145-i_old_rate*(i_old_tl+i_old_notes))</f>
        <v/>
      </c>
      <c r="P584" s="19">
        <f>P583*(Diligence!P145-i_old_rate*(i_old_tl+i_old_notes))</f>
        <v/>
      </c>
      <c r="Q584" s="19">
        <f>Q583*(Diligence!Q145-i_old_rate*(i_old_tl+i_old_notes))</f>
        <v/>
      </c>
      <c r="R584" s="19">
        <f>R583*(Diligence!R145-i_old_rate*(i_old_tl+i_old_notes))</f>
        <v/>
      </c>
      <c r="S584" s="19">
        <f>S583*(Diligence!S145-i_old_rate*(i_old_tl+i_old_notes))</f>
        <v/>
      </c>
      <c r="T584" s="19">
        <f>T583*(Diligence!T145-i_old_rate*(i_old_tl+i_old_notes))</f>
        <v/>
      </c>
      <c r="U584" s="19">
        <f>U583*(Diligence!U145-i_old_rate*(i_old_tl+i_old_notes))</f>
        <v/>
      </c>
      <c r="V584" s="19">
        <f>V583*(Diligence!V145-i_old_rate*(i_old_tl+i_old_notes))</f>
        <v/>
      </c>
      <c r="W584" s="19">
        <f>W583*(Diligence!W145-i_old_rate*(i_old_tl+i_old_notes))</f>
        <v/>
      </c>
      <c r="X584" s="19">
        <f>X583*(Diligence!X145-i_old_rate*(i_old_tl+i_old_notes))</f>
        <v/>
      </c>
      <c r="Y584" s="19">
        <f>Y583*(Diligence!Y145-i_old_rate*(i_old_tl+i_old_notes))</f>
        <v/>
      </c>
      <c r="Z584" s="19">
        <f>Z583*(Diligence!Z145-i_old_rate*(i_old_tl+i_old_notes))</f>
        <v/>
      </c>
      <c r="AA584" s="19">
        <f>AA583*(Diligence!AA145-i_old_rate*(i_old_tl+i_old_notes))</f>
        <v/>
      </c>
      <c r="AB584" s="19">
        <f>AB583*(Diligence!AB145-i_old_rate*(i_old_tl+i_old_notes))</f>
        <v/>
      </c>
      <c r="AC584" s="19">
        <f>AC583*(Diligence!AC145-i_old_rate*(i_old_tl+i_old_notes))</f>
        <v/>
      </c>
      <c r="AD584" s="19">
        <f>AD583*(Diligence!AD145-i_old_rate*(i_old_tl+i_old_notes))</f>
        <v/>
      </c>
      <c r="AE584" s="19">
        <f>AE583*(Diligence!AE145-i_old_rate*(i_old_tl+i_old_notes))</f>
        <v/>
      </c>
      <c r="AF584" s="19">
        <f>AF583*(Diligence!AF145-i_old_rate*(i_old_tl+i_old_notes))</f>
        <v/>
      </c>
      <c r="AG584" s="19">
        <f>AG583*(Diligence!AG145-i_old_rate*(i_old_tl+i_old_notes))</f>
        <v/>
      </c>
      <c r="AH584" s="19">
        <f>AH583*(Diligence!AH145-i_old_rate*(i_old_tl+i_old_notes))</f>
        <v/>
      </c>
      <c r="AI584" s="19">
        <f>AI583*(Diligence!AI145-i_old_rate*(i_old_tl+i_old_notes))</f>
        <v/>
      </c>
    </row>
    <row r="585">
      <c r="B585" s="2" t="inlineStr">
        <is>
          <t>Box cash generated from 1 January 2027 to closing</t>
        </is>
      </c>
      <c r="C585" s="19">
        <f>SUM(Sensitivities!D584:AI584)</f>
        <v/>
      </c>
    </row>
    <row r="586">
      <c r="B586" s="2" t="inlineStr">
        <is>
          <t>Cash in the company at closing</t>
        </is>
      </c>
      <c r="C586" s="19">
        <f>Sensitivities!$C$577-Sensitivities!$C$578+Sensitivities!$C$585</f>
        <v/>
      </c>
    </row>
    <row r="587">
      <c r="B587" s="2" t="inlineStr">
        <is>
          <t>Cash used at closing (above operating cash)</t>
        </is>
      </c>
      <c r="C587" s="19">
        <f>Sensitivities!$C$586-i_min_cash</f>
        <v/>
      </c>
    </row>
    <row r="589">
      <c r="B589" s="3" t="inlineStr">
        <is>
          <t>Sources and uses at closing</t>
        </is>
      </c>
    </row>
    <row r="590">
      <c r="B590" s="2" t="inlineStr">
        <is>
          <t>EBITDA 2026 (sizing basis)</t>
        </is>
      </c>
      <c r="C590" s="19">
        <f>Diligence!$D$139</f>
        <v/>
      </c>
    </row>
    <row r="591">
      <c r="B591" s="2" t="inlineStr">
        <is>
          <t>Opco multiple of 2026 EBITDA</t>
        </is>
      </c>
      <c r="C591" s="37">
        <f>IF(Sensitivities!$C$569=1,i_staple_x,i_opco_x)</f>
        <v/>
      </c>
    </row>
    <row r="592">
      <c r="B592" s="2" t="inlineStr">
        <is>
          <t>Opco rate</t>
        </is>
      </c>
      <c r="C592" s="23">
        <f>IF(Sensitivities!$C$569=1,i_staple_rate,i_opco_rate)</f>
        <v/>
      </c>
    </row>
    <row r="593">
      <c r="B593" s="2" t="inlineStr">
        <is>
          <t>Opco fees</t>
        </is>
      </c>
      <c r="C593" s="23">
        <f>IF(Sensitivities!$C$569=1,i_staple_fee,i_opco_fee)</f>
        <v/>
      </c>
    </row>
    <row r="594">
      <c r="B594" s="2" t="inlineStr">
        <is>
          <t>Opco senior debt (whole $ million)</t>
        </is>
      </c>
      <c r="C594" s="19">
        <f>ROUND(Sensitivities!$C$591*Sensitivities!$C$590,0)</f>
        <v/>
      </c>
    </row>
    <row r="595">
      <c r="B595" s="2" t="inlineStr">
        <is>
          <t>Holdco debt (whole $ million)</t>
        </is>
      </c>
      <c r="C595" s="19">
        <f>ROUND(i_hold_x*Sensitivities!$C$590,0)</f>
        <v/>
      </c>
    </row>
    <row r="596">
      <c r="B596" s="2" t="inlineStr">
        <is>
          <t>W&amp;I premium with insurance premium tax</t>
        </is>
      </c>
      <c r="C596" s="35">
        <f>i_wi_limit_pct*Sensitivities!$C$573*i_wi_rol*(1+i_wi_ipt)</f>
        <v/>
      </c>
    </row>
    <row r="597">
      <c r="B597" s="2" t="inlineStr">
        <is>
          <t>HSR filing fee (on the equity price)</t>
        </is>
      </c>
      <c r="C597" s="39">
        <f>IF(Sensitivities!$C$579&lt;INDEX(i_hsr_lo,1),0,LOOKUP(Sensitivities!$C$579,i_hsr_lo,i_hsr_fee))</f>
        <v/>
      </c>
    </row>
    <row r="598">
      <c r="B598" s="2" t="inlineStr">
        <is>
          <t>Transaction costs (advisers, W&amp;I, HSR)</t>
        </is>
      </c>
      <c r="C598" s="19">
        <f>i_costs_adv+Sensitivities!$C$596+Sensitivities!$C$597</f>
        <v/>
      </c>
    </row>
    <row r="599">
      <c r="B599" s="2" t="inlineStr">
        <is>
          <t>Financing fees</t>
        </is>
      </c>
      <c r="C599" s="19">
        <f>Sensitivities!$C$593*Sensitivities!$C$594+i_hold_fee*Sensitivities!$C$595</f>
        <v/>
      </c>
    </row>
    <row r="600">
      <c r="B600" s="2" t="inlineStr">
        <is>
          <t>Commitment fees, signing to closing</t>
        </is>
      </c>
      <c r="C600" s="19">
        <f>i_commit_fee*(Sensitivities!$C$594+Sensitivities!$C$595)*MAX(0,Sensitivities!$C$568-i_t_sign)</f>
        <v/>
      </c>
    </row>
    <row r="601">
      <c r="B601" s="3" t="inlineStr">
        <is>
          <t>Uses</t>
        </is>
      </c>
    </row>
    <row r="602">
      <c r="B602" s="2" t="inlineStr">
        <is>
          <t xml:space="preserve">  Equity price</t>
        </is>
      </c>
      <c r="C602" s="19">
        <f>Sensitivities!$C$579</f>
        <v/>
      </c>
    </row>
    <row r="603">
      <c r="B603" s="2" t="inlineStr">
        <is>
          <t xml:space="preserve">  Ticking fee</t>
        </is>
      </c>
      <c r="C603" s="19">
        <f>Sensitivities!$C$582</f>
        <v/>
      </c>
    </row>
    <row r="604">
      <c r="B604" s="2" t="inlineStr">
        <is>
          <t xml:space="preserve">  Repayment of existing debt and make-whole</t>
        </is>
      </c>
      <c r="C604" s="19">
        <f>Sensitivities!$C$574+Sensitivities!$C$575</f>
        <v/>
      </c>
    </row>
    <row r="605">
      <c r="B605" s="2" t="inlineStr">
        <is>
          <t xml:space="preserve">  Debt-like items settled</t>
        </is>
      </c>
      <c r="C605" s="19">
        <f>Sensitivities!$C$576</f>
        <v/>
      </c>
    </row>
    <row r="606">
      <c r="B606" s="2" t="inlineStr">
        <is>
          <t xml:space="preserve">  Transaction costs</t>
        </is>
      </c>
      <c r="C606" s="19">
        <f>Sensitivities!$C$598</f>
        <v/>
      </c>
    </row>
    <row r="607">
      <c r="B607" s="2" t="inlineStr">
        <is>
          <t xml:space="preserve">  Financing fees</t>
        </is>
      </c>
      <c r="C607" s="19">
        <f>Sensitivities!$C$599</f>
        <v/>
      </c>
    </row>
    <row r="608">
      <c r="B608" s="2" t="inlineStr">
        <is>
          <t xml:space="preserve">  Commitment fees</t>
        </is>
      </c>
      <c r="C608" s="19">
        <f>Sensitivities!$C$600</f>
        <v/>
      </c>
    </row>
    <row r="609">
      <c r="B609" s="3" t="inlineStr">
        <is>
          <t>Total uses</t>
        </is>
      </c>
      <c r="C609" s="31">
        <f>SUM(C602:C608)</f>
        <v/>
      </c>
    </row>
    <row r="610">
      <c r="B610" s="3" t="inlineStr">
        <is>
          <t>Sources</t>
        </is>
      </c>
    </row>
    <row r="611">
      <c r="B611" s="2" t="inlineStr">
        <is>
          <t xml:space="preserve">  Opco senior debt</t>
        </is>
      </c>
      <c r="C611" s="19">
        <f>Sensitivities!$C$594</f>
        <v/>
      </c>
    </row>
    <row r="612">
      <c r="B612" s="2" t="inlineStr">
        <is>
          <t xml:space="preserve">  Holdco debt</t>
        </is>
      </c>
      <c r="C612" s="19">
        <f>Sensitivities!$C$595</f>
        <v/>
      </c>
    </row>
    <row r="613">
      <c r="B613" s="2" t="inlineStr">
        <is>
          <t xml:space="preserve">  Cash in the company at closing</t>
        </is>
      </c>
      <c r="C613" s="19">
        <f>Sensitivities!$C$587</f>
        <v/>
      </c>
    </row>
    <row r="614">
      <c r="B614" s="3" t="inlineStr">
        <is>
          <t xml:space="preserve">  Equity from the consortium</t>
        </is>
      </c>
      <c r="C614" s="31">
        <f>Sensitivities!$C$609-Sensitivities!$C$594-Sensitivities!$C$595-Sensitivities!$C$587</f>
        <v/>
      </c>
    </row>
    <row r="615">
      <c r="B615" s="3" t="inlineStr">
        <is>
          <t>Total sources</t>
        </is>
      </c>
      <c r="C615" s="31">
        <f>SUM(C611:C614)</f>
        <v/>
      </c>
    </row>
    <row r="617">
      <c r="B617" s="3" t="inlineStr">
        <is>
          <t>Flows after closing (years in columns D to AI; closing, minority sale and exit in AJ to AL)</t>
        </is>
      </c>
    </row>
    <row r="618">
      <c r="B618" s="2" t="inlineStr">
        <is>
          <t>Share of the year owned</t>
        </is>
      </c>
      <c r="D618" s="24">
        <f>IF(D$3&gt;i_exit_year,0,MIN(1,MAX(0,D$4-Sensitivities!$C$568)))</f>
        <v/>
      </c>
      <c r="E618" s="24">
        <f>IF(E$3&gt;i_exit_year,0,MIN(1,MAX(0,E$4-Sensitivities!$C$568)))</f>
        <v/>
      </c>
      <c r="F618" s="24">
        <f>IF(F$3&gt;i_exit_year,0,MIN(1,MAX(0,F$4-Sensitivities!$C$568)))</f>
        <v/>
      </c>
      <c r="G618" s="24">
        <f>IF(G$3&gt;i_exit_year,0,MIN(1,MAX(0,G$4-Sensitivities!$C$568)))</f>
        <v/>
      </c>
      <c r="H618" s="24">
        <f>IF(H$3&gt;i_exit_year,0,MIN(1,MAX(0,H$4-Sensitivities!$C$568)))</f>
        <v/>
      </c>
      <c r="I618" s="24">
        <f>IF(I$3&gt;i_exit_year,0,MIN(1,MAX(0,I$4-Sensitivities!$C$568)))</f>
        <v/>
      </c>
      <c r="J618" s="24">
        <f>IF(J$3&gt;i_exit_year,0,MIN(1,MAX(0,J$4-Sensitivities!$C$568)))</f>
        <v/>
      </c>
      <c r="K618" s="24">
        <f>IF(K$3&gt;i_exit_year,0,MIN(1,MAX(0,K$4-Sensitivities!$C$568)))</f>
        <v/>
      </c>
      <c r="L618" s="24">
        <f>IF(L$3&gt;i_exit_year,0,MIN(1,MAX(0,L$4-Sensitivities!$C$568)))</f>
        <v/>
      </c>
      <c r="M618" s="24">
        <f>IF(M$3&gt;i_exit_year,0,MIN(1,MAX(0,M$4-Sensitivities!$C$568)))</f>
        <v/>
      </c>
      <c r="N618" s="24">
        <f>IF(N$3&gt;i_exit_year,0,MIN(1,MAX(0,N$4-Sensitivities!$C$568)))</f>
        <v/>
      </c>
      <c r="O618" s="24">
        <f>IF(O$3&gt;i_exit_year,0,MIN(1,MAX(0,O$4-Sensitivities!$C$568)))</f>
        <v/>
      </c>
      <c r="P618" s="24">
        <f>IF(P$3&gt;i_exit_year,0,MIN(1,MAX(0,P$4-Sensitivities!$C$568)))</f>
        <v/>
      </c>
      <c r="Q618" s="24">
        <f>IF(Q$3&gt;i_exit_year,0,MIN(1,MAX(0,Q$4-Sensitivities!$C$568)))</f>
        <v/>
      </c>
      <c r="R618" s="24">
        <f>IF(R$3&gt;i_exit_year,0,MIN(1,MAX(0,R$4-Sensitivities!$C$568)))</f>
        <v/>
      </c>
      <c r="S618" s="24">
        <f>IF(S$3&gt;i_exit_year,0,MIN(1,MAX(0,S$4-Sensitivities!$C$568)))</f>
        <v/>
      </c>
      <c r="T618" s="24">
        <f>IF(T$3&gt;i_exit_year,0,MIN(1,MAX(0,T$4-Sensitivities!$C$568)))</f>
        <v/>
      </c>
      <c r="U618" s="24">
        <f>IF(U$3&gt;i_exit_year,0,MIN(1,MAX(0,U$4-Sensitivities!$C$568)))</f>
        <v/>
      </c>
      <c r="V618" s="24">
        <f>IF(V$3&gt;i_exit_year,0,MIN(1,MAX(0,V$4-Sensitivities!$C$568)))</f>
        <v/>
      </c>
      <c r="W618" s="24">
        <f>IF(W$3&gt;i_exit_year,0,MIN(1,MAX(0,W$4-Sensitivities!$C$568)))</f>
        <v/>
      </c>
      <c r="X618" s="24">
        <f>IF(X$3&gt;i_exit_year,0,MIN(1,MAX(0,X$4-Sensitivities!$C$568)))</f>
        <v/>
      </c>
      <c r="Y618" s="24">
        <f>IF(Y$3&gt;i_exit_year,0,MIN(1,MAX(0,Y$4-Sensitivities!$C$568)))</f>
        <v/>
      </c>
      <c r="Z618" s="24">
        <f>IF(Z$3&gt;i_exit_year,0,MIN(1,MAX(0,Z$4-Sensitivities!$C$568)))</f>
        <v/>
      </c>
      <c r="AA618" s="24">
        <f>IF(AA$3&gt;i_exit_year,0,MIN(1,MAX(0,AA$4-Sensitivities!$C$568)))</f>
        <v/>
      </c>
      <c r="AB618" s="24">
        <f>IF(AB$3&gt;i_exit_year,0,MIN(1,MAX(0,AB$4-Sensitivities!$C$568)))</f>
        <v/>
      </c>
      <c r="AC618" s="24">
        <f>IF(AC$3&gt;i_exit_year,0,MIN(1,MAX(0,AC$4-Sensitivities!$C$568)))</f>
        <v/>
      </c>
      <c r="AD618" s="24">
        <f>IF(AD$3&gt;i_exit_year,0,MIN(1,MAX(0,AD$4-Sensitivities!$C$568)))</f>
        <v/>
      </c>
      <c r="AE618" s="24">
        <f>IF(AE$3&gt;i_exit_year,0,MIN(1,MAX(0,AE$4-Sensitivities!$C$568)))</f>
        <v/>
      </c>
      <c r="AF618" s="24">
        <f>IF(AF$3&gt;i_exit_year,0,MIN(1,MAX(0,AF$4-Sensitivities!$C$568)))</f>
        <v/>
      </c>
      <c r="AG618" s="24">
        <f>IF(AG$3&gt;i_exit_year,0,MIN(1,MAX(0,AG$4-Sensitivities!$C$568)))</f>
        <v/>
      </c>
      <c r="AH618" s="24">
        <f>IF(AH$3&gt;i_exit_year,0,MIN(1,MAX(0,AH$4-Sensitivities!$C$568)))</f>
        <v/>
      </c>
      <c r="AI618" s="24">
        <f>IF(AI$3&gt;i_exit_year,0,MIN(1,MAX(0,AI$4-Sensitivities!$C$568)))</f>
        <v/>
      </c>
    </row>
    <row r="619">
      <c r="B619" s="2" t="inlineStr">
        <is>
          <t>Opco rate (refinanced after the tenor)</t>
        </is>
      </c>
      <c r="D619" s="23">
        <f>IF(D$4&lt;=Sensitivities!$C$568+i_opco_tenor,Sensitivities!$C$592,Sensitivities!$C$592+Sensitivities!$C$572)</f>
        <v/>
      </c>
      <c r="E619" s="23">
        <f>IF(E$4&lt;=Sensitivities!$C$568+i_opco_tenor,Sensitivities!$C$592,Sensitivities!$C$592+Sensitivities!$C$572)</f>
        <v/>
      </c>
      <c r="F619" s="23">
        <f>IF(F$4&lt;=Sensitivities!$C$568+i_opco_tenor,Sensitivities!$C$592,Sensitivities!$C$592+Sensitivities!$C$572)</f>
        <v/>
      </c>
      <c r="G619" s="23">
        <f>IF(G$4&lt;=Sensitivities!$C$568+i_opco_tenor,Sensitivities!$C$592,Sensitivities!$C$592+Sensitivities!$C$572)</f>
        <v/>
      </c>
      <c r="H619" s="23">
        <f>IF(H$4&lt;=Sensitivities!$C$568+i_opco_tenor,Sensitivities!$C$592,Sensitivities!$C$592+Sensitivities!$C$572)</f>
        <v/>
      </c>
      <c r="I619" s="23">
        <f>IF(I$4&lt;=Sensitivities!$C$568+i_opco_tenor,Sensitivities!$C$592,Sensitivities!$C$592+Sensitivities!$C$572)</f>
        <v/>
      </c>
      <c r="J619" s="23">
        <f>IF(J$4&lt;=Sensitivities!$C$568+i_opco_tenor,Sensitivities!$C$592,Sensitivities!$C$592+Sensitivities!$C$572)</f>
        <v/>
      </c>
      <c r="K619" s="23">
        <f>IF(K$4&lt;=Sensitivities!$C$568+i_opco_tenor,Sensitivities!$C$592,Sensitivities!$C$592+Sensitivities!$C$572)</f>
        <v/>
      </c>
      <c r="L619" s="23">
        <f>IF(L$4&lt;=Sensitivities!$C$568+i_opco_tenor,Sensitivities!$C$592,Sensitivities!$C$592+Sensitivities!$C$572)</f>
        <v/>
      </c>
      <c r="M619" s="23">
        <f>IF(M$4&lt;=Sensitivities!$C$568+i_opco_tenor,Sensitivities!$C$592,Sensitivities!$C$592+Sensitivities!$C$572)</f>
        <v/>
      </c>
      <c r="N619" s="23">
        <f>IF(N$4&lt;=Sensitivities!$C$568+i_opco_tenor,Sensitivities!$C$592,Sensitivities!$C$592+Sensitivities!$C$572)</f>
        <v/>
      </c>
      <c r="O619" s="23">
        <f>IF(O$4&lt;=Sensitivities!$C$568+i_opco_tenor,Sensitivities!$C$592,Sensitivities!$C$592+Sensitivities!$C$572)</f>
        <v/>
      </c>
      <c r="P619" s="23">
        <f>IF(P$4&lt;=Sensitivities!$C$568+i_opco_tenor,Sensitivities!$C$592,Sensitivities!$C$592+Sensitivities!$C$572)</f>
        <v/>
      </c>
      <c r="Q619" s="23">
        <f>IF(Q$4&lt;=Sensitivities!$C$568+i_opco_tenor,Sensitivities!$C$592,Sensitivities!$C$592+Sensitivities!$C$572)</f>
        <v/>
      </c>
      <c r="R619" s="23">
        <f>IF(R$4&lt;=Sensitivities!$C$568+i_opco_tenor,Sensitivities!$C$592,Sensitivities!$C$592+Sensitivities!$C$572)</f>
        <v/>
      </c>
      <c r="S619" s="23">
        <f>IF(S$4&lt;=Sensitivities!$C$568+i_opco_tenor,Sensitivities!$C$592,Sensitivities!$C$592+Sensitivities!$C$572)</f>
        <v/>
      </c>
      <c r="T619" s="23">
        <f>IF(T$4&lt;=Sensitivities!$C$568+i_opco_tenor,Sensitivities!$C$592,Sensitivities!$C$592+Sensitivities!$C$572)</f>
        <v/>
      </c>
      <c r="U619" s="23">
        <f>IF(U$4&lt;=Sensitivities!$C$568+i_opco_tenor,Sensitivities!$C$592,Sensitivities!$C$592+Sensitivities!$C$572)</f>
        <v/>
      </c>
      <c r="V619" s="23">
        <f>IF(V$4&lt;=Sensitivities!$C$568+i_opco_tenor,Sensitivities!$C$592,Sensitivities!$C$592+Sensitivities!$C$572)</f>
        <v/>
      </c>
      <c r="W619" s="23">
        <f>IF(W$4&lt;=Sensitivities!$C$568+i_opco_tenor,Sensitivities!$C$592,Sensitivities!$C$592+Sensitivities!$C$572)</f>
        <v/>
      </c>
      <c r="X619" s="23">
        <f>IF(X$4&lt;=Sensitivities!$C$568+i_opco_tenor,Sensitivities!$C$592,Sensitivities!$C$592+Sensitivities!$C$572)</f>
        <v/>
      </c>
      <c r="Y619" s="23">
        <f>IF(Y$4&lt;=Sensitivities!$C$568+i_opco_tenor,Sensitivities!$C$592,Sensitivities!$C$592+Sensitivities!$C$572)</f>
        <v/>
      </c>
      <c r="Z619" s="23">
        <f>IF(Z$4&lt;=Sensitivities!$C$568+i_opco_tenor,Sensitivities!$C$592,Sensitivities!$C$592+Sensitivities!$C$572)</f>
        <v/>
      </c>
      <c r="AA619" s="23">
        <f>IF(AA$4&lt;=Sensitivities!$C$568+i_opco_tenor,Sensitivities!$C$592,Sensitivities!$C$592+Sensitivities!$C$572)</f>
        <v/>
      </c>
      <c r="AB619" s="23">
        <f>IF(AB$4&lt;=Sensitivities!$C$568+i_opco_tenor,Sensitivities!$C$592,Sensitivities!$C$592+Sensitivities!$C$572)</f>
        <v/>
      </c>
      <c r="AC619" s="23">
        <f>IF(AC$4&lt;=Sensitivities!$C$568+i_opco_tenor,Sensitivities!$C$592,Sensitivities!$C$592+Sensitivities!$C$572)</f>
        <v/>
      </c>
      <c r="AD619" s="23">
        <f>IF(AD$4&lt;=Sensitivities!$C$568+i_opco_tenor,Sensitivities!$C$592,Sensitivities!$C$592+Sensitivities!$C$572)</f>
        <v/>
      </c>
      <c r="AE619" s="23">
        <f>IF(AE$4&lt;=Sensitivities!$C$568+i_opco_tenor,Sensitivities!$C$592,Sensitivities!$C$592+Sensitivities!$C$572)</f>
        <v/>
      </c>
      <c r="AF619" s="23">
        <f>IF(AF$4&lt;=Sensitivities!$C$568+i_opco_tenor,Sensitivities!$C$592,Sensitivities!$C$592+Sensitivities!$C$572)</f>
        <v/>
      </c>
      <c r="AG619" s="23">
        <f>IF(AG$4&lt;=Sensitivities!$C$568+i_opco_tenor,Sensitivities!$C$592,Sensitivities!$C$592+Sensitivities!$C$572)</f>
        <v/>
      </c>
      <c r="AH619" s="23">
        <f>IF(AH$4&lt;=Sensitivities!$C$568+i_opco_tenor,Sensitivities!$C$592,Sensitivities!$C$592+Sensitivities!$C$572)</f>
        <v/>
      </c>
      <c r="AI619" s="23">
        <f>IF(AI$4&lt;=Sensitivities!$C$568+i_opco_tenor,Sensitivities!$C$592,Sensitivities!$C$592+Sensitivities!$C$572)</f>
        <v/>
      </c>
    </row>
    <row r="620">
      <c r="B620" s="2" t="inlineStr">
        <is>
          <t>Interest (opco and holdco)</t>
        </is>
      </c>
      <c r="D620" s="19">
        <f>D619*Sensitivities!$C$594+i_hold_rate*Sensitivities!$C$595</f>
        <v/>
      </c>
      <c r="E620" s="19">
        <f>E619*Sensitivities!$C$594+i_hold_rate*Sensitivities!$C$595</f>
        <v/>
      </c>
      <c r="F620" s="19">
        <f>F619*Sensitivities!$C$594+i_hold_rate*Sensitivities!$C$595</f>
        <v/>
      </c>
      <c r="G620" s="19">
        <f>G619*Sensitivities!$C$594+i_hold_rate*Sensitivities!$C$595</f>
        <v/>
      </c>
      <c r="H620" s="19">
        <f>H619*Sensitivities!$C$594+i_hold_rate*Sensitivities!$C$595</f>
        <v/>
      </c>
      <c r="I620" s="19">
        <f>I619*Sensitivities!$C$594+i_hold_rate*Sensitivities!$C$595</f>
        <v/>
      </c>
      <c r="J620" s="19">
        <f>J619*Sensitivities!$C$594+i_hold_rate*Sensitivities!$C$595</f>
        <v/>
      </c>
      <c r="K620" s="19">
        <f>K619*Sensitivities!$C$594+i_hold_rate*Sensitivities!$C$595</f>
        <v/>
      </c>
      <c r="L620" s="19">
        <f>L619*Sensitivities!$C$594+i_hold_rate*Sensitivities!$C$595</f>
        <v/>
      </c>
      <c r="M620" s="19">
        <f>M619*Sensitivities!$C$594+i_hold_rate*Sensitivities!$C$595</f>
        <v/>
      </c>
      <c r="N620" s="19">
        <f>N619*Sensitivities!$C$594+i_hold_rate*Sensitivities!$C$595</f>
        <v/>
      </c>
      <c r="O620" s="19">
        <f>O619*Sensitivities!$C$594+i_hold_rate*Sensitivities!$C$595</f>
        <v/>
      </c>
      <c r="P620" s="19">
        <f>P619*Sensitivities!$C$594+i_hold_rate*Sensitivities!$C$595</f>
        <v/>
      </c>
      <c r="Q620" s="19">
        <f>Q619*Sensitivities!$C$594+i_hold_rate*Sensitivities!$C$595</f>
        <v/>
      </c>
      <c r="R620" s="19">
        <f>R619*Sensitivities!$C$594+i_hold_rate*Sensitivities!$C$595</f>
        <v/>
      </c>
      <c r="S620" s="19">
        <f>S619*Sensitivities!$C$594+i_hold_rate*Sensitivities!$C$595</f>
        <v/>
      </c>
      <c r="T620" s="19">
        <f>T619*Sensitivities!$C$594+i_hold_rate*Sensitivities!$C$595</f>
        <v/>
      </c>
      <c r="U620" s="19">
        <f>U619*Sensitivities!$C$594+i_hold_rate*Sensitivities!$C$595</f>
        <v/>
      </c>
      <c r="V620" s="19">
        <f>V619*Sensitivities!$C$594+i_hold_rate*Sensitivities!$C$595</f>
        <v/>
      </c>
      <c r="W620" s="19">
        <f>W619*Sensitivities!$C$594+i_hold_rate*Sensitivities!$C$595</f>
        <v/>
      </c>
      <c r="X620" s="19">
        <f>X619*Sensitivities!$C$594+i_hold_rate*Sensitivities!$C$595</f>
        <v/>
      </c>
      <c r="Y620" s="19">
        <f>Y619*Sensitivities!$C$594+i_hold_rate*Sensitivities!$C$595</f>
        <v/>
      </c>
      <c r="Z620" s="19">
        <f>Z619*Sensitivities!$C$594+i_hold_rate*Sensitivities!$C$595</f>
        <v/>
      </c>
      <c r="AA620" s="19">
        <f>AA619*Sensitivities!$C$594+i_hold_rate*Sensitivities!$C$595</f>
        <v/>
      </c>
      <c r="AB620" s="19">
        <f>AB619*Sensitivities!$C$594+i_hold_rate*Sensitivities!$C$595</f>
        <v/>
      </c>
      <c r="AC620" s="19">
        <f>AC619*Sensitivities!$C$594+i_hold_rate*Sensitivities!$C$595</f>
        <v/>
      </c>
      <c r="AD620" s="19">
        <f>AD619*Sensitivities!$C$594+i_hold_rate*Sensitivities!$C$595</f>
        <v/>
      </c>
      <c r="AE620" s="19">
        <f>AE619*Sensitivities!$C$594+i_hold_rate*Sensitivities!$C$595</f>
        <v/>
      </c>
      <c r="AF620" s="19">
        <f>AF619*Sensitivities!$C$594+i_hold_rate*Sensitivities!$C$595</f>
        <v/>
      </c>
      <c r="AG620" s="19">
        <f>AG619*Sensitivities!$C$594+i_hold_rate*Sensitivities!$C$595</f>
        <v/>
      </c>
      <c r="AH620" s="19">
        <f>AH619*Sensitivities!$C$594+i_hold_rate*Sensitivities!$C$595</f>
        <v/>
      </c>
      <c r="AI620" s="19">
        <f>AI619*Sensitivities!$C$594+i_hold_rate*Sensitivities!$C$595</f>
        <v/>
      </c>
    </row>
    <row r="621">
      <c r="B621" s="2" t="inlineStr">
        <is>
          <t>Deductible interest (cap on EBITDA)</t>
        </is>
      </c>
      <c r="D621" s="19">
        <f>MIN(D620,i_int_cap*Diligence!D139)</f>
        <v/>
      </c>
      <c r="E621" s="19">
        <f>MIN(E620,i_int_cap*Diligence!E139)</f>
        <v/>
      </c>
      <c r="F621" s="19">
        <f>MIN(F620,i_int_cap*Diligence!F139)</f>
        <v/>
      </c>
      <c r="G621" s="19">
        <f>MIN(G620,i_int_cap*Diligence!G139)</f>
        <v/>
      </c>
      <c r="H621" s="19">
        <f>MIN(H620,i_int_cap*Diligence!H139)</f>
        <v/>
      </c>
      <c r="I621" s="19">
        <f>MIN(I620,i_int_cap*Diligence!I139)</f>
        <v/>
      </c>
      <c r="J621" s="19">
        <f>MIN(J620,i_int_cap*Diligence!J139)</f>
        <v/>
      </c>
      <c r="K621" s="19">
        <f>MIN(K620,i_int_cap*Diligence!K139)</f>
        <v/>
      </c>
      <c r="L621" s="19">
        <f>MIN(L620,i_int_cap*Diligence!L139)</f>
        <v/>
      </c>
      <c r="M621" s="19">
        <f>MIN(M620,i_int_cap*Diligence!M139)</f>
        <v/>
      </c>
      <c r="N621" s="19">
        <f>MIN(N620,i_int_cap*Diligence!N139)</f>
        <v/>
      </c>
      <c r="O621" s="19">
        <f>MIN(O620,i_int_cap*Diligence!O139)</f>
        <v/>
      </c>
      <c r="P621" s="19">
        <f>MIN(P620,i_int_cap*Diligence!P139)</f>
        <v/>
      </c>
      <c r="Q621" s="19">
        <f>MIN(Q620,i_int_cap*Diligence!Q139)</f>
        <v/>
      </c>
      <c r="R621" s="19">
        <f>MIN(R620,i_int_cap*Diligence!R139)</f>
        <v/>
      </c>
      <c r="S621" s="19">
        <f>MIN(S620,i_int_cap*Diligence!S139)</f>
        <v/>
      </c>
      <c r="T621" s="19">
        <f>MIN(T620,i_int_cap*Diligence!T139)</f>
        <v/>
      </c>
      <c r="U621" s="19">
        <f>MIN(U620,i_int_cap*Diligence!U139)</f>
        <v/>
      </c>
      <c r="V621" s="19">
        <f>MIN(V620,i_int_cap*Diligence!V139)</f>
        <v/>
      </c>
      <c r="W621" s="19">
        <f>MIN(W620,i_int_cap*Diligence!W139)</f>
        <v/>
      </c>
      <c r="X621" s="19">
        <f>MIN(X620,i_int_cap*Diligence!X139)</f>
        <v/>
      </c>
      <c r="Y621" s="19">
        <f>MIN(Y620,i_int_cap*Diligence!Y139)</f>
        <v/>
      </c>
      <c r="Z621" s="19">
        <f>MIN(Z620,i_int_cap*Diligence!Z139)</f>
        <v/>
      </c>
      <c r="AA621" s="19">
        <f>MIN(AA620,i_int_cap*Diligence!AA139)</f>
        <v/>
      </c>
      <c r="AB621" s="19">
        <f>MIN(AB620,i_int_cap*Diligence!AB139)</f>
        <v/>
      </c>
      <c r="AC621" s="19">
        <f>MIN(AC620,i_int_cap*Diligence!AC139)</f>
        <v/>
      </c>
      <c r="AD621" s="19">
        <f>MIN(AD620,i_int_cap*Diligence!AD139)</f>
        <v/>
      </c>
      <c r="AE621" s="19">
        <f>MIN(AE620,i_int_cap*Diligence!AE139)</f>
        <v/>
      </c>
      <c r="AF621" s="19">
        <f>MIN(AF620,i_int_cap*Diligence!AF139)</f>
        <v/>
      </c>
      <c r="AG621" s="19">
        <f>MIN(AG620,i_int_cap*Diligence!AG139)</f>
        <v/>
      </c>
      <c r="AH621" s="19">
        <f>MIN(AH620,i_int_cap*Diligence!AH139)</f>
        <v/>
      </c>
      <c r="AI621" s="19">
        <f>MIN(AI620,i_int_cap*Diligence!AI139)</f>
        <v/>
      </c>
    </row>
    <row r="622">
      <c r="B622" s="2" t="inlineStr">
        <is>
          <t>Cash tax with the debt</t>
        </is>
      </c>
      <c r="D622" s="19">
        <f>i_tax*MAX(0,Diligence!D139-Diligence!D142-D621)</f>
        <v/>
      </c>
      <c r="E622" s="19">
        <f>i_tax*MAX(0,Diligence!E139-Diligence!E142-E621)</f>
        <v/>
      </c>
      <c r="F622" s="19">
        <f>i_tax*MAX(0,Diligence!F139-Diligence!F142-F621)</f>
        <v/>
      </c>
      <c r="G622" s="19">
        <f>i_tax*MAX(0,Diligence!G139-Diligence!G142-G621)</f>
        <v/>
      </c>
      <c r="H622" s="19">
        <f>i_tax*MAX(0,Diligence!H139-Diligence!H142-H621)</f>
        <v/>
      </c>
      <c r="I622" s="19">
        <f>i_tax*MAX(0,Diligence!I139-Diligence!I142-I621)</f>
        <v/>
      </c>
      <c r="J622" s="19">
        <f>i_tax*MAX(0,Diligence!J139-Diligence!J142-J621)</f>
        <v/>
      </c>
      <c r="K622" s="19">
        <f>i_tax*MAX(0,Diligence!K139-Diligence!K142-K621)</f>
        <v/>
      </c>
      <c r="L622" s="19">
        <f>i_tax*MAX(0,Diligence!L139-Diligence!L142-L621)</f>
        <v/>
      </c>
      <c r="M622" s="19">
        <f>i_tax*MAX(0,Diligence!M139-Diligence!M142-M621)</f>
        <v/>
      </c>
      <c r="N622" s="19">
        <f>i_tax*MAX(0,Diligence!N139-Diligence!N142-N621)</f>
        <v/>
      </c>
      <c r="O622" s="19">
        <f>i_tax*MAX(0,Diligence!O139-Diligence!O142-O621)</f>
        <v/>
      </c>
      <c r="P622" s="19">
        <f>i_tax*MAX(0,Diligence!P139-Diligence!P142-P621)</f>
        <v/>
      </c>
      <c r="Q622" s="19">
        <f>i_tax*MAX(0,Diligence!Q139-Diligence!Q142-Q621)</f>
        <v/>
      </c>
      <c r="R622" s="19">
        <f>i_tax*MAX(0,Diligence!R139-Diligence!R142-R621)</f>
        <v/>
      </c>
      <c r="S622" s="19">
        <f>i_tax*MAX(0,Diligence!S139-Diligence!S142-S621)</f>
        <v/>
      </c>
      <c r="T622" s="19">
        <f>i_tax*MAX(0,Diligence!T139-Diligence!T142-T621)</f>
        <v/>
      </c>
      <c r="U622" s="19">
        <f>i_tax*MAX(0,Diligence!U139-Diligence!U142-U621)</f>
        <v/>
      </c>
      <c r="V622" s="19">
        <f>i_tax*MAX(0,Diligence!V139-Diligence!V142-V621)</f>
        <v/>
      </c>
      <c r="W622" s="19">
        <f>i_tax*MAX(0,Diligence!W139-Diligence!W142-W621)</f>
        <v/>
      </c>
      <c r="X622" s="19">
        <f>i_tax*MAX(0,Diligence!X139-Diligence!X142-X621)</f>
        <v/>
      </c>
      <c r="Y622" s="19">
        <f>i_tax*MAX(0,Diligence!Y139-Diligence!Y142-Y621)</f>
        <v/>
      </c>
      <c r="Z622" s="19">
        <f>i_tax*MAX(0,Diligence!Z139-Diligence!Z142-Z621)</f>
        <v/>
      </c>
      <c r="AA622" s="19">
        <f>i_tax*MAX(0,Diligence!AA139-Diligence!AA142-AA621)</f>
        <v/>
      </c>
      <c r="AB622" s="19">
        <f>i_tax*MAX(0,Diligence!AB139-Diligence!AB142-AB621)</f>
        <v/>
      </c>
      <c r="AC622" s="19">
        <f>i_tax*MAX(0,Diligence!AC139-Diligence!AC142-AC621)</f>
        <v/>
      </c>
      <c r="AD622" s="19">
        <f>i_tax*MAX(0,Diligence!AD139-Diligence!AD142-AD621)</f>
        <v/>
      </c>
      <c r="AE622" s="19">
        <f>i_tax*MAX(0,Diligence!AE139-Diligence!AE142-AE621)</f>
        <v/>
      </c>
      <c r="AF622" s="19">
        <f>i_tax*MAX(0,Diligence!AF139-Diligence!AF142-AF621)</f>
        <v/>
      </c>
      <c r="AG622" s="19">
        <f>i_tax*MAX(0,Diligence!AG139-Diligence!AG142-AG621)</f>
        <v/>
      </c>
      <c r="AH622" s="19">
        <f>i_tax*MAX(0,Diligence!AH139-Diligence!AH142-AH621)</f>
        <v/>
      </c>
      <c r="AI622" s="19">
        <f>i_tax*MAX(0,Diligence!AI139-Diligence!AI142-AI621)</f>
        <v/>
      </c>
    </row>
    <row r="623">
      <c r="B623" s="3" t="inlineStr">
        <is>
          <t>Cash flow to equity (full year)</t>
        </is>
      </c>
      <c r="D623" s="31">
        <f>Diligence!D139-Diligence!D140-Diligence!D141-D622-D620-Diligence!D144</f>
        <v/>
      </c>
      <c r="E623" s="31">
        <f>Diligence!E139-Diligence!E140-Diligence!E141-E622-E620-Diligence!E144</f>
        <v/>
      </c>
      <c r="F623" s="31">
        <f>Diligence!F139-Diligence!F140-Diligence!F141-F622-F620-Diligence!F144</f>
        <v/>
      </c>
      <c r="G623" s="31">
        <f>Diligence!G139-Diligence!G140-Diligence!G141-G622-G620-Diligence!G144</f>
        <v/>
      </c>
      <c r="H623" s="31">
        <f>Diligence!H139-Diligence!H140-Diligence!H141-H622-H620-Diligence!H144</f>
        <v/>
      </c>
      <c r="I623" s="31">
        <f>Diligence!I139-Diligence!I140-Diligence!I141-I622-I620-Diligence!I144</f>
        <v/>
      </c>
      <c r="J623" s="31">
        <f>Diligence!J139-Diligence!J140-Diligence!J141-J622-J620-Diligence!J144</f>
        <v/>
      </c>
      <c r="K623" s="31">
        <f>Diligence!K139-Diligence!K140-Diligence!K141-K622-K620-Diligence!K144</f>
        <v/>
      </c>
      <c r="L623" s="31">
        <f>Diligence!L139-Diligence!L140-Diligence!L141-L622-L620-Diligence!L144</f>
        <v/>
      </c>
      <c r="M623" s="31">
        <f>Diligence!M139-Diligence!M140-Diligence!M141-M622-M620-Diligence!M144</f>
        <v/>
      </c>
      <c r="N623" s="31">
        <f>Diligence!N139-Diligence!N140-Diligence!N141-N622-N620-Diligence!N144</f>
        <v/>
      </c>
      <c r="O623" s="31">
        <f>Diligence!O139-Diligence!O140-Diligence!O141-O622-O620-Diligence!O144</f>
        <v/>
      </c>
      <c r="P623" s="31">
        <f>Diligence!P139-Diligence!P140-Diligence!P141-P622-P620-Diligence!P144</f>
        <v/>
      </c>
      <c r="Q623" s="31">
        <f>Diligence!Q139-Diligence!Q140-Diligence!Q141-Q622-Q620-Diligence!Q144</f>
        <v/>
      </c>
      <c r="R623" s="31">
        <f>Diligence!R139-Diligence!R140-Diligence!R141-R622-R620-Diligence!R144</f>
        <v/>
      </c>
      <c r="S623" s="31">
        <f>Diligence!S139-Diligence!S140-Diligence!S141-S622-S620-Diligence!S144</f>
        <v/>
      </c>
      <c r="T623" s="31">
        <f>Diligence!T139-Diligence!T140-Diligence!T141-T622-T620-Diligence!T144</f>
        <v/>
      </c>
      <c r="U623" s="31">
        <f>Diligence!U139-Diligence!U140-Diligence!U141-U622-U620-Diligence!U144</f>
        <v/>
      </c>
      <c r="V623" s="31">
        <f>Diligence!V139-Diligence!V140-Diligence!V141-V622-V620-Diligence!V144</f>
        <v/>
      </c>
      <c r="W623" s="31">
        <f>Diligence!W139-Diligence!W140-Diligence!W141-W622-W620-Diligence!W144</f>
        <v/>
      </c>
      <c r="X623" s="31">
        <f>Diligence!X139-Diligence!X140-Diligence!X141-X622-X620-Diligence!X144</f>
        <v/>
      </c>
      <c r="Y623" s="31">
        <f>Diligence!Y139-Diligence!Y140-Diligence!Y141-Y622-Y620-Diligence!Y144</f>
        <v/>
      </c>
      <c r="Z623" s="31">
        <f>Diligence!Z139-Diligence!Z140-Diligence!Z141-Z622-Z620-Diligence!Z144</f>
        <v/>
      </c>
      <c r="AA623" s="31">
        <f>Diligence!AA139-Diligence!AA140-Diligence!AA141-AA622-AA620-Diligence!AA144</f>
        <v/>
      </c>
      <c r="AB623" s="31">
        <f>Diligence!AB139-Diligence!AB140-Diligence!AB141-AB622-AB620-Diligence!AB144</f>
        <v/>
      </c>
      <c r="AC623" s="31">
        <f>Diligence!AC139-Diligence!AC140-Diligence!AC141-AC622-AC620-Diligence!AC144</f>
        <v/>
      </c>
      <c r="AD623" s="31">
        <f>Diligence!AD139-Diligence!AD140-Diligence!AD141-AD622-AD620-Diligence!AD144</f>
        <v/>
      </c>
      <c r="AE623" s="31">
        <f>Diligence!AE139-Diligence!AE140-Diligence!AE141-AE622-AE620-Diligence!AE144</f>
        <v/>
      </c>
      <c r="AF623" s="31">
        <f>Diligence!AF139-Diligence!AF140-Diligence!AF141-AF622-AF620-Diligence!AF144</f>
        <v/>
      </c>
      <c r="AG623" s="31">
        <f>Diligence!AG139-Diligence!AG140-Diligence!AG141-AG622-AG620-Diligence!AG144</f>
        <v/>
      </c>
      <c r="AH623" s="31">
        <f>Diligence!AH139-Diligence!AH140-Diligence!AH141-AH622-AH620-Diligence!AH144</f>
        <v/>
      </c>
      <c r="AI623" s="31">
        <f>Diligence!AI139-Diligence!AI140-Diligence!AI141-AI622-AI620-Diligence!AI144</f>
        <v/>
      </c>
    </row>
    <row r="624">
      <c r="B624" s="2" t="inlineStr">
        <is>
          <t>Exit EV at the end of the exit year (DCF at the exit rate)</t>
        </is>
      </c>
      <c r="C624" s="19">
        <f>SUMPRODUCT((Sensitivities!$D$3:$AI$3&gt;i_exit_year)*(Sensitivities!$D$3:$AI$3&lt;=i_last)*Diligence!$D$145:$AI$145/(1+Sensitivities!$C$571)^(Sensitivities!$D$3:$AI$3-i_exit_year))+Diligence!$AI$145/(Sensitivities!$C$571-i_g)/(1+Sensitivities!$C$571)^(i_last-i_exit_year)</f>
        <v/>
      </c>
    </row>
    <row r="625">
      <c r="B625" s="2" t="inlineStr">
        <is>
          <t>Debt at exit (bullets)</t>
        </is>
      </c>
      <c r="C625" s="19">
        <f>Sensitivities!$C$594+Sensitivities!$C$595</f>
        <v/>
      </c>
    </row>
    <row r="626">
      <c r="B626" s="3" t="inlineStr">
        <is>
          <t>Equity value at exit</t>
        </is>
      </c>
      <c r="C626" s="31">
        <f>Sensitivities!$C$624-Sensitivities!$C$625</f>
        <v/>
      </c>
    </row>
    <row r="627">
      <c r="B627" s="2" t="inlineStr">
        <is>
          <t>Minority option: EV at the end of 2031 (minority buyer's rate)</t>
        </is>
      </c>
      <c r="C627" s="19">
        <f>SUMPRODUCT((Sensitivities!$D$3:$AI$3&gt;i_min_year)*(Sensitivities!$D$3:$AI$3&lt;=i_last)*Diligence!$D$145:$AI$145/(1+i_min_r)^(Sensitivities!$D$3:$AI$3-i_min_year))+Diligence!$AI$145/(i_min_r-i_g)/(1+i_min_r)^(i_last-i_min_year)</f>
        <v/>
      </c>
    </row>
    <row r="628">
      <c r="B628" s="2" t="inlineStr">
        <is>
          <t>Minority option: equity value in 2031</t>
        </is>
      </c>
      <c r="C628" s="19">
        <f>Sensitivities!$C$627-Sensitivities!$C$625</f>
        <v/>
      </c>
    </row>
    <row r="629">
      <c r="B629" s="2" t="inlineStr">
        <is>
          <t>Minority option: proceeds of the 49 percent sold</t>
        </is>
      </c>
      <c r="C629" s="19">
        <f>Sensitivities!$C$570*i_min_share*Sensitivities!$C$628*(1-i_min_disc)</f>
        <v/>
      </c>
    </row>
    <row r="630">
      <c r="B630" s="4" t="inlineStr">
        <is>
          <t>Time of each flow (years after 31 December 2026)</t>
        </is>
      </c>
      <c r="D630" s="28">
        <f>D$4</f>
        <v/>
      </c>
      <c r="E630" s="28">
        <f>E$4</f>
        <v/>
      </c>
      <c r="F630" s="28">
        <f>F$4</f>
        <v/>
      </c>
      <c r="G630" s="28">
        <f>G$4</f>
        <v/>
      </c>
      <c r="H630" s="28">
        <f>H$4</f>
        <v/>
      </c>
      <c r="I630" s="28">
        <f>I$4</f>
        <v/>
      </c>
      <c r="J630" s="28">
        <f>J$4</f>
        <v/>
      </c>
      <c r="K630" s="28">
        <f>K$4</f>
        <v/>
      </c>
      <c r="L630" s="28">
        <f>L$4</f>
        <v/>
      </c>
      <c r="M630" s="28">
        <f>M$4</f>
        <v/>
      </c>
      <c r="N630" s="28">
        <f>N$4</f>
        <v/>
      </c>
      <c r="O630" s="28">
        <f>O$4</f>
        <v/>
      </c>
      <c r="P630" s="28">
        <f>P$4</f>
        <v/>
      </c>
      <c r="Q630" s="28">
        <f>Q$4</f>
        <v/>
      </c>
      <c r="R630" s="28">
        <f>R$4</f>
        <v/>
      </c>
      <c r="S630" s="28">
        <f>S$4</f>
        <v/>
      </c>
      <c r="T630" s="28">
        <f>T$4</f>
        <v/>
      </c>
      <c r="U630" s="28">
        <f>U$4</f>
        <v/>
      </c>
      <c r="V630" s="28">
        <f>V$4</f>
        <v/>
      </c>
      <c r="W630" s="28">
        <f>W$4</f>
        <v/>
      </c>
      <c r="X630" s="28">
        <f>X$4</f>
        <v/>
      </c>
      <c r="Y630" s="28">
        <f>Y$4</f>
        <v/>
      </c>
      <c r="Z630" s="28">
        <f>Z$4</f>
        <v/>
      </c>
      <c r="AA630" s="28">
        <f>AA$4</f>
        <v/>
      </c>
      <c r="AB630" s="28">
        <f>AB$4</f>
        <v/>
      </c>
      <c r="AC630" s="28">
        <f>AC$4</f>
        <v/>
      </c>
      <c r="AD630" s="28">
        <f>AD$4</f>
        <v/>
      </c>
      <c r="AE630" s="28">
        <f>AE$4</f>
        <v/>
      </c>
      <c r="AF630" s="28">
        <f>AF$4</f>
        <v/>
      </c>
      <c r="AG630" s="28">
        <f>AG$4</f>
        <v/>
      </c>
      <c r="AH630" s="28">
        <f>AH$4</f>
        <v/>
      </c>
      <c r="AI630" s="28">
        <f>AI$4</f>
        <v/>
      </c>
      <c r="AJ630" s="28">
        <f>Sensitivities!$C$568</f>
        <v/>
      </c>
      <c r="AK630" s="28">
        <f>i_min_year-i_base_year</f>
        <v/>
      </c>
      <c r="AL630" s="28">
        <f>i_exit_year-i_base_year</f>
        <v/>
      </c>
    </row>
    <row r="631">
      <c r="B631" s="3" t="inlineStr">
        <is>
          <t>Levered flows (equity)</t>
        </is>
      </c>
      <c r="D631" s="31">
        <f>D618*D623*IF(AND(Sensitivities!$C$570=1,D630&gt;$AK$630+1E-9),1-i_min_share,1)</f>
        <v/>
      </c>
      <c r="E631" s="31">
        <f>E618*E623*IF(AND(Sensitivities!$C$570=1,E630&gt;$AK$630+1E-9),1-i_min_share,1)</f>
        <v/>
      </c>
      <c r="F631" s="31">
        <f>F618*F623*IF(AND(Sensitivities!$C$570=1,F630&gt;$AK$630+1E-9),1-i_min_share,1)</f>
        <v/>
      </c>
      <c r="G631" s="31">
        <f>G618*G623*IF(AND(Sensitivities!$C$570=1,G630&gt;$AK$630+1E-9),1-i_min_share,1)</f>
        <v/>
      </c>
      <c r="H631" s="31">
        <f>H618*H623*IF(AND(Sensitivities!$C$570=1,H630&gt;$AK$630+1E-9),1-i_min_share,1)</f>
        <v/>
      </c>
      <c r="I631" s="31">
        <f>I618*I623*IF(AND(Sensitivities!$C$570=1,I630&gt;$AK$630+1E-9),1-i_min_share,1)</f>
        <v/>
      </c>
      <c r="J631" s="31">
        <f>J618*J623*IF(AND(Sensitivities!$C$570=1,J630&gt;$AK$630+1E-9),1-i_min_share,1)</f>
        <v/>
      </c>
      <c r="K631" s="31">
        <f>K618*K623*IF(AND(Sensitivities!$C$570=1,K630&gt;$AK$630+1E-9),1-i_min_share,1)</f>
        <v/>
      </c>
      <c r="L631" s="31">
        <f>L618*L623*IF(AND(Sensitivities!$C$570=1,L630&gt;$AK$630+1E-9),1-i_min_share,1)</f>
        <v/>
      </c>
      <c r="M631" s="31">
        <f>M618*M623*IF(AND(Sensitivities!$C$570=1,M630&gt;$AK$630+1E-9),1-i_min_share,1)</f>
        <v/>
      </c>
      <c r="N631" s="31">
        <f>N618*N623*IF(AND(Sensitivities!$C$570=1,N630&gt;$AK$630+1E-9),1-i_min_share,1)</f>
        <v/>
      </c>
      <c r="O631" s="31">
        <f>O618*O623*IF(AND(Sensitivities!$C$570=1,O630&gt;$AK$630+1E-9),1-i_min_share,1)</f>
        <v/>
      </c>
      <c r="P631" s="31">
        <f>P618*P623*IF(AND(Sensitivities!$C$570=1,P630&gt;$AK$630+1E-9),1-i_min_share,1)</f>
        <v/>
      </c>
      <c r="Q631" s="31">
        <f>Q618*Q623*IF(AND(Sensitivities!$C$570=1,Q630&gt;$AK$630+1E-9),1-i_min_share,1)</f>
        <v/>
      </c>
      <c r="R631" s="31">
        <f>R618*R623*IF(AND(Sensitivities!$C$570=1,R630&gt;$AK$630+1E-9),1-i_min_share,1)</f>
        <v/>
      </c>
      <c r="S631" s="31">
        <f>S618*S623*IF(AND(Sensitivities!$C$570=1,S630&gt;$AK$630+1E-9),1-i_min_share,1)</f>
        <v/>
      </c>
      <c r="T631" s="31">
        <f>T618*T623*IF(AND(Sensitivities!$C$570=1,T630&gt;$AK$630+1E-9),1-i_min_share,1)</f>
        <v/>
      </c>
      <c r="U631" s="31">
        <f>U618*U623*IF(AND(Sensitivities!$C$570=1,U630&gt;$AK$630+1E-9),1-i_min_share,1)</f>
        <v/>
      </c>
      <c r="V631" s="31">
        <f>V618*V623*IF(AND(Sensitivities!$C$570=1,V630&gt;$AK$630+1E-9),1-i_min_share,1)</f>
        <v/>
      </c>
      <c r="W631" s="31">
        <f>W618*W623*IF(AND(Sensitivities!$C$570=1,W630&gt;$AK$630+1E-9),1-i_min_share,1)</f>
        <v/>
      </c>
      <c r="X631" s="31">
        <f>X618*X623*IF(AND(Sensitivities!$C$570=1,X630&gt;$AK$630+1E-9),1-i_min_share,1)</f>
        <v/>
      </c>
      <c r="Y631" s="31">
        <f>Y618*Y623*IF(AND(Sensitivities!$C$570=1,Y630&gt;$AK$630+1E-9),1-i_min_share,1)</f>
        <v/>
      </c>
      <c r="Z631" s="31">
        <f>Z618*Z623*IF(AND(Sensitivities!$C$570=1,Z630&gt;$AK$630+1E-9),1-i_min_share,1)</f>
        <v/>
      </c>
      <c r="AA631" s="31">
        <f>AA618*AA623*IF(AND(Sensitivities!$C$570=1,AA630&gt;$AK$630+1E-9),1-i_min_share,1)</f>
        <v/>
      </c>
      <c r="AB631" s="31">
        <f>AB618*AB623*IF(AND(Sensitivities!$C$570=1,AB630&gt;$AK$630+1E-9),1-i_min_share,1)</f>
        <v/>
      </c>
      <c r="AC631" s="31">
        <f>AC618*AC623*IF(AND(Sensitivities!$C$570=1,AC630&gt;$AK$630+1E-9),1-i_min_share,1)</f>
        <v/>
      </c>
      <c r="AD631" s="31">
        <f>AD618*AD623*IF(AND(Sensitivities!$C$570=1,AD630&gt;$AK$630+1E-9),1-i_min_share,1)</f>
        <v/>
      </c>
      <c r="AE631" s="31">
        <f>AE618*AE623*IF(AND(Sensitivities!$C$570=1,AE630&gt;$AK$630+1E-9),1-i_min_share,1)</f>
        <v/>
      </c>
      <c r="AF631" s="31">
        <f>AF618*AF623*IF(AND(Sensitivities!$C$570=1,AF630&gt;$AK$630+1E-9),1-i_min_share,1)</f>
        <v/>
      </c>
      <c r="AG631" s="31">
        <f>AG618*AG623*IF(AND(Sensitivities!$C$570=1,AG630&gt;$AK$630+1E-9),1-i_min_share,1)</f>
        <v/>
      </c>
      <c r="AH631" s="31">
        <f>AH618*AH623*IF(AND(Sensitivities!$C$570=1,AH630&gt;$AK$630+1E-9),1-i_min_share,1)</f>
        <v/>
      </c>
      <c r="AI631" s="31">
        <f>AI618*AI623*IF(AND(Sensitivities!$C$570=1,AI630&gt;$AK$630+1E-9),1-i_min_share,1)</f>
        <v/>
      </c>
      <c r="AJ631" s="31">
        <f>-Sensitivities!$C$614</f>
        <v/>
      </c>
      <c r="AK631" s="31">
        <f>Sensitivities!$C$629</f>
        <v/>
      </c>
      <c r="AL631" s="31">
        <f>Sensitivities!$C$626*IF(Sensitivities!$C$570=1,1-i_min_share,1)</f>
        <v/>
      </c>
    </row>
    <row r="632">
      <c r="B632" s="3" t="inlineStr">
        <is>
          <t>Unlevered flows (before financing)</t>
        </is>
      </c>
      <c r="D632" s="31">
        <f>D618*Diligence!D145</f>
        <v/>
      </c>
      <c r="E632" s="31">
        <f>E618*Diligence!E145</f>
        <v/>
      </c>
      <c r="F632" s="31">
        <f>F618*Diligence!F145</f>
        <v/>
      </c>
      <c r="G632" s="31">
        <f>G618*Diligence!G145</f>
        <v/>
      </c>
      <c r="H632" s="31">
        <f>H618*Diligence!H145</f>
        <v/>
      </c>
      <c r="I632" s="31">
        <f>I618*Diligence!I145</f>
        <v/>
      </c>
      <c r="J632" s="31">
        <f>J618*Diligence!J145</f>
        <v/>
      </c>
      <c r="K632" s="31">
        <f>K618*Diligence!K145</f>
        <v/>
      </c>
      <c r="L632" s="31">
        <f>L618*Diligence!L145</f>
        <v/>
      </c>
      <c r="M632" s="31">
        <f>M618*Diligence!M145</f>
        <v/>
      </c>
      <c r="N632" s="31">
        <f>N618*Diligence!N145</f>
        <v/>
      </c>
      <c r="O632" s="31">
        <f>O618*Diligence!O145</f>
        <v/>
      </c>
      <c r="P632" s="31">
        <f>P618*Diligence!P145</f>
        <v/>
      </c>
      <c r="Q632" s="31">
        <f>Q618*Diligence!Q145</f>
        <v/>
      </c>
      <c r="R632" s="31">
        <f>R618*Diligence!R145</f>
        <v/>
      </c>
      <c r="S632" s="31">
        <f>S618*Diligence!S145</f>
        <v/>
      </c>
      <c r="T632" s="31">
        <f>T618*Diligence!T145</f>
        <v/>
      </c>
      <c r="U632" s="31">
        <f>U618*Diligence!U145</f>
        <v/>
      </c>
      <c r="V632" s="31">
        <f>V618*Diligence!V145</f>
        <v/>
      </c>
      <c r="W632" s="31">
        <f>W618*Diligence!W145</f>
        <v/>
      </c>
      <c r="X632" s="31">
        <f>X618*Diligence!X145</f>
        <v/>
      </c>
      <c r="Y632" s="31">
        <f>Y618*Diligence!Y145</f>
        <v/>
      </c>
      <c r="Z632" s="31">
        <f>Z618*Diligence!Z145</f>
        <v/>
      </c>
      <c r="AA632" s="31">
        <f>AA618*Diligence!AA145</f>
        <v/>
      </c>
      <c r="AB632" s="31">
        <f>AB618*Diligence!AB145</f>
        <v/>
      </c>
      <c r="AC632" s="31">
        <f>AC618*Diligence!AC145</f>
        <v/>
      </c>
      <c r="AD632" s="31">
        <f>AD618*Diligence!AD145</f>
        <v/>
      </c>
      <c r="AE632" s="31">
        <f>AE618*Diligence!AE145</f>
        <v/>
      </c>
      <c r="AF632" s="31">
        <f>AF618*Diligence!AF145</f>
        <v/>
      </c>
      <c r="AG632" s="31">
        <f>AG618*Diligence!AG145</f>
        <v/>
      </c>
      <c r="AH632" s="31">
        <f>AH618*Diligence!AH145</f>
        <v/>
      </c>
      <c r="AI632" s="31">
        <f>AI618*Diligence!AI145</f>
        <v/>
      </c>
      <c r="AJ632" s="31">
        <f>-(Sensitivities!$C$609-Sensitivities!$C$587-Sensitivities!$C$599)</f>
        <v/>
      </c>
      <c r="AK632" s="19" t="n">
        <v>0</v>
      </c>
      <c r="AL632" s="31">
        <f>Sensitivities!$C$624</f>
        <v/>
      </c>
    </row>
    <row r="633">
      <c r="B633" s="4" t="inlineStr">
        <is>
          <t>Levered IRR (Newton steps from 10 percent)</t>
        </is>
      </c>
      <c r="D633" s="38" t="n">
        <v>0.1</v>
      </c>
      <c r="E633" s="40">
        <f>D633-SUMPRODUCT($D$631:$AL$631,(1+D633)^(-$D$630:$AL$630))/SUMPRODUCT($D$631:$AL$631*(-$D$630:$AL$630),(1+D633)^(-$D$630:$AL$630-1))</f>
        <v/>
      </c>
      <c r="F633" s="40">
        <f>E633-SUMPRODUCT($D$631:$AL$631,(1+E633)^(-$D$630:$AL$630))/SUMPRODUCT($D$631:$AL$631*(-$D$630:$AL$630),(1+E633)^(-$D$630:$AL$630-1))</f>
        <v/>
      </c>
      <c r="G633" s="40">
        <f>F633-SUMPRODUCT($D$631:$AL$631,(1+F633)^(-$D$630:$AL$630))/SUMPRODUCT($D$631:$AL$631*(-$D$630:$AL$630),(1+F633)^(-$D$630:$AL$630-1))</f>
        <v/>
      </c>
      <c r="H633" s="40">
        <f>G633-SUMPRODUCT($D$631:$AL$631,(1+G633)^(-$D$630:$AL$630))/SUMPRODUCT($D$631:$AL$631*(-$D$630:$AL$630),(1+G633)^(-$D$630:$AL$630-1))</f>
        <v/>
      </c>
      <c r="I633" s="40">
        <f>H633-SUMPRODUCT($D$631:$AL$631,(1+H633)^(-$D$630:$AL$630))/SUMPRODUCT($D$631:$AL$631*(-$D$630:$AL$630),(1+H633)^(-$D$630:$AL$630-1))</f>
        <v/>
      </c>
      <c r="J633" s="40">
        <f>I633-SUMPRODUCT($D$631:$AL$631,(1+I633)^(-$D$630:$AL$630))/SUMPRODUCT($D$631:$AL$631*(-$D$630:$AL$630),(1+I633)^(-$D$630:$AL$630-1))</f>
        <v/>
      </c>
      <c r="K633" s="40">
        <f>J633-SUMPRODUCT($D$631:$AL$631,(1+J633)^(-$D$630:$AL$630))/SUMPRODUCT($D$631:$AL$631*(-$D$630:$AL$630),(1+J633)^(-$D$630:$AL$630-1))</f>
        <v/>
      </c>
      <c r="L633" s="40">
        <f>K633-SUMPRODUCT($D$631:$AL$631,(1+K633)^(-$D$630:$AL$630))/SUMPRODUCT($D$631:$AL$631*(-$D$630:$AL$630),(1+K633)^(-$D$630:$AL$630-1))</f>
        <v/>
      </c>
      <c r="M633" s="40">
        <f>L633-SUMPRODUCT($D$631:$AL$631,(1+L633)^(-$D$630:$AL$630))/SUMPRODUCT($D$631:$AL$631*(-$D$630:$AL$630),(1+L633)^(-$D$630:$AL$630-1))</f>
        <v/>
      </c>
      <c r="N633" s="40">
        <f>M633-SUMPRODUCT($D$631:$AL$631,(1+M633)^(-$D$630:$AL$630))/SUMPRODUCT($D$631:$AL$631*(-$D$630:$AL$630),(1+M633)^(-$D$630:$AL$630-1))</f>
        <v/>
      </c>
      <c r="O633" s="40">
        <f>N633-SUMPRODUCT($D$631:$AL$631,(1+N633)^(-$D$630:$AL$630))/SUMPRODUCT($D$631:$AL$631*(-$D$630:$AL$630),(1+N633)^(-$D$630:$AL$630-1))</f>
        <v/>
      </c>
      <c r="P633" s="40">
        <f>O633-SUMPRODUCT($D$631:$AL$631,(1+O633)^(-$D$630:$AL$630))/SUMPRODUCT($D$631:$AL$631*(-$D$630:$AL$630),(1+O633)^(-$D$630:$AL$630-1))</f>
        <v/>
      </c>
      <c r="Q633" s="40">
        <f>P633-SUMPRODUCT($D$631:$AL$631,(1+P633)^(-$D$630:$AL$630))/SUMPRODUCT($D$631:$AL$631*(-$D$630:$AL$630),(1+P633)^(-$D$630:$AL$630-1))</f>
        <v/>
      </c>
      <c r="R633" s="40">
        <f>Q633-SUMPRODUCT($D$631:$AL$631,(1+Q633)^(-$D$630:$AL$630))/SUMPRODUCT($D$631:$AL$631*(-$D$630:$AL$630),(1+Q633)^(-$D$630:$AL$630-1))</f>
        <v/>
      </c>
    </row>
    <row r="634">
      <c r="B634" s="4" t="inlineStr">
        <is>
          <t>Unlevered IRR (Newton steps from 10 percent)</t>
        </is>
      </c>
      <c r="D634" s="38" t="n">
        <v>0.1</v>
      </c>
      <c r="E634" s="40">
        <f>D634-SUMPRODUCT($D$632:$AL$632,(1+D634)^(-$D$630:$AL$630))/SUMPRODUCT($D$632:$AL$632*(-$D$630:$AL$630),(1+D634)^(-$D$630:$AL$630-1))</f>
        <v/>
      </c>
      <c r="F634" s="40">
        <f>E634-SUMPRODUCT($D$632:$AL$632,(1+E634)^(-$D$630:$AL$630))/SUMPRODUCT($D$632:$AL$632*(-$D$630:$AL$630),(1+E634)^(-$D$630:$AL$630-1))</f>
        <v/>
      </c>
      <c r="G634" s="40">
        <f>F634-SUMPRODUCT($D$632:$AL$632,(1+F634)^(-$D$630:$AL$630))/SUMPRODUCT($D$632:$AL$632*(-$D$630:$AL$630),(1+F634)^(-$D$630:$AL$630-1))</f>
        <v/>
      </c>
      <c r="H634" s="40">
        <f>G634-SUMPRODUCT($D$632:$AL$632,(1+G634)^(-$D$630:$AL$630))/SUMPRODUCT($D$632:$AL$632*(-$D$630:$AL$630),(1+G634)^(-$D$630:$AL$630-1))</f>
        <v/>
      </c>
      <c r="I634" s="40">
        <f>H634-SUMPRODUCT($D$632:$AL$632,(1+H634)^(-$D$630:$AL$630))/SUMPRODUCT($D$632:$AL$632*(-$D$630:$AL$630),(1+H634)^(-$D$630:$AL$630-1))</f>
        <v/>
      </c>
      <c r="J634" s="40">
        <f>I634-SUMPRODUCT($D$632:$AL$632,(1+I634)^(-$D$630:$AL$630))/SUMPRODUCT($D$632:$AL$632*(-$D$630:$AL$630),(1+I634)^(-$D$630:$AL$630-1))</f>
        <v/>
      </c>
      <c r="K634" s="40">
        <f>J634-SUMPRODUCT($D$632:$AL$632,(1+J634)^(-$D$630:$AL$630))/SUMPRODUCT($D$632:$AL$632*(-$D$630:$AL$630),(1+J634)^(-$D$630:$AL$630-1))</f>
        <v/>
      </c>
      <c r="L634" s="40">
        <f>K634-SUMPRODUCT($D$632:$AL$632,(1+K634)^(-$D$630:$AL$630))/SUMPRODUCT($D$632:$AL$632*(-$D$630:$AL$630),(1+K634)^(-$D$630:$AL$630-1))</f>
        <v/>
      </c>
      <c r="M634" s="40">
        <f>L634-SUMPRODUCT($D$632:$AL$632,(1+L634)^(-$D$630:$AL$630))/SUMPRODUCT($D$632:$AL$632*(-$D$630:$AL$630),(1+L634)^(-$D$630:$AL$630-1))</f>
        <v/>
      </c>
      <c r="N634" s="40">
        <f>M634-SUMPRODUCT($D$632:$AL$632,(1+M634)^(-$D$630:$AL$630))/SUMPRODUCT($D$632:$AL$632*(-$D$630:$AL$630),(1+M634)^(-$D$630:$AL$630-1))</f>
        <v/>
      </c>
      <c r="O634" s="40">
        <f>N634-SUMPRODUCT($D$632:$AL$632,(1+N634)^(-$D$630:$AL$630))/SUMPRODUCT($D$632:$AL$632*(-$D$630:$AL$630),(1+N634)^(-$D$630:$AL$630-1))</f>
        <v/>
      </c>
      <c r="P634" s="40">
        <f>O634-SUMPRODUCT($D$632:$AL$632,(1+O634)^(-$D$630:$AL$630))/SUMPRODUCT($D$632:$AL$632*(-$D$630:$AL$630),(1+O634)^(-$D$630:$AL$630-1))</f>
        <v/>
      </c>
      <c r="Q634" s="40">
        <f>P634-SUMPRODUCT($D$632:$AL$632,(1+P634)^(-$D$630:$AL$630))/SUMPRODUCT($D$632:$AL$632*(-$D$630:$AL$630),(1+P634)^(-$D$630:$AL$630-1))</f>
        <v/>
      </c>
      <c r="R634" s="40">
        <f>Q634-SUMPRODUCT($D$632:$AL$632,(1+Q634)^(-$D$630:$AL$630))/SUMPRODUCT($D$632:$AL$632*(-$D$630:$AL$630),(1+Q634)^(-$D$630:$AL$630-1))</f>
        <v/>
      </c>
    </row>
    <row r="635">
      <c r="B635" s="3" t="inlineStr">
        <is>
          <t>Levered IRR (equity)</t>
        </is>
      </c>
      <c r="C635" s="33">
        <f>R633</f>
        <v/>
      </c>
    </row>
    <row r="636">
      <c r="B636" s="3" t="inlineStr">
        <is>
          <t>Unlevered IRR</t>
        </is>
      </c>
      <c r="C636" s="33">
        <f>R634</f>
        <v/>
      </c>
    </row>
    <row r="637">
      <c r="B637" s="2" t="inlineStr">
        <is>
          <t>Check: levered NPV at the levered IRR</t>
        </is>
      </c>
      <c r="C637" s="41">
        <f>SUMPRODUCT($D$631:$AL$631,(1+Sensitivities!$C$635)^(-$D$630:$AL$630))</f>
        <v/>
      </c>
    </row>
    <row r="638">
      <c r="B638" s="2" t="inlineStr">
        <is>
          <t>Check: unlevered NPV at the unlevered IRR</t>
        </is>
      </c>
      <c r="C638" s="41">
        <f>SUMPRODUCT($D$632:$AL$632,(1+Sensitivities!$C$636)^(-$D$630:$AL$630))</f>
        <v/>
      </c>
    </row>
    <row r="639">
      <c r="B639" s="2" t="inlineStr">
        <is>
          <t>Money multiple (cash in over cash out)</t>
        </is>
      </c>
      <c r="C639" s="37">
        <f>SUMIF($D$631:$AL$631,"&gt;0")/-SUMIF($D$631:$AL$631,"&lt;0")</f>
        <v/>
      </c>
    </row>
    <row r="640">
      <c r="B640" s="2" t="inlineStr">
        <is>
          <t>Present value at the target IRR of the flows after closing</t>
        </is>
      </c>
      <c r="C640" s="19">
        <f>SUMPRODUCT($D$631:$AL$631,(1+i_hurdle)^(-$D$630:$AL$630))+Sensitivities!$C$614*(1+i_hurdle)^(-Sensitivities!$C$568)</f>
        <v/>
      </c>
    </row>
    <row r="641">
      <c r="B641" s="2" t="inlineStr">
        <is>
          <t>Equity cheque that gives exactly the target IRR</t>
        </is>
      </c>
      <c r="C641" s="19">
        <f>Sensitivities!$C$640*(1+i_hurdle)^Sensitivities!$C$568</f>
        <v/>
      </c>
    </row>
    <row r="642">
      <c r="B642" s="2" t="inlineStr">
        <is>
          <t>EV less equity price (fixed bridge items)</t>
        </is>
      </c>
      <c r="C642" s="19">
        <f>Sensitivities!$C$573-Sensitivities!$C$579</f>
        <v/>
      </c>
    </row>
    <row r="643">
      <c r="B643" s="2" t="inlineStr">
        <is>
          <t>Equity cheque items that do not move with the price</t>
        </is>
      </c>
      <c r="C643" s="19">
        <f>Sensitivities!$C$604+Sensitivities!$C$576+i_costs_adv+Sensitivities!$C$599+Sensitivities!$C$600-Sensitivities!$C$594-Sensitivities!$C$595-Sensitivities!$C$587</f>
        <v/>
      </c>
    </row>
    <row r="644">
      <c r="B644" s="2" t="inlineStr">
        <is>
          <t>Walk-away EV, first pass (HSR fee at the bid)</t>
        </is>
      </c>
      <c r="C644" s="19">
        <f>(Sensitivities!$C$641-Sensitivities!$C$643-Sensitivities!$C$597+Sensitivities!$C$642*(1+i_ticking*Sensitivities!$C$568))/(1+i_ticking*Sensitivities!$C$568+i_wi_limit_pct*i_wi_rol*(1+i_wi_ipt))</f>
        <v/>
      </c>
    </row>
    <row r="645">
      <c r="B645" s="3" t="inlineStr">
        <is>
          <t>Walk-away EV (highest EV at the target IRR)</t>
        </is>
      </c>
      <c r="C645" s="31">
        <f>(Sensitivities!$C$641-Sensitivities!$C$643-IF(Sensitivities!$C$644-Sensitivities!$C$642&lt;INDEX(i_hsr_lo,1),0,LOOKUP(Sensitivities!$C$644-Sensitivities!$C$642,i_hsr_lo,i_hsr_fee))+Sensitivities!$C$642*(1+i_ticking*Sensitivities!$C$568))/(1+i_ticking*Sensitivities!$C$568+i_wi_limit_pct*i_wi_rol*(1+i_wi_ipt))</f>
        <v/>
      </c>
    </row>
    <row r="648">
      <c r="B648" s="5" t="inlineStr">
        <is>
          <t>Deal: interest rates +1 point (refinancing in 2034 and exit discount rate)</t>
        </is>
      </c>
    </row>
    <row r="649">
      <c r="B649" s="4" t="inlineStr">
        <is>
          <t>Enterprise value at 31 December 2026</t>
        </is>
      </c>
      <c r="C649" s="29">
        <f>i_bid_ev</f>
        <v/>
      </c>
    </row>
    <row r="650">
      <c r="B650" s="4" t="inlineStr">
        <is>
          <t>Closing (years after 31 December 2026)</t>
        </is>
      </c>
      <c r="C650" s="28">
        <f>Inputs!$F$235</f>
        <v/>
      </c>
    </row>
    <row r="651">
      <c r="B651" s="4" t="inlineStr">
        <is>
          <t>Staple financing (1) or own debt (0)</t>
        </is>
      </c>
      <c r="C651" s="26">
        <f>0</f>
        <v/>
      </c>
    </row>
    <row r="652">
      <c r="B652" s="4" t="inlineStr">
        <is>
          <t>Minority sale in 2031 (1) or full exit (0)</t>
        </is>
      </c>
      <c r="C652" s="26">
        <f>0</f>
        <v/>
      </c>
    </row>
    <row r="653">
      <c r="B653" s="4" t="inlineStr">
        <is>
          <t>Exit discount rate</t>
        </is>
      </c>
      <c r="C653" s="38">
        <f>Inputs!$E$235</f>
        <v/>
      </c>
    </row>
    <row r="654">
      <c r="B654" s="4" t="inlineStr">
        <is>
          <t>Change in the opco rate at refinancing</t>
        </is>
      </c>
      <c r="C654" s="38">
        <f>Inputs!$D$235</f>
        <v/>
      </c>
    </row>
    <row r="655">
      <c r="B655" s="2" t="inlineStr">
        <is>
          <t>Enterprise value</t>
        </is>
      </c>
      <c r="C655" s="19">
        <f>Sensitivities!$C$649</f>
        <v/>
      </c>
    </row>
    <row r="656">
      <c r="B656" s="2" t="inlineStr">
        <is>
          <t>less existing financial debt (term loan and notes)</t>
        </is>
      </c>
      <c r="C656" s="19">
        <f>i_old_tl+i_old_notes</f>
        <v/>
      </c>
    </row>
    <row r="657">
      <c r="B657" s="2" t="inlineStr">
        <is>
          <t>less make-whole on the notes</t>
        </is>
      </c>
      <c r="C657" s="19">
        <f>i_make_whole</f>
        <v/>
      </c>
    </row>
    <row r="658">
      <c r="B658" s="2" t="inlineStr">
        <is>
          <t>less debt-like items (pension, accrued capex, 2026 tax)</t>
        </is>
      </c>
      <c r="C658" s="19">
        <f>i_pension+i_def_capex+i_acc_tax</f>
        <v/>
      </c>
    </row>
    <row r="659">
      <c r="B659" s="2" t="inlineStr">
        <is>
          <t>plus cash at the locked box date</t>
        </is>
      </c>
      <c r="C659" s="19">
        <f>i_lb_cash</f>
        <v/>
      </c>
    </row>
    <row r="660">
      <c r="B660" s="2" t="inlineStr">
        <is>
          <t>less permitted leakage</t>
        </is>
      </c>
      <c r="C660" s="19">
        <f>i_permitted_leak</f>
        <v/>
      </c>
    </row>
    <row r="661">
      <c r="B661" s="3" t="inlineStr">
        <is>
          <t>Equity price (shares and shareholder loan)</t>
        </is>
      </c>
      <c r="C661" s="31">
        <f>Sensitivities!$C$655-Sensitivities!$C$656-Sensitivities!$C$657-Sensitivities!$C$658+Sensitivities!$C$659-Sensitivities!$C$660</f>
        <v/>
      </c>
    </row>
    <row r="662">
      <c r="B662" s="2" t="inlineStr">
        <is>
          <t xml:space="preserve">  of which shareholder loan at face value</t>
        </is>
      </c>
      <c r="C662" s="19">
        <f>i_shl</f>
        <v/>
      </c>
    </row>
    <row r="663">
      <c r="B663" s="2" t="inlineStr">
        <is>
          <t xml:space="preserve">  of which shares</t>
        </is>
      </c>
      <c r="C663" s="19">
        <f>Sensitivities!$C$661-Sensitivities!$C$662</f>
        <v/>
      </c>
    </row>
    <row r="664">
      <c r="B664" s="2" t="inlineStr">
        <is>
          <t>Ticking fee to closing</t>
        </is>
      </c>
      <c r="C664" s="19">
        <f>Sensitivities!$C$661*i_ticking*Sensitivities!$C$650</f>
        <v/>
      </c>
    </row>
    <row r="665">
      <c r="B665" s="2" t="inlineStr">
        <is>
          <t>Share of the year before closing (box period)</t>
        </is>
      </c>
      <c r="D665" s="24">
        <f>IF(D$4&lt;1,0,MAX(0,MIN(1,Sensitivities!$C$650-(D$4-1))))</f>
        <v/>
      </c>
      <c r="E665" s="24">
        <f>IF(E$4&lt;1,0,MAX(0,MIN(1,Sensitivities!$C$650-(E$4-1))))</f>
        <v/>
      </c>
      <c r="F665" s="24">
        <f>IF(F$4&lt;1,0,MAX(0,MIN(1,Sensitivities!$C$650-(F$4-1))))</f>
        <v/>
      </c>
      <c r="G665" s="24">
        <f>IF(G$4&lt;1,0,MAX(0,MIN(1,Sensitivities!$C$650-(G$4-1))))</f>
        <v/>
      </c>
      <c r="H665" s="24">
        <f>IF(H$4&lt;1,0,MAX(0,MIN(1,Sensitivities!$C$650-(H$4-1))))</f>
        <v/>
      </c>
      <c r="I665" s="24">
        <f>IF(I$4&lt;1,0,MAX(0,MIN(1,Sensitivities!$C$650-(I$4-1))))</f>
        <v/>
      </c>
      <c r="J665" s="24">
        <f>IF(J$4&lt;1,0,MAX(0,MIN(1,Sensitivities!$C$650-(J$4-1))))</f>
        <v/>
      </c>
      <c r="K665" s="24">
        <f>IF(K$4&lt;1,0,MAX(0,MIN(1,Sensitivities!$C$650-(K$4-1))))</f>
        <v/>
      </c>
      <c r="L665" s="24">
        <f>IF(L$4&lt;1,0,MAX(0,MIN(1,Sensitivities!$C$650-(L$4-1))))</f>
        <v/>
      </c>
      <c r="M665" s="24">
        <f>IF(M$4&lt;1,0,MAX(0,MIN(1,Sensitivities!$C$650-(M$4-1))))</f>
        <v/>
      </c>
      <c r="N665" s="24">
        <f>IF(N$4&lt;1,0,MAX(0,MIN(1,Sensitivities!$C$650-(N$4-1))))</f>
        <v/>
      </c>
      <c r="O665" s="24">
        <f>IF(O$4&lt;1,0,MAX(0,MIN(1,Sensitivities!$C$650-(O$4-1))))</f>
        <v/>
      </c>
      <c r="P665" s="24">
        <f>IF(P$4&lt;1,0,MAX(0,MIN(1,Sensitivities!$C$650-(P$4-1))))</f>
        <v/>
      </c>
      <c r="Q665" s="24">
        <f>IF(Q$4&lt;1,0,MAX(0,MIN(1,Sensitivities!$C$650-(Q$4-1))))</f>
        <v/>
      </c>
      <c r="R665" s="24">
        <f>IF(R$4&lt;1,0,MAX(0,MIN(1,Sensitivities!$C$650-(R$4-1))))</f>
        <v/>
      </c>
      <c r="S665" s="24">
        <f>IF(S$4&lt;1,0,MAX(0,MIN(1,Sensitivities!$C$650-(S$4-1))))</f>
        <v/>
      </c>
      <c r="T665" s="24">
        <f>IF(T$4&lt;1,0,MAX(0,MIN(1,Sensitivities!$C$650-(T$4-1))))</f>
        <v/>
      </c>
      <c r="U665" s="24">
        <f>IF(U$4&lt;1,0,MAX(0,MIN(1,Sensitivities!$C$650-(U$4-1))))</f>
        <v/>
      </c>
      <c r="V665" s="24">
        <f>IF(V$4&lt;1,0,MAX(0,MIN(1,Sensitivities!$C$650-(V$4-1))))</f>
        <v/>
      </c>
      <c r="W665" s="24">
        <f>IF(W$4&lt;1,0,MAX(0,MIN(1,Sensitivities!$C$650-(W$4-1))))</f>
        <v/>
      </c>
      <c r="X665" s="24">
        <f>IF(X$4&lt;1,0,MAX(0,MIN(1,Sensitivities!$C$650-(X$4-1))))</f>
        <v/>
      </c>
      <c r="Y665" s="24">
        <f>IF(Y$4&lt;1,0,MAX(0,MIN(1,Sensitivities!$C$650-(Y$4-1))))</f>
        <v/>
      </c>
      <c r="Z665" s="24">
        <f>IF(Z$4&lt;1,0,MAX(0,MIN(1,Sensitivities!$C$650-(Z$4-1))))</f>
        <v/>
      </c>
      <c r="AA665" s="24">
        <f>IF(AA$4&lt;1,0,MAX(0,MIN(1,Sensitivities!$C$650-(AA$4-1))))</f>
        <v/>
      </c>
      <c r="AB665" s="24">
        <f>IF(AB$4&lt;1,0,MAX(0,MIN(1,Sensitivities!$C$650-(AB$4-1))))</f>
        <v/>
      </c>
      <c r="AC665" s="24">
        <f>IF(AC$4&lt;1,0,MAX(0,MIN(1,Sensitivities!$C$650-(AC$4-1))))</f>
        <v/>
      </c>
      <c r="AD665" s="24">
        <f>IF(AD$4&lt;1,0,MAX(0,MIN(1,Sensitivities!$C$650-(AD$4-1))))</f>
        <v/>
      </c>
      <c r="AE665" s="24">
        <f>IF(AE$4&lt;1,0,MAX(0,MIN(1,Sensitivities!$C$650-(AE$4-1))))</f>
        <v/>
      </c>
      <c r="AF665" s="24">
        <f>IF(AF$4&lt;1,0,MAX(0,MIN(1,Sensitivities!$C$650-(AF$4-1))))</f>
        <v/>
      </c>
      <c r="AG665" s="24">
        <f>IF(AG$4&lt;1,0,MAX(0,MIN(1,Sensitivities!$C$650-(AG$4-1))))</f>
        <v/>
      </c>
      <c r="AH665" s="24">
        <f>IF(AH$4&lt;1,0,MAX(0,MIN(1,Sensitivities!$C$650-(AH$4-1))))</f>
        <v/>
      </c>
      <c r="AI665" s="24">
        <f>IF(AI$4&lt;1,0,MAX(0,MIN(1,Sensitivities!$C$650-(AI$4-1))))</f>
        <v/>
      </c>
    </row>
    <row r="666">
      <c r="B666" s="2" t="inlineStr">
        <is>
          <t>Box cash: free cash flow less interest on the old debt</t>
        </is>
      </c>
      <c r="D666" s="19">
        <f>D665*(Diligence!D145-i_old_rate*(i_old_tl+i_old_notes))</f>
        <v/>
      </c>
      <c r="E666" s="19">
        <f>E665*(Diligence!E145-i_old_rate*(i_old_tl+i_old_notes))</f>
        <v/>
      </c>
      <c r="F666" s="19">
        <f>F665*(Diligence!F145-i_old_rate*(i_old_tl+i_old_notes))</f>
        <v/>
      </c>
      <c r="G666" s="19">
        <f>G665*(Diligence!G145-i_old_rate*(i_old_tl+i_old_notes))</f>
        <v/>
      </c>
      <c r="H666" s="19">
        <f>H665*(Diligence!H145-i_old_rate*(i_old_tl+i_old_notes))</f>
        <v/>
      </c>
      <c r="I666" s="19">
        <f>I665*(Diligence!I145-i_old_rate*(i_old_tl+i_old_notes))</f>
        <v/>
      </c>
      <c r="J666" s="19">
        <f>J665*(Diligence!J145-i_old_rate*(i_old_tl+i_old_notes))</f>
        <v/>
      </c>
      <c r="K666" s="19">
        <f>K665*(Diligence!K145-i_old_rate*(i_old_tl+i_old_notes))</f>
        <v/>
      </c>
      <c r="L666" s="19">
        <f>L665*(Diligence!L145-i_old_rate*(i_old_tl+i_old_notes))</f>
        <v/>
      </c>
      <c r="M666" s="19">
        <f>M665*(Diligence!M145-i_old_rate*(i_old_tl+i_old_notes))</f>
        <v/>
      </c>
      <c r="N666" s="19">
        <f>N665*(Diligence!N145-i_old_rate*(i_old_tl+i_old_notes))</f>
        <v/>
      </c>
      <c r="O666" s="19">
        <f>O665*(Diligence!O145-i_old_rate*(i_old_tl+i_old_notes))</f>
        <v/>
      </c>
      <c r="P666" s="19">
        <f>P665*(Diligence!P145-i_old_rate*(i_old_tl+i_old_notes))</f>
        <v/>
      </c>
      <c r="Q666" s="19">
        <f>Q665*(Diligence!Q145-i_old_rate*(i_old_tl+i_old_notes))</f>
        <v/>
      </c>
      <c r="R666" s="19">
        <f>R665*(Diligence!R145-i_old_rate*(i_old_tl+i_old_notes))</f>
        <v/>
      </c>
      <c r="S666" s="19">
        <f>S665*(Diligence!S145-i_old_rate*(i_old_tl+i_old_notes))</f>
        <v/>
      </c>
      <c r="T666" s="19">
        <f>T665*(Diligence!T145-i_old_rate*(i_old_tl+i_old_notes))</f>
        <v/>
      </c>
      <c r="U666" s="19">
        <f>U665*(Diligence!U145-i_old_rate*(i_old_tl+i_old_notes))</f>
        <v/>
      </c>
      <c r="V666" s="19">
        <f>V665*(Diligence!V145-i_old_rate*(i_old_tl+i_old_notes))</f>
        <v/>
      </c>
      <c r="W666" s="19">
        <f>W665*(Diligence!W145-i_old_rate*(i_old_tl+i_old_notes))</f>
        <v/>
      </c>
      <c r="X666" s="19">
        <f>X665*(Diligence!X145-i_old_rate*(i_old_tl+i_old_notes))</f>
        <v/>
      </c>
      <c r="Y666" s="19">
        <f>Y665*(Diligence!Y145-i_old_rate*(i_old_tl+i_old_notes))</f>
        <v/>
      </c>
      <c r="Z666" s="19">
        <f>Z665*(Diligence!Z145-i_old_rate*(i_old_tl+i_old_notes))</f>
        <v/>
      </c>
      <c r="AA666" s="19">
        <f>AA665*(Diligence!AA145-i_old_rate*(i_old_tl+i_old_notes))</f>
        <v/>
      </c>
      <c r="AB666" s="19">
        <f>AB665*(Diligence!AB145-i_old_rate*(i_old_tl+i_old_notes))</f>
        <v/>
      </c>
      <c r="AC666" s="19">
        <f>AC665*(Diligence!AC145-i_old_rate*(i_old_tl+i_old_notes))</f>
        <v/>
      </c>
      <c r="AD666" s="19">
        <f>AD665*(Diligence!AD145-i_old_rate*(i_old_tl+i_old_notes))</f>
        <v/>
      </c>
      <c r="AE666" s="19">
        <f>AE665*(Diligence!AE145-i_old_rate*(i_old_tl+i_old_notes))</f>
        <v/>
      </c>
      <c r="AF666" s="19">
        <f>AF665*(Diligence!AF145-i_old_rate*(i_old_tl+i_old_notes))</f>
        <v/>
      </c>
      <c r="AG666" s="19">
        <f>AG665*(Diligence!AG145-i_old_rate*(i_old_tl+i_old_notes))</f>
        <v/>
      </c>
      <c r="AH666" s="19">
        <f>AH665*(Diligence!AH145-i_old_rate*(i_old_tl+i_old_notes))</f>
        <v/>
      </c>
      <c r="AI666" s="19">
        <f>AI665*(Diligence!AI145-i_old_rate*(i_old_tl+i_old_notes))</f>
        <v/>
      </c>
    </row>
    <row r="667">
      <c r="B667" s="2" t="inlineStr">
        <is>
          <t>Box cash generated from 1 January 2027 to closing</t>
        </is>
      </c>
      <c r="C667" s="19">
        <f>SUM(Sensitivities!D666:AI666)</f>
        <v/>
      </c>
    </row>
    <row r="668">
      <c r="B668" s="2" t="inlineStr">
        <is>
          <t>Cash in the company at closing</t>
        </is>
      </c>
      <c r="C668" s="19">
        <f>Sensitivities!$C$659-Sensitivities!$C$660+Sensitivities!$C$667</f>
        <v/>
      </c>
    </row>
    <row r="669">
      <c r="B669" s="2" t="inlineStr">
        <is>
          <t>Cash used at closing (above operating cash)</t>
        </is>
      </c>
      <c r="C669" s="19">
        <f>Sensitivities!$C$668-i_min_cash</f>
        <v/>
      </c>
    </row>
    <row r="671">
      <c r="B671" s="3" t="inlineStr">
        <is>
          <t>Sources and uses at closing</t>
        </is>
      </c>
    </row>
    <row r="672">
      <c r="B672" s="2" t="inlineStr">
        <is>
          <t>EBITDA 2026 (sizing basis)</t>
        </is>
      </c>
      <c r="C672" s="19">
        <f>Diligence!$D$139</f>
        <v/>
      </c>
    </row>
    <row r="673">
      <c r="B673" s="2" t="inlineStr">
        <is>
          <t>Opco multiple of 2026 EBITDA</t>
        </is>
      </c>
      <c r="C673" s="37">
        <f>IF(Sensitivities!$C$651=1,i_staple_x,i_opco_x)</f>
        <v/>
      </c>
    </row>
    <row r="674">
      <c r="B674" s="2" t="inlineStr">
        <is>
          <t>Opco rate</t>
        </is>
      </c>
      <c r="C674" s="23">
        <f>IF(Sensitivities!$C$651=1,i_staple_rate,i_opco_rate)</f>
        <v/>
      </c>
    </row>
    <row r="675">
      <c r="B675" s="2" t="inlineStr">
        <is>
          <t>Opco fees</t>
        </is>
      </c>
      <c r="C675" s="23">
        <f>IF(Sensitivities!$C$651=1,i_staple_fee,i_opco_fee)</f>
        <v/>
      </c>
    </row>
    <row r="676">
      <c r="B676" s="2" t="inlineStr">
        <is>
          <t>Opco senior debt (whole $ million)</t>
        </is>
      </c>
      <c r="C676" s="19">
        <f>ROUND(Sensitivities!$C$673*Sensitivities!$C$672,0)</f>
        <v/>
      </c>
    </row>
    <row r="677">
      <c r="B677" s="2" t="inlineStr">
        <is>
          <t>Holdco debt (whole $ million)</t>
        </is>
      </c>
      <c r="C677" s="19">
        <f>ROUND(i_hold_x*Sensitivities!$C$672,0)</f>
        <v/>
      </c>
    </row>
    <row r="678">
      <c r="B678" s="2" t="inlineStr">
        <is>
          <t>W&amp;I premium with insurance premium tax</t>
        </is>
      </c>
      <c r="C678" s="35">
        <f>i_wi_limit_pct*Sensitivities!$C$655*i_wi_rol*(1+i_wi_ipt)</f>
        <v/>
      </c>
    </row>
    <row r="679">
      <c r="B679" s="2" t="inlineStr">
        <is>
          <t>HSR filing fee (on the equity price)</t>
        </is>
      </c>
      <c r="C679" s="39">
        <f>IF(Sensitivities!$C$661&lt;INDEX(i_hsr_lo,1),0,LOOKUP(Sensitivities!$C$661,i_hsr_lo,i_hsr_fee))</f>
        <v/>
      </c>
    </row>
    <row r="680">
      <c r="B680" s="2" t="inlineStr">
        <is>
          <t>Transaction costs (advisers, W&amp;I, HSR)</t>
        </is>
      </c>
      <c r="C680" s="19">
        <f>i_costs_adv+Sensitivities!$C$678+Sensitivities!$C$679</f>
        <v/>
      </c>
    </row>
    <row r="681">
      <c r="B681" s="2" t="inlineStr">
        <is>
          <t>Financing fees</t>
        </is>
      </c>
      <c r="C681" s="19">
        <f>Sensitivities!$C$675*Sensitivities!$C$676+i_hold_fee*Sensitivities!$C$677</f>
        <v/>
      </c>
    </row>
    <row r="682">
      <c r="B682" s="2" t="inlineStr">
        <is>
          <t>Commitment fees, signing to closing</t>
        </is>
      </c>
      <c r="C682" s="19">
        <f>i_commit_fee*(Sensitivities!$C$676+Sensitivities!$C$677)*MAX(0,Sensitivities!$C$650-i_t_sign)</f>
        <v/>
      </c>
    </row>
    <row r="683">
      <c r="B683" s="3" t="inlineStr">
        <is>
          <t>Uses</t>
        </is>
      </c>
    </row>
    <row r="684">
      <c r="B684" s="2" t="inlineStr">
        <is>
          <t xml:space="preserve">  Equity price</t>
        </is>
      </c>
      <c r="C684" s="19">
        <f>Sensitivities!$C$661</f>
        <v/>
      </c>
    </row>
    <row r="685">
      <c r="B685" s="2" t="inlineStr">
        <is>
          <t xml:space="preserve">  Ticking fee</t>
        </is>
      </c>
      <c r="C685" s="19">
        <f>Sensitivities!$C$664</f>
        <v/>
      </c>
    </row>
    <row r="686">
      <c r="B686" s="2" t="inlineStr">
        <is>
          <t xml:space="preserve">  Repayment of existing debt and make-whole</t>
        </is>
      </c>
      <c r="C686" s="19">
        <f>Sensitivities!$C$656+Sensitivities!$C$657</f>
        <v/>
      </c>
    </row>
    <row r="687">
      <c r="B687" s="2" t="inlineStr">
        <is>
          <t xml:space="preserve">  Debt-like items settled</t>
        </is>
      </c>
      <c r="C687" s="19">
        <f>Sensitivities!$C$658</f>
        <v/>
      </c>
    </row>
    <row r="688">
      <c r="B688" s="2" t="inlineStr">
        <is>
          <t xml:space="preserve">  Transaction costs</t>
        </is>
      </c>
      <c r="C688" s="19">
        <f>Sensitivities!$C$680</f>
        <v/>
      </c>
    </row>
    <row r="689">
      <c r="B689" s="2" t="inlineStr">
        <is>
          <t xml:space="preserve">  Financing fees</t>
        </is>
      </c>
      <c r="C689" s="19">
        <f>Sensitivities!$C$681</f>
        <v/>
      </c>
    </row>
    <row r="690">
      <c r="B690" s="2" t="inlineStr">
        <is>
          <t xml:space="preserve">  Commitment fees</t>
        </is>
      </c>
      <c r="C690" s="19">
        <f>Sensitivities!$C$682</f>
        <v/>
      </c>
    </row>
    <row r="691">
      <c r="B691" s="3" t="inlineStr">
        <is>
          <t>Total uses</t>
        </is>
      </c>
      <c r="C691" s="31">
        <f>SUM(C684:C690)</f>
        <v/>
      </c>
    </row>
    <row r="692">
      <c r="B692" s="3" t="inlineStr">
        <is>
          <t>Sources</t>
        </is>
      </c>
    </row>
    <row r="693">
      <c r="B693" s="2" t="inlineStr">
        <is>
          <t xml:space="preserve">  Opco senior debt</t>
        </is>
      </c>
      <c r="C693" s="19">
        <f>Sensitivities!$C$676</f>
        <v/>
      </c>
    </row>
    <row r="694">
      <c r="B694" s="2" t="inlineStr">
        <is>
          <t xml:space="preserve">  Holdco debt</t>
        </is>
      </c>
      <c r="C694" s="19">
        <f>Sensitivities!$C$677</f>
        <v/>
      </c>
    </row>
    <row r="695">
      <c r="B695" s="2" t="inlineStr">
        <is>
          <t xml:space="preserve">  Cash in the company at closing</t>
        </is>
      </c>
      <c r="C695" s="19">
        <f>Sensitivities!$C$669</f>
        <v/>
      </c>
    </row>
    <row r="696">
      <c r="B696" s="3" t="inlineStr">
        <is>
          <t xml:space="preserve">  Equity from the consortium</t>
        </is>
      </c>
      <c r="C696" s="31">
        <f>Sensitivities!$C$691-Sensitivities!$C$676-Sensitivities!$C$677-Sensitivities!$C$669</f>
        <v/>
      </c>
    </row>
    <row r="697">
      <c r="B697" s="3" t="inlineStr">
        <is>
          <t>Total sources</t>
        </is>
      </c>
      <c r="C697" s="31">
        <f>SUM(C693:C696)</f>
        <v/>
      </c>
    </row>
    <row r="699">
      <c r="B699" s="3" t="inlineStr">
        <is>
          <t>Flows after closing (years in columns D to AI; closing, minority sale and exit in AJ to AL)</t>
        </is>
      </c>
    </row>
    <row r="700">
      <c r="B700" s="2" t="inlineStr">
        <is>
          <t>Share of the year owned</t>
        </is>
      </c>
      <c r="D700" s="24">
        <f>IF(D$3&gt;i_exit_year,0,MIN(1,MAX(0,D$4-Sensitivities!$C$650)))</f>
        <v/>
      </c>
      <c r="E700" s="24">
        <f>IF(E$3&gt;i_exit_year,0,MIN(1,MAX(0,E$4-Sensitivities!$C$650)))</f>
        <v/>
      </c>
      <c r="F700" s="24">
        <f>IF(F$3&gt;i_exit_year,0,MIN(1,MAX(0,F$4-Sensitivities!$C$650)))</f>
        <v/>
      </c>
      <c r="G700" s="24">
        <f>IF(G$3&gt;i_exit_year,0,MIN(1,MAX(0,G$4-Sensitivities!$C$650)))</f>
        <v/>
      </c>
      <c r="H700" s="24">
        <f>IF(H$3&gt;i_exit_year,0,MIN(1,MAX(0,H$4-Sensitivities!$C$650)))</f>
        <v/>
      </c>
      <c r="I700" s="24">
        <f>IF(I$3&gt;i_exit_year,0,MIN(1,MAX(0,I$4-Sensitivities!$C$650)))</f>
        <v/>
      </c>
      <c r="J700" s="24">
        <f>IF(J$3&gt;i_exit_year,0,MIN(1,MAX(0,J$4-Sensitivities!$C$650)))</f>
        <v/>
      </c>
      <c r="K700" s="24">
        <f>IF(K$3&gt;i_exit_year,0,MIN(1,MAX(0,K$4-Sensitivities!$C$650)))</f>
        <v/>
      </c>
      <c r="L700" s="24">
        <f>IF(L$3&gt;i_exit_year,0,MIN(1,MAX(0,L$4-Sensitivities!$C$650)))</f>
        <v/>
      </c>
      <c r="M700" s="24">
        <f>IF(M$3&gt;i_exit_year,0,MIN(1,MAX(0,M$4-Sensitivities!$C$650)))</f>
        <v/>
      </c>
      <c r="N700" s="24">
        <f>IF(N$3&gt;i_exit_year,0,MIN(1,MAX(0,N$4-Sensitivities!$C$650)))</f>
        <v/>
      </c>
      <c r="O700" s="24">
        <f>IF(O$3&gt;i_exit_year,0,MIN(1,MAX(0,O$4-Sensitivities!$C$650)))</f>
        <v/>
      </c>
      <c r="P700" s="24">
        <f>IF(P$3&gt;i_exit_year,0,MIN(1,MAX(0,P$4-Sensitivities!$C$650)))</f>
        <v/>
      </c>
      <c r="Q700" s="24">
        <f>IF(Q$3&gt;i_exit_year,0,MIN(1,MAX(0,Q$4-Sensitivities!$C$650)))</f>
        <v/>
      </c>
      <c r="R700" s="24">
        <f>IF(R$3&gt;i_exit_year,0,MIN(1,MAX(0,R$4-Sensitivities!$C$650)))</f>
        <v/>
      </c>
      <c r="S700" s="24">
        <f>IF(S$3&gt;i_exit_year,0,MIN(1,MAX(0,S$4-Sensitivities!$C$650)))</f>
        <v/>
      </c>
      <c r="T700" s="24">
        <f>IF(T$3&gt;i_exit_year,0,MIN(1,MAX(0,T$4-Sensitivities!$C$650)))</f>
        <v/>
      </c>
      <c r="U700" s="24">
        <f>IF(U$3&gt;i_exit_year,0,MIN(1,MAX(0,U$4-Sensitivities!$C$650)))</f>
        <v/>
      </c>
      <c r="V700" s="24">
        <f>IF(V$3&gt;i_exit_year,0,MIN(1,MAX(0,V$4-Sensitivities!$C$650)))</f>
        <v/>
      </c>
      <c r="W700" s="24">
        <f>IF(W$3&gt;i_exit_year,0,MIN(1,MAX(0,W$4-Sensitivities!$C$650)))</f>
        <v/>
      </c>
      <c r="X700" s="24">
        <f>IF(X$3&gt;i_exit_year,0,MIN(1,MAX(0,X$4-Sensitivities!$C$650)))</f>
        <v/>
      </c>
      <c r="Y700" s="24">
        <f>IF(Y$3&gt;i_exit_year,0,MIN(1,MAX(0,Y$4-Sensitivities!$C$650)))</f>
        <v/>
      </c>
      <c r="Z700" s="24">
        <f>IF(Z$3&gt;i_exit_year,0,MIN(1,MAX(0,Z$4-Sensitivities!$C$650)))</f>
        <v/>
      </c>
      <c r="AA700" s="24">
        <f>IF(AA$3&gt;i_exit_year,0,MIN(1,MAX(0,AA$4-Sensitivities!$C$650)))</f>
        <v/>
      </c>
      <c r="AB700" s="24">
        <f>IF(AB$3&gt;i_exit_year,0,MIN(1,MAX(0,AB$4-Sensitivities!$C$650)))</f>
        <v/>
      </c>
      <c r="AC700" s="24">
        <f>IF(AC$3&gt;i_exit_year,0,MIN(1,MAX(0,AC$4-Sensitivities!$C$650)))</f>
        <v/>
      </c>
      <c r="AD700" s="24">
        <f>IF(AD$3&gt;i_exit_year,0,MIN(1,MAX(0,AD$4-Sensitivities!$C$650)))</f>
        <v/>
      </c>
      <c r="AE700" s="24">
        <f>IF(AE$3&gt;i_exit_year,0,MIN(1,MAX(0,AE$4-Sensitivities!$C$650)))</f>
        <v/>
      </c>
      <c r="AF700" s="24">
        <f>IF(AF$3&gt;i_exit_year,0,MIN(1,MAX(0,AF$4-Sensitivities!$C$650)))</f>
        <v/>
      </c>
      <c r="AG700" s="24">
        <f>IF(AG$3&gt;i_exit_year,0,MIN(1,MAX(0,AG$4-Sensitivities!$C$650)))</f>
        <v/>
      </c>
      <c r="AH700" s="24">
        <f>IF(AH$3&gt;i_exit_year,0,MIN(1,MAX(0,AH$4-Sensitivities!$C$650)))</f>
        <v/>
      </c>
      <c r="AI700" s="24">
        <f>IF(AI$3&gt;i_exit_year,0,MIN(1,MAX(0,AI$4-Sensitivities!$C$650)))</f>
        <v/>
      </c>
    </row>
    <row r="701">
      <c r="B701" s="2" t="inlineStr">
        <is>
          <t>Opco rate (refinanced after the tenor)</t>
        </is>
      </c>
      <c r="D701" s="23">
        <f>IF(D$4&lt;=Sensitivities!$C$650+i_opco_tenor,Sensitivities!$C$674,Sensitivities!$C$674+Sensitivities!$C$654)</f>
        <v/>
      </c>
      <c r="E701" s="23">
        <f>IF(E$4&lt;=Sensitivities!$C$650+i_opco_tenor,Sensitivities!$C$674,Sensitivities!$C$674+Sensitivities!$C$654)</f>
        <v/>
      </c>
      <c r="F701" s="23">
        <f>IF(F$4&lt;=Sensitivities!$C$650+i_opco_tenor,Sensitivities!$C$674,Sensitivities!$C$674+Sensitivities!$C$654)</f>
        <v/>
      </c>
      <c r="G701" s="23">
        <f>IF(G$4&lt;=Sensitivities!$C$650+i_opco_tenor,Sensitivities!$C$674,Sensitivities!$C$674+Sensitivities!$C$654)</f>
        <v/>
      </c>
      <c r="H701" s="23">
        <f>IF(H$4&lt;=Sensitivities!$C$650+i_opco_tenor,Sensitivities!$C$674,Sensitivities!$C$674+Sensitivities!$C$654)</f>
        <v/>
      </c>
      <c r="I701" s="23">
        <f>IF(I$4&lt;=Sensitivities!$C$650+i_opco_tenor,Sensitivities!$C$674,Sensitivities!$C$674+Sensitivities!$C$654)</f>
        <v/>
      </c>
      <c r="J701" s="23">
        <f>IF(J$4&lt;=Sensitivities!$C$650+i_opco_tenor,Sensitivities!$C$674,Sensitivities!$C$674+Sensitivities!$C$654)</f>
        <v/>
      </c>
      <c r="K701" s="23">
        <f>IF(K$4&lt;=Sensitivities!$C$650+i_opco_tenor,Sensitivities!$C$674,Sensitivities!$C$674+Sensitivities!$C$654)</f>
        <v/>
      </c>
      <c r="L701" s="23">
        <f>IF(L$4&lt;=Sensitivities!$C$650+i_opco_tenor,Sensitivities!$C$674,Sensitivities!$C$674+Sensitivities!$C$654)</f>
        <v/>
      </c>
      <c r="M701" s="23">
        <f>IF(M$4&lt;=Sensitivities!$C$650+i_opco_tenor,Sensitivities!$C$674,Sensitivities!$C$674+Sensitivities!$C$654)</f>
        <v/>
      </c>
      <c r="N701" s="23">
        <f>IF(N$4&lt;=Sensitivities!$C$650+i_opco_tenor,Sensitivities!$C$674,Sensitivities!$C$674+Sensitivities!$C$654)</f>
        <v/>
      </c>
      <c r="O701" s="23">
        <f>IF(O$4&lt;=Sensitivities!$C$650+i_opco_tenor,Sensitivities!$C$674,Sensitivities!$C$674+Sensitivities!$C$654)</f>
        <v/>
      </c>
      <c r="P701" s="23">
        <f>IF(P$4&lt;=Sensitivities!$C$650+i_opco_tenor,Sensitivities!$C$674,Sensitivities!$C$674+Sensitivities!$C$654)</f>
        <v/>
      </c>
      <c r="Q701" s="23">
        <f>IF(Q$4&lt;=Sensitivities!$C$650+i_opco_tenor,Sensitivities!$C$674,Sensitivities!$C$674+Sensitivities!$C$654)</f>
        <v/>
      </c>
      <c r="R701" s="23">
        <f>IF(R$4&lt;=Sensitivities!$C$650+i_opco_tenor,Sensitivities!$C$674,Sensitivities!$C$674+Sensitivities!$C$654)</f>
        <v/>
      </c>
      <c r="S701" s="23">
        <f>IF(S$4&lt;=Sensitivities!$C$650+i_opco_tenor,Sensitivities!$C$674,Sensitivities!$C$674+Sensitivities!$C$654)</f>
        <v/>
      </c>
      <c r="T701" s="23">
        <f>IF(T$4&lt;=Sensitivities!$C$650+i_opco_tenor,Sensitivities!$C$674,Sensitivities!$C$674+Sensitivities!$C$654)</f>
        <v/>
      </c>
      <c r="U701" s="23">
        <f>IF(U$4&lt;=Sensitivities!$C$650+i_opco_tenor,Sensitivities!$C$674,Sensitivities!$C$674+Sensitivities!$C$654)</f>
        <v/>
      </c>
      <c r="V701" s="23">
        <f>IF(V$4&lt;=Sensitivities!$C$650+i_opco_tenor,Sensitivities!$C$674,Sensitivities!$C$674+Sensitivities!$C$654)</f>
        <v/>
      </c>
      <c r="W701" s="23">
        <f>IF(W$4&lt;=Sensitivities!$C$650+i_opco_tenor,Sensitivities!$C$674,Sensitivities!$C$674+Sensitivities!$C$654)</f>
        <v/>
      </c>
      <c r="X701" s="23">
        <f>IF(X$4&lt;=Sensitivities!$C$650+i_opco_tenor,Sensitivities!$C$674,Sensitivities!$C$674+Sensitivities!$C$654)</f>
        <v/>
      </c>
      <c r="Y701" s="23">
        <f>IF(Y$4&lt;=Sensitivities!$C$650+i_opco_tenor,Sensitivities!$C$674,Sensitivities!$C$674+Sensitivities!$C$654)</f>
        <v/>
      </c>
      <c r="Z701" s="23">
        <f>IF(Z$4&lt;=Sensitivities!$C$650+i_opco_tenor,Sensitivities!$C$674,Sensitivities!$C$674+Sensitivities!$C$654)</f>
        <v/>
      </c>
      <c r="AA701" s="23">
        <f>IF(AA$4&lt;=Sensitivities!$C$650+i_opco_tenor,Sensitivities!$C$674,Sensitivities!$C$674+Sensitivities!$C$654)</f>
        <v/>
      </c>
      <c r="AB701" s="23">
        <f>IF(AB$4&lt;=Sensitivities!$C$650+i_opco_tenor,Sensitivities!$C$674,Sensitivities!$C$674+Sensitivities!$C$654)</f>
        <v/>
      </c>
      <c r="AC701" s="23">
        <f>IF(AC$4&lt;=Sensitivities!$C$650+i_opco_tenor,Sensitivities!$C$674,Sensitivities!$C$674+Sensitivities!$C$654)</f>
        <v/>
      </c>
      <c r="AD701" s="23">
        <f>IF(AD$4&lt;=Sensitivities!$C$650+i_opco_tenor,Sensitivities!$C$674,Sensitivities!$C$674+Sensitivities!$C$654)</f>
        <v/>
      </c>
      <c r="AE701" s="23">
        <f>IF(AE$4&lt;=Sensitivities!$C$650+i_opco_tenor,Sensitivities!$C$674,Sensitivities!$C$674+Sensitivities!$C$654)</f>
        <v/>
      </c>
      <c r="AF701" s="23">
        <f>IF(AF$4&lt;=Sensitivities!$C$650+i_opco_tenor,Sensitivities!$C$674,Sensitivities!$C$674+Sensitivities!$C$654)</f>
        <v/>
      </c>
      <c r="AG701" s="23">
        <f>IF(AG$4&lt;=Sensitivities!$C$650+i_opco_tenor,Sensitivities!$C$674,Sensitivities!$C$674+Sensitivities!$C$654)</f>
        <v/>
      </c>
      <c r="AH701" s="23">
        <f>IF(AH$4&lt;=Sensitivities!$C$650+i_opco_tenor,Sensitivities!$C$674,Sensitivities!$C$674+Sensitivities!$C$654)</f>
        <v/>
      </c>
      <c r="AI701" s="23">
        <f>IF(AI$4&lt;=Sensitivities!$C$650+i_opco_tenor,Sensitivities!$C$674,Sensitivities!$C$674+Sensitivities!$C$654)</f>
        <v/>
      </c>
    </row>
    <row r="702">
      <c r="B702" s="2" t="inlineStr">
        <is>
          <t>Interest (opco and holdco)</t>
        </is>
      </c>
      <c r="D702" s="19">
        <f>D701*Sensitivities!$C$676+i_hold_rate*Sensitivities!$C$677</f>
        <v/>
      </c>
      <c r="E702" s="19">
        <f>E701*Sensitivities!$C$676+i_hold_rate*Sensitivities!$C$677</f>
        <v/>
      </c>
      <c r="F702" s="19">
        <f>F701*Sensitivities!$C$676+i_hold_rate*Sensitivities!$C$677</f>
        <v/>
      </c>
      <c r="G702" s="19">
        <f>G701*Sensitivities!$C$676+i_hold_rate*Sensitivities!$C$677</f>
        <v/>
      </c>
      <c r="H702" s="19">
        <f>H701*Sensitivities!$C$676+i_hold_rate*Sensitivities!$C$677</f>
        <v/>
      </c>
      <c r="I702" s="19">
        <f>I701*Sensitivities!$C$676+i_hold_rate*Sensitivities!$C$677</f>
        <v/>
      </c>
      <c r="J702" s="19">
        <f>J701*Sensitivities!$C$676+i_hold_rate*Sensitivities!$C$677</f>
        <v/>
      </c>
      <c r="K702" s="19">
        <f>K701*Sensitivities!$C$676+i_hold_rate*Sensitivities!$C$677</f>
        <v/>
      </c>
      <c r="L702" s="19">
        <f>L701*Sensitivities!$C$676+i_hold_rate*Sensitivities!$C$677</f>
        <v/>
      </c>
      <c r="M702" s="19">
        <f>M701*Sensitivities!$C$676+i_hold_rate*Sensitivities!$C$677</f>
        <v/>
      </c>
      <c r="N702" s="19">
        <f>N701*Sensitivities!$C$676+i_hold_rate*Sensitivities!$C$677</f>
        <v/>
      </c>
      <c r="O702" s="19">
        <f>O701*Sensitivities!$C$676+i_hold_rate*Sensitivities!$C$677</f>
        <v/>
      </c>
      <c r="P702" s="19">
        <f>P701*Sensitivities!$C$676+i_hold_rate*Sensitivities!$C$677</f>
        <v/>
      </c>
      <c r="Q702" s="19">
        <f>Q701*Sensitivities!$C$676+i_hold_rate*Sensitivities!$C$677</f>
        <v/>
      </c>
      <c r="R702" s="19">
        <f>R701*Sensitivities!$C$676+i_hold_rate*Sensitivities!$C$677</f>
        <v/>
      </c>
      <c r="S702" s="19">
        <f>S701*Sensitivities!$C$676+i_hold_rate*Sensitivities!$C$677</f>
        <v/>
      </c>
      <c r="T702" s="19">
        <f>T701*Sensitivities!$C$676+i_hold_rate*Sensitivities!$C$677</f>
        <v/>
      </c>
      <c r="U702" s="19">
        <f>U701*Sensitivities!$C$676+i_hold_rate*Sensitivities!$C$677</f>
        <v/>
      </c>
      <c r="V702" s="19">
        <f>V701*Sensitivities!$C$676+i_hold_rate*Sensitivities!$C$677</f>
        <v/>
      </c>
      <c r="W702" s="19">
        <f>W701*Sensitivities!$C$676+i_hold_rate*Sensitivities!$C$677</f>
        <v/>
      </c>
      <c r="X702" s="19">
        <f>X701*Sensitivities!$C$676+i_hold_rate*Sensitivities!$C$677</f>
        <v/>
      </c>
      <c r="Y702" s="19">
        <f>Y701*Sensitivities!$C$676+i_hold_rate*Sensitivities!$C$677</f>
        <v/>
      </c>
      <c r="Z702" s="19">
        <f>Z701*Sensitivities!$C$676+i_hold_rate*Sensitivities!$C$677</f>
        <v/>
      </c>
      <c r="AA702" s="19">
        <f>AA701*Sensitivities!$C$676+i_hold_rate*Sensitivities!$C$677</f>
        <v/>
      </c>
      <c r="AB702" s="19">
        <f>AB701*Sensitivities!$C$676+i_hold_rate*Sensitivities!$C$677</f>
        <v/>
      </c>
      <c r="AC702" s="19">
        <f>AC701*Sensitivities!$C$676+i_hold_rate*Sensitivities!$C$677</f>
        <v/>
      </c>
      <c r="AD702" s="19">
        <f>AD701*Sensitivities!$C$676+i_hold_rate*Sensitivities!$C$677</f>
        <v/>
      </c>
      <c r="AE702" s="19">
        <f>AE701*Sensitivities!$C$676+i_hold_rate*Sensitivities!$C$677</f>
        <v/>
      </c>
      <c r="AF702" s="19">
        <f>AF701*Sensitivities!$C$676+i_hold_rate*Sensitivities!$C$677</f>
        <v/>
      </c>
      <c r="AG702" s="19">
        <f>AG701*Sensitivities!$C$676+i_hold_rate*Sensitivities!$C$677</f>
        <v/>
      </c>
      <c r="AH702" s="19">
        <f>AH701*Sensitivities!$C$676+i_hold_rate*Sensitivities!$C$677</f>
        <v/>
      </c>
      <c r="AI702" s="19">
        <f>AI701*Sensitivities!$C$676+i_hold_rate*Sensitivities!$C$677</f>
        <v/>
      </c>
    </row>
    <row r="703">
      <c r="B703" s="2" t="inlineStr">
        <is>
          <t>Deductible interest (cap on EBITDA)</t>
        </is>
      </c>
      <c r="D703" s="19">
        <f>MIN(D702,i_int_cap*Diligence!D139)</f>
        <v/>
      </c>
      <c r="E703" s="19">
        <f>MIN(E702,i_int_cap*Diligence!E139)</f>
        <v/>
      </c>
      <c r="F703" s="19">
        <f>MIN(F702,i_int_cap*Diligence!F139)</f>
        <v/>
      </c>
      <c r="G703" s="19">
        <f>MIN(G702,i_int_cap*Diligence!G139)</f>
        <v/>
      </c>
      <c r="H703" s="19">
        <f>MIN(H702,i_int_cap*Diligence!H139)</f>
        <v/>
      </c>
      <c r="I703" s="19">
        <f>MIN(I702,i_int_cap*Diligence!I139)</f>
        <v/>
      </c>
      <c r="J703" s="19">
        <f>MIN(J702,i_int_cap*Diligence!J139)</f>
        <v/>
      </c>
      <c r="K703" s="19">
        <f>MIN(K702,i_int_cap*Diligence!K139)</f>
        <v/>
      </c>
      <c r="L703" s="19">
        <f>MIN(L702,i_int_cap*Diligence!L139)</f>
        <v/>
      </c>
      <c r="M703" s="19">
        <f>MIN(M702,i_int_cap*Diligence!M139)</f>
        <v/>
      </c>
      <c r="N703" s="19">
        <f>MIN(N702,i_int_cap*Diligence!N139)</f>
        <v/>
      </c>
      <c r="O703" s="19">
        <f>MIN(O702,i_int_cap*Diligence!O139)</f>
        <v/>
      </c>
      <c r="P703" s="19">
        <f>MIN(P702,i_int_cap*Diligence!P139)</f>
        <v/>
      </c>
      <c r="Q703" s="19">
        <f>MIN(Q702,i_int_cap*Diligence!Q139)</f>
        <v/>
      </c>
      <c r="R703" s="19">
        <f>MIN(R702,i_int_cap*Diligence!R139)</f>
        <v/>
      </c>
      <c r="S703" s="19">
        <f>MIN(S702,i_int_cap*Diligence!S139)</f>
        <v/>
      </c>
      <c r="T703" s="19">
        <f>MIN(T702,i_int_cap*Diligence!T139)</f>
        <v/>
      </c>
      <c r="U703" s="19">
        <f>MIN(U702,i_int_cap*Diligence!U139)</f>
        <v/>
      </c>
      <c r="V703" s="19">
        <f>MIN(V702,i_int_cap*Diligence!V139)</f>
        <v/>
      </c>
      <c r="W703" s="19">
        <f>MIN(W702,i_int_cap*Diligence!W139)</f>
        <v/>
      </c>
      <c r="X703" s="19">
        <f>MIN(X702,i_int_cap*Diligence!X139)</f>
        <v/>
      </c>
      <c r="Y703" s="19">
        <f>MIN(Y702,i_int_cap*Diligence!Y139)</f>
        <v/>
      </c>
      <c r="Z703" s="19">
        <f>MIN(Z702,i_int_cap*Diligence!Z139)</f>
        <v/>
      </c>
      <c r="AA703" s="19">
        <f>MIN(AA702,i_int_cap*Diligence!AA139)</f>
        <v/>
      </c>
      <c r="AB703" s="19">
        <f>MIN(AB702,i_int_cap*Diligence!AB139)</f>
        <v/>
      </c>
      <c r="AC703" s="19">
        <f>MIN(AC702,i_int_cap*Diligence!AC139)</f>
        <v/>
      </c>
      <c r="AD703" s="19">
        <f>MIN(AD702,i_int_cap*Diligence!AD139)</f>
        <v/>
      </c>
      <c r="AE703" s="19">
        <f>MIN(AE702,i_int_cap*Diligence!AE139)</f>
        <v/>
      </c>
      <c r="AF703" s="19">
        <f>MIN(AF702,i_int_cap*Diligence!AF139)</f>
        <v/>
      </c>
      <c r="AG703" s="19">
        <f>MIN(AG702,i_int_cap*Diligence!AG139)</f>
        <v/>
      </c>
      <c r="AH703" s="19">
        <f>MIN(AH702,i_int_cap*Diligence!AH139)</f>
        <v/>
      </c>
      <c r="AI703" s="19">
        <f>MIN(AI702,i_int_cap*Diligence!AI139)</f>
        <v/>
      </c>
    </row>
    <row r="704">
      <c r="B704" s="2" t="inlineStr">
        <is>
          <t>Cash tax with the debt</t>
        </is>
      </c>
      <c r="D704" s="19">
        <f>i_tax*MAX(0,Diligence!D139-Diligence!D142-D703)</f>
        <v/>
      </c>
      <c r="E704" s="19">
        <f>i_tax*MAX(0,Diligence!E139-Diligence!E142-E703)</f>
        <v/>
      </c>
      <c r="F704" s="19">
        <f>i_tax*MAX(0,Diligence!F139-Diligence!F142-F703)</f>
        <v/>
      </c>
      <c r="G704" s="19">
        <f>i_tax*MAX(0,Diligence!G139-Diligence!G142-G703)</f>
        <v/>
      </c>
      <c r="H704" s="19">
        <f>i_tax*MAX(0,Diligence!H139-Diligence!H142-H703)</f>
        <v/>
      </c>
      <c r="I704" s="19">
        <f>i_tax*MAX(0,Diligence!I139-Diligence!I142-I703)</f>
        <v/>
      </c>
      <c r="J704" s="19">
        <f>i_tax*MAX(0,Diligence!J139-Diligence!J142-J703)</f>
        <v/>
      </c>
      <c r="K704" s="19">
        <f>i_tax*MAX(0,Diligence!K139-Diligence!K142-K703)</f>
        <v/>
      </c>
      <c r="L704" s="19">
        <f>i_tax*MAX(0,Diligence!L139-Diligence!L142-L703)</f>
        <v/>
      </c>
      <c r="M704" s="19">
        <f>i_tax*MAX(0,Diligence!M139-Diligence!M142-M703)</f>
        <v/>
      </c>
      <c r="N704" s="19">
        <f>i_tax*MAX(0,Diligence!N139-Diligence!N142-N703)</f>
        <v/>
      </c>
      <c r="O704" s="19">
        <f>i_tax*MAX(0,Diligence!O139-Diligence!O142-O703)</f>
        <v/>
      </c>
      <c r="P704" s="19">
        <f>i_tax*MAX(0,Diligence!P139-Diligence!P142-P703)</f>
        <v/>
      </c>
      <c r="Q704" s="19">
        <f>i_tax*MAX(0,Diligence!Q139-Diligence!Q142-Q703)</f>
        <v/>
      </c>
      <c r="R704" s="19">
        <f>i_tax*MAX(0,Diligence!R139-Diligence!R142-R703)</f>
        <v/>
      </c>
      <c r="S704" s="19">
        <f>i_tax*MAX(0,Diligence!S139-Diligence!S142-S703)</f>
        <v/>
      </c>
      <c r="T704" s="19">
        <f>i_tax*MAX(0,Diligence!T139-Diligence!T142-T703)</f>
        <v/>
      </c>
      <c r="U704" s="19">
        <f>i_tax*MAX(0,Diligence!U139-Diligence!U142-U703)</f>
        <v/>
      </c>
      <c r="V704" s="19">
        <f>i_tax*MAX(0,Diligence!V139-Diligence!V142-V703)</f>
        <v/>
      </c>
      <c r="W704" s="19">
        <f>i_tax*MAX(0,Diligence!W139-Diligence!W142-W703)</f>
        <v/>
      </c>
      <c r="X704" s="19">
        <f>i_tax*MAX(0,Diligence!X139-Diligence!X142-X703)</f>
        <v/>
      </c>
      <c r="Y704" s="19">
        <f>i_tax*MAX(0,Diligence!Y139-Diligence!Y142-Y703)</f>
        <v/>
      </c>
      <c r="Z704" s="19">
        <f>i_tax*MAX(0,Diligence!Z139-Diligence!Z142-Z703)</f>
        <v/>
      </c>
      <c r="AA704" s="19">
        <f>i_tax*MAX(0,Diligence!AA139-Diligence!AA142-AA703)</f>
        <v/>
      </c>
      <c r="AB704" s="19">
        <f>i_tax*MAX(0,Diligence!AB139-Diligence!AB142-AB703)</f>
        <v/>
      </c>
      <c r="AC704" s="19">
        <f>i_tax*MAX(0,Diligence!AC139-Diligence!AC142-AC703)</f>
        <v/>
      </c>
      <c r="AD704" s="19">
        <f>i_tax*MAX(0,Diligence!AD139-Diligence!AD142-AD703)</f>
        <v/>
      </c>
      <c r="AE704" s="19">
        <f>i_tax*MAX(0,Diligence!AE139-Diligence!AE142-AE703)</f>
        <v/>
      </c>
      <c r="AF704" s="19">
        <f>i_tax*MAX(0,Diligence!AF139-Diligence!AF142-AF703)</f>
        <v/>
      </c>
      <c r="AG704" s="19">
        <f>i_tax*MAX(0,Diligence!AG139-Diligence!AG142-AG703)</f>
        <v/>
      </c>
      <c r="AH704" s="19">
        <f>i_tax*MAX(0,Diligence!AH139-Diligence!AH142-AH703)</f>
        <v/>
      </c>
      <c r="AI704" s="19">
        <f>i_tax*MAX(0,Diligence!AI139-Diligence!AI142-AI703)</f>
        <v/>
      </c>
    </row>
    <row r="705">
      <c r="B705" s="3" t="inlineStr">
        <is>
          <t>Cash flow to equity (full year)</t>
        </is>
      </c>
      <c r="D705" s="31">
        <f>Diligence!D139-Diligence!D140-Diligence!D141-D704-D702-Diligence!D144</f>
        <v/>
      </c>
      <c r="E705" s="31">
        <f>Diligence!E139-Diligence!E140-Diligence!E141-E704-E702-Diligence!E144</f>
        <v/>
      </c>
      <c r="F705" s="31">
        <f>Diligence!F139-Diligence!F140-Diligence!F141-F704-F702-Diligence!F144</f>
        <v/>
      </c>
      <c r="G705" s="31">
        <f>Diligence!G139-Diligence!G140-Diligence!G141-G704-G702-Diligence!G144</f>
        <v/>
      </c>
      <c r="H705" s="31">
        <f>Diligence!H139-Diligence!H140-Diligence!H141-H704-H702-Diligence!H144</f>
        <v/>
      </c>
      <c r="I705" s="31">
        <f>Diligence!I139-Diligence!I140-Diligence!I141-I704-I702-Diligence!I144</f>
        <v/>
      </c>
      <c r="J705" s="31">
        <f>Diligence!J139-Diligence!J140-Diligence!J141-J704-J702-Diligence!J144</f>
        <v/>
      </c>
      <c r="K705" s="31">
        <f>Diligence!K139-Diligence!K140-Diligence!K141-K704-K702-Diligence!K144</f>
        <v/>
      </c>
      <c r="L705" s="31">
        <f>Diligence!L139-Diligence!L140-Diligence!L141-L704-L702-Diligence!L144</f>
        <v/>
      </c>
      <c r="M705" s="31">
        <f>Diligence!M139-Diligence!M140-Diligence!M141-M704-M702-Diligence!M144</f>
        <v/>
      </c>
      <c r="N705" s="31">
        <f>Diligence!N139-Diligence!N140-Diligence!N141-N704-N702-Diligence!N144</f>
        <v/>
      </c>
      <c r="O705" s="31">
        <f>Diligence!O139-Diligence!O140-Diligence!O141-O704-O702-Diligence!O144</f>
        <v/>
      </c>
      <c r="P705" s="31">
        <f>Diligence!P139-Diligence!P140-Diligence!P141-P704-P702-Diligence!P144</f>
        <v/>
      </c>
      <c r="Q705" s="31">
        <f>Diligence!Q139-Diligence!Q140-Diligence!Q141-Q704-Q702-Diligence!Q144</f>
        <v/>
      </c>
      <c r="R705" s="31">
        <f>Diligence!R139-Diligence!R140-Diligence!R141-R704-R702-Diligence!R144</f>
        <v/>
      </c>
      <c r="S705" s="31">
        <f>Diligence!S139-Diligence!S140-Diligence!S141-S704-S702-Diligence!S144</f>
        <v/>
      </c>
      <c r="T705" s="31">
        <f>Diligence!T139-Diligence!T140-Diligence!T141-T704-T702-Diligence!T144</f>
        <v/>
      </c>
      <c r="U705" s="31">
        <f>Diligence!U139-Diligence!U140-Diligence!U141-U704-U702-Diligence!U144</f>
        <v/>
      </c>
      <c r="V705" s="31">
        <f>Diligence!V139-Diligence!V140-Diligence!V141-V704-V702-Diligence!V144</f>
        <v/>
      </c>
      <c r="W705" s="31">
        <f>Diligence!W139-Diligence!W140-Diligence!W141-W704-W702-Diligence!W144</f>
        <v/>
      </c>
      <c r="X705" s="31">
        <f>Diligence!X139-Diligence!X140-Diligence!X141-X704-X702-Diligence!X144</f>
        <v/>
      </c>
      <c r="Y705" s="31">
        <f>Diligence!Y139-Diligence!Y140-Diligence!Y141-Y704-Y702-Diligence!Y144</f>
        <v/>
      </c>
      <c r="Z705" s="31">
        <f>Diligence!Z139-Diligence!Z140-Diligence!Z141-Z704-Z702-Diligence!Z144</f>
        <v/>
      </c>
      <c r="AA705" s="31">
        <f>Diligence!AA139-Diligence!AA140-Diligence!AA141-AA704-AA702-Diligence!AA144</f>
        <v/>
      </c>
      <c r="AB705" s="31">
        <f>Diligence!AB139-Diligence!AB140-Diligence!AB141-AB704-AB702-Diligence!AB144</f>
        <v/>
      </c>
      <c r="AC705" s="31">
        <f>Diligence!AC139-Diligence!AC140-Diligence!AC141-AC704-AC702-Diligence!AC144</f>
        <v/>
      </c>
      <c r="AD705" s="31">
        <f>Diligence!AD139-Diligence!AD140-Diligence!AD141-AD704-AD702-Diligence!AD144</f>
        <v/>
      </c>
      <c r="AE705" s="31">
        <f>Diligence!AE139-Diligence!AE140-Diligence!AE141-AE704-AE702-Diligence!AE144</f>
        <v/>
      </c>
      <c r="AF705" s="31">
        <f>Diligence!AF139-Diligence!AF140-Diligence!AF141-AF704-AF702-Diligence!AF144</f>
        <v/>
      </c>
      <c r="AG705" s="31">
        <f>Diligence!AG139-Diligence!AG140-Diligence!AG141-AG704-AG702-Diligence!AG144</f>
        <v/>
      </c>
      <c r="AH705" s="31">
        <f>Diligence!AH139-Diligence!AH140-Diligence!AH141-AH704-AH702-Diligence!AH144</f>
        <v/>
      </c>
      <c r="AI705" s="31">
        <f>Diligence!AI139-Diligence!AI140-Diligence!AI141-AI704-AI702-Diligence!AI144</f>
        <v/>
      </c>
    </row>
    <row r="706">
      <c r="B706" s="2" t="inlineStr">
        <is>
          <t>Exit EV at the end of the exit year (DCF at the exit rate)</t>
        </is>
      </c>
      <c r="C706" s="19">
        <f>SUMPRODUCT((Sensitivities!$D$3:$AI$3&gt;i_exit_year)*(Sensitivities!$D$3:$AI$3&lt;=i_last)*Diligence!$D$145:$AI$145/(1+Sensitivities!$C$653)^(Sensitivities!$D$3:$AI$3-i_exit_year))+Diligence!$AI$145/(Sensitivities!$C$653-i_g)/(1+Sensitivities!$C$653)^(i_last-i_exit_year)</f>
        <v/>
      </c>
    </row>
    <row r="707">
      <c r="B707" s="2" t="inlineStr">
        <is>
          <t>Debt at exit (bullets)</t>
        </is>
      </c>
      <c r="C707" s="19">
        <f>Sensitivities!$C$676+Sensitivities!$C$677</f>
        <v/>
      </c>
    </row>
    <row r="708">
      <c r="B708" s="3" t="inlineStr">
        <is>
          <t>Equity value at exit</t>
        </is>
      </c>
      <c r="C708" s="31">
        <f>Sensitivities!$C$706-Sensitivities!$C$707</f>
        <v/>
      </c>
    </row>
    <row r="709">
      <c r="B709" s="2" t="inlineStr">
        <is>
          <t>Minority option: EV at the end of 2031 (minority buyer's rate)</t>
        </is>
      </c>
      <c r="C709" s="19">
        <f>SUMPRODUCT((Sensitivities!$D$3:$AI$3&gt;i_min_year)*(Sensitivities!$D$3:$AI$3&lt;=i_last)*Diligence!$D$145:$AI$145/(1+i_min_r)^(Sensitivities!$D$3:$AI$3-i_min_year))+Diligence!$AI$145/(i_min_r-i_g)/(1+i_min_r)^(i_last-i_min_year)</f>
        <v/>
      </c>
    </row>
    <row r="710">
      <c r="B710" s="2" t="inlineStr">
        <is>
          <t>Minority option: equity value in 2031</t>
        </is>
      </c>
      <c r="C710" s="19">
        <f>Sensitivities!$C$709-Sensitivities!$C$707</f>
        <v/>
      </c>
    </row>
    <row r="711">
      <c r="B711" s="2" t="inlineStr">
        <is>
          <t>Minority option: proceeds of the 49 percent sold</t>
        </is>
      </c>
      <c r="C711" s="19">
        <f>Sensitivities!$C$652*i_min_share*Sensitivities!$C$710*(1-i_min_disc)</f>
        <v/>
      </c>
    </row>
    <row r="712">
      <c r="B712" s="4" t="inlineStr">
        <is>
          <t>Time of each flow (years after 31 December 2026)</t>
        </is>
      </c>
      <c r="D712" s="28">
        <f>D$4</f>
        <v/>
      </c>
      <c r="E712" s="28">
        <f>E$4</f>
        <v/>
      </c>
      <c r="F712" s="28">
        <f>F$4</f>
        <v/>
      </c>
      <c r="G712" s="28">
        <f>G$4</f>
        <v/>
      </c>
      <c r="H712" s="28">
        <f>H$4</f>
        <v/>
      </c>
      <c r="I712" s="28">
        <f>I$4</f>
        <v/>
      </c>
      <c r="J712" s="28">
        <f>J$4</f>
        <v/>
      </c>
      <c r="K712" s="28">
        <f>K$4</f>
        <v/>
      </c>
      <c r="L712" s="28">
        <f>L$4</f>
        <v/>
      </c>
      <c r="M712" s="28">
        <f>M$4</f>
        <v/>
      </c>
      <c r="N712" s="28">
        <f>N$4</f>
        <v/>
      </c>
      <c r="O712" s="28">
        <f>O$4</f>
        <v/>
      </c>
      <c r="P712" s="28">
        <f>P$4</f>
        <v/>
      </c>
      <c r="Q712" s="28">
        <f>Q$4</f>
        <v/>
      </c>
      <c r="R712" s="28">
        <f>R$4</f>
        <v/>
      </c>
      <c r="S712" s="28">
        <f>S$4</f>
        <v/>
      </c>
      <c r="T712" s="28">
        <f>T$4</f>
        <v/>
      </c>
      <c r="U712" s="28">
        <f>U$4</f>
        <v/>
      </c>
      <c r="V712" s="28">
        <f>V$4</f>
        <v/>
      </c>
      <c r="W712" s="28">
        <f>W$4</f>
        <v/>
      </c>
      <c r="X712" s="28">
        <f>X$4</f>
        <v/>
      </c>
      <c r="Y712" s="28">
        <f>Y$4</f>
        <v/>
      </c>
      <c r="Z712" s="28">
        <f>Z$4</f>
        <v/>
      </c>
      <c r="AA712" s="28">
        <f>AA$4</f>
        <v/>
      </c>
      <c r="AB712" s="28">
        <f>AB$4</f>
        <v/>
      </c>
      <c r="AC712" s="28">
        <f>AC$4</f>
        <v/>
      </c>
      <c r="AD712" s="28">
        <f>AD$4</f>
        <v/>
      </c>
      <c r="AE712" s="28">
        <f>AE$4</f>
        <v/>
      </c>
      <c r="AF712" s="28">
        <f>AF$4</f>
        <v/>
      </c>
      <c r="AG712" s="28">
        <f>AG$4</f>
        <v/>
      </c>
      <c r="AH712" s="28">
        <f>AH$4</f>
        <v/>
      </c>
      <c r="AI712" s="28">
        <f>AI$4</f>
        <v/>
      </c>
      <c r="AJ712" s="28">
        <f>Sensitivities!$C$650</f>
        <v/>
      </c>
      <c r="AK712" s="28">
        <f>i_min_year-i_base_year</f>
        <v/>
      </c>
      <c r="AL712" s="28">
        <f>i_exit_year-i_base_year</f>
        <v/>
      </c>
    </row>
    <row r="713">
      <c r="B713" s="3" t="inlineStr">
        <is>
          <t>Levered flows (equity)</t>
        </is>
      </c>
      <c r="D713" s="31">
        <f>D700*D705*IF(AND(Sensitivities!$C$652=1,D712&gt;$AK$712+1E-9),1-i_min_share,1)</f>
        <v/>
      </c>
      <c r="E713" s="31">
        <f>E700*E705*IF(AND(Sensitivities!$C$652=1,E712&gt;$AK$712+1E-9),1-i_min_share,1)</f>
        <v/>
      </c>
      <c r="F713" s="31">
        <f>F700*F705*IF(AND(Sensitivities!$C$652=1,F712&gt;$AK$712+1E-9),1-i_min_share,1)</f>
        <v/>
      </c>
      <c r="G713" s="31">
        <f>G700*G705*IF(AND(Sensitivities!$C$652=1,G712&gt;$AK$712+1E-9),1-i_min_share,1)</f>
        <v/>
      </c>
      <c r="H713" s="31">
        <f>H700*H705*IF(AND(Sensitivities!$C$652=1,H712&gt;$AK$712+1E-9),1-i_min_share,1)</f>
        <v/>
      </c>
      <c r="I713" s="31">
        <f>I700*I705*IF(AND(Sensitivities!$C$652=1,I712&gt;$AK$712+1E-9),1-i_min_share,1)</f>
        <v/>
      </c>
      <c r="J713" s="31">
        <f>J700*J705*IF(AND(Sensitivities!$C$652=1,J712&gt;$AK$712+1E-9),1-i_min_share,1)</f>
        <v/>
      </c>
      <c r="K713" s="31">
        <f>K700*K705*IF(AND(Sensitivities!$C$652=1,K712&gt;$AK$712+1E-9),1-i_min_share,1)</f>
        <v/>
      </c>
      <c r="L713" s="31">
        <f>L700*L705*IF(AND(Sensitivities!$C$652=1,L712&gt;$AK$712+1E-9),1-i_min_share,1)</f>
        <v/>
      </c>
      <c r="M713" s="31">
        <f>M700*M705*IF(AND(Sensitivities!$C$652=1,M712&gt;$AK$712+1E-9),1-i_min_share,1)</f>
        <v/>
      </c>
      <c r="N713" s="31">
        <f>N700*N705*IF(AND(Sensitivities!$C$652=1,N712&gt;$AK$712+1E-9),1-i_min_share,1)</f>
        <v/>
      </c>
      <c r="O713" s="31">
        <f>O700*O705*IF(AND(Sensitivities!$C$652=1,O712&gt;$AK$712+1E-9),1-i_min_share,1)</f>
        <v/>
      </c>
      <c r="P713" s="31">
        <f>P700*P705*IF(AND(Sensitivities!$C$652=1,P712&gt;$AK$712+1E-9),1-i_min_share,1)</f>
        <v/>
      </c>
      <c r="Q713" s="31">
        <f>Q700*Q705*IF(AND(Sensitivities!$C$652=1,Q712&gt;$AK$712+1E-9),1-i_min_share,1)</f>
        <v/>
      </c>
      <c r="R713" s="31">
        <f>R700*R705*IF(AND(Sensitivities!$C$652=1,R712&gt;$AK$712+1E-9),1-i_min_share,1)</f>
        <v/>
      </c>
      <c r="S713" s="31">
        <f>S700*S705*IF(AND(Sensitivities!$C$652=1,S712&gt;$AK$712+1E-9),1-i_min_share,1)</f>
        <v/>
      </c>
      <c r="T713" s="31">
        <f>T700*T705*IF(AND(Sensitivities!$C$652=1,T712&gt;$AK$712+1E-9),1-i_min_share,1)</f>
        <v/>
      </c>
      <c r="U713" s="31">
        <f>U700*U705*IF(AND(Sensitivities!$C$652=1,U712&gt;$AK$712+1E-9),1-i_min_share,1)</f>
        <v/>
      </c>
      <c r="V713" s="31">
        <f>V700*V705*IF(AND(Sensitivities!$C$652=1,V712&gt;$AK$712+1E-9),1-i_min_share,1)</f>
        <v/>
      </c>
      <c r="W713" s="31">
        <f>W700*W705*IF(AND(Sensitivities!$C$652=1,W712&gt;$AK$712+1E-9),1-i_min_share,1)</f>
        <v/>
      </c>
      <c r="X713" s="31">
        <f>X700*X705*IF(AND(Sensitivities!$C$652=1,X712&gt;$AK$712+1E-9),1-i_min_share,1)</f>
        <v/>
      </c>
      <c r="Y713" s="31">
        <f>Y700*Y705*IF(AND(Sensitivities!$C$652=1,Y712&gt;$AK$712+1E-9),1-i_min_share,1)</f>
        <v/>
      </c>
      <c r="Z713" s="31">
        <f>Z700*Z705*IF(AND(Sensitivities!$C$652=1,Z712&gt;$AK$712+1E-9),1-i_min_share,1)</f>
        <v/>
      </c>
      <c r="AA713" s="31">
        <f>AA700*AA705*IF(AND(Sensitivities!$C$652=1,AA712&gt;$AK$712+1E-9),1-i_min_share,1)</f>
        <v/>
      </c>
      <c r="AB713" s="31">
        <f>AB700*AB705*IF(AND(Sensitivities!$C$652=1,AB712&gt;$AK$712+1E-9),1-i_min_share,1)</f>
        <v/>
      </c>
      <c r="AC713" s="31">
        <f>AC700*AC705*IF(AND(Sensitivities!$C$652=1,AC712&gt;$AK$712+1E-9),1-i_min_share,1)</f>
        <v/>
      </c>
      <c r="AD713" s="31">
        <f>AD700*AD705*IF(AND(Sensitivities!$C$652=1,AD712&gt;$AK$712+1E-9),1-i_min_share,1)</f>
        <v/>
      </c>
      <c r="AE713" s="31">
        <f>AE700*AE705*IF(AND(Sensitivities!$C$652=1,AE712&gt;$AK$712+1E-9),1-i_min_share,1)</f>
        <v/>
      </c>
      <c r="AF713" s="31">
        <f>AF700*AF705*IF(AND(Sensitivities!$C$652=1,AF712&gt;$AK$712+1E-9),1-i_min_share,1)</f>
        <v/>
      </c>
      <c r="AG713" s="31">
        <f>AG700*AG705*IF(AND(Sensitivities!$C$652=1,AG712&gt;$AK$712+1E-9),1-i_min_share,1)</f>
        <v/>
      </c>
      <c r="AH713" s="31">
        <f>AH700*AH705*IF(AND(Sensitivities!$C$652=1,AH712&gt;$AK$712+1E-9),1-i_min_share,1)</f>
        <v/>
      </c>
      <c r="AI713" s="31">
        <f>AI700*AI705*IF(AND(Sensitivities!$C$652=1,AI712&gt;$AK$712+1E-9),1-i_min_share,1)</f>
        <v/>
      </c>
      <c r="AJ713" s="31">
        <f>-Sensitivities!$C$696</f>
        <v/>
      </c>
      <c r="AK713" s="31">
        <f>Sensitivities!$C$711</f>
        <v/>
      </c>
      <c r="AL713" s="31">
        <f>Sensitivities!$C$708*IF(Sensitivities!$C$652=1,1-i_min_share,1)</f>
        <v/>
      </c>
    </row>
    <row r="714">
      <c r="B714" s="3" t="inlineStr">
        <is>
          <t>Unlevered flows (before financing)</t>
        </is>
      </c>
      <c r="D714" s="31">
        <f>D700*Diligence!D145</f>
        <v/>
      </c>
      <c r="E714" s="31">
        <f>E700*Diligence!E145</f>
        <v/>
      </c>
      <c r="F714" s="31">
        <f>F700*Diligence!F145</f>
        <v/>
      </c>
      <c r="G714" s="31">
        <f>G700*Diligence!G145</f>
        <v/>
      </c>
      <c r="H714" s="31">
        <f>H700*Diligence!H145</f>
        <v/>
      </c>
      <c r="I714" s="31">
        <f>I700*Diligence!I145</f>
        <v/>
      </c>
      <c r="J714" s="31">
        <f>J700*Diligence!J145</f>
        <v/>
      </c>
      <c r="K714" s="31">
        <f>K700*Diligence!K145</f>
        <v/>
      </c>
      <c r="L714" s="31">
        <f>L700*Diligence!L145</f>
        <v/>
      </c>
      <c r="M714" s="31">
        <f>M700*Diligence!M145</f>
        <v/>
      </c>
      <c r="N714" s="31">
        <f>N700*Diligence!N145</f>
        <v/>
      </c>
      <c r="O714" s="31">
        <f>O700*Diligence!O145</f>
        <v/>
      </c>
      <c r="P714" s="31">
        <f>P700*Diligence!P145</f>
        <v/>
      </c>
      <c r="Q714" s="31">
        <f>Q700*Diligence!Q145</f>
        <v/>
      </c>
      <c r="R714" s="31">
        <f>R700*Diligence!R145</f>
        <v/>
      </c>
      <c r="S714" s="31">
        <f>S700*Diligence!S145</f>
        <v/>
      </c>
      <c r="T714" s="31">
        <f>T700*Diligence!T145</f>
        <v/>
      </c>
      <c r="U714" s="31">
        <f>U700*Diligence!U145</f>
        <v/>
      </c>
      <c r="V714" s="31">
        <f>V700*Diligence!V145</f>
        <v/>
      </c>
      <c r="W714" s="31">
        <f>W700*Diligence!W145</f>
        <v/>
      </c>
      <c r="X714" s="31">
        <f>X700*Diligence!X145</f>
        <v/>
      </c>
      <c r="Y714" s="31">
        <f>Y700*Diligence!Y145</f>
        <v/>
      </c>
      <c r="Z714" s="31">
        <f>Z700*Diligence!Z145</f>
        <v/>
      </c>
      <c r="AA714" s="31">
        <f>AA700*Diligence!AA145</f>
        <v/>
      </c>
      <c r="AB714" s="31">
        <f>AB700*Diligence!AB145</f>
        <v/>
      </c>
      <c r="AC714" s="31">
        <f>AC700*Diligence!AC145</f>
        <v/>
      </c>
      <c r="AD714" s="31">
        <f>AD700*Diligence!AD145</f>
        <v/>
      </c>
      <c r="AE714" s="31">
        <f>AE700*Diligence!AE145</f>
        <v/>
      </c>
      <c r="AF714" s="31">
        <f>AF700*Diligence!AF145</f>
        <v/>
      </c>
      <c r="AG714" s="31">
        <f>AG700*Diligence!AG145</f>
        <v/>
      </c>
      <c r="AH714" s="31">
        <f>AH700*Diligence!AH145</f>
        <v/>
      </c>
      <c r="AI714" s="31">
        <f>AI700*Diligence!AI145</f>
        <v/>
      </c>
      <c r="AJ714" s="31">
        <f>-(Sensitivities!$C$691-Sensitivities!$C$669-Sensitivities!$C$681)</f>
        <v/>
      </c>
      <c r="AK714" s="19" t="n">
        <v>0</v>
      </c>
      <c r="AL714" s="31">
        <f>Sensitivities!$C$706</f>
        <v/>
      </c>
    </row>
    <row r="715">
      <c r="B715" s="4" t="inlineStr">
        <is>
          <t>Levered IRR (Newton steps from 10 percent)</t>
        </is>
      </c>
      <c r="D715" s="38" t="n">
        <v>0.1</v>
      </c>
      <c r="E715" s="40">
        <f>D715-SUMPRODUCT($D$713:$AL$713,(1+D715)^(-$D$712:$AL$712))/SUMPRODUCT($D$713:$AL$713*(-$D$712:$AL$712),(1+D715)^(-$D$712:$AL$712-1))</f>
        <v/>
      </c>
      <c r="F715" s="40">
        <f>E715-SUMPRODUCT($D$713:$AL$713,(1+E715)^(-$D$712:$AL$712))/SUMPRODUCT($D$713:$AL$713*(-$D$712:$AL$712),(1+E715)^(-$D$712:$AL$712-1))</f>
        <v/>
      </c>
      <c r="G715" s="40">
        <f>F715-SUMPRODUCT($D$713:$AL$713,(1+F715)^(-$D$712:$AL$712))/SUMPRODUCT($D$713:$AL$713*(-$D$712:$AL$712),(1+F715)^(-$D$712:$AL$712-1))</f>
        <v/>
      </c>
      <c r="H715" s="40">
        <f>G715-SUMPRODUCT($D$713:$AL$713,(1+G715)^(-$D$712:$AL$712))/SUMPRODUCT($D$713:$AL$713*(-$D$712:$AL$712),(1+G715)^(-$D$712:$AL$712-1))</f>
        <v/>
      </c>
      <c r="I715" s="40">
        <f>H715-SUMPRODUCT($D$713:$AL$713,(1+H715)^(-$D$712:$AL$712))/SUMPRODUCT($D$713:$AL$713*(-$D$712:$AL$712),(1+H715)^(-$D$712:$AL$712-1))</f>
        <v/>
      </c>
      <c r="J715" s="40">
        <f>I715-SUMPRODUCT($D$713:$AL$713,(1+I715)^(-$D$712:$AL$712))/SUMPRODUCT($D$713:$AL$713*(-$D$712:$AL$712),(1+I715)^(-$D$712:$AL$712-1))</f>
        <v/>
      </c>
      <c r="K715" s="40">
        <f>J715-SUMPRODUCT($D$713:$AL$713,(1+J715)^(-$D$712:$AL$712))/SUMPRODUCT($D$713:$AL$713*(-$D$712:$AL$712),(1+J715)^(-$D$712:$AL$712-1))</f>
        <v/>
      </c>
      <c r="L715" s="40">
        <f>K715-SUMPRODUCT($D$713:$AL$713,(1+K715)^(-$D$712:$AL$712))/SUMPRODUCT($D$713:$AL$713*(-$D$712:$AL$712),(1+K715)^(-$D$712:$AL$712-1))</f>
        <v/>
      </c>
      <c r="M715" s="40">
        <f>L715-SUMPRODUCT($D$713:$AL$713,(1+L715)^(-$D$712:$AL$712))/SUMPRODUCT($D$713:$AL$713*(-$D$712:$AL$712),(1+L715)^(-$D$712:$AL$712-1))</f>
        <v/>
      </c>
      <c r="N715" s="40">
        <f>M715-SUMPRODUCT($D$713:$AL$713,(1+M715)^(-$D$712:$AL$712))/SUMPRODUCT($D$713:$AL$713*(-$D$712:$AL$712),(1+M715)^(-$D$712:$AL$712-1))</f>
        <v/>
      </c>
      <c r="O715" s="40">
        <f>N715-SUMPRODUCT($D$713:$AL$713,(1+N715)^(-$D$712:$AL$712))/SUMPRODUCT($D$713:$AL$713*(-$D$712:$AL$712),(1+N715)^(-$D$712:$AL$712-1))</f>
        <v/>
      </c>
      <c r="P715" s="40">
        <f>O715-SUMPRODUCT($D$713:$AL$713,(1+O715)^(-$D$712:$AL$712))/SUMPRODUCT($D$713:$AL$713*(-$D$712:$AL$712),(1+O715)^(-$D$712:$AL$712-1))</f>
        <v/>
      </c>
      <c r="Q715" s="40">
        <f>P715-SUMPRODUCT($D$713:$AL$713,(1+P715)^(-$D$712:$AL$712))/SUMPRODUCT($D$713:$AL$713*(-$D$712:$AL$712),(1+P715)^(-$D$712:$AL$712-1))</f>
        <v/>
      </c>
      <c r="R715" s="40">
        <f>Q715-SUMPRODUCT($D$713:$AL$713,(1+Q715)^(-$D$712:$AL$712))/SUMPRODUCT($D$713:$AL$713*(-$D$712:$AL$712),(1+Q715)^(-$D$712:$AL$712-1))</f>
        <v/>
      </c>
    </row>
    <row r="716">
      <c r="B716" s="4" t="inlineStr">
        <is>
          <t>Unlevered IRR (Newton steps from 10 percent)</t>
        </is>
      </c>
      <c r="D716" s="38" t="n">
        <v>0.1</v>
      </c>
      <c r="E716" s="40">
        <f>D716-SUMPRODUCT($D$714:$AL$714,(1+D716)^(-$D$712:$AL$712))/SUMPRODUCT($D$714:$AL$714*(-$D$712:$AL$712),(1+D716)^(-$D$712:$AL$712-1))</f>
        <v/>
      </c>
      <c r="F716" s="40">
        <f>E716-SUMPRODUCT($D$714:$AL$714,(1+E716)^(-$D$712:$AL$712))/SUMPRODUCT($D$714:$AL$714*(-$D$712:$AL$712),(1+E716)^(-$D$712:$AL$712-1))</f>
        <v/>
      </c>
      <c r="G716" s="40">
        <f>F716-SUMPRODUCT($D$714:$AL$714,(1+F716)^(-$D$712:$AL$712))/SUMPRODUCT($D$714:$AL$714*(-$D$712:$AL$712),(1+F716)^(-$D$712:$AL$712-1))</f>
        <v/>
      </c>
      <c r="H716" s="40">
        <f>G716-SUMPRODUCT($D$714:$AL$714,(1+G716)^(-$D$712:$AL$712))/SUMPRODUCT($D$714:$AL$714*(-$D$712:$AL$712),(1+G716)^(-$D$712:$AL$712-1))</f>
        <v/>
      </c>
      <c r="I716" s="40">
        <f>H716-SUMPRODUCT($D$714:$AL$714,(1+H716)^(-$D$712:$AL$712))/SUMPRODUCT($D$714:$AL$714*(-$D$712:$AL$712),(1+H716)^(-$D$712:$AL$712-1))</f>
        <v/>
      </c>
      <c r="J716" s="40">
        <f>I716-SUMPRODUCT($D$714:$AL$714,(1+I716)^(-$D$712:$AL$712))/SUMPRODUCT($D$714:$AL$714*(-$D$712:$AL$712),(1+I716)^(-$D$712:$AL$712-1))</f>
        <v/>
      </c>
      <c r="K716" s="40">
        <f>J716-SUMPRODUCT($D$714:$AL$714,(1+J716)^(-$D$712:$AL$712))/SUMPRODUCT($D$714:$AL$714*(-$D$712:$AL$712),(1+J716)^(-$D$712:$AL$712-1))</f>
        <v/>
      </c>
      <c r="L716" s="40">
        <f>K716-SUMPRODUCT($D$714:$AL$714,(1+K716)^(-$D$712:$AL$712))/SUMPRODUCT($D$714:$AL$714*(-$D$712:$AL$712),(1+K716)^(-$D$712:$AL$712-1))</f>
        <v/>
      </c>
      <c r="M716" s="40">
        <f>L716-SUMPRODUCT($D$714:$AL$714,(1+L716)^(-$D$712:$AL$712))/SUMPRODUCT($D$714:$AL$714*(-$D$712:$AL$712),(1+L716)^(-$D$712:$AL$712-1))</f>
        <v/>
      </c>
      <c r="N716" s="40">
        <f>M716-SUMPRODUCT($D$714:$AL$714,(1+M716)^(-$D$712:$AL$712))/SUMPRODUCT($D$714:$AL$714*(-$D$712:$AL$712),(1+M716)^(-$D$712:$AL$712-1))</f>
        <v/>
      </c>
      <c r="O716" s="40">
        <f>N716-SUMPRODUCT($D$714:$AL$714,(1+N716)^(-$D$712:$AL$712))/SUMPRODUCT($D$714:$AL$714*(-$D$712:$AL$712),(1+N716)^(-$D$712:$AL$712-1))</f>
        <v/>
      </c>
      <c r="P716" s="40">
        <f>O716-SUMPRODUCT($D$714:$AL$714,(1+O716)^(-$D$712:$AL$712))/SUMPRODUCT($D$714:$AL$714*(-$D$712:$AL$712),(1+O716)^(-$D$712:$AL$712-1))</f>
        <v/>
      </c>
      <c r="Q716" s="40">
        <f>P716-SUMPRODUCT($D$714:$AL$714,(1+P716)^(-$D$712:$AL$712))/SUMPRODUCT($D$714:$AL$714*(-$D$712:$AL$712),(1+P716)^(-$D$712:$AL$712-1))</f>
        <v/>
      </c>
      <c r="R716" s="40">
        <f>Q716-SUMPRODUCT($D$714:$AL$714,(1+Q716)^(-$D$712:$AL$712))/SUMPRODUCT($D$714:$AL$714*(-$D$712:$AL$712),(1+Q716)^(-$D$712:$AL$712-1))</f>
        <v/>
      </c>
    </row>
    <row r="717">
      <c r="B717" s="3" t="inlineStr">
        <is>
          <t>Levered IRR (equity)</t>
        </is>
      </c>
      <c r="C717" s="33">
        <f>R715</f>
        <v/>
      </c>
    </row>
    <row r="718">
      <c r="B718" s="3" t="inlineStr">
        <is>
          <t>Unlevered IRR</t>
        </is>
      </c>
      <c r="C718" s="33">
        <f>R716</f>
        <v/>
      </c>
    </row>
    <row r="719">
      <c r="B719" s="2" t="inlineStr">
        <is>
          <t>Check: levered NPV at the levered IRR</t>
        </is>
      </c>
      <c r="C719" s="41">
        <f>SUMPRODUCT($D$713:$AL$713,(1+Sensitivities!$C$717)^(-$D$712:$AL$712))</f>
        <v/>
      </c>
    </row>
    <row r="720">
      <c r="B720" s="2" t="inlineStr">
        <is>
          <t>Check: unlevered NPV at the unlevered IRR</t>
        </is>
      </c>
      <c r="C720" s="41">
        <f>SUMPRODUCT($D$714:$AL$714,(1+Sensitivities!$C$718)^(-$D$712:$AL$712))</f>
        <v/>
      </c>
    </row>
    <row r="721">
      <c r="B721" s="2" t="inlineStr">
        <is>
          <t>Money multiple (cash in over cash out)</t>
        </is>
      </c>
      <c r="C721" s="37">
        <f>SUMIF($D$713:$AL$713,"&gt;0")/-SUMIF($D$713:$AL$713,"&lt;0")</f>
        <v/>
      </c>
    </row>
    <row r="722">
      <c r="B722" s="2" t="inlineStr">
        <is>
          <t>Present value at the target IRR of the flows after closing</t>
        </is>
      </c>
      <c r="C722" s="19">
        <f>SUMPRODUCT($D$713:$AL$713,(1+i_hurdle)^(-$D$712:$AL$712))+Sensitivities!$C$696*(1+i_hurdle)^(-Sensitivities!$C$650)</f>
        <v/>
      </c>
    </row>
    <row r="723">
      <c r="B723" s="2" t="inlineStr">
        <is>
          <t>Equity cheque that gives exactly the target IRR</t>
        </is>
      </c>
      <c r="C723" s="19">
        <f>Sensitivities!$C$722*(1+i_hurdle)^Sensitivities!$C$650</f>
        <v/>
      </c>
    </row>
    <row r="724">
      <c r="B724" s="2" t="inlineStr">
        <is>
          <t>EV less equity price (fixed bridge items)</t>
        </is>
      </c>
      <c r="C724" s="19">
        <f>Sensitivities!$C$655-Sensitivities!$C$661</f>
        <v/>
      </c>
    </row>
    <row r="725">
      <c r="B725" s="2" t="inlineStr">
        <is>
          <t>Equity cheque items that do not move with the price</t>
        </is>
      </c>
      <c r="C725" s="19">
        <f>Sensitivities!$C$686+Sensitivities!$C$658+i_costs_adv+Sensitivities!$C$681+Sensitivities!$C$682-Sensitivities!$C$676-Sensitivities!$C$677-Sensitivities!$C$669</f>
        <v/>
      </c>
    </row>
    <row r="726">
      <c r="B726" s="2" t="inlineStr">
        <is>
          <t>Walk-away EV, first pass (HSR fee at the bid)</t>
        </is>
      </c>
      <c r="C726" s="19">
        <f>(Sensitivities!$C$723-Sensitivities!$C$725-Sensitivities!$C$679+Sensitivities!$C$724*(1+i_ticking*Sensitivities!$C$650))/(1+i_ticking*Sensitivities!$C$650+i_wi_limit_pct*i_wi_rol*(1+i_wi_ipt))</f>
        <v/>
      </c>
    </row>
    <row r="727">
      <c r="B727" s="3" t="inlineStr">
        <is>
          <t>Walk-away EV (highest EV at the target IRR)</t>
        </is>
      </c>
      <c r="C727" s="31">
        <f>(Sensitivities!$C$723-Sensitivities!$C$725-IF(Sensitivities!$C$726-Sensitivities!$C$724&lt;INDEX(i_hsr_lo,1),0,LOOKUP(Sensitivities!$C$726-Sensitivities!$C$724,i_hsr_lo,i_hsr_fee))+Sensitivities!$C$724*(1+i_ticking*Sensitivities!$C$650))/(1+i_ticking*Sensitivities!$C$650+i_wi_limit_pct*i_wi_rol*(1+i_wi_ipt))</f>
        <v/>
      </c>
    </row>
    <row r="730">
      <c r="B730" s="5" t="inlineStr">
        <is>
          <t>Deal: exit discount rate +0.5 point</t>
        </is>
      </c>
    </row>
    <row r="731">
      <c r="B731" s="4" t="inlineStr">
        <is>
          <t>Enterprise value at 31 December 2026</t>
        </is>
      </c>
      <c r="C731" s="29">
        <f>i_bid_ev</f>
        <v/>
      </c>
    </row>
    <row r="732">
      <c r="B732" s="4" t="inlineStr">
        <is>
          <t>Closing (years after 31 December 2026)</t>
        </is>
      </c>
      <c r="C732" s="28">
        <f>Inputs!$F$236</f>
        <v/>
      </c>
    </row>
    <row r="733">
      <c r="B733" s="4" t="inlineStr">
        <is>
          <t>Staple financing (1) or own debt (0)</t>
        </is>
      </c>
      <c r="C733" s="26">
        <f>0</f>
        <v/>
      </c>
    </row>
    <row r="734">
      <c r="B734" s="4" t="inlineStr">
        <is>
          <t>Minority sale in 2031 (1) or full exit (0)</t>
        </is>
      </c>
      <c r="C734" s="26">
        <f>0</f>
        <v/>
      </c>
    </row>
    <row r="735">
      <c r="B735" s="4" t="inlineStr">
        <is>
          <t>Exit discount rate</t>
        </is>
      </c>
      <c r="C735" s="38">
        <f>Inputs!$E$236</f>
        <v/>
      </c>
    </row>
    <row r="736">
      <c r="B736" s="4" t="inlineStr">
        <is>
          <t>Change in the opco rate at refinancing</t>
        </is>
      </c>
      <c r="C736" s="38">
        <f>Inputs!$D$236</f>
        <v/>
      </c>
    </row>
    <row r="737">
      <c r="B737" s="2" t="inlineStr">
        <is>
          <t>Enterprise value</t>
        </is>
      </c>
      <c r="C737" s="19">
        <f>Sensitivities!$C$731</f>
        <v/>
      </c>
    </row>
    <row r="738">
      <c r="B738" s="2" t="inlineStr">
        <is>
          <t>less existing financial debt (term loan and notes)</t>
        </is>
      </c>
      <c r="C738" s="19">
        <f>i_old_tl+i_old_notes</f>
        <v/>
      </c>
    </row>
    <row r="739">
      <c r="B739" s="2" t="inlineStr">
        <is>
          <t>less make-whole on the notes</t>
        </is>
      </c>
      <c r="C739" s="19">
        <f>i_make_whole</f>
        <v/>
      </c>
    </row>
    <row r="740">
      <c r="B740" s="2" t="inlineStr">
        <is>
          <t>less debt-like items (pension, accrued capex, 2026 tax)</t>
        </is>
      </c>
      <c r="C740" s="19">
        <f>i_pension+i_def_capex+i_acc_tax</f>
        <v/>
      </c>
    </row>
    <row r="741">
      <c r="B741" s="2" t="inlineStr">
        <is>
          <t>plus cash at the locked box date</t>
        </is>
      </c>
      <c r="C741" s="19">
        <f>i_lb_cash</f>
        <v/>
      </c>
    </row>
    <row r="742">
      <c r="B742" s="2" t="inlineStr">
        <is>
          <t>less permitted leakage</t>
        </is>
      </c>
      <c r="C742" s="19">
        <f>i_permitted_leak</f>
        <v/>
      </c>
    </row>
    <row r="743">
      <c r="B743" s="3" t="inlineStr">
        <is>
          <t>Equity price (shares and shareholder loan)</t>
        </is>
      </c>
      <c r="C743" s="31">
        <f>Sensitivities!$C$737-Sensitivities!$C$738-Sensitivities!$C$739-Sensitivities!$C$740+Sensitivities!$C$741-Sensitivities!$C$742</f>
        <v/>
      </c>
    </row>
    <row r="744">
      <c r="B744" s="2" t="inlineStr">
        <is>
          <t xml:space="preserve">  of which shareholder loan at face value</t>
        </is>
      </c>
      <c r="C744" s="19">
        <f>i_shl</f>
        <v/>
      </c>
    </row>
    <row r="745">
      <c r="B745" s="2" t="inlineStr">
        <is>
          <t xml:space="preserve">  of which shares</t>
        </is>
      </c>
      <c r="C745" s="19">
        <f>Sensitivities!$C$743-Sensitivities!$C$744</f>
        <v/>
      </c>
    </row>
    <row r="746">
      <c r="B746" s="2" t="inlineStr">
        <is>
          <t>Ticking fee to closing</t>
        </is>
      </c>
      <c r="C746" s="19">
        <f>Sensitivities!$C$743*i_ticking*Sensitivities!$C$732</f>
        <v/>
      </c>
    </row>
    <row r="747">
      <c r="B747" s="2" t="inlineStr">
        <is>
          <t>Share of the year before closing (box period)</t>
        </is>
      </c>
      <c r="D747" s="24">
        <f>IF(D$4&lt;1,0,MAX(0,MIN(1,Sensitivities!$C$732-(D$4-1))))</f>
        <v/>
      </c>
      <c r="E747" s="24">
        <f>IF(E$4&lt;1,0,MAX(0,MIN(1,Sensitivities!$C$732-(E$4-1))))</f>
        <v/>
      </c>
      <c r="F747" s="24">
        <f>IF(F$4&lt;1,0,MAX(0,MIN(1,Sensitivities!$C$732-(F$4-1))))</f>
        <v/>
      </c>
      <c r="G747" s="24">
        <f>IF(G$4&lt;1,0,MAX(0,MIN(1,Sensitivities!$C$732-(G$4-1))))</f>
        <v/>
      </c>
      <c r="H747" s="24">
        <f>IF(H$4&lt;1,0,MAX(0,MIN(1,Sensitivities!$C$732-(H$4-1))))</f>
        <v/>
      </c>
      <c r="I747" s="24">
        <f>IF(I$4&lt;1,0,MAX(0,MIN(1,Sensitivities!$C$732-(I$4-1))))</f>
        <v/>
      </c>
      <c r="J747" s="24">
        <f>IF(J$4&lt;1,0,MAX(0,MIN(1,Sensitivities!$C$732-(J$4-1))))</f>
        <v/>
      </c>
      <c r="K747" s="24">
        <f>IF(K$4&lt;1,0,MAX(0,MIN(1,Sensitivities!$C$732-(K$4-1))))</f>
        <v/>
      </c>
      <c r="L747" s="24">
        <f>IF(L$4&lt;1,0,MAX(0,MIN(1,Sensitivities!$C$732-(L$4-1))))</f>
        <v/>
      </c>
      <c r="M747" s="24">
        <f>IF(M$4&lt;1,0,MAX(0,MIN(1,Sensitivities!$C$732-(M$4-1))))</f>
        <v/>
      </c>
      <c r="N747" s="24">
        <f>IF(N$4&lt;1,0,MAX(0,MIN(1,Sensitivities!$C$732-(N$4-1))))</f>
        <v/>
      </c>
      <c r="O747" s="24">
        <f>IF(O$4&lt;1,0,MAX(0,MIN(1,Sensitivities!$C$732-(O$4-1))))</f>
        <v/>
      </c>
      <c r="P747" s="24">
        <f>IF(P$4&lt;1,0,MAX(0,MIN(1,Sensitivities!$C$732-(P$4-1))))</f>
        <v/>
      </c>
      <c r="Q747" s="24">
        <f>IF(Q$4&lt;1,0,MAX(0,MIN(1,Sensitivities!$C$732-(Q$4-1))))</f>
        <v/>
      </c>
      <c r="R747" s="24">
        <f>IF(R$4&lt;1,0,MAX(0,MIN(1,Sensitivities!$C$732-(R$4-1))))</f>
        <v/>
      </c>
      <c r="S747" s="24">
        <f>IF(S$4&lt;1,0,MAX(0,MIN(1,Sensitivities!$C$732-(S$4-1))))</f>
        <v/>
      </c>
      <c r="T747" s="24">
        <f>IF(T$4&lt;1,0,MAX(0,MIN(1,Sensitivities!$C$732-(T$4-1))))</f>
        <v/>
      </c>
      <c r="U747" s="24">
        <f>IF(U$4&lt;1,0,MAX(0,MIN(1,Sensitivities!$C$732-(U$4-1))))</f>
        <v/>
      </c>
      <c r="V747" s="24">
        <f>IF(V$4&lt;1,0,MAX(0,MIN(1,Sensitivities!$C$732-(V$4-1))))</f>
        <v/>
      </c>
      <c r="W747" s="24">
        <f>IF(W$4&lt;1,0,MAX(0,MIN(1,Sensitivities!$C$732-(W$4-1))))</f>
        <v/>
      </c>
      <c r="X747" s="24">
        <f>IF(X$4&lt;1,0,MAX(0,MIN(1,Sensitivities!$C$732-(X$4-1))))</f>
        <v/>
      </c>
      <c r="Y747" s="24">
        <f>IF(Y$4&lt;1,0,MAX(0,MIN(1,Sensitivities!$C$732-(Y$4-1))))</f>
        <v/>
      </c>
      <c r="Z747" s="24">
        <f>IF(Z$4&lt;1,0,MAX(0,MIN(1,Sensitivities!$C$732-(Z$4-1))))</f>
        <v/>
      </c>
      <c r="AA747" s="24">
        <f>IF(AA$4&lt;1,0,MAX(0,MIN(1,Sensitivities!$C$732-(AA$4-1))))</f>
        <v/>
      </c>
      <c r="AB747" s="24">
        <f>IF(AB$4&lt;1,0,MAX(0,MIN(1,Sensitivities!$C$732-(AB$4-1))))</f>
        <v/>
      </c>
      <c r="AC747" s="24">
        <f>IF(AC$4&lt;1,0,MAX(0,MIN(1,Sensitivities!$C$732-(AC$4-1))))</f>
        <v/>
      </c>
      <c r="AD747" s="24">
        <f>IF(AD$4&lt;1,0,MAX(0,MIN(1,Sensitivities!$C$732-(AD$4-1))))</f>
        <v/>
      </c>
      <c r="AE747" s="24">
        <f>IF(AE$4&lt;1,0,MAX(0,MIN(1,Sensitivities!$C$732-(AE$4-1))))</f>
        <v/>
      </c>
      <c r="AF747" s="24">
        <f>IF(AF$4&lt;1,0,MAX(0,MIN(1,Sensitivities!$C$732-(AF$4-1))))</f>
        <v/>
      </c>
      <c r="AG747" s="24">
        <f>IF(AG$4&lt;1,0,MAX(0,MIN(1,Sensitivities!$C$732-(AG$4-1))))</f>
        <v/>
      </c>
      <c r="AH747" s="24">
        <f>IF(AH$4&lt;1,0,MAX(0,MIN(1,Sensitivities!$C$732-(AH$4-1))))</f>
        <v/>
      </c>
      <c r="AI747" s="24">
        <f>IF(AI$4&lt;1,0,MAX(0,MIN(1,Sensitivities!$C$732-(AI$4-1))))</f>
        <v/>
      </c>
    </row>
    <row r="748">
      <c r="B748" s="2" t="inlineStr">
        <is>
          <t>Box cash: free cash flow less interest on the old debt</t>
        </is>
      </c>
      <c r="D748" s="19">
        <f>D747*(Diligence!D145-i_old_rate*(i_old_tl+i_old_notes))</f>
        <v/>
      </c>
      <c r="E748" s="19">
        <f>E747*(Diligence!E145-i_old_rate*(i_old_tl+i_old_notes))</f>
        <v/>
      </c>
      <c r="F748" s="19">
        <f>F747*(Diligence!F145-i_old_rate*(i_old_tl+i_old_notes))</f>
        <v/>
      </c>
      <c r="G748" s="19">
        <f>G747*(Diligence!G145-i_old_rate*(i_old_tl+i_old_notes))</f>
        <v/>
      </c>
      <c r="H748" s="19">
        <f>H747*(Diligence!H145-i_old_rate*(i_old_tl+i_old_notes))</f>
        <v/>
      </c>
      <c r="I748" s="19">
        <f>I747*(Diligence!I145-i_old_rate*(i_old_tl+i_old_notes))</f>
        <v/>
      </c>
      <c r="J748" s="19">
        <f>J747*(Diligence!J145-i_old_rate*(i_old_tl+i_old_notes))</f>
        <v/>
      </c>
      <c r="K748" s="19">
        <f>K747*(Diligence!K145-i_old_rate*(i_old_tl+i_old_notes))</f>
        <v/>
      </c>
      <c r="L748" s="19">
        <f>L747*(Diligence!L145-i_old_rate*(i_old_tl+i_old_notes))</f>
        <v/>
      </c>
      <c r="M748" s="19">
        <f>M747*(Diligence!M145-i_old_rate*(i_old_tl+i_old_notes))</f>
        <v/>
      </c>
      <c r="N748" s="19">
        <f>N747*(Diligence!N145-i_old_rate*(i_old_tl+i_old_notes))</f>
        <v/>
      </c>
      <c r="O748" s="19">
        <f>O747*(Diligence!O145-i_old_rate*(i_old_tl+i_old_notes))</f>
        <v/>
      </c>
      <c r="P748" s="19">
        <f>P747*(Diligence!P145-i_old_rate*(i_old_tl+i_old_notes))</f>
        <v/>
      </c>
      <c r="Q748" s="19">
        <f>Q747*(Diligence!Q145-i_old_rate*(i_old_tl+i_old_notes))</f>
        <v/>
      </c>
      <c r="R748" s="19">
        <f>R747*(Diligence!R145-i_old_rate*(i_old_tl+i_old_notes))</f>
        <v/>
      </c>
      <c r="S748" s="19">
        <f>S747*(Diligence!S145-i_old_rate*(i_old_tl+i_old_notes))</f>
        <v/>
      </c>
      <c r="T748" s="19">
        <f>T747*(Diligence!T145-i_old_rate*(i_old_tl+i_old_notes))</f>
        <v/>
      </c>
      <c r="U748" s="19">
        <f>U747*(Diligence!U145-i_old_rate*(i_old_tl+i_old_notes))</f>
        <v/>
      </c>
      <c r="V748" s="19">
        <f>V747*(Diligence!V145-i_old_rate*(i_old_tl+i_old_notes))</f>
        <v/>
      </c>
      <c r="W748" s="19">
        <f>W747*(Diligence!W145-i_old_rate*(i_old_tl+i_old_notes))</f>
        <v/>
      </c>
      <c r="X748" s="19">
        <f>X747*(Diligence!X145-i_old_rate*(i_old_tl+i_old_notes))</f>
        <v/>
      </c>
      <c r="Y748" s="19">
        <f>Y747*(Diligence!Y145-i_old_rate*(i_old_tl+i_old_notes))</f>
        <v/>
      </c>
      <c r="Z748" s="19">
        <f>Z747*(Diligence!Z145-i_old_rate*(i_old_tl+i_old_notes))</f>
        <v/>
      </c>
      <c r="AA748" s="19">
        <f>AA747*(Diligence!AA145-i_old_rate*(i_old_tl+i_old_notes))</f>
        <v/>
      </c>
      <c r="AB748" s="19">
        <f>AB747*(Diligence!AB145-i_old_rate*(i_old_tl+i_old_notes))</f>
        <v/>
      </c>
      <c r="AC748" s="19">
        <f>AC747*(Diligence!AC145-i_old_rate*(i_old_tl+i_old_notes))</f>
        <v/>
      </c>
      <c r="AD748" s="19">
        <f>AD747*(Diligence!AD145-i_old_rate*(i_old_tl+i_old_notes))</f>
        <v/>
      </c>
      <c r="AE748" s="19">
        <f>AE747*(Diligence!AE145-i_old_rate*(i_old_tl+i_old_notes))</f>
        <v/>
      </c>
      <c r="AF748" s="19">
        <f>AF747*(Diligence!AF145-i_old_rate*(i_old_tl+i_old_notes))</f>
        <v/>
      </c>
      <c r="AG748" s="19">
        <f>AG747*(Diligence!AG145-i_old_rate*(i_old_tl+i_old_notes))</f>
        <v/>
      </c>
      <c r="AH748" s="19">
        <f>AH747*(Diligence!AH145-i_old_rate*(i_old_tl+i_old_notes))</f>
        <v/>
      </c>
      <c r="AI748" s="19">
        <f>AI747*(Diligence!AI145-i_old_rate*(i_old_tl+i_old_notes))</f>
        <v/>
      </c>
    </row>
    <row r="749">
      <c r="B749" s="2" t="inlineStr">
        <is>
          <t>Box cash generated from 1 January 2027 to closing</t>
        </is>
      </c>
      <c r="C749" s="19">
        <f>SUM(Sensitivities!D748:AI748)</f>
        <v/>
      </c>
    </row>
    <row r="750">
      <c r="B750" s="2" t="inlineStr">
        <is>
          <t>Cash in the company at closing</t>
        </is>
      </c>
      <c r="C750" s="19">
        <f>Sensitivities!$C$741-Sensitivities!$C$742+Sensitivities!$C$749</f>
        <v/>
      </c>
    </row>
    <row r="751">
      <c r="B751" s="2" t="inlineStr">
        <is>
          <t>Cash used at closing (above operating cash)</t>
        </is>
      </c>
      <c r="C751" s="19">
        <f>Sensitivities!$C$750-i_min_cash</f>
        <v/>
      </c>
    </row>
    <row r="753">
      <c r="B753" s="3" t="inlineStr">
        <is>
          <t>Sources and uses at closing</t>
        </is>
      </c>
    </row>
    <row r="754">
      <c r="B754" s="2" t="inlineStr">
        <is>
          <t>EBITDA 2026 (sizing basis)</t>
        </is>
      </c>
      <c r="C754" s="19">
        <f>Diligence!$D$139</f>
        <v/>
      </c>
    </row>
    <row r="755">
      <c r="B755" s="2" t="inlineStr">
        <is>
          <t>Opco multiple of 2026 EBITDA</t>
        </is>
      </c>
      <c r="C755" s="37">
        <f>IF(Sensitivities!$C$733=1,i_staple_x,i_opco_x)</f>
        <v/>
      </c>
    </row>
    <row r="756">
      <c r="B756" s="2" t="inlineStr">
        <is>
          <t>Opco rate</t>
        </is>
      </c>
      <c r="C756" s="23">
        <f>IF(Sensitivities!$C$733=1,i_staple_rate,i_opco_rate)</f>
        <v/>
      </c>
    </row>
    <row r="757">
      <c r="B757" s="2" t="inlineStr">
        <is>
          <t>Opco fees</t>
        </is>
      </c>
      <c r="C757" s="23">
        <f>IF(Sensitivities!$C$733=1,i_staple_fee,i_opco_fee)</f>
        <v/>
      </c>
    </row>
    <row r="758">
      <c r="B758" s="2" t="inlineStr">
        <is>
          <t>Opco senior debt (whole $ million)</t>
        </is>
      </c>
      <c r="C758" s="19">
        <f>ROUND(Sensitivities!$C$755*Sensitivities!$C$754,0)</f>
        <v/>
      </c>
    </row>
    <row r="759">
      <c r="B759" s="2" t="inlineStr">
        <is>
          <t>Holdco debt (whole $ million)</t>
        </is>
      </c>
      <c r="C759" s="19">
        <f>ROUND(i_hold_x*Sensitivities!$C$754,0)</f>
        <v/>
      </c>
    </row>
    <row r="760">
      <c r="B760" s="2" t="inlineStr">
        <is>
          <t>W&amp;I premium with insurance premium tax</t>
        </is>
      </c>
      <c r="C760" s="35">
        <f>i_wi_limit_pct*Sensitivities!$C$737*i_wi_rol*(1+i_wi_ipt)</f>
        <v/>
      </c>
    </row>
    <row r="761">
      <c r="B761" s="2" t="inlineStr">
        <is>
          <t>HSR filing fee (on the equity price)</t>
        </is>
      </c>
      <c r="C761" s="39">
        <f>IF(Sensitivities!$C$743&lt;INDEX(i_hsr_lo,1),0,LOOKUP(Sensitivities!$C$743,i_hsr_lo,i_hsr_fee))</f>
        <v/>
      </c>
    </row>
    <row r="762">
      <c r="B762" s="2" t="inlineStr">
        <is>
          <t>Transaction costs (advisers, W&amp;I, HSR)</t>
        </is>
      </c>
      <c r="C762" s="19">
        <f>i_costs_adv+Sensitivities!$C$760+Sensitivities!$C$761</f>
        <v/>
      </c>
    </row>
    <row r="763">
      <c r="B763" s="2" t="inlineStr">
        <is>
          <t>Financing fees</t>
        </is>
      </c>
      <c r="C763" s="19">
        <f>Sensitivities!$C$757*Sensitivities!$C$758+i_hold_fee*Sensitivities!$C$759</f>
        <v/>
      </c>
    </row>
    <row r="764">
      <c r="B764" s="2" t="inlineStr">
        <is>
          <t>Commitment fees, signing to closing</t>
        </is>
      </c>
      <c r="C764" s="19">
        <f>i_commit_fee*(Sensitivities!$C$758+Sensitivities!$C$759)*MAX(0,Sensitivities!$C$732-i_t_sign)</f>
        <v/>
      </c>
    </row>
    <row r="765">
      <c r="B765" s="3" t="inlineStr">
        <is>
          <t>Uses</t>
        </is>
      </c>
    </row>
    <row r="766">
      <c r="B766" s="2" t="inlineStr">
        <is>
          <t xml:space="preserve">  Equity price</t>
        </is>
      </c>
      <c r="C766" s="19">
        <f>Sensitivities!$C$743</f>
        <v/>
      </c>
    </row>
    <row r="767">
      <c r="B767" s="2" t="inlineStr">
        <is>
          <t xml:space="preserve">  Ticking fee</t>
        </is>
      </c>
      <c r="C767" s="19">
        <f>Sensitivities!$C$746</f>
        <v/>
      </c>
    </row>
    <row r="768">
      <c r="B768" s="2" t="inlineStr">
        <is>
          <t xml:space="preserve">  Repayment of existing debt and make-whole</t>
        </is>
      </c>
      <c r="C768" s="19">
        <f>Sensitivities!$C$738+Sensitivities!$C$739</f>
        <v/>
      </c>
    </row>
    <row r="769">
      <c r="B769" s="2" t="inlineStr">
        <is>
          <t xml:space="preserve">  Debt-like items settled</t>
        </is>
      </c>
      <c r="C769" s="19">
        <f>Sensitivities!$C$740</f>
        <v/>
      </c>
    </row>
    <row r="770">
      <c r="B770" s="2" t="inlineStr">
        <is>
          <t xml:space="preserve">  Transaction costs</t>
        </is>
      </c>
      <c r="C770" s="19">
        <f>Sensitivities!$C$762</f>
        <v/>
      </c>
    </row>
    <row r="771">
      <c r="B771" s="2" t="inlineStr">
        <is>
          <t xml:space="preserve">  Financing fees</t>
        </is>
      </c>
      <c r="C771" s="19">
        <f>Sensitivities!$C$763</f>
        <v/>
      </c>
    </row>
    <row r="772">
      <c r="B772" s="2" t="inlineStr">
        <is>
          <t xml:space="preserve">  Commitment fees</t>
        </is>
      </c>
      <c r="C772" s="19">
        <f>Sensitivities!$C$764</f>
        <v/>
      </c>
    </row>
    <row r="773">
      <c r="B773" s="3" t="inlineStr">
        <is>
          <t>Total uses</t>
        </is>
      </c>
      <c r="C773" s="31">
        <f>SUM(C766:C772)</f>
        <v/>
      </c>
    </row>
    <row r="774">
      <c r="B774" s="3" t="inlineStr">
        <is>
          <t>Sources</t>
        </is>
      </c>
    </row>
    <row r="775">
      <c r="B775" s="2" t="inlineStr">
        <is>
          <t xml:space="preserve">  Opco senior debt</t>
        </is>
      </c>
      <c r="C775" s="19">
        <f>Sensitivities!$C$758</f>
        <v/>
      </c>
    </row>
    <row r="776">
      <c r="B776" s="2" t="inlineStr">
        <is>
          <t xml:space="preserve">  Holdco debt</t>
        </is>
      </c>
      <c r="C776" s="19">
        <f>Sensitivities!$C$759</f>
        <v/>
      </c>
    </row>
    <row r="777">
      <c r="B777" s="2" t="inlineStr">
        <is>
          <t xml:space="preserve">  Cash in the company at closing</t>
        </is>
      </c>
      <c r="C777" s="19">
        <f>Sensitivities!$C$751</f>
        <v/>
      </c>
    </row>
    <row r="778">
      <c r="B778" s="3" t="inlineStr">
        <is>
          <t xml:space="preserve">  Equity from the consortium</t>
        </is>
      </c>
      <c r="C778" s="31">
        <f>Sensitivities!$C$773-Sensitivities!$C$758-Sensitivities!$C$759-Sensitivities!$C$751</f>
        <v/>
      </c>
    </row>
    <row r="779">
      <c r="B779" s="3" t="inlineStr">
        <is>
          <t>Total sources</t>
        </is>
      </c>
      <c r="C779" s="31">
        <f>SUM(C775:C778)</f>
        <v/>
      </c>
    </row>
    <row r="781">
      <c r="B781" s="3" t="inlineStr">
        <is>
          <t>Flows after closing (years in columns D to AI; closing, minority sale and exit in AJ to AL)</t>
        </is>
      </c>
    </row>
    <row r="782">
      <c r="B782" s="2" t="inlineStr">
        <is>
          <t>Share of the year owned</t>
        </is>
      </c>
      <c r="D782" s="24">
        <f>IF(D$3&gt;i_exit_year,0,MIN(1,MAX(0,D$4-Sensitivities!$C$732)))</f>
        <v/>
      </c>
      <c r="E782" s="24">
        <f>IF(E$3&gt;i_exit_year,0,MIN(1,MAX(0,E$4-Sensitivities!$C$732)))</f>
        <v/>
      </c>
      <c r="F782" s="24">
        <f>IF(F$3&gt;i_exit_year,0,MIN(1,MAX(0,F$4-Sensitivities!$C$732)))</f>
        <v/>
      </c>
      <c r="G782" s="24">
        <f>IF(G$3&gt;i_exit_year,0,MIN(1,MAX(0,G$4-Sensitivities!$C$732)))</f>
        <v/>
      </c>
      <c r="H782" s="24">
        <f>IF(H$3&gt;i_exit_year,0,MIN(1,MAX(0,H$4-Sensitivities!$C$732)))</f>
        <v/>
      </c>
      <c r="I782" s="24">
        <f>IF(I$3&gt;i_exit_year,0,MIN(1,MAX(0,I$4-Sensitivities!$C$732)))</f>
        <v/>
      </c>
      <c r="J782" s="24">
        <f>IF(J$3&gt;i_exit_year,0,MIN(1,MAX(0,J$4-Sensitivities!$C$732)))</f>
        <v/>
      </c>
      <c r="K782" s="24">
        <f>IF(K$3&gt;i_exit_year,0,MIN(1,MAX(0,K$4-Sensitivities!$C$732)))</f>
        <v/>
      </c>
      <c r="L782" s="24">
        <f>IF(L$3&gt;i_exit_year,0,MIN(1,MAX(0,L$4-Sensitivities!$C$732)))</f>
        <v/>
      </c>
      <c r="M782" s="24">
        <f>IF(M$3&gt;i_exit_year,0,MIN(1,MAX(0,M$4-Sensitivities!$C$732)))</f>
        <v/>
      </c>
      <c r="N782" s="24">
        <f>IF(N$3&gt;i_exit_year,0,MIN(1,MAX(0,N$4-Sensitivities!$C$732)))</f>
        <v/>
      </c>
      <c r="O782" s="24">
        <f>IF(O$3&gt;i_exit_year,0,MIN(1,MAX(0,O$4-Sensitivities!$C$732)))</f>
        <v/>
      </c>
      <c r="P782" s="24">
        <f>IF(P$3&gt;i_exit_year,0,MIN(1,MAX(0,P$4-Sensitivities!$C$732)))</f>
        <v/>
      </c>
      <c r="Q782" s="24">
        <f>IF(Q$3&gt;i_exit_year,0,MIN(1,MAX(0,Q$4-Sensitivities!$C$732)))</f>
        <v/>
      </c>
      <c r="R782" s="24">
        <f>IF(R$3&gt;i_exit_year,0,MIN(1,MAX(0,R$4-Sensitivities!$C$732)))</f>
        <v/>
      </c>
      <c r="S782" s="24">
        <f>IF(S$3&gt;i_exit_year,0,MIN(1,MAX(0,S$4-Sensitivities!$C$732)))</f>
        <v/>
      </c>
      <c r="T782" s="24">
        <f>IF(T$3&gt;i_exit_year,0,MIN(1,MAX(0,T$4-Sensitivities!$C$732)))</f>
        <v/>
      </c>
      <c r="U782" s="24">
        <f>IF(U$3&gt;i_exit_year,0,MIN(1,MAX(0,U$4-Sensitivities!$C$732)))</f>
        <v/>
      </c>
      <c r="V782" s="24">
        <f>IF(V$3&gt;i_exit_year,0,MIN(1,MAX(0,V$4-Sensitivities!$C$732)))</f>
        <v/>
      </c>
      <c r="W782" s="24">
        <f>IF(W$3&gt;i_exit_year,0,MIN(1,MAX(0,W$4-Sensitivities!$C$732)))</f>
        <v/>
      </c>
      <c r="X782" s="24">
        <f>IF(X$3&gt;i_exit_year,0,MIN(1,MAX(0,X$4-Sensitivities!$C$732)))</f>
        <v/>
      </c>
      <c r="Y782" s="24">
        <f>IF(Y$3&gt;i_exit_year,0,MIN(1,MAX(0,Y$4-Sensitivities!$C$732)))</f>
        <v/>
      </c>
      <c r="Z782" s="24">
        <f>IF(Z$3&gt;i_exit_year,0,MIN(1,MAX(0,Z$4-Sensitivities!$C$732)))</f>
        <v/>
      </c>
      <c r="AA782" s="24">
        <f>IF(AA$3&gt;i_exit_year,0,MIN(1,MAX(0,AA$4-Sensitivities!$C$732)))</f>
        <v/>
      </c>
      <c r="AB782" s="24">
        <f>IF(AB$3&gt;i_exit_year,0,MIN(1,MAX(0,AB$4-Sensitivities!$C$732)))</f>
        <v/>
      </c>
      <c r="AC782" s="24">
        <f>IF(AC$3&gt;i_exit_year,0,MIN(1,MAX(0,AC$4-Sensitivities!$C$732)))</f>
        <v/>
      </c>
      <c r="AD782" s="24">
        <f>IF(AD$3&gt;i_exit_year,0,MIN(1,MAX(0,AD$4-Sensitivities!$C$732)))</f>
        <v/>
      </c>
      <c r="AE782" s="24">
        <f>IF(AE$3&gt;i_exit_year,0,MIN(1,MAX(0,AE$4-Sensitivities!$C$732)))</f>
        <v/>
      </c>
      <c r="AF782" s="24">
        <f>IF(AF$3&gt;i_exit_year,0,MIN(1,MAX(0,AF$4-Sensitivities!$C$732)))</f>
        <v/>
      </c>
      <c r="AG782" s="24">
        <f>IF(AG$3&gt;i_exit_year,0,MIN(1,MAX(0,AG$4-Sensitivities!$C$732)))</f>
        <v/>
      </c>
      <c r="AH782" s="24">
        <f>IF(AH$3&gt;i_exit_year,0,MIN(1,MAX(0,AH$4-Sensitivities!$C$732)))</f>
        <v/>
      </c>
      <c r="AI782" s="24">
        <f>IF(AI$3&gt;i_exit_year,0,MIN(1,MAX(0,AI$4-Sensitivities!$C$732)))</f>
        <v/>
      </c>
    </row>
    <row r="783">
      <c r="B783" s="2" t="inlineStr">
        <is>
          <t>Opco rate (refinanced after the tenor)</t>
        </is>
      </c>
      <c r="D783" s="23">
        <f>IF(D$4&lt;=Sensitivities!$C$732+i_opco_tenor,Sensitivities!$C$756,Sensitivities!$C$756+Sensitivities!$C$736)</f>
        <v/>
      </c>
      <c r="E783" s="23">
        <f>IF(E$4&lt;=Sensitivities!$C$732+i_opco_tenor,Sensitivities!$C$756,Sensitivities!$C$756+Sensitivities!$C$736)</f>
        <v/>
      </c>
      <c r="F783" s="23">
        <f>IF(F$4&lt;=Sensitivities!$C$732+i_opco_tenor,Sensitivities!$C$756,Sensitivities!$C$756+Sensitivities!$C$736)</f>
        <v/>
      </c>
      <c r="G783" s="23">
        <f>IF(G$4&lt;=Sensitivities!$C$732+i_opco_tenor,Sensitivities!$C$756,Sensitivities!$C$756+Sensitivities!$C$736)</f>
        <v/>
      </c>
      <c r="H783" s="23">
        <f>IF(H$4&lt;=Sensitivities!$C$732+i_opco_tenor,Sensitivities!$C$756,Sensitivities!$C$756+Sensitivities!$C$736)</f>
        <v/>
      </c>
      <c r="I783" s="23">
        <f>IF(I$4&lt;=Sensitivities!$C$732+i_opco_tenor,Sensitivities!$C$756,Sensitivities!$C$756+Sensitivities!$C$736)</f>
        <v/>
      </c>
      <c r="J783" s="23">
        <f>IF(J$4&lt;=Sensitivities!$C$732+i_opco_tenor,Sensitivities!$C$756,Sensitivities!$C$756+Sensitivities!$C$736)</f>
        <v/>
      </c>
      <c r="K783" s="23">
        <f>IF(K$4&lt;=Sensitivities!$C$732+i_opco_tenor,Sensitivities!$C$756,Sensitivities!$C$756+Sensitivities!$C$736)</f>
        <v/>
      </c>
      <c r="L783" s="23">
        <f>IF(L$4&lt;=Sensitivities!$C$732+i_opco_tenor,Sensitivities!$C$756,Sensitivities!$C$756+Sensitivities!$C$736)</f>
        <v/>
      </c>
      <c r="M783" s="23">
        <f>IF(M$4&lt;=Sensitivities!$C$732+i_opco_tenor,Sensitivities!$C$756,Sensitivities!$C$756+Sensitivities!$C$736)</f>
        <v/>
      </c>
      <c r="N783" s="23">
        <f>IF(N$4&lt;=Sensitivities!$C$732+i_opco_tenor,Sensitivities!$C$756,Sensitivities!$C$756+Sensitivities!$C$736)</f>
        <v/>
      </c>
      <c r="O783" s="23">
        <f>IF(O$4&lt;=Sensitivities!$C$732+i_opco_tenor,Sensitivities!$C$756,Sensitivities!$C$756+Sensitivities!$C$736)</f>
        <v/>
      </c>
      <c r="P783" s="23">
        <f>IF(P$4&lt;=Sensitivities!$C$732+i_opco_tenor,Sensitivities!$C$756,Sensitivities!$C$756+Sensitivities!$C$736)</f>
        <v/>
      </c>
      <c r="Q783" s="23">
        <f>IF(Q$4&lt;=Sensitivities!$C$732+i_opco_tenor,Sensitivities!$C$756,Sensitivities!$C$756+Sensitivities!$C$736)</f>
        <v/>
      </c>
      <c r="R783" s="23">
        <f>IF(R$4&lt;=Sensitivities!$C$732+i_opco_tenor,Sensitivities!$C$756,Sensitivities!$C$756+Sensitivities!$C$736)</f>
        <v/>
      </c>
      <c r="S783" s="23">
        <f>IF(S$4&lt;=Sensitivities!$C$732+i_opco_tenor,Sensitivities!$C$756,Sensitivities!$C$756+Sensitivities!$C$736)</f>
        <v/>
      </c>
      <c r="T783" s="23">
        <f>IF(T$4&lt;=Sensitivities!$C$732+i_opco_tenor,Sensitivities!$C$756,Sensitivities!$C$756+Sensitivities!$C$736)</f>
        <v/>
      </c>
      <c r="U783" s="23">
        <f>IF(U$4&lt;=Sensitivities!$C$732+i_opco_tenor,Sensitivities!$C$756,Sensitivities!$C$756+Sensitivities!$C$736)</f>
        <v/>
      </c>
      <c r="V783" s="23">
        <f>IF(V$4&lt;=Sensitivities!$C$732+i_opco_tenor,Sensitivities!$C$756,Sensitivities!$C$756+Sensitivities!$C$736)</f>
        <v/>
      </c>
      <c r="W783" s="23">
        <f>IF(W$4&lt;=Sensitivities!$C$732+i_opco_tenor,Sensitivities!$C$756,Sensitivities!$C$756+Sensitivities!$C$736)</f>
        <v/>
      </c>
      <c r="X783" s="23">
        <f>IF(X$4&lt;=Sensitivities!$C$732+i_opco_tenor,Sensitivities!$C$756,Sensitivities!$C$756+Sensitivities!$C$736)</f>
        <v/>
      </c>
      <c r="Y783" s="23">
        <f>IF(Y$4&lt;=Sensitivities!$C$732+i_opco_tenor,Sensitivities!$C$756,Sensitivities!$C$756+Sensitivities!$C$736)</f>
        <v/>
      </c>
      <c r="Z783" s="23">
        <f>IF(Z$4&lt;=Sensitivities!$C$732+i_opco_tenor,Sensitivities!$C$756,Sensitivities!$C$756+Sensitivities!$C$736)</f>
        <v/>
      </c>
      <c r="AA783" s="23">
        <f>IF(AA$4&lt;=Sensitivities!$C$732+i_opco_tenor,Sensitivities!$C$756,Sensitivities!$C$756+Sensitivities!$C$736)</f>
        <v/>
      </c>
      <c r="AB783" s="23">
        <f>IF(AB$4&lt;=Sensitivities!$C$732+i_opco_tenor,Sensitivities!$C$756,Sensitivities!$C$756+Sensitivities!$C$736)</f>
        <v/>
      </c>
      <c r="AC783" s="23">
        <f>IF(AC$4&lt;=Sensitivities!$C$732+i_opco_tenor,Sensitivities!$C$756,Sensitivities!$C$756+Sensitivities!$C$736)</f>
        <v/>
      </c>
      <c r="AD783" s="23">
        <f>IF(AD$4&lt;=Sensitivities!$C$732+i_opco_tenor,Sensitivities!$C$756,Sensitivities!$C$756+Sensitivities!$C$736)</f>
        <v/>
      </c>
      <c r="AE783" s="23">
        <f>IF(AE$4&lt;=Sensitivities!$C$732+i_opco_tenor,Sensitivities!$C$756,Sensitivities!$C$756+Sensitivities!$C$736)</f>
        <v/>
      </c>
      <c r="AF783" s="23">
        <f>IF(AF$4&lt;=Sensitivities!$C$732+i_opco_tenor,Sensitivities!$C$756,Sensitivities!$C$756+Sensitivities!$C$736)</f>
        <v/>
      </c>
      <c r="AG783" s="23">
        <f>IF(AG$4&lt;=Sensitivities!$C$732+i_opco_tenor,Sensitivities!$C$756,Sensitivities!$C$756+Sensitivities!$C$736)</f>
        <v/>
      </c>
      <c r="AH783" s="23">
        <f>IF(AH$4&lt;=Sensitivities!$C$732+i_opco_tenor,Sensitivities!$C$756,Sensitivities!$C$756+Sensitivities!$C$736)</f>
        <v/>
      </c>
      <c r="AI783" s="23">
        <f>IF(AI$4&lt;=Sensitivities!$C$732+i_opco_tenor,Sensitivities!$C$756,Sensitivities!$C$756+Sensitivities!$C$736)</f>
        <v/>
      </c>
    </row>
    <row r="784">
      <c r="B784" s="2" t="inlineStr">
        <is>
          <t>Interest (opco and holdco)</t>
        </is>
      </c>
      <c r="D784" s="19">
        <f>D783*Sensitivities!$C$758+i_hold_rate*Sensitivities!$C$759</f>
        <v/>
      </c>
      <c r="E784" s="19">
        <f>E783*Sensitivities!$C$758+i_hold_rate*Sensitivities!$C$759</f>
        <v/>
      </c>
      <c r="F784" s="19">
        <f>F783*Sensitivities!$C$758+i_hold_rate*Sensitivities!$C$759</f>
        <v/>
      </c>
      <c r="G784" s="19">
        <f>G783*Sensitivities!$C$758+i_hold_rate*Sensitivities!$C$759</f>
        <v/>
      </c>
      <c r="H784" s="19">
        <f>H783*Sensitivities!$C$758+i_hold_rate*Sensitivities!$C$759</f>
        <v/>
      </c>
      <c r="I784" s="19">
        <f>I783*Sensitivities!$C$758+i_hold_rate*Sensitivities!$C$759</f>
        <v/>
      </c>
      <c r="J784" s="19">
        <f>J783*Sensitivities!$C$758+i_hold_rate*Sensitivities!$C$759</f>
        <v/>
      </c>
      <c r="K784" s="19">
        <f>K783*Sensitivities!$C$758+i_hold_rate*Sensitivities!$C$759</f>
        <v/>
      </c>
      <c r="L784" s="19">
        <f>L783*Sensitivities!$C$758+i_hold_rate*Sensitivities!$C$759</f>
        <v/>
      </c>
      <c r="M784" s="19">
        <f>M783*Sensitivities!$C$758+i_hold_rate*Sensitivities!$C$759</f>
        <v/>
      </c>
      <c r="N784" s="19">
        <f>N783*Sensitivities!$C$758+i_hold_rate*Sensitivities!$C$759</f>
        <v/>
      </c>
      <c r="O784" s="19">
        <f>O783*Sensitivities!$C$758+i_hold_rate*Sensitivities!$C$759</f>
        <v/>
      </c>
      <c r="P784" s="19">
        <f>P783*Sensitivities!$C$758+i_hold_rate*Sensitivities!$C$759</f>
        <v/>
      </c>
      <c r="Q784" s="19">
        <f>Q783*Sensitivities!$C$758+i_hold_rate*Sensitivities!$C$759</f>
        <v/>
      </c>
      <c r="R784" s="19">
        <f>R783*Sensitivities!$C$758+i_hold_rate*Sensitivities!$C$759</f>
        <v/>
      </c>
      <c r="S784" s="19">
        <f>S783*Sensitivities!$C$758+i_hold_rate*Sensitivities!$C$759</f>
        <v/>
      </c>
      <c r="T784" s="19">
        <f>T783*Sensitivities!$C$758+i_hold_rate*Sensitivities!$C$759</f>
        <v/>
      </c>
      <c r="U784" s="19">
        <f>U783*Sensitivities!$C$758+i_hold_rate*Sensitivities!$C$759</f>
        <v/>
      </c>
      <c r="V784" s="19">
        <f>V783*Sensitivities!$C$758+i_hold_rate*Sensitivities!$C$759</f>
        <v/>
      </c>
      <c r="W784" s="19">
        <f>W783*Sensitivities!$C$758+i_hold_rate*Sensitivities!$C$759</f>
        <v/>
      </c>
      <c r="X784" s="19">
        <f>X783*Sensitivities!$C$758+i_hold_rate*Sensitivities!$C$759</f>
        <v/>
      </c>
      <c r="Y784" s="19">
        <f>Y783*Sensitivities!$C$758+i_hold_rate*Sensitivities!$C$759</f>
        <v/>
      </c>
      <c r="Z784" s="19">
        <f>Z783*Sensitivities!$C$758+i_hold_rate*Sensitivities!$C$759</f>
        <v/>
      </c>
      <c r="AA784" s="19">
        <f>AA783*Sensitivities!$C$758+i_hold_rate*Sensitivities!$C$759</f>
        <v/>
      </c>
      <c r="AB784" s="19">
        <f>AB783*Sensitivities!$C$758+i_hold_rate*Sensitivities!$C$759</f>
        <v/>
      </c>
      <c r="AC784" s="19">
        <f>AC783*Sensitivities!$C$758+i_hold_rate*Sensitivities!$C$759</f>
        <v/>
      </c>
      <c r="AD784" s="19">
        <f>AD783*Sensitivities!$C$758+i_hold_rate*Sensitivities!$C$759</f>
        <v/>
      </c>
      <c r="AE784" s="19">
        <f>AE783*Sensitivities!$C$758+i_hold_rate*Sensitivities!$C$759</f>
        <v/>
      </c>
      <c r="AF784" s="19">
        <f>AF783*Sensitivities!$C$758+i_hold_rate*Sensitivities!$C$759</f>
        <v/>
      </c>
      <c r="AG784" s="19">
        <f>AG783*Sensitivities!$C$758+i_hold_rate*Sensitivities!$C$759</f>
        <v/>
      </c>
      <c r="AH784" s="19">
        <f>AH783*Sensitivities!$C$758+i_hold_rate*Sensitivities!$C$759</f>
        <v/>
      </c>
      <c r="AI784" s="19">
        <f>AI783*Sensitivities!$C$758+i_hold_rate*Sensitivities!$C$759</f>
        <v/>
      </c>
    </row>
    <row r="785">
      <c r="B785" s="2" t="inlineStr">
        <is>
          <t>Deductible interest (cap on EBITDA)</t>
        </is>
      </c>
      <c r="D785" s="19">
        <f>MIN(D784,i_int_cap*Diligence!D139)</f>
        <v/>
      </c>
      <c r="E785" s="19">
        <f>MIN(E784,i_int_cap*Diligence!E139)</f>
        <v/>
      </c>
      <c r="F785" s="19">
        <f>MIN(F784,i_int_cap*Diligence!F139)</f>
        <v/>
      </c>
      <c r="G785" s="19">
        <f>MIN(G784,i_int_cap*Diligence!G139)</f>
        <v/>
      </c>
      <c r="H785" s="19">
        <f>MIN(H784,i_int_cap*Diligence!H139)</f>
        <v/>
      </c>
      <c r="I785" s="19">
        <f>MIN(I784,i_int_cap*Diligence!I139)</f>
        <v/>
      </c>
      <c r="J785" s="19">
        <f>MIN(J784,i_int_cap*Diligence!J139)</f>
        <v/>
      </c>
      <c r="K785" s="19">
        <f>MIN(K784,i_int_cap*Diligence!K139)</f>
        <v/>
      </c>
      <c r="L785" s="19">
        <f>MIN(L784,i_int_cap*Diligence!L139)</f>
        <v/>
      </c>
      <c r="M785" s="19">
        <f>MIN(M784,i_int_cap*Diligence!M139)</f>
        <v/>
      </c>
      <c r="N785" s="19">
        <f>MIN(N784,i_int_cap*Diligence!N139)</f>
        <v/>
      </c>
      <c r="O785" s="19">
        <f>MIN(O784,i_int_cap*Diligence!O139)</f>
        <v/>
      </c>
      <c r="P785" s="19">
        <f>MIN(P784,i_int_cap*Diligence!P139)</f>
        <v/>
      </c>
      <c r="Q785" s="19">
        <f>MIN(Q784,i_int_cap*Diligence!Q139)</f>
        <v/>
      </c>
      <c r="R785" s="19">
        <f>MIN(R784,i_int_cap*Diligence!R139)</f>
        <v/>
      </c>
      <c r="S785" s="19">
        <f>MIN(S784,i_int_cap*Diligence!S139)</f>
        <v/>
      </c>
      <c r="T785" s="19">
        <f>MIN(T784,i_int_cap*Diligence!T139)</f>
        <v/>
      </c>
      <c r="U785" s="19">
        <f>MIN(U784,i_int_cap*Diligence!U139)</f>
        <v/>
      </c>
      <c r="V785" s="19">
        <f>MIN(V784,i_int_cap*Diligence!V139)</f>
        <v/>
      </c>
      <c r="W785" s="19">
        <f>MIN(W784,i_int_cap*Diligence!W139)</f>
        <v/>
      </c>
      <c r="X785" s="19">
        <f>MIN(X784,i_int_cap*Diligence!X139)</f>
        <v/>
      </c>
      <c r="Y785" s="19">
        <f>MIN(Y784,i_int_cap*Diligence!Y139)</f>
        <v/>
      </c>
      <c r="Z785" s="19">
        <f>MIN(Z784,i_int_cap*Diligence!Z139)</f>
        <v/>
      </c>
      <c r="AA785" s="19">
        <f>MIN(AA784,i_int_cap*Diligence!AA139)</f>
        <v/>
      </c>
      <c r="AB785" s="19">
        <f>MIN(AB784,i_int_cap*Diligence!AB139)</f>
        <v/>
      </c>
      <c r="AC785" s="19">
        <f>MIN(AC784,i_int_cap*Diligence!AC139)</f>
        <v/>
      </c>
      <c r="AD785" s="19">
        <f>MIN(AD784,i_int_cap*Diligence!AD139)</f>
        <v/>
      </c>
      <c r="AE785" s="19">
        <f>MIN(AE784,i_int_cap*Diligence!AE139)</f>
        <v/>
      </c>
      <c r="AF785" s="19">
        <f>MIN(AF784,i_int_cap*Diligence!AF139)</f>
        <v/>
      </c>
      <c r="AG785" s="19">
        <f>MIN(AG784,i_int_cap*Diligence!AG139)</f>
        <v/>
      </c>
      <c r="AH785" s="19">
        <f>MIN(AH784,i_int_cap*Diligence!AH139)</f>
        <v/>
      </c>
      <c r="AI785" s="19">
        <f>MIN(AI784,i_int_cap*Diligence!AI139)</f>
        <v/>
      </c>
    </row>
    <row r="786">
      <c r="B786" s="2" t="inlineStr">
        <is>
          <t>Cash tax with the debt</t>
        </is>
      </c>
      <c r="D786" s="19">
        <f>i_tax*MAX(0,Diligence!D139-Diligence!D142-D785)</f>
        <v/>
      </c>
      <c r="E786" s="19">
        <f>i_tax*MAX(0,Diligence!E139-Diligence!E142-E785)</f>
        <v/>
      </c>
      <c r="F786" s="19">
        <f>i_tax*MAX(0,Diligence!F139-Diligence!F142-F785)</f>
        <v/>
      </c>
      <c r="G786" s="19">
        <f>i_tax*MAX(0,Diligence!G139-Diligence!G142-G785)</f>
        <v/>
      </c>
      <c r="H786" s="19">
        <f>i_tax*MAX(0,Diligence!H139-Diligence!H142-H785)</f>
        <v/>
      </c>
      <c r="I786" s="19">
        <f>i_tax*MAX(0,Diligence!I139-Diligence!I142-I785)</f>
        <v/>
      </c>
      <c r="J786" s="19">
        <f>i_tax*MAX(0,Diligence!J139-Diligence!J142-J785)</f>
        <v/>
      </c>
      <c r="K786" s="19">
        <f>i_tax*MAX(0,Diligence!K139-Diligence!K142-K785)</f>
        <v/>
      </c>
      <c r="L786" s="19">
        <f>i_tax*MAX(0,Diligence!L139-Diligence!L142-L785)</f>
        <v/>
      </c>
      <c r="M786" s="19">
        <f>i_tax*MAX(0,Diligence!M139-Diligence!M142-M785)</f>
        <v/>
      </c>
      <c r="N786" s="19">
        <f>i_tax*MAX(0,Diligence!N139-Diligence!N142-N785)</f>
        <v/>
      </c>
      <c r="O786" s="19">
        <f>i_tax*MAX(0,Diligence!O139-Diligence!O142-O785)</f>
        <v/>
      </c>
      <c r="P786" s="19">
        <f>i_tax*MAX(0,Diligence!P139-Diligence!P142-P785)</f>
        <v/>
      </c>
      <c r="Q786" s="19">
        <f>i_tax*MAX(0,Diligence!Q139-Diligence!Q142-Q785)</f>
        <v/>
      </c>
      <c r="R786" s="19">
        <f>i_tax*MAX(0,Diligence!R139-Diligence!R142-R785)</f>
        <v/>
      </c>
      <c r="S786" s="19">
        <f>i_tax*MAX(0,Diligence!S139-Diligence!S142-S785)</f>
        <v/>
      </c>
      <c r="T786" s="19">
        <f>i_tax*MAX(0,Diligence!T139-Diligence!T142-T785)</f>
        <v/>
      </c>
      <c r="U786" s="19">
        <f>i_tax*MAX(0,Diligence!U139-Diligence!U142-U785)</f>
        <v/>
      </c>
      <c r="V786" s="19">
        <f>i_tax*MAX(0,Diligence!V139-Diligence!V142-V785)</f>
        <v/>
      </c>
      <c r="W786" s="19">
        <f>i_tax*MAX(0,Diligence!W139-Diligence!W142-W785)</f>
        <v/>
      </c>
      <c r="X786" s="19">
        <f>i_tax*MAX(0,Diligence!X139-Diligence!X142-X785)</f>
        <v/>
      </c>
      <c r="Y786" s="19">
        <f>i_tax*MAX(0,Diligence!Y139-Diligence!Y142-Y785)</f>
        <v/>
      </c>
      <c r="Z786" s="19">
        <f>i_tax*MAX(0,Diligence!Z139-Diligence!Z142-Z785)</f>
        <v/>
      </c>
      <c r="AA786" s="19">
        <f>i_tax*MAX(0,Diligence!AA139-Diligence!AA142-AA785)</f>
        <v/>
      </c>
      <c r="AB786" s="19">
        <f>i_tax*MAX(0,Diligence!AB139-Diligence!AB142-AB785)</f>
        <v/>
      </c>
      <c r="AC786" s="19">
        <f>i_tax*MAX(0,Diligence!AC139-Diligence!AC142-AC785)</f>
        <v/>
      </c>
      <c r="AD786" s="19">
        <f>i_tax*MAX(0,Diligence!AD139-Diligence!AD142-AD785)</f>
        <v/>
      </c>
      <c r="AE786" s="19">
        <f>i_tax*MAX(0,Diligence!AE139-Diligence!AE142-AE785)</f>
        <v/>
      </c>
      <c r="AF786" s="19">
        <f>i_tax*MAX(0,Diligence!AF139-Diligence!AF142-AF785)</f>
        <v/>
      </c>
      <c r="AG786" s="19">
        <f>i_tax*MAX(0,Diligence!AG139-Diligence!AG142-AG785)</f>
        <v/>
      </c>
      <c r="AH786" s="19">
        <f>i_tax*MAX(0,Diligence!AH139-Diligence!AH142-AH785)</f>
        <v/>
      </c>
      <c r="AI786" s="19">
        <f>i_tax*MAX(0,Diligence!AI139-Diligence!AI142-AI785)</f>
        <v/>
      </c>
    </row>
    <row r="787">
      <c r="B787" s="3" t="inlineStr">
        <is>
          <t>Cash flow to equity (full year)</t>
        </is>
      </c>
      <c r="D787" s="31">
        <f>Diligence!D139-Diligence!D140-Diligence!D141-D786-D784-Diligence!D144</f>
        <v/>
      </c>
      <c r="E787" s="31">
        <f>Diligence!E139-Diligence!E140-Diligence!E141-E786-E784-Diligence!E144</f>
        <v/>
      </c>
      <c r="F787" s="31">
        <f>Diligence!F139-Diligence!F140-Diligence!F141-F786-F784-Diligence!F144</f>
        <v/>
      </c>
      <c r="G787" s="31">
        <f>Diligence!G139-Diligence!G140-Diligence!G141-G786-G784-Diligence!G144</f>
        <v/>
      </c>
      <c r="H787" s="31">
        <f>Diligence!H139-Diligence!H140-Diligence!H141-H786-H784-Diligence!H144</f>
        <v/>
      </c>
      <c r="I787" s="31">
        <f>Diligence!I139-Diligence!I140-Diligence!I141-I786-I784-Diligence!I144</f>
        <v/>
      </c>
      <c r="J787" s="31">
        <f>Diligence!J139-Diligence!J140-Diligence!J141-J786-J784-Diligence!J144</f>
        <v/>
      </c>
      <c r="K787" s="31">
        <f>Diligence!K139-Diligence!K140-Diligence!K141-K786-K784-Diligence!K144</f>
        <v/>
      </c>
      <c r="L787" s="31">
        <f>Diligence!L139-Diligence!L140-Diligence!L141-L786-L784-Diligence!L144</f>
        <v/>
      </c>
      <c r="M787" s="31">
        <f>Diligence!M139-Diligence!M140-Diligence!M141-M786-M784-Diligence!M144</f>
        <v/>
      </c>
      <c r="N787" s="31">
        <f>Diligence!N139-Diligence!N140-Diligence!N141-N786-N784-Diligence!N144</f>
        <v/>
      </c>
      <c r="O787" s="31">
        <f>Diligence!O139-Diligence!O140-Diligence!O141-O786-O784-Diligence!O144</f>
        <v/>
      </c>
      <c r="P787" s="31">
        <f>Diligence!P139-Diligence!P140-Diligence!P141-P786-P784-Diligence!P144</f>
        <v/>
      </c>
      <c r="Q787" s="31">
        <f>Diligence!Q139-Diligence!Q140-Diligence!Q141-Q786-Q784-Diligence!Q144</f>
        <v/>
      </c>
      <c r="R787" s="31">
        <f>Diligence!R139-Diligence!R140-Diligence!R141-R786-R784-Diligence!R144</f>
        <v/>
      </c>
      <c r="S787" s="31">
        <f>Diligence!S139-Diligence!S140-Diligence!S141-S786-S784-Diligence!S144</f>
        <v/>
      </c>
      <c r="T787" s="31">
        <f>Diligence!T139-Diligence!T140-Diligence!T141-T786-T784-Diligence!T144</f>
        <v/>
      </c>
      <c r="U787" s="31">
        <f>Diligence!U139-Diligence!U140-Diligence!U141-U786-U784-Diligence!U144</f>
        <v/>
      </c>
      <c r="V787" s="31">
        <f>Diligence!V139-Diligence!V140-Diligence!V141-V786-V784-Diligence!V144</f>
        <v/>
      </c>
      <c r="W787" s="31">
        <f>Diligence!W139-Diligence!W140-Diligence!W141-W786-W784-Diligence!W144</f>
        <v/>
      </c>
      <c r="X787" s="31">
        <f>Diligence!X139-Diligence!X140-Diligence!X141-X786-X784-Diligence!X144</f>
        <v/>
      </c>
      <c r="Y787" s="31">
        <f>Diligence!Y139-Diligence!Y140-Diligence!Y141-Y786-Y784-Diligence!Y144</f>
        <v/>
      </c>
      <c r="Z787" s="31">
        <f>Diligence!Z139-Diligence!Z140-Diligence!Z141-Z786-Z784-Diligence!Z144</f>
        <v/>
      </c>
      <c r="AA787" s="31">
        <f>Diligence!AA139-Diligence!AA140-Diligence!AA141-AA786-AA784-Diligence!AA144</f>
        <v/>
      </c>
      <c r="AB787" s="31">
        <f>Diligence!AB139-Diligence!AB140-Diligence!AB141-AB786-AB784-Diligence!AB144</f>
        <v/>
      </c>
      <c r="AC787" s="31">
        <f>Diligence!AC139-Diligence!AC140-Diligence!AC141-AC786-AC784-Diligence!AC144</f>
        <v/>
      </c>
      <c r="AD787" s="31">
        <f>Diligence!AD139-Diligence!AD140-Diligence!AD141-AD786-AD784-Diligence!AD144</f>
        <v/>
      </c>
      <c r="AE787" s="31">
        <f>Diligence!AE139-Diligence!AE140-Diligence!AE141-AE786-AE784-Diligence!AE144</f>
        <v/>
      </c>
      <c r="AF787" s="31">
        <f>Diligence!AF139-Diligence!AF140-Diligence!AF141-AF786-AF784-Diligence!AF144</f>
        <v/>
      </c>
      <c r="AG787" s="31">
        <f>Diligence!AG139-Diligence!AG140-Diligence!AG141-AG786-AG784-Diligence!AG144</f>
        <v/>
      </c>
      <c r="AH787" s="31">
        <f>Diligence!AH139-Diligence!AH140-Diligence!AH141-AH786-AH784-Diligence!AH144</f>
        <v/>
      </c>
      <c r="AI787" s="31">
        <f>Diligence!AI139-Diligence!AI140-Diligence!AI141-AI786-AI784-Diligence!AI144</f>
        <v/>
      </c>
    </row>
    <row r="788">
      <c r="B788" s="2" t="inlineStr">
        <is>
          <t>Exit EV at the end of the exit year (DCF at the exit rate)</t>
        </is>
      </c>
      <c r="C788" s="19">
        <f>SUMPRODUCT((Sensitivities!$D$3:$AI$3&gt;i_exit_year)*(Sensitivities!$D$3:$AI$3&lt;=i_last)*Diligence!$D$145:$AI$145/(1+Sensitivities!$C$735)^(Sensitivities!$D$3:$AI$3-i_exit_year))+Diligence!$AI$145/(Sensitivities!$C$735-i_g)/(1+Sensitivities!$C$735)^(i_last-i_exit_year)</f>
        <v/>
      </c>
    </row>
    <row r="789">
      <c r="B789" s="2" t="inlineStr">
        <is>
          <t>Debt at exit (bullets)</t>
        </is>
      </c>
      <c r="C789" s="19">
        <f>Sensitivities!$C$758+Sensitivities!$C$759</f>
        <v/>
      </c>
    </row>
    <row r="790">
      <c r="B790" s="3" t="inlineStr">
        <is>
          <t>Equity value at exit</t>
        </is>
      </c>
      <c r="C790" s="31">
        <f>Sensitivities!$C$788-Sensitivities!$C$789</f>
        <v/>
      </c>
    </row>
    <row r="791">
      <c r="B791" s="2" t="inlineStr">
        <is>
          <t>Minority option: EV at the end of 2031 (minority buyer's rate)</t>
        </is>
      </c>
      <c r="C791" s="19">
        <f>SUMPRODUCT((Sensitivities!$D$3:$AI$3&gt;i_min_year)*(Sensitivities!$D$3:$AI$3&lt;=i_last)*Diligence!$D$145:$AI$145/(1+i_min_r)^(Sensitivities!$D$3:$AI$3-i_min_year))+Diligence!$AI$145/(i_min_r-i_g)/(1+i_min_r)^(i_last-i_min_year)</f>
        <v/>
      </c>
    </row>
    <row r="792">
      <c r="B792" s="2" t="inlineStr">
        <is>
          <t>Minority option: equity value in 2031</t>
        </is>
      </c>
      <c r="C792" s="19">
        <f>Sensitivities!$C$791-Sensitivities!$C$789</f>
        <v/>
      </c>
    </row>
    <row r="793">
      <c r="B793" s="2" t="inlineStr">
        <is>
          <t>Minority option: proceeds of the 49 percent sold</t>
        </is>
      </c>
      <c r="C793" s="19">
        <f>Sensitivities!$C$734*i_min_share*Sensitivities!$C$792*(1-i_min_disc)</f>
        <v/>
      </c>
    </row>
    <row r="794">
      <c r="B794" s="4" t="inlineStr">
        <is>
          <t>Time of each flow (years after 31 December 2026)</t>
        </is>
      </c>
      <c r="D794" s="28">
        <f>D$4</f>
        <v/>
      </c>
      <c r="E794" s="28">
        <f>E$4</f>
        <v/>
      </c>
      <c r="F794" s="28">
        <f>F$4</f>
        <v/>
      </c>
      <c r="G794" s="28">
        <f>G$4</f>
        <v/>
      </c>
      <c r="H794" s="28">
        <f>H$4</f>
        <v/>
      </c>
      <c r="I794" s="28">
        <f>I$4</f>
        <v/>
      </c>
      <c r="J794" s="28">
        <f>J$4</f>
        <v/>
      </c>
      <c r="K794" s="28">
        <f>K$4</f>
        <v/>
      </c>
      <c r="L794" s="28">
        <f>L$4</f>
        <v/>
      </c>
      <c r="M794" s="28">
        <f>M$4</f>
        <v/>
      </c>
      <c r="N794" s="28">
        <f>N$4</f>
        <v/>
      </c>
      <c r="O794" s="28">
        <f>O$4</f>
        <v/>
      </c>
      <c r="P794" s="28">
        <f>P$4</f>
        <v/>
      </c>
      <c r="Q794" s="28">
        <f>Q$4</f>
        <v/>
      </c>
      <c r="R794" s="28">
        <f>R$4</f>
        <v/>
      </c>
      <c r="S794" s="28">
        <f>S$4</f>
        <v/>
      </c>
      <c r="T794" s="28">
        <f>T$4</f>
        <v/>
      </c>
      <c r="U794" s="28">
        <f>U$4</f>
        <v/>
      </c>
      <c r="V794" s="28">
        <f>V$4</f>
        <v/>
      </c>
      <c r="W794" s="28">
        <f>W$4</f>
        <v/>
      </c>
      <c r="X794" s="28">
        <f>X$4</f>
        <v/>
      </c>
      <c r="Y794" s="28">
        <f>Y$4</f>
        <v/>
      </c>
      <c r="Z794" s="28">
        <f>Z$4</f>
        <v/>
      </c>
      <c r="AA794" s="28">
        <f>AA$4</f>
        <v/>
      </c>
      <c r="AB794" s="28">
        <f>AB$4</f>
        <v/>
      </c>
      <c r="AC794" s="28">
        <f>AC$4</f>
        <v/>
      </c>
      <c r="AD794" s="28">
        <f>AD$4</f>
        <v/>
      </c>
      <c r="AE794" s="28">
        <f>AE$4</f>
        <v/>
      </c>
      <c r="AF794" s="28">
        <f>AF$4</f>
        <v/>
      </c>
      <c r="AG794" s="28">
        <f>AG$4</f>
        <v/>
      </c>
      <c r="AH794" s="28">
        <f>AH$4</f>
        <v/>
      </c>
      <c r="AI794" s="28">
        <f>AI$4</f>
        <v/>
      </c>
      <c r="AJ794" s="28">
        <f>Sensitivities!$C$732</f>
        <v/>
      </c>
      <c r="AK794" s="28">
        <f>i_min_year-i_base_year</f>
        <v/>
      </c>
      <c r="AL794" s="28">
        <f>i_exit_year-i_base_year</f>
        <v/>
      </c>
    </row>
    <row r="795">
      <c r="B795" s="3" t="inlineStr">
        <is>
          <t>Levered flows (equity)</t>
        </is>
      </c>
      <c r="D795" s="31">
        <f>D782*D787*IF(AND(Sensitivities!$C$734=1,D794&gt;$AK$794+1E-9),1-i_min_share,1)</f>
        <v/>
      </c>
      <c r="E795" s="31">
        <f>E782*E787*IF(AND(Sensitivities!$C$734=1,E794&gt;$AK$794+1E-9),1-i_min_share,1)</f>
        <v/>
      </c>
      <c r="F795" s="31">
        <f>F782*F787*IF(AND(Sensitivities!$C$734=1,F794&gt;$AK$794+1E-9),1-i_min_share,1)</f>
        <v/>
      </c>
      <c r="G795" s="31">
        <f>G782*G787*IF(AND(Sensitivities!$C$734=1,G794&gt;$AK$794+1E-9),1-i_min_share,1)</f>
        <v/>
      </c>
      <c r="H795" s="31">
        <f>H782*H787*IF(AND(Sensitivities!$C$734=1,H794&gt;$AK$794+1E-9),1-i_min_share,1)</f>
        <v/>
      </c>
      <c r="I795" s="31">
        <f>I782*I787*IF(AND(Sensitivities!$C$734=1,I794&gt;$AK$794+1E-9),1-i_min_share,1)</f>
        <v/>
      </c>
      <c r="J795" s="31">
        <f>J782*J787*IF(AND(Sensitivities!$C$734=1,J794&gt;$AK$794+1E-9),1-i_min_share,1)</f>
        <v/>
      </c>
      <c r="K795" s="31">
        <f>K782*K787*IF(AND(Sensitivities!$C$734=1,K794&gt;$AK$794+1E-9),1-i_min_share,1)</f>
        <v/>
      </c>
      <c r="L795" s="31">
        <f>L782*L787*IF(AND(Sensitivities!$C$734=1,L794&gt;$AK$794+1E-9),1-i_min_share,1)</f>
        <v/>
      </c>
      <c r="M795" s="31">
        <f>M782*M787*IF(AND(Sensitivities!$C$734=1,M794&gt;$AK$794+1E-9),1-i_min_share,1)</f>
        <v/>
      </c>
      <c r="N795" s="31">
        <f>N782*N787*IF(AND(Sensitivities!$C$734=1,N794&gt;$AK$794+1E-9),1-i_min_share,1)</f>
        <v/>
      </c>
      <c r="O795" s="31">
        <f>O782*O787*IF(AND(Sensitivities!$C$734=1,O794&gt;$AK$794+1E-9),1-i_min_share,1)</f>
        <v/>
      </c>
      <c r="P795" s="31">
        <f>P782*P787*IF(AND(Sensitivities!$C$734=1,P794&gt;$AK$794+1E-9),1-i_min_share,1)</f>
        <v/>
      </c>
      <c r="Q795" s="31">
        <f>Q782*Q787*IF(AND(Sensitivities!$C$734=1,Q794&gt;$AK$794+1E-9),1-i_min_share,1)</f>
        <v/>
      </c>
      <c r="R795" s="31">
        <f>R782*R787*IF(AND(Sensitivities!$C$734=1,R794&gt;$AK$794+1E-9),1-i_min_share,1)</f>
        <v/>
      </c>
      <c r="S795" s="31">
        <f>S782*S787*IF(AND(Sensitivities!$C$734=1,S794&gt;$AK$794+1E-9),1-i_min_share,1)</f>
        <v/>
      </c>
      <c r="T795" s="31">
        <f>T782*T787*IF(AND(Sensitivities!$C$734=1,T794&gt;$AK$794+1E-9),1-i_min_share,1)</f>
        <v/>
      </c>
      <c r="U795" s="31">
        <f>U782*U787*IF(AND(Sensitivities!$C$734=1,U794&gt;$AK$794+1E-9),1-i_min_share,1)</f>
        <v/>
      </c>
      <c r="V795" s="31">
        <f>V782*V787*IF(AND(Sensitivities!$C$734=1,V794&gt;$AK$794+1E-9),1-i_min_share,1)</f>
        <v/>
      </c>
      <c r="W795" s="31">
        <f>W782*W787*IF(AND(Sensitivities!$C$734=1,W794&gt;$AK$794+1E-9),1-i_min_share,1)</f>
        <v/>
      </c>
      <c r="X795" s="31">
        <f>X782*X787*IF(AND(Sensitivities!$C$734=1,X794&gt;$AK$794+1E-9),1-i_min_share,1)</f>
        <v/>
      </c>
      <c r="Y795" s="31">
        <f>Y782*Y787*IF(AND(Sensitivities!$C$734=1,Y794&gt;$AK$794+1E-9),1-i_min_share,1)</f>
        <v/>
      </c>
      <c r="Z795" s="31">
        <f>Z782*Z787*IF(AND(Sensitivities!$C$734=1,Z794&gt;$AK$794+1E-9),1-i_min_share,1)</f>
        <v/>
      </c>
      <c r="AA795" s="31">
        <f>AA782*AA787*IF(AND(Sensitivities!$C$734=1,AA794&gt;$AK$794+1E-9),1-i_min_share,1)</f>
        <v/>
      </c>
      <c r="AB795" s="31">
        <f>AB782*AB787*IF(AND(Sensitivities!$C$734=1,AB794&gt;$AK$794+1E-9),1-i_min_share,1)</f>
        <v/>
      </c>
      <c r="AC795" s="31">
        <f>AC782*AC787*IF(AND(Sensitivities!$C$734=1,AC794&gt;$AK$794+1E-9),1-i_min_share,1)</f>
        <v/>
      </c>
      <c r="AD795" s="31">
        <f>AD782*AD787*IF(AND(Sensitivities!$C$734=1,AD794&gt;$AK$794+1E-9),1-i_min_share,1)</f>
        <v/>
      </c>
      <c r="AE795" s="31">
        <f>AE782*AE787*IF(AND(Sensitivities!$C$734=1,AE794&gt;$AK$794+1E-9),1-i_min_share,1)</f>
        <v/>
      </c>
      <c r="AF795" s="31">
        <f>AF782*AF787*IF(AND(Sensitivities!$C$734=1,AF794&gt;$AK$794+1E-9),1-i_min_share,1)</f>
        <v/>
      </c>
      <c r="AG795" s="31">
        <f>AG782*AG787*IF(AND(Sensitivities!$C$734=1,AG794&gt;$AK$794+1E-9),1-i_min_share,1)</f>
        <v/>
      </c>
      <c r="AH795" s="31">
        <f>AH782*AH787*IF(AND(Sensitivities!$C$734=1,AH794&gt;$AK$794+1E-9),1-i_min_share,1)</f>
        <v/>
      </c>
      <c r="AI795" s="31">
        <f>AI782*AI787*IF(AND(Sensitivities!$C$734=1,AI794&gt;$AK$794+1E-9),1-i_min_share,1)</f>
        <v/>
      </c>
      <c r="AJ795" s="31">
        <f>-Sensitivities!$C$778</f>
        <v/>
      </c>
      <c r="AK795" s="31">
        <f>Sensitivities!$C$793</f>
        <v/>
      </c>
      <c r="AL795" s="31">
        <f>Sensitivities!$C$790*IF(Sensitivities!$C$734=1,1-i_min_share,1)</f>
        <v/>
      </c>
    </row>
    <row r="796">
      <c r="B796" s="3" t="inlineStr">
        <is>
          <t>Unlevered flows (before financing)</t>
        </is>
      </c>
      <c r="D796" s="31">
        <f>D782*Diligence!D145</f>
        <v/>
      </c>
      <c r="E796" s="31">
        <f>E782*Diligence!E145</f>
        <v/>
      </c>
      <c r="F796" s="31">
        <f>F782*Diligence!F145</f>
        <v/>
      </c>
      <c r="G796" s="31">
        <f>G782*Diligence!G145</f>
        <v/>
      </c>
      <c r="H796" s="31">
        <f>H782*Diligence!H145</f>
        <v/>
      </c>
      <c r="I796" s="31">
        <f>I782*Diligence!I145</f>
        <v/>
      </c>
      <c r="J796" s="31">
        <f>J782*Diligence!J145</f>
        <v/>
      </c>
      <c r="K796" s="31">
        <f>K782*Diligence!K145</f>
        <v/>
      </c>
      <c r="L796" s="31">
        <f>L782*Diligence!L145</f>
        <v/>
      </c>
      <c r="M796" s="31">
        <f>M782*Diligence!M145</f>
        <v/>
      </c>
      <c r="N796" s="31">
        <f>N782*Diligence!N145</f>
        <v/>
      </c>
      <c r="O796" s="31">
        <f>O782*Diligence!O145</f>
        <v/>
      </c>
      <c r="P796" s="31">
        <f>P782*Diligence!P145</f>
        <v/>
      </c>
      <c r="Q796" s="31">
        <f>Q782*Diligence!Q145</f>
        <v/>
      </c>
      <c r="R796" s="31">
        <f>R782*Diligence!R145</f>
        <v/>
      </c>
      <c r="S796" s="31">
        <f>S782*Diligence!S145</f>
        <v/>
      </c>
      <c r="T796" s="31">
        <f>T782*Diligence!T145</f>
        <v/>
      </c>
      <c r="U796" s="31">
        <f>U782*Diligence!U145</f>
        <v/>
      </c>
      <c r="V796" s="31">
        <f>V782*Diligence!V145</f>
        <v/>
      </c>
      <c r="W796" s="31">
        <f>W782*Diligence!W145</f>
        <v/>
      </c>
      <c r="X796" s="31">
        <f>X782*Diligence!X145</f>
        <v/>
      </c>
      <c r="Y796" s="31">
        <f>Y782*Diligence!Y145</f>
        <v/>
      </c>
      <c r="Z796" s="31">
        <f>Z782*Diligence!Z145</f>
        <v/>
      </c>
      <c r="AA796" s="31">
        <f>AA782*Diligence!AA145</f>
        <v/>
      </c>
      <c r="AB796" s="31">
        <f>AB782*Diligence!AB145</f>
        <v/>
      </c>
      <c r="AC796" s="31">
        <f>AC782*Diligence!AC145</f>
        <v/>
      </c>
      <c r="AD796" s="31">
        <f>AD782*Diligence!AD145</f>
        <v/>
      </c>
      <c r="AE796" s="31">
        <f>AE782*Diligence!AE145</f>
        <v/>
      </c>
      <c r="AF796" s="31">
        <f>AF782*Diligence!AF145</f>
        <v/>
      </c>
      <c r="AG796" s="31">
        <f>AG782*Diligence!AG145</f>
        <v/>
      </c>
      <c r="AH796" s="31">
        <f>AH782*Diligence!AH145</f>
        <v/>
      </c>
      <c r="AI796" s="31">
        <f>AI782*Diligence!AI145</f>
        <v/>
      </c>
      <c r="AJ796" s="31">
        <f>-(Sensitivities!$C$773-Sensitivities!$C$751-Sensitivities!$C$763)</f>
        <v/>
      </c>
      <c r="AK796" s="19" t="n">
        <v>0</v>
      </c>
      <c r="AL796" s="31">
        <f>Sensitivities!$C$788</f>
        <v/>
      </c>
    </row>
    <row r="797">
      <c r="B797" s="4" t="inlineStr">
        <is>
          <t>Levered IRR (Newton steps from 10 percent)</t>
        </is>
      </c>
      <c r="D797" s="38" t="n">
        <v>0.1</v>
      </c>
      <c r="E797" s="40">
        <f>D797-SUMPRODUCT($D$795:$AL$795,(1+D797)^(-$D$794:$AL$794))/SUMPRODUCT($D$795:$AL$795*(-$D$794:$AL$794),(1+D797)^(-$D$794:$AL$794-1))</f>
        <v/>
      </c>
      <c r="F797" s="40">
        <f>E797-SUMPRODUCT($D$795:$AL$795,(1+E797)^(-$D$794:$AL$794))/SUMPRODUCT($D$795:$AL$795*(-$D$794:$AL$794),(1+E797)^(-$D$794:$AL$794-1))</f>
        <v/>
      </c>
      <c r="G797" s="40">
        <f>F797-SUMPRODUCT($D$795:$AL$795,(1+F797)^(-$D$794:$AL$794))/SUMPRODUCT($D$795:$AL$795*(-$D$794:$AL$794),(1+F797)^(-$D$794:$AL$794-1))</f>
        <v/>
      </c>
      <c r="H797" s="40">
        <f>G797-SUMPRODUCT($D$795:$AL$795,(1+G797)^(-$D$794:$AL$794))/SUMPRODUCT($D$795:$AL$795*(-$D$794:$AL$794),(1+G797)^(-$D$794:$AL$794-1))</f>
        <v/>
      </c>
      <c r="I797" s="40">
        <f>H797-SUMPRODUCT($D$795:$AL$795,(1+H797)^(-$D$794:$AL$794))/SUMPRODUCT($D$795:$AL$795*(-$D$794:$AL$794),(1+H797)^(-$D$794:$AL$794-1))</f>
        <v/>
      </c>
      <c r="J797" s="40">
        <f>I797-SUMPRODUCT($D$795:$AL$795,(1+I797)^(-$D$794:$AL$794))/SUMPRODUCT($D$795:$AL$795*(-$D$794:$AL$794),(1+I797)^(-$D$794:$AL$794-1))</f>
        <v/>
      </c>
      <c r="K797" s="40">
        <f>J797-SUMPRODUCT($D$795:$AL$795,(1+J797)^(-$D$794:$AL$794))/SUMPRODUCT($D$795:$AL$795*(-$D$794:$AL$794),(1+J797)^(-$D$794:$AL$794-1))</f>
        <v/>
      </c>
      <c r="L797" s="40">
        <f>K797-SUMPRODUCT($D$795:$AL$795,(1+K797)^(-$D$794:$AL$794))/SUMPRODUCT($D$795:$AL$795*(-$D$794:$AL$794),(1+K797)^(-$D$794:$AL$794-1))</f>
        <v/>
      </c>
      <c r="M797" s="40">
        <f>L797-SUMPRODUCT($D$795:$AL$795,(1+L797)^(-$D$794:$AL$794))/SUMPRODUCT($D$795:$AL$795*(-$D$794:$AL$794),(1+L797)^(-$D$794:$AL$794-1))</f>
        <v/>
      </c>
      <c r="N797" s="40">
        <f>M797-SUMPRODUCT($D$795:$AL$795,(1+M797)^(-$D$794:$AL$794))/SUMPRODUCT($D$795:$AL$795*(-$D$794:$AL$794),(1+M797)^(-$D$794:$AL$794-1))</f>
        <v/>
      </c>
      <c r="O797" s="40">
        <f>N797-SUMPRODUCT($D$795:$AL$795,(1+N797)^(-$D$794:$AL$794))/SUMPRODUCT($D$795:$AL$795*(-$D$794:$AL$794),(1+N797)^(-$D$794:$AL$794-1))</f>
        <v/>
      </c>
      <c r="P797" s="40">
        <f>O797-SUMPRODUCT($D$795:$AL$795,(1+O797)^(-$D$794:$AL$794))/SUMPRODUCT($D$795:$AL$795*(-$D$794:$AL$794),(1+O797)^(-$D$794:$AL$794-1))</f>
        <v/>
      </c>
      <c r="Q797" s="40">
        <f>P797-SUMPRODUCT($D$795:$AL$795,(1+P797)^(-$D$794:$AL$794))/SUMPRODUCT($D$795:$AL$795*(-$D$794:$AL$794),(1+P797)^(-$D$794:$AL$794-1))</f>
        <v/>
      </c>
      <c r="R797" s="40">
        <f>Q797-SUMPRODUCT($D$795:$AL$795,(1+Q797)^(-$D$794:$AL$794))/SUMPRODUCT($D$795:$AL$795*(-$D$794:$AL$794),(1+Q797)^(-$D$794:$AL$794-1))</f>
        <v/>
      </c>
    </row>
    <row r="798">
      <c r="B798" s="4" t="inlineStr">
        <is>
          <t>Unlevered IRR (Newton steps from 10 percent)</t>
        </is>
      </c>
      <c r="D798" s="38" t="n">
        <v>0.1</v>
      </c>
      <c r="E798" s="40">
        <f>D798-SUMPRODUCT($D$796:$AL$796,(1+D798)^(-$D$794:$AL$794))/SUMPRODUCT($D$796:$AL$796*(-$D$794:$AL$794),(1+D798)^(-$D$794:$AL$794-1))</f>
        <v/>
      </c>
      <c r="F798" s="40">
        <f>E798-SUMPRODUCT($D$796:$AL$796,(1+E798)^(-$D$794:$AL$794))/SUMPRODUCT($D$796:$AL$796*(-$D$794:$AL$794),(1+E798)^(-$D$794:$AL$794-1))</f>
        <v/>
      </c>
      <c r="G798" s="40">
        <f>F798-SUMPRODUCT($D$796:$AL$796,(1+F798)^(-$D$794:$AL$794))/SUMPRODUCT($D$796:$AL$796*(-$D$794:$AL$794),(1+F798)^(-$D$794:$AL$794-1))</f>
        <v/>
      </c>
      <c r="H798" s="40">
        <f>G798-SUMPRODUCT($D$796:$AL$796,(1+G798)^(-$D$794:$AL$794))/SUMPRODUCT($D$796:$AL$796*(-$D$794:$AL$794),(1+G798)^(-$D$794:$AL$794-1))</f>
        <v/>
      </c>
      <c r="I798" s="40">
        <f>H798-SUMPRODUCT($D$796:$AL$796,(1+H798)^(-$D$794:$AL$794))/SUMPRODUCT($D$796:$AL$796*(-$D$794:$AL$794),(1+H798)^(-$D$794:$AL$794-1))</f>
        <v/>
      </c>
      <c r="J798" s="40">
        <f>I798-SUMPRODUCT($D$796:$AL$796,(1+I798)^(-$D$794:$AL$794))/SUMPRODUCT($D$796:$AL$796*(-$D$794:$AL$794),(1+I798)^(-$D$794:$AL$794-1))</f>
        <v/>
      </c>
      <c r="K798" s="40">
        <f>J798-SUMPRODUCT($D$796:$AL$796,(1+J798)^(-$D$794:$AL$794))/SUMPRODUCT($D$796:$AL$796*(-$D$794:$AL$794),(1+J798)^(-$D$794:$AL$794-1))</f>
        <v/>
      </c>
      <c r="L798" s="40">
        <f>K798-SUMPRODUCT($D$796:$AL$796,(1+K798)^(-$D$794:$AL$794))/SUMPRODUCT($D$796:$AL$796*(-$D$794:$AL$794),(1+K798)^(-$D$794:$AL$794-1))</f>
        <v/>
      </c>
      <c r="M798" s="40">
        <f>L798-SUMPRODUCT($D$796:$AL$796,(1+L798)^(-$D$794:$AL$794))/SUMPRODUCT($D$796:$AL$796*(-$D$794:$AL$794),(1+L798)^(-$D$794:$AL$794-1))</f>
        <v/>
      </c>
      <c r="N798" s="40">
        <f>M798-SUMPRODUCT($D$796:$AL$796,(1+M798)^(-$D$794:$AL$794))/SUMPRODUCT($D$796:$AL$796*(-$D$794:$AL$794),(1+M798)^(-$D$794:$AL$794-1))</f>
        <v/>
      </c>
      <c r="O798" s="40">
        <f>N798-SUMPRODUCT($D$796:$AL$796,(1+N798)^(-$D$794:$AL$794))/SUMPRODUCT($D$796:$AL$796*(-$D$794:$AL$794),(1+N798)^(-$D$794:$AL$794-1))</f>
        <v/>
      </c>
      <c r="P798" s="40">
        <f>O798-SUMPRODUCT($D$796:$AL$796,(1+O798)^(-$D$794:$AL$794))/SUMPRODUCT($D$796:$AL$796*(-$D$794:$AL$794),(1+O798)^(-$D$794:$AL$794-1))</f>
        <v/>
      </c>
      <c r="Q798" s="40">
        <f>P798-SUMPRODUCT($D$796:$AL$796,(1+P798)^(-$D$794:$AL$794))/SUMPRODUCT($D$796:$AL$796*(-$D$794:$AL$794),(1+P798)^(-$D$794:$AL$794-1))</f>
        <v/>
      </c>
      <c r="R798" s="40">
        <f>Q798-SUMPRODUCT($D$796:$AL$796,(1+Q798)^(-$D$794:$AL$794))/SUMPRODUCT($D$796:$AL$796*(-$D$794:$AL$794),(1+Q798)^(-$D$794:$AL$794-1))</f>
        <v/>
      </c>
    </row>
    <row r="799">
      <c r="B799" s="3" t="inlineStr">
        <is>
          <t>Levered IRR (equity)</t>
        </is>
      </c>
      <c r="C799" s="33">
        <f>R797</f>
        <v/>
      </c>
    </row>
    <row r="800">
      <c r="B800" s="3" t="inlineStr">
        <is>
          <t>Unlevered IRR</t>
        </is>
      </c>
      <c r="C800" s="33">
        <f>R798</f>
        <v/>
      </c>
    </row>
    <row r="801">
      <c r="B801" s="2" t="inlineStr">
        <is>
          <t>Check: levered NPV at the levered IRR</t>
        </is>
      </c>
      <c r="C801" s="41">
        <f>SUMPRODUCT($D$795:$AL$795,(1+Sensitivities!$C$799)^(-$D$794:$AL$794))</f>
        <v/>
      </c>
    </row>
    <row r="802">
      <c r="B802" s="2" t="inlineStr">
        <is>
          <t>Check: unlevered NPV at the unlevered IRR</t>
        </is>
      </c>
      <c r="C802" s="41">
        <f>SUMPRODUCT($D$796:$AL$796,(1+Sensitivities!$C$800)^(-$D$794:$AL$794))</f>
        <v/>
      </c>
    </row>
    <row r="803">
      <c r="B803" s="2" t="inlineStr">
        <is>
          <t>Money multiple (cash in over cash out)</t>
        </is>
      </c>
      <c r="C803" s="37">
        <f>SUMIF($D$795:$AL$795,"&gt;0")/-SUMIF($D$795:$AL$795,"&lt;0")</f>
        <v/>
      </c>
    </row>
    <row r="804">
      <c r="B804" s="2" t="inlineStr">
        <is>
          <t>Present value at the target IRR of the flows after closing</t>
        </is>
      </c>
      <c r="C804" s="19">
        <f>SUMPRODUCT($D$795:$AL$795,(1+i_hurdle)^(-$D$794:$AL$794))+Sensitivities!$C$778*(1+i_hurdle)^(-Sensitivities!$C$732)</f>
        <v/>
      </c>
    </row>
    <row r="805">
      <c r="B805" s="2" t="inlineStr">
        <is>
          <t>Equity cheque that gives exactly the target IRR</t>
        </is>
      </c>
      <c r="C805" s="19">
        <f>Sensitivities!$C$804*(1+i_hurdle)^Sensitivities!$C$732</f>
        <v/>
      </c>
    </row>
    <row r="806">
      <c r="B806" s="2" t="inlineStr">
        <is>
          <t>EV less equity price (fixed bridge items)</t>
        </is>
      </c>
      <c r="C806" s="19">
        <f>Sensitivities!$C$737-Sensitivities!$C$743</f>
        <v/>
      </c>
    </row>
    <row r="807">
      <c r="B807" s="2" t="inlineStr">
        <is>
          <t>Equity cheque items that do not move with the price</t>
        </is>
      </c>
      <c r="C807" s="19">
        <f>Sensitivities!$C$768+Sensitivities!$C$740+i_costs_adv+Sensitivities!$C$763+Sensitivities!$C$764-Sensitivities!$C$758-Sensitivities!$C$759-Sensitivities!$C$751</f>
        <v/>
      </c>
    </row>
    <row r="808">
      <c r="B808" s="2" t="inlineStr">
        <is>
          <t>Walk-away EV, first pass (HSR fee at the bid)</t>
        </is>
      </c>
      <c r="C808" s="19">
        <f>(Sensitivities!$C$805-Sensitivities!$C$807-Sensitivities!$C$761+Sensitivities!$C$806*(1+i_ticking*Sensitivities!$C$732))/(1+i_ticking*Sensitivities!$C$732+i_wi_limit_pct*i_wi_rol*(1+i_wi_ipt))</f>
        <v/>
      </c>
    </row>
    <row r="809">
      <c r="B809" s="3" t="inlineStr">
        <is>
          <t>Walk-away EV (highest EV at the target IRR)</t>
        </is>
      </c>
      <c r="C809" s="31">
        <f>(Sensitivities!$C$805-Sensitivities!$C$807-IF(Sensitivities!$C$808-Sensitivities!$C$806&lt;INDEX(i_hsr_lo,1),0,LOOKUP(Sensitivities!$C$808-Sensitivities!$C$806,i_hsr_lo,i_hsr_fee))+Sensitivities!$C$806*(1+i_ticking*Sensitivities!$C$732))/(1+i_ticking*Sensitivities!$C$732+i_wi_limit_pct*i_wi_rol*(1+i_wi_ipt))</f>
        <v/>
      </c>
    </row>
    <row r="812">
      <c r="B812" s="5" t="inlineStr">
        <is>
          <t>Deal: inflation 3.5 percent instead of 2.5 (discount and debt rates unchanged)</t>
        </is>
      </c>
    </row>
    <row r="813">
      <c r="B813" s="4" t="inlineStr">
        <is>
          <t>Enterprise value at 31 December 2026</t>
        </is>
      </c>
      <c r="C813" s="29">
        <f>i_bid_ev</f>
        <v/>
      </c>
    </row>
    <row r="814">
      <c r="B814" s="4" t="inlineStr">
        <is>
          <t>Closing (years after 31 December 2026)</t>
        </is>
      </c>
      <c r="C814" s="28">
        <f>Inputs!$F$237</f>
        <v/>
      </c>
    </row>
    <row r="815">
      <c r="B815" s="4" t="inlineStr">
        <is>
          <t>Staple financing (1) or own debt (0)</t>
        </is>
      </c>
      <c r="C815" s="26">
        <f>0</f>
        <v/>
      </c>
    </row>
    <row r="816">
      <c r="B816" s="4" t="inlineStr">
        <is>
          <t>Minority sale in 2031 (1) or full exit (0)</t>
        </is>
      </c>
      <c r="C816" s="26">
        <f>0</f>
        <v/>
      </c>
    </row>
    <row r="817">
      <c r="B817" s="4" t="inlineStr">
        <is>
          <t>Exit discount rate</t>
        </is>
      </c>
      <c r="C817" s="38">
        <f>Inputs!$E$237</f>
        <v/>
      </c>
    </row>
    <row r="818">
      <c r="B818" s="4" t="inlineStr">
        <is>
          <t>Change in the opco rate at refinancing</t>
        </is>
      </c>
      <c r="C818" s="38">
        <f>Inputs!$D$237</f>
        <v/>
      </c>
    </row>
    <row r="819">
      <c r="B819" s="2" t="inlineStr">
        <is>
          <t>Enterprise value</t>
        </is>
      </c>
      <c r="C819" s="19">
        <f>Sensitivities!$C$813</f>
        <v/>
      </c>
    </row>
    <row r="820">
      <c r="B820" s="2" t="inlineStr">
        <is>
          <t>less existing financial debt (term loan and notes)</t>
        </is>
      </c>
      <c r="C820" s="19">
        <f>i_old_tl+i_old_notes</f>
        <v/>
      </c>
    </row>
    <row r="821">
      <c r="B821" s="2" t="inlineStr">
        <is>
          <t>less make-whole on the notes</t>
        </is>
      </c>
      <c r="C821" s="19">
        <f>i_make_whole</f>
        <v/>
      </c>
    </row>
    <row r="822">
      <c r="B822" s="2" t="inlineStr">
        <is>
          <t>less debt-like items (pension, accrued capex, 2026 tax)</t>
        </is>
      </c>
      <c r="C822" s="19">
        <f>i_pension+i_def_capex+i_acc_tax</f>
        <v/>
      </c>
    </row>
    <row r="823">
      <c r="B823" s="2" t="inlineStr">
        <is>
          <t>plus cash at the locked box date</t>
        </is>
      </c>
      <c r="C823" s="19">
        <f>i_lb_cash</f>
        <v/>
      </c>
    </row>
    <row r="824">
      <c r="B824" s="2" t="inlineStr">
        <is>
          <t>less permitted leakage</t>
        </is>
      </c>
      <c r="C824" s="19">
        <f>i_permitted_leak</f>
        <v/>
      </c>
    </row>
    <row r="825">
      <c r="B825" s="3" t="inlineStr">
        <is>
          <t>Equity price (shares and shareholder loan)</t>
        </is>
      </c>
      <c r="C825" s="31">
        <f>Sensitivities!$C$819-Sensitivities!$C$820-Sensitivities!$C$821-Sensitivities!$C$822+Sensitivities!$C$823-Sensitivities!$C$824</f>
        <v/>
      </c>
    </row>
    <row r="826">
      <c r="B826" s="2" t="inlineStr">
        <is>
          <t xml:space="preserve">  of which shareholder loan at face value</t>
        </is>
      </c>
      <c r="C826" s="19">
        <f>i_shl</f>
        <v/>
      </c>
    </row>
    <row r="827">
      <c r="B827" s="2" t="inlineStr">
        <is>
          <t xml:space="preserve">  of which shares</t>
        </is>
      </c>
      <c r="C827" s="19">
        <f>Sensitivities!$C$825-Sensitivities!$C$826</f>
        <v/>
      </c>
    </row>
    <row r="828">
      <c r="B828" s="2" t="inlineStr">
        <is>
          <t>Ticking fee to closing</t>
        </is>
      </c>
      <c r="C828" s="19">
        <f>Sensitivities!$C$825*i_ticking*Sensitivities!$C$814</f>
        <v/>
      </c>
    </row>
    <row r="829">
      <c r="B829" s="2" t="inlineStr">
        <is>
          <t>Share of the year before closing (box period)</t>
        </is>
      </c>
      <c r="D829" s="24">
        <f>IF(D$4&lt;1,0,MAX(0,MIN(1,Sensitivities!$C$814-(D$4-1))))</f>
        <v/>
      </c>
      <c r="E829" s="24">
        <f>IF(E$4&lt;1,0,MAX(0,MIN(1,Sensitivities!$C$814-(E$4-1))))</f>
        <v/>
      </c>
      <c r="F829" s="24">
        <f>IF(F$4&lt;1,0,MAX(0,MIN(1,Sensitivities!$C$814-(F$4-1))))</f>
        <v/>
      </c>
      <c r="G829" s="24">
        <f>IF(G$4&lt;1,0,MAX(0,MIN(1,Sensitivities!$C$814-(G$4-1))))</f>
        <v/>
      </c>
      <c r="H829" s="24">
        <f>IF(H$4&lt;1,0,MAX(0,MIN(1,Sensitivities!$C$814-(H$4-1))))</f>
        <v/>
      </c>
      <c r="I829" s="24">
        <f>IF(I$4&lt;1,0,MAX(0,MIN(1,Sensitivities!$C$814-(I$4-1))))</f>
        <v/>
      </c>
      <c r="J829" s="24">
        <f>IF(J$4&lt;1,0,MAX(0,MIN(1,Sensitivities!$C$814-(J$4-1))))</f>
        <v/>
      </c>
      <c r="K829" s="24">
        <f>IF(K$4&lt;1,0,MAX(0,MIN(1,Sensitivities!$C$814-(K$4-1))))</f>
        <v/>
      </c>
      <c r="L829" s="24">
        <f>IF(L$4&lt;1,0,MAX(0,MIN(1,Sensitivities!$C$814-(L$4-1))))</f>
        <v/>
      </c>
      <c r="M829" s="24">
        <f>IF(M$4&lt;1,0,MAX(0,MIN(1,Sensitivities!$C$814-(M$4-1))))</f>
        <v/>
      </c>
      <c r="N829" s="24">
        <f>IF(N$4&lt;1,0,MAX(0,MIN(1,Sensitivities!$C$814-(N$4-1))))</f>
        <v/>
      </c>
      <c r="O829" s="24">
        <f>IF(O$4&lt;1,0,MAX(0,MIN(1,Sensitivities!$C$814-(O$4-1))))</f>
        <v/>
      </c>
      <c r="P829" s="24">
        <f>IF(P$4&lt;1,0,MAX(0,MIN(1,Sensitivities!$C$814-(P$4-1))))</f>
        <v/>
      </c>
      <c r="Q829" s="24">
        <f>IF(Q$4&lt;1,0,MAX(0,MIN(1,Sensitivities!$C$814-(Q$4-1))))</f>
        <v/>
      </c>
      <c r="R829" s="24">
        <f>IF(R$4&lt;1,0,MAX(0,MIN(1,Sensitivities!$C$814-(R$4-1))))</f>
        <v/>
      </c>
      <c r="S829" s="24">
        <f>IF(S$4&lt;1,0,MAX(0,MIN(1,Sensitivities!$C$814-(S$4-1))))</f>
        <v/>
      </c>
      <c r="T829" s="24">
        <f>IF(T$4&lt;1,0,MAX(0,MIN(1,Sensitivities!$C$814-(T$4-1))))</f>
        <v/>
      </c>
      <c r="U829" s="24">
        <f>IF(U$4&lt;1,0,MAX(0,MIN(1,Sensitivities!$C$814-(U$4-1))))</f>
        <v/>
      </c>
      <c r="V829" s="24">
        <f>IF(V$4&lt;1,0,MAX(0,MIN(1,Sensitivities!$C$814-(V$4-1))))</f>
        <v/>
      </c>
      <c r="W829" s="24">
        <f>IF(W$4&lt;1,0,MAX(0,MIN(1,Sensitivities!$C$814-(W$4-1))))</f>
        <v/>
      </c>
      <c r="X829" s="24">
        <f>IF(X$4&lt;1,0,MAX(0,MIN(1,Sensitivities!$C$814-(X$4-1))))</f>
        <v/>
      </c>
      <c r="Y829" s="24">
        <f>IF(Y$4&lt;1,0,MAX(0,MIN(1,Sensitivities!$C$814-(Y$4-1))))</f>
        <v/>
      </c>
      <c r="Z829" s="24">
        <f>IF(Z$4&lt;1,0,MAX(0,MIN(1,Sensitivities!$C$814-(Z$4-1))))</f>
        <v/>
      </c>
      <c r="AA829" s="24">
        <f>IF(AA$4&lt;1,0,MAX(0,MIN(1,Sensitivities!$C$814-(AA$4-1))))</f>
        <v/>
      </c>
      <c r="AB829" s="24">
        <f>IF(AB$4&lt;1,0,MAX(0,MIN(1,Sensitivities!$C$814-(AB$4-1))))</f>
        <v/>
      </c>
      <c r="AC829" s="24">
        <f>IF(AC$4&lt;1,0,MAX(0,MIN(1,Sensitivities!$C$814-(AC$4-1))))</f>
        <v/>
      </c>
      <c r="AD829" s="24">
        <f>IF(AD$4&lt;1,0,MAX(0,MIN(1,Sensitivities!$C$814-(AD$4-1))))</f>
        <v/>
      </c>
      <c r="AE829" s="24">
        <f>IF(AE$4&lt;1,0,MAX(0,MIN(1,Sensitivities!$C$814-(AE$4-1))))</f>
        <v/>
      </c>
      <c r="AF829" s="24">
        <f>IF(AF$4&lt;1,0,MAX(0,MIN(1,Sensitivities!$C$814-(AF$4-1))))</f>
        <v/>
      </c>
      <c r="AG829" s="24">
        <f>IF(AG$4&lt;1,0,MAX(0,MIN(1,Sensitivities!$C$814-(AG$4-1))))</f>
        <v/>
      </c>
      <c r="AH829" s="24">
        <f>IF(AH$4&lt;1,0,MAX(0,MIN(1,Sensitivities!$C$814-(AH$4-1))))</f>
        <v/>
      </c>
      <c r="AI829" s="24">
        <f>IF(AI$4&lt;1,0,MAX(0,MIN(1,Sensitivities!$C$814-(AI$4-1))))</f>
        <v/>
      </c>
    </row>
    <row r="830">
      <c r="B830" s="2" t="inlineStr">
        <is>
          <t>Box cash: free cash flow less interest on the old debt</t>
        </is>
      </c>
      <c r="D830" s="19">
        <f>D829*(Sensitivities!D126-i_old_rate*(i_old_tl+i_old_notes))</f>
        <v/>
      </c>
      <c r="E830" s="19">
        <f>E829*(Sensitivities!E126-i_old_rate*(i_old_tl+i_old_notes))</f>
        <v/>
      </c>
      <c r="F830" s="19">
        <f>F829*(Sensitivities!F126-i_old_rate*(i_old_tl+i_old_notes))</f>
        <v/>
      </c>
      <c r="G830" s="19">
        <f>G829*(Sensitivities!G126-i_old_rate*(i_old_tl+i_old_notes))</f>
        <v/>
      </c>
      <c r="H830" s="19">
        <f>H829*(Sensitivities!H126-i_old_rate*(i_old_tl+i_old_notes))</f>
        <v/>
      </c>
      <c r="I830" s="19">
        <f>I829*(Sensitivities!I126-i_old_rate*(i_old_tl+i_old_notes))</f>
        <v/>
      </c>
      <c r="J830" s="19">
        <f>J829*(Sensitivities!J126-i_old_rate*(i_old_tl+i_old_notes))</f>
        <v/>
      </c>
      <c r="K830" s="19">
        <f>K829*(Sensitivities!K126-i_old_rate*(i_old_tl+i_old_notes))</f>
        <v/>
      </c>
      <c r="L830" s="19">
        <f>L829*(Sensitivities!L126-i_old_rate*(i_old_tl+i_old_notes))</f>
        <v/>
      </c>
      <c r="M830" s="19">
        <f>M829*(Sensitivities!M126-i_old_rate*(i_old_tl+i_old_notes))</f>
        <v/>
      </c>
      <c r="N830" s="19">
        <f>N829*(Sensitivities!N126-i_old_rate*(i_old_tl+i_old_notes))</f>
        <v/>
      </c>
      <c r="O830" s="19">
        <f>O829*(Sensitivities!O126-i_old_rate*(i_old_tl+i_old_notes))</f>
        <v/>
      </c>
      <c r="P830" s="19">
        <f>P829*(Sensitivities!P126-i_old_rate*(i_old_tl+i_old_notes))</f>
        <v/>
      </c>
      <c r="Q830" s="19">
        <f>Q829*(Sensitivities!Q126-i_old_rate*(i_old_tl+i_old_notes))</f>
        <v/>
      </c>
      <c r="R830" s="19">
        <f>R829*(Sensitivities!R126-i_old_rate*(i_old_tl+i_old_notes))</f>
        <v/>
      </c>
      <c r="S830" s="19">
        <f>S829*(Sensitivities!S126-i_old_rate*(i_old_tl+i_old_notes))</f>
        <v/>
      </c>
      <c r="T830" s="19">
        <f>T829*(Sensitivities!T126-i_old_rate*(i_old_tl+i_old_notes))</f>
        <v/>
      </c>
      <c r="U830" s="19">
        <f>U829*(Sensitivities!U126-i_old_rate*(i_old_tl+i_old_notes))</f>
        <v/>
      </c>
      <c r="V830" s="19">
        <f>V829*(Sensitivities!V126-i_old_rate*(i_old_tl+i_old_notes))</f>
        <v/>
      </c>
      <c r="W830" s="19">
        <f>W829*(Sensitivities!W126-i_old_rate*(i_old_tl+i_old_notes))</f>
        <v/>
      </c>
      <c r="X830" s="19">
        <f>X829*(Sensitivities!X126-i_old_rate*(i_old_tl+i_old_notes))</f>
        <v/>
      </c>
      <c r="Y830" s="19">
        <f>Y829*(Sensitivities!Y126-i_old_rate*(i_old_tl+i_old_notes))</f>
        <v/>
      </c>
      <c r="Z830" s="19">
        <f>Z829*(Sensitivities!Z126-i_old_rate*(i_old_tl+i_old_notes))</f>
        <v/>
      </c>
      <c r="AA830" s="19">
        <f>AA829*(Sensitivities!AA126-i_old_rate*(i_old_tl+i_old_notes))</f>
        <v/>
      </c>
      <c r="AB830" s="19">
        <f>AB829*(Sensitivities!AB126-i_old_rate*(i_old_tl+i_old_notes))</f>
        <v/>
      </c>
      <c r="AC830" s="19">
        <f>AC829*(Sensitivities!AC126-i_old_rate*(i_old_tl+i_old_notes))</f>
        <v/>
      </c>
      <c r="AD830" s="19">
        <f>AD829*(Sensitivities!AD126-i_old_rate*(i_old_tl+i_old_notes))</f>
        <v/>
      </c>
      <c r="AE830" s="19">
        <f>AE829*(Sensitivities!AE126-i_old_rate*(i_old_tl+i_old_notes))</f>
        <v/>
      </c>
      <c r="AF830" s="19">
        <f>AF829*(Sensitivities!AF126-i_old_rate*(i_old_tl+i_old_notes))</f>
        <v/>
      </c>
      <c r="AG830" s="19">
        <f>AG829*(Sensitivities!AG126-i_old_rate*(i_old_tl+i_old_notes))</f>
        <v/>
      </c>
      <c r="AH830" s="19">
        <f>AH829*(Sensitivities!AH126-i_old_rate*(i_old_tl+i_old_notes))</f>
        <v/>
      </c>
      <c r="AI830" s="19">
        <f>AI829*(Sensitivities!AI126-i_old_rate*(i_old_tl+i_old_notes))</f>
        <v/>
      </c>
    </row>
    <row r="831">
      <c r="B831" s="2" t="inlineStr">
        <is>
          <t>Box cash generated from 1 January 2027 to closing</t>
        </is>
      </c>
      <c r="C831" s="19">
        <f>SUM(Sensitivities!D830:AI830)</f>
        <v/>
      </c>
    </row>
    <row r="832">
      <c r="B832" s="2" t="inlineStr">
        <is>
          <t>Cash in the company at closing</t>
        </is>
      </c>
      <c r="C832" s="19">
        <f>Sensitivities!$C$823-Sensitivities!$C$824+Sensitivities!$C$831</f>
        <v/>
      </c>
    </row>
    <row r="833">
      <c r="B833" s="2" t="inlineStr">
        <is>
          <t>Cash used at closing (above operating cash)</t>
        </is>
      </c>
      <c r="C833" s="19">
        <f>Sensitivities!$C$832-i_min_cash</f>
        <v/>
      </c>
    </row>
    <row r="835">
      <c r="B835" s="3" t="inlineStr">
        <is>
          <t>Sources and uses at closing</t>
        </is>
      </c>
    </row>
    <row r="836">
      <c r="B836" s="2" t="inlineStr">
        <is>
          <t>EBITDA 2026 (sizing basis)</t>
        </is>
      </c>
      <c r="C836" s="19">
        <f>Sensitivities!$D$120</f>
        <v/>
      </c>
    </row>
    <row r="837">
      <c r="B837" s="2" t="inlineStr">
        <is>
          <t>Opco multiple of 2026 EBITDA</t>
        </is>
      </c>
      <c r="C837" s="37">
        <f>IF(Sensitivities!$C$815=1,i_staple_x,i_opco_x)</f>
        <v/>
      </c>
    </row>
    <row r="838">
      <c r="B838" s="2" t="inlineStr">
        <is>
          <t>Opco rate</t>
        </is>
      </c>
      <c r="C838" s="23">
        <f>IF(Sensitivities!$C$815=1,i_staple_rate,i_opco_rate)</f>
        <v/>
      </c>
    </row>
    <row r="839">
      <c r="B839" s="2" t="inlineStr">
        <is>
          <t>Opco fees</t>
        </is>
      </c>
      <c r="C839" s="23">
        <f>IF(Sensitivities!$C$815=1,i_staple_fee,i_opco_fee)</f>
        <v/>
      </c>
    </row>
    <row r="840">
      <c r="B840" s="2" t="inlineStr">
        <is>
          <t>Opco senior debt (whole $ million)</t>
        </is>
      </c>
      <c r="C840" s="19">
        <f>ROUND(Sensitivities!$C$837*Sensitivities!$C$836,0)</f>
        <v/>
      </c>
    </row>
    <row r="841">
      <c r="B841" s="2" t="inlineStr">
        <is>
          <t>Holdco debt (whole $ million)</t>
        </is>
      </c>
      <c r="C841" s="19">
        <f>ROUND(i_hold_x*Sensitivities!$C$836,0)</f>
        <v/>
      </c>
    </row>
    <row r="842">
      <c r="B842" s="2" t="inlineStr">
        <is>
          <t>W&amp;I premium with insurance premium tax</t>
        </is>
      </c>
      <c r="C842" s="35">
        <f>i_wi_limit_pct*Sensitivities!$C$819*i_wi_rol*(1+i_wi_ipt)</f>
        <v/>
      </c>
    </row>
    <row r="843">
      <c r="B843" s="2" t="inlineStr">
        <is>
          <t>HSR filing fee (on the equity price)</t>
        </is>
      </c>
      <c r="C843" s="39">
        <f>IF(Sensitivities!$C$825&lt;INDEX(i_hsr_lo,1),0,LOOKUP(Sensitivities!$C$825,i_hsr_lo,i_hsr_fee))</f>
        <v/>
      </c>
    </row>
    <row r="844">
      <c r="B844" s="2" t="inlineStr">
        <is>
          <t>Transaction costs (advisers, W&amp;I, HSR)</t>
        </is>
      </c>
      <c r="C844" s="19">
        <f>i_costs_adv+Sensitivities!$C$842+Sensitivities!$C$843</f>
        <v/>
      </c>
    </row>
    <row r="845">
      <c r="B845" s="2" t="inlineStr">
        <is>
          <t>Financing fees</t>
        </is>
      </c>
      <c r="C845" s="19">
        <f>Sensitivities!$C$839*Sensitivities!$C$840+i_hold_fee*Sensitivities!$C$841</f>
        <v/>
      </c>
    </row>
    <row r="846">
      <c r="B846" s="2" t="inlineStr">
        <is>
          <t>Commitment fees, signing to closing</t>
        </is>
      </c>
      <c r="C846" s="19">
        <f>i_commit_fee*(Sensitivities!$C$840+Sensitivities!$C$841)*MAX(0,Sensitivities!$C$814-i_t_sign)</f>
        <v/>
      </c>
    </row>
    <row r="847">
      <c r="B847" s="3" t="inlineStr">
        <is>
          <t>Uses</t>
        </is>
      </c>
    </row>
    <row r="848">
      <c r="B848" s="2" t="inlineStr">
        <is>
          <t xml:space="preserve">  Equity price</t>
        </is>
      </c>
      <c r="C848" s="19">
        <f>Sensitivities!$C$825</f>
        <v/>
      </c>
    </row>
    <row r="849">
      <c r="B849" s="2" t="inlineStr">
        <is>
          <t xml:space="preserve">  Ticking fee</t>
        </is>
      </c>
      <c r="C849" s="19">
        <f>Sensitivities!$C$828</f>
        <v/>
      </c>
    </row>
    <row r="850">
      <c r="B850" s="2" t="inlineStr">
        <is>
          <t xml:space="preserve">  Repayment of existing debt and make-whole</t>
        </is>
      </c>
      <c r="C850" s="19">
        <f>Sensitivities!$C$820+Sensitivities!$C$821</f>
        <v/>
      </c>
    </row>
    <row r="851">
      <c r="B851" s="2" t="inlineStr">
        <is>
          <t xml:space="preserve">  Debt-like items settled</t>
        </is>
      </c>
      <c r="C851" s="19">
        <f>Sensitivities!$C$822</f>
        <v/>
      </c>
    </row>
    <row r="852">
      <c r="B852" s="2" t="inlineStr">
        <is>
          <t xml:space="preserve">  Transaction costs</t>
        </is>
      </c>
      <c r="C852" s="19">
        <f>Sensitivities!$C$844</f>
        <v/>
      </c>
    </row>
    <row r="853">
      <c r="B853" s="2" t="inlineStr">
        <is>
          <t xml:space="preserve">  Financing fees</t>
        </is>
      </c>
      <c r="C853" s="19">
        <f>Sensitivities!$C$845</f>
        <v/>
      </c>
    </row>
    <row r="854">
      <c r="B854" s="2" t="inlineStr">
        <is>
          <t xml:space="preserve">  Commitment fees</t>
        </is>
      </c>
      <c r="C854" s="19">
        <f>Sensitivities!$C$846</f>
        <v/>
      </c>
    </row>
    <row r="855">
      <c r="B855" s="3" t="inlineStr">
        <is>
          <t>Total uses</t>
        </is>
      </c>
      <c r="C855" s="31">
        <f>SUM(C848:C854)</f>
        <v/>
      </c>
    </row>
    <row r="856">
      <c r="B856" s="3" t="inlineStr">
        <is>
          <t>Sources</t>
        </is>
      </c>
    </row>
    <row r="857">
      <c r="B857" s="2" t="inlineStr">
        <is>
          <t xml:space="preserve">  Opco senior debt</t>
        </is>
      </c>
      <c r="C857" s="19">
        <f>Sensitivities!$C$840</f>
        <v/>
      </c>
    </row>
    <row r="858">
      <c r="B858" s="2" t="inlineStr">
        <is>
          <t xml:space="preserve">  Holdco debt</t>
        </is>
      </c>
      <c r="C858" s="19">
        <f>Sensitivities!$C$841</f>
        <v/>
      </c>
    </row>
    <row r="859">
      <c r="B859" s="2" t="inlineStr">
        <is>
          <t xml:space="preserve">  Cash in the company at closing</t>
        </is>
      </c>
      <c r="C859" s="19">
        <f>Sensitivities!$C$833</f>
        <v/>
      </c>
    </row>
    <row r="860">
      <c r="B860" s="3" t="inlineStr">
        <is>
          <t xml:space="preserve">  Equity from the consortium</t>
        </is>
      </c>
      <c r="C860" s="31">
        <f>Sensitivities!$C$855-Sensitivities!$C$840-Sensitivities!$C$841-Sensitivities!$C$833</f>
        <v/>
      </c>
    </row>
    <row r="861">
      <c r="B861" s="3" t="inlineStr">
        <is>
          <t>Total sources</t>
        </is>
      </c>
      <c r="C861" s="31">
        <f>SUM(C857:C860)</f>
        <v/>
      </c>
    </row>
    <row r="863">
      <c r="B863" s="3" t="inlineStr">
        <is>
          <t>Flows after closing (years in columns D to AI; closing, minority sale and exit in AJ to AL)</t>
        </is>
      </c>
    </row>
    <row r="864">
      <c r="B864" s="2" t="inlineStr">
        <is>
          <t>Share of the year owned</t>
        </is>
      </c>
      <c r="D864" s="24">
        <f>IF(D$3&gt;i_exit_year,0,MIN(1,MAX(0,D$4-Sensitivities!$C$814)))</f>
        <v/>
      </c>
      <c r="E864" s="24">
        <f>IF(E$3&gt;i_exit_year,0,MIN(1,MAX(0,E$4-Sensitivities!$C$814)))</f>
        <v/>
      </c>
      <c r="F864" s="24">
        <f>IF(F$3&gt;i_exit_year,0,MIN(1,MAX(0,F$4-Sensitivities!$C$814)))</f>
        <v/>
      </c>
      <c r="G864" s="24">
        <f>IF(G$3&gt;i_exit_year,0,MIN(1,MAX(0,G$4-Sensitivities!$C$814)))</f>
        <v/>
      </c>
      <c r="H864" s="24">
        <f>IF(H$3&gt;i_exit_year,0,MIN(1,MAX(0,H$4-Sensitivities!$C$814)))</f>
        <v/>
      </c>
      <c r="I864" s="24">
        <f>IF(I$3&gt;i_exit_year,0,MIN(1,MAX(0,I$4-Sensitivities!$C$814)))</f>
        <v/>
      </c>
      <c r="J864" s="24">
        <f>IF(J$3&gt;i_exit_year,0,MIN(1,MAX(0,J$4-Sensitivities!$C$814)))</f>
        <v/>
      </c>
      <c r="K864" s="24">
        <f>IF(K$3&gt;i_exit_year,0,MIN(1,MAX(0,K$4-Sensitivities!$C$814)))</f>
        <v/>
      </c>
      <c r="L864" s="24">
        <f>IF(L$3&gt;i_exit_year,0,MIN(1,MAX(0,L$4-Sensitivities!$C$814)))</f>
        <v/>
      </c>
      <c r="M864" s="24">
        <f>IF(M$3&gt;i_exit_year,0,MIN(1,MAX(0,M$4-Sensitivities!$C$814)))</f>
        <v/>
      </c>
      <c r="N864" s="24">
        <f>IF(N$3&gt;i_exit_year,0,MIN(1,MAX(0,N$4-Sensitivities!$C$814)))</f>
        <v/>
      </c>
      <c r="O864" s="24">
        <f>IF(O$3&gt;i_exit_year,0,MIN(1,MAX(0,O$4-Sensitivities!$C$814)))</f>
        <v/>
      </c>
      <c r="P864" s="24">
        <f>IF(P$3&gt;i_exit_year,0,MIN(1,MAX(0,P$4-Sensitivities!$C$814)))</f>
        <v/>
      </c>
      <c r="Q864" s="24">
        <f>IF(Q$3&gt;i_exit_year,0,MIN(1,MAX(0,Q$4-Sensitivities!$C$814)))</f>
        <v/>
      </c>
      <c r="R864" s="24">
        <f>IF(R$3&gt;i_exit_year,0,MIN(1,MAX(0,R$4-Sensitivities!$C$814)))</f>
        <v/>
      </c>
      <c r="S864" s="24">
        <f>IF(S$3&gt;i_exit_year,0,MIN(1,MAX(0,S$4-Sensitivities!$C$814)))</f>
        <v/>
      </c>
      <c r="T864" s="24">
        <f>IF(T$3&gt;i_exit_year,0,MIN(1,MAX(0,T$4-Sensitivities!$C$814)))</f>
        <v/>
      </c>
      <c r="U864" s="24">
        <f>IF(U$3&gt;i_exit_year,0,MIN(1,MAX(0,U$4-Sensitivities!$C$814)))</f>
        <v/>
      </c>
      <c r="V864" s="24">
        <f>IF(V$3&gt;i_exit_year,0,MIN(1,MAX(0,V$4-Sensitivities!$C$814)))</f>
        <v/>
      </c>
      <c r="W864" s="24">
        <f>IF(W$3&gt;i_exit_year,0,MIN(1,MAX(0,W$4-Sensitivities!$C$814)))</f>
        <v/>
      </c>
      <c r="X864" s="24">
        <f>IF(X$3&gt;i_exit_year,0,MIN(1,MAX(0,X$4-Sensitivities!$C$814)))</f>
        <v/>
      </c>
      <c r="Y864" s="24">
        <f>IF(Y$3&gt;i_exit_year,0,MIN(1,MAX(0,Y$4-Sensitivities!$C$814)))</f>
        <v/>
      </c>
      <c r="Z864" s="24">
        <f>IF(Z$3&gt;i_exit_year,0,MIN(1,MAX(0,Z$4-Sensitivities!$C$814)))</f>
        <v/>
      </c>
      <c r="AA864" s="24">
        <f>IF(AA$3&gt;i_exit_year,0,MIN(1,MAX(0,AA$4-Sensitivities!$C$814)))</f>
        <v/>
      </c>
      <c r="AB864" s="24">
        <f>IF(AB$3&gt;i_exit_year,0,MIN(1,MAX(0,AB$4-Sensitivities!$C$814)))</f>
        <v/>
      </c>
      <c r="AC864" s="24">
        <f>IF(AC$3&gt;i_exit_year,0,MIN(1,MAX(0,AC$4-Sensitivities!$C$814)))</f>
        <v/>
      </c>
      <c r="AD864" s="24">
        <f>IF(AD$3&gt;i_exit_year,0,MIN(1,MAX(0,AD$4-Sensitivities!$C$814)))</f>
        <v/>
      </c>
      <c r="AE864" s="24">
        <f>IF(AE$3&gt;i_exit_year,0,MIN(1,MAX(0,AE$4-Sensitivities!$C$814)))</f>
        <v/>
      </c>
      <c r="AF864" s="24">
        <f>IF(AF$3&gt;i_exit_year,0,MIN(1,MAX(0,AF$4-Sensitivities!$C$814)))</f>
        <v/>
      </c>
      <c r="AG864" s="24">
        <f>IF(AG$3&gt;i_exit_year,0,MIN(1,MAX(0,AG$4-Sensitivities!$C$814)))</f>
        <v/>
      </c>
      <c r="AH864" s="24">
        <f>IF(AH$3&gt;i_exit_year,0,MIN(1,MAX(0,AH$4-Sensitivities!$C$814)))</f>
        <v/>
      </c>
      <c r="AI864" s="24">
        <f>IF(AI$3&gt;i_exit_year,0,MIN(1,MAX(0,AI$4-Sensitivities!$C$814)))</f>
        <v/>
      </c>
    </row>
    <row r="865">
      <c r="B865" s="2" t="inlineStr">
        <is>
          <t>Opco rate (refinanced after the tenor)</t>
        </is>
      </c>
      <c r="D865" s="23">
        <f>IF(D$4&lt;=Sensitivities!$C$814+i_opco_tenor,Sensitivities!$C$838,Sensitivities!$C$838+Sensitivities!$C$818)</f>
        <v/>
      </c>
      <c r="E865" s="23">
        <f>IF(E$4&lt;=Sensitivities!$C$814+i_opco_tenor,Sensitivities!$C$838,Sensitivities!$C$838+Sensitivities!$C$818)</f>
        <v/>
      </c>
      <c r="F865" s="23">
        <f>IF(F$4&lt;=Sensitivities!$C$814+i_opco_tenor,Sensitivities!$C$838,Sensitivities!$C$838+Sensitivities!$C$818)</f>
        <v/>
      </c>
      <c r="G865" s="23">
        <f>IF(G$4&lt;=Sensitivities!$C$814+i_opco_tenor,Sensitivities!$C$838,Sensitivities!$C$838+Sensitivities!$C$818)</f>
        <v/>
      </c>
      <c r="H865" s="23">
        <f>IF(H$4&lt;=Sensitivities!$C$814+i_opco_tenor,Sensitivities!$C$838,Sensitivities!$C$838+Sensitivities!$C$818)</f>
        <v/>
      </c>
      <c r="I865" s="23">
        <f>IF(I$4&lt;=Sensitivities!$C$814+i_opco_tenor,Sensitivities!$C$838,Sensitivities!$C$838+Sensitivities!$C$818)</f>
        <v/>
      </c>
      <c r="J865" s="23">
        <f>IF(J$4&lt;=Sensitivities!$C$814+i_opco_tenor,Sensitivities!$C$838,Sensitivities!$C$838+Sensitivities!$C$818)</f>
        <v/>
      </c>
      <c r="K865" s="23">
        <f>IF(K$4&lt;=Sensitivities!$C$814+i_opco_tenor,Sensitivities!$C$838,Sensitivities!$C$838+Sensitivities!$C$818)</f>
        <v/>
      </c>
      <c r="L865" s="23">
        <f>IF(L$4&lt;=Sensitivities!$C$814+i_opco_tenor,Sensitivities!$C$838,Sensitivities!$C$838+Sensitivities!$C$818)</f>
        <v/>
      </c>
      <c r="M865" s="23">
        <f>IF(M$4&lt;=Sensitivities!$C$814+i_opco_tenor,Sensitivities!$C$838,Sensitivities!$C$838+Sensitivities!$C$818)</f>
        <v/>
      </c>
      <c r="N865" s="23">
        <f>IF(N$4&lt;=Sensitivities!$C$814+i_opco_tenor,Sensitivities!$C$838,Sensitivities!$C$838+Sensitivities!$C$818)</f>
        <v/>
      </c>
      <c r="O865" s="23">
        <f>IF(O$4&lt;=Sensitivities!$C$814+i_opco_tenor,Sensitivities!$C$838,Sensitivities!$C$838+Sensitivities!$C$818)</f>
        <v/>
      </c>
      <c r="P865" s="23">
        <f>IF(P$4&lt;=Sensitivities!$C$814+i_opco_tenor,Sensitivities!$C$838,Sensitivities!$C$838+Sensitivities!$C$818)</f>
        <v/>
      </c>
      <c r="Q865" s="23">
        <f>IF(Q$4&lt;=Sensitivities!$C$814+i_opco_tenor,Sensitivities!$C$838,Sensitivities!$C$838+Sensitivities!$C$818)</f>
        <v/>
      </c>
      <c r="R865" s="23">
        <f>IF(R$4&lt;=Sensitivities!$C$814+i_opco_tenor,Sensitivities!$C$838,Sensitivities!$C$838+Sensitivities!$C$818)</f>
        <v/>
      </c>
      <c r="S865" s="23">
        <f>IF(S$4&lt;=Sensitivities!$C$814+i_opco_tenor,Sensitivities!$C$838,Sensitivities!$C$838+Sensitivities!$C$818)</f>
        <v/>
      </c>
      <c r="T865" s="23">
        <f>IF(T$4&lt;=Sensitivities!$C$814+i_opco_tenor,Sensitivities!$C$838,Sensitivities!$C$838+Sensitivities!$C$818)</f>
        <v/>
      </c>
      <c r="U865" s="23">
        <f>IF(U$4&lt;=Sensitivities!$C$814+i_opco_tenor,Sensitivities!$C$838,Sensitivities!$C$838+Sensitivities!$C$818)</f>
        <v/>
      </c>
      <c r="V865" s="23">
        <f>IF(V$4&lt;=Sensitivities!$C$814+i_opco_tenor,Sensitivities!$C$838,Sensitivities!$C$838+Sensitivities!$C$818)</f>
        <v/>
      </c>
      <c r="W865" s="23">
        <f>IF(W$4&lt;=Sensitivities!$C$814+i_opco_tenor,Sensitivities!$C$838,Sensitivities!$C$838+Sensitivities!$C$818)</f>
        <v/>
      </c>
      <c r="X865" s="23">
        <f>IF(X$4&lt;=Sensitivities!$C$814+i_opco_tenor,Sensitivities!$C$838,Sensitivities!$C$838+Sensitivities!$C$818)</f>
        <v/>
      </c>
      <c r="Y865" s="23">
        <f>IF(Y$4&lt;=Sensitivities!$C$814+i_opco_tenor,Sensitivities!$C$838,Sensitivities!$C$838+Sensitivities!$C$818)</f>
        <v/>
      </c>
      <c r="Z865" s="23">
        <f>IF(Z$4&lt;=Sensitivities!$C$814+i_opco_tenor,Sensitivities!$C$838,Sensitivities!$C$838+Sensitivities!$C$818)</f>
        <v/>
      </c>
      <c r="AA865" s="23">
        <f>IF(AA$4&lt;=Sensitivities!$C$814+i_opco_tenor,Sensitivities!$C$838,Sensitivities!$C$838+Sensitivities!$C$818)</f>
        <v/>
      </c>
      <c r="AB865" s="23">
        <f>IF(AB$4&lt;=Sensitivities!$C$814+i_opco_tenor,Sensitivities!$C$838,Sensitivities!$C$838+Sensitivities!$C$818)</f>
        <v/>
      </c>
      <c r="AC865" s="23">
        <f>IF(AC$4&lt;=Sensitivities!$C$814+i_opco_tenor,Sensitivities!$C$838,Sensitivities!$C$838+Sensitivities!$C$818)</f>
        <v/>
      </c>
      <c r="AD865" s="23">
        <f>IF(AD$4&lt;=Sensitivities!$C$814+i_opco_tenor,Sensitivities!$C$838,Sensitivities!$C$838+Sensitivities!$C$818)</f>
        <v/>
      </c>
      <c r="AE865" s="23">
        <f>IF(AE$4&lt;=Sensitivities!$C$814+i_opco_tenor,Sensitivities!$C$838,Sensitivities!$C$838+Sensitivities!$C$818)</f>
        <v/>
      </c>
      <c r="AF865" s="23">
        <f>IF(AF$4&lt;=Sensitivities!$C$814+i_opco_tenor,Sensitivities!$C$838,Sensitivities!$C$838+Sensitivities!$C$818)</f>
        <v/>
      </c>
      <c r="AG865" s="23">
        <f>IF(AG$4&lt;=Sensitivities!$C$814+i_opco_tenor,Sensitivities!$C$838,Sensitivities!$C$838+Sensitivities!$C$818)</f>
        <v/>
      </c>
      <c r="AH865" s="23">
        <f>IF(AH$4&lt;=Sensitivities!$C$814+i_opco_tenor,Sensitivities!$C$838,Sensitivities!$C$838+Sensitivities!$C$818)</f>
        <v/>
      </c>
      <c r="AI865" s="23">
        <f>IF(AI$4&lt;=Sensitivities!$C$814+i_opco_tenor,Sensitivities!$C$838,Sensitivities!$C$838+Sensitivities!$C$818)</f>
        <v/>
      </c>
    </row>
    <row r="866">
      <c r="B866" s="2" t="inlineStr">
        <is>
          <t>Interest (opco and holdco)</t>
        </is>
      </c>
      <c r="D866" s="19">
        <f>D865*Sensitivities!$C$840+i_hold_rate*Sensitivities!$C$841</f>
        <v/>
      </c>
      <c r="E866" s="19">
        <f>E865*Sensitivities!$C$840+i_hold_rate*Sensitivities!$C$841</f>
        <v/>
      </c>
      <c r="F866" s="19">
        <f>F865*Sensitivities!$C$840+i_hold_rate*Sensitivities!$C$841</f>
        <v/>
      </c>
      <c r="G866" s="19">
        <f>G865*Sensitivities!$C$840+i_hold_rate*Sensitivities!$C$841</f>
        <v/>
      </c>
      <c r="H866" s="19">
        <f>H865*Sensitivities!$C$840+i_hold_rate*Sensitivities!$C$841</f>
        <v/>
      </c>
      <c r="I866" s="19">
        <f>I865*Sensitivities!$C$840+i_hold_rate*Sensitivities!$C$841</f>
        <v/>
      </c>
      <c r="J866" s="19">
        <f>J865*Sensitivities!$C$840+i_hold_rate*Sensitivities!$C$841</f>
        <v/>
      </c>
      <c r="K866" s="19">
        <f>K865*Sensitivities!$C$840+i_hold_rate*Sensitivities!$C$841</f>
        <v/>
      </c>
      <c r="L866" s="19">
        <f>L865*Sensitivities!$C$840+i_hold_rate*Sensitivities!$C$841</f>
        <v/>
      </c>
      <c r="M866" s="19">
        <f>M865*Sensitivities!$C$840+i_hold_rate*Sensitivities!$C$841</f>
        <v/>
      </c>
      <c r="N866" s="19">
        <f>N865*Sensitivities!$C$840+i_hold_rate*Sensitivities!$C$841</f>
        <v/>
      </c>
      <c r="O866" s="19">
        <f>O865*Sensitivities!$C$840+i_hold_rate*Sensitivities!$C$841</f>
        <v/>
      </c>
      <c r="P866" s="19">
        <f>P865*Sensitivities!$C$840+i_hold_rate*Sensitivities!$C$841</f>
        <v/>
      </c>
      <c r="Q866" s="19">
        <f>Q865*Sensitivities!$C$840+i_hold_rate*Sensitivities!$C$841</f>
        <v/>
      </c>
      <c r="R866" s="19">
        <f>R865*Sensitivities!$C$840+i_hold_rate*Sensitivities!$C$841</f>
        <v/>
      </c>
      <c r="S866" s="19">
        <f>S865*Sensitivities!$C$840+i_hold_rate*Sensitivities!$C$841</f>
        <v/>
      </c>
      <c r="T866" s="19">
        <f>T865*Sensitivities!$C$840+i_hold_rate*Sensitivities!$C$841</f>
        <v/>
      </c>
      <c r="U866" s="19">
        <f>U865*Sensitivities!$C$840+i_hold_rate*Sensitivities!$C$841</f>
        <v/>
      </c>
      <c r="V866" s="19">
        <f>V865*Sensitivities!$C$840+i_hold_rate*Sensitivities!$C$841</f>
        <v/>
      </c>
      <c r="W866" s="19">
        <f>W865*Sensitivities!$C$840+i_hold_rate*Sensitivities!$C$841</f>
        <v/>
      </c>
      <c r="X866" s="19">
        <f>X865*Sensitivities!$C$840+i_hold_rate*Sensitivities!$C$841</f>
        <v/>
      </c>
      <c r="Y866" s="19">
        <f>Y865*Sensitivities!$C$840+i_hold_rate*Sensitivities!$C$841</f>
        <v/>
      </c>
      <c r="Z866" s="19">
        <f>Z865*Sensitivities!$C$840+i_hold_rate*Sensitivities!$C$841</f>
        <v/>
      </c>
      <c r="AA866" s="19">
        <f>AA865*Sensitivities!$C$840+i_hold_rate*Sensitivities!$C$841</f>
        <v/>
      </c>
      <c r="AB866" s="19">
        <f>AB865*Sensitivities!$C$840+i_hold_rate*Sensitivities!$C$841</f>
        <v/>
      </c>
      <c r="AC866" s="19">
        <f>AC865*Sensitivities!$C$840+i_hold_rate*Sensitivities!$C$841</f>
        <v/>
      </c>
      <c r="AD866" s="19">
        <f>AD865*Sensitivities!$C$840+i_hold_rate*Sensitivities!$C$841</f>
        <v/>
      </c>
      <c r="AE866" s="19">
        <f>AE865*Sensitivities!$C$840+i_hold_rate*Sensitivities!$C$841</f>
        <v/>
      </c>
      <c r="AF866" s="19">
        <f>AF865*Sensitivities!$C$840+i_hold_rate*Sensitivities!$C$841</f>
        <v/>
      </c>
      <c r="AG866" s="19">
        <f>AG865*Sensitivities!$C$840+i_hold_rate*Sensitivities!$C$841</f>
        <v/>
      </c>
      <c r="AH866" s="19">
        <f>AH865*Sensitivities!$C$840+i_hold_rate*Sensitivities!$C$841</f>
        <v/>
      </c>
      <c r="AI866" s="19">
        <f>AI865*Sensitivities!$C$840+i_hold_rate*Sensitivities!$C$841</f>
        <v/>
      </c>
    </row>
    <row r="867">
      <c r="B867" s="2" t="inlineStr">
        <is>
          <t>Deductible interest (cap on EBITDA)</t>
        </is>
      </c>
      <c r="D867" s="19">
        <f>MIN(D866,i_int_cap*Sensitivities!D120)</f>
        <v/>
      </c>
      <c r="E867" s="19">
        <f>MIN(E866,i_int_cap*Sensitivities!E120)</f>
        <v/>
      </c>
      <c r="F867" s="19">
        <f>MIN(F866,i_int_cap*Sensitivities!F120)</f>
        <v/>
      </c>
      <c r="G867" s="19">
        <f>MIN(G866,i_int_cap*Sensitivities!G120)</f>
        <v/>
      </c>
      <c r="H867" s="19">
        <f>MIN(H866,i_int_cap*Sensitivities!H120)</f>
        <v/>
      </c>
      <c r="I867" s="19">
        <f>MIN(I866,i_int_cap*Sensitivities!I120)</f>
        <v/>
      </c>
      <c r="J867" s="19">
        <f>MIN(J866,i_int_cap*Sensitivities!J120)</f>
        <v/>
      </c>
      <c r="K867" s="19">
        <f>MIN(K866,i_int_cap*Sensitivities!K120)</f>
        <v/>
      </c>
      <c r="L867" s="19">
        <f>MIN(L866,i_int_cap*Sensitivities!L120)</f>
        <v/>
      </c>
      <c r="M867" s="19">
        <f>MIN(M866,i_int_cap*Sensitivities!M120)</f>
        <v/>
      </c>
      <c r="N867" s="19">
        <f>MIN(N866,i_int_cap*Sensitivities!N120)</f>
        <v/>
      </c>
      <c r="O867" s="19">
        <f>MIN(O866,i_int_cap*Sensitivities!O120)</f>
        <v/>
      </c>
      <c r="P867" s="19">
        <f>MIN(P866,i_int_cap*Sensitivities!P120)</f>
        <v/>
      </c>
      <c r="Q867" s="19">
        <f>MIN(Q866,i_int_cap*Sensitivities!Q120)</f>
        <v/>
      </c>
      <c r="R867" s="19">
        <f>MIN(R866,i_int_cap*Sensitivities!R120)</f>
        <v/>
      </c>
      <c r="S867" s="19">
        <f>MIN(S866,i_int_cap*Sensitivities!S120)</f>
        <v/>
      </c>
      <c r="T867" s="19">
        <f>MIN(T866,i_int_cap*Sensitivities!T120)</f>
        <v/>
      </c>
      <c r="U867" s="19">
        <f>MIN(U866,i_int_cap*Sensitivities!U120)</f>
        <v/>
      </c>
      <c r="V867" s="19">
        <f>MIN(V866,i_int_cap*Sensitivities!V120)</f>
        <v/>
      </c>
      <c r="W867" s="19">
        <f>MIN(W866,i_int_cap*Sensitivities!W120)</f>
        <v/>
      </c>
      <c r="X867" s="19">
        <f>MIN(X866,i_int_cap*Sensitivities!X120)</f>
        <v/>
      </c>
      <c r="Y867" s="19">
        <f>MIN(Y866,i_int_cap*Sensitivities!Y120)</f>
        <v/>
      </c>
      <c r="Z867" s="19">
        <f>MIN(Z866,i_int_cap*Sensitivities!Z120)</f>
        <v/>
      </c>
      <c r="AA867" s="19">
        <f>MIN(AA866,i_int_cap*Sensitivities!AA120)</f>
        <v/>
      </c>
      <c r="AB867" s="19">
        <f>MIN(AB866,i_int_cap*Sensitivities!AB120)</f>
        <v/>
      </c>
      <c r="AC867" s="19">
        <f>MIN(AC866,i_int_cap*Sensitivities!AC120)</f>
        <v/>
      </c>
      <c r="AD867" s="19">
        <f>MIN(AD866,i_int_cap*Sensitivities!AD120)</f>
        <v/>
      </c>
      <c r="AE867" s="19">
        <f>MIN(AE866,i_int_cap*Sensitivities!AE120)</f>
        <v/>
      </c>
      <c r="AF867" s="19">
        <f>MIN(AF866,i_int_cap*Sensitivities!AF120)</f>
        <v/>
      </c>
      <c r="AG867" s="19">
        <f>MIN(AG866,i_int_cap*Sensitivities!AG120)</f>
        <v/>
      </c>
      <c r="AH867" s="19">
        <f>MIN(AH866,i_int_cap*Sensitivities!AH120)</f>
        <v/>
      </c>
      <c r="AI867" s="19">
        <f>MIN(AI866,i_int_cap*Sensitivities!AI120)</f>
        <v/>
      </c>
    </row>
    <row r="868">
      <c r="B868" s="2" t="inlineStr">
        <is>
          <t>Cash tax with the debt</t>
        </is>
      </c>
      <c r="D868" s="19">
        <f>i_tax*MAX(0,Sensitivities!D120-Sensitivities!D123-D867)</f>
        <v/>
      </c>
      <c r="E868" s="19">
        <f>i_tax*MAX(0,Sensitivities!E120-Sensitivities!E123-E867)</f>
        <v/>
      </c>
      <c r="F868" s="19">
        <f>i_tax*MAX(0,Sensitivities!F120-Sensitivities!F123-F867)</f>
        <v/>
      </c>
      <c r="G868" s="19">
        <f>i_tax*MAX(0,Sensitivities!G120-Sensitivities!G123-G867)</f>
        <v/>
      </c>
      <c r="H868" s="19">
        <f>i_tax*MAX(0,Sensitivities!H120-Sensitivities!H123-H867)</f>
        <v/>
      </c>
      <c r="I868" s="19">
        <f>i_tax*MAX(0,Sensitivities!I120-Sensitivities!I123-I867)</f>
        <v/>
      </c>
      <c r="J868" s="19">
        <f>i_tax*MAX(0,Sensitivities!J120-Sensitivities!J123-J867)</f>
        <v/>
      </c>
      <c r="K868" s="19">
        <f>i_tax*MAX(0,Sensitivities!K120-Sensitivities!K123-K867)</f>
        <v/>
      </c>
      <c r="L868" s="19">
        <f>i_tax*MAX(0,Sensitivities!L120-Sensitivities!L123-L867)</f>
        <v/>
      </c>
      <c r="M868" s="19">
        <f>i_tax*MAX(0,Sensitivities!M120-Sensitivities!M123-M867)</f>
        <v/>
      </c>
      <c r="N868" s="19">
        <f>i_tax*MAX(0,Sensitivities!N120-Sensitivities!N123-N867)</f>
        <v/>
      </c>
      <c r="O868" s="19">
        <f>i_tax*MAX(0,Sensitivities!O120-Sensitivities!O123-O867)</f>
        <v/>
      </c>
      <c r="P868" s="19">
        <f>i_tax*MAX(0,Sensitivities!P120-Sensitivities!P123-P867)</f>
        <v/>
      </c>
      <c r="Q868" s="19">
        <f>i_tax*MAX(0,Sensitivities!Q120-Sensitivities!Q123-Q867)</f>
        <v/>
      </c>
      <c r="R868" s="19">
        <f>i_tax*MAX(0,Sensitivities!R120-Sensitivities!R123-R867)</f>
        <v/>
      </c>
      <c r="S868" s="19">
        <f>i_tax*MAX(0,Sensitivities!S120-Sensitivities!S123-S867)</f>
        <v/>
      </c>
      <c r="T868" s="19">
        <f>i_tax*MAX(0,Sensitivities!T120-Sensitivities!T123-T867)</f>
        <v/>
      </c>
      <c r="U868" s="19">
        <f>i_tax*MAX(0,Sensitivities!U120-Sensitivities!U123-U867)</f>
        <v/>
      </c>
      <c r="V868" s="19">
        <f>i_tax*MAX(0,Sensitivities!V120-Sensitivities!V123-V867)</f>
        <v/>
      </c>
      <c r="W868" s="19">
        <f>i_tax*MAX(0,Sensitivities!W120-Sensitivities!W123-W867)</f>
        <v/>
      </c>
      <c r="X868" s="19">
        <f>i_tax*MAX(0,Sensitivities!X120-Sensitivities!X123-X867)</f>
        <v/>
      </c>
      <c r="Y868" s="19">
        <f>i_tax*MAX(0,Sensitivities!Y120-Sensitivities!Y123-Y867)</f>
        <v/>
      </c>
      <c r="Z868" s="19">
        <f>i_tax*MAX(0,Sensitivities!Z120-Sensitivities!Z123-Z867)</f>
        <v/>
      </c>
      <c r="AA868" s="19">
        <f>i_tax*MAX(0,Sensitivities!AA120-Sensitivities!AA123-AA867)</f>
        <v/>
      </c>
      <c r="AB868" s="19">
        <f>i_tax*MAX(0,Sensitivities!AB120-Sensitivities!AB123-AB867)</f>
        <v/>
      </c>
      <c r="AC868" s="19">
        <f>i_tax*MAX(0,Sensitivities!AC120-Sensitivities!AC123-AC867)</f>
        <v/>
      </c>
      <c r="AD868" s="19">
        <f>i_tax*MAX(0,Sensitivities!AD120-Sensitivities!AD123-AD867)</f>
        <v/>
      </c>
      <c r="AE868" s="19">
        <f>i_tax*MAX(0,Sensitivities!AE120-Sensitivities!AE123-AE867)</f>
        <v/>
      </c>
      <c r="AF868" s="19">
        <f>i_tax*MAX(0,Sensitivities!AF120-Sensitivities!AF123-AF867)</f>
        <v/>
      </c>
      <c r="AG868" s="19">
        <f>i_tax*MAX(0,Sensitivities!AG120-Sensitivities!AG123-AG867)</f>
        <v/>
      </c>
      <c r="AH868" s="19">
        <f>i_tax*MAX(0,Sensitivities!AH120-Sensitivities!AH123-AH867)</f>
        <v/>
      </c>
      <c r="AI868" s="19">
        <f>i_tax*MAX(0,Sensitivities!AI120-Sensitivities!AI123-AI867)</f>
        <v/>
      </c>
    </row>
    <row r="869">
      <c r="B869" s="3" t="inlineStr">
        <is>
          <t>Cash flow to equity (full year)</t>
        </is>
      </c>
      <c r="D869" s="31">
        <f>Sensitivities!D120-Sensitivities!D121-Sensitivities!D122-D868-D866-Sensitivities!D125</f>
        <v/>
      </c>
      <c r="E869" s="31">
        <f>Sensitivities!E120-Sensitivities!E121-Sensitivities!E122-E868-E866-Sensitivities!E125</f>
        <v/>
      </c>
      <c r="F869" s="31">
        <f>Sensitivities!F120-Sensitivities!F121-Sensitivities!F122-F868-F866-Sensitivities!F125</f>
        <v/>
      </c>
      <c r="G869" s="31">
        <f>Sensitivities!G120-Sensitivities!G121-Sensitivities!G122-G868-G866-Sensitivities!G125</f>
        <v/>
      </c>
      <c r="H869" s="31">
        <f>Sensitivities!H120-Sensitivities!H121-Sensitivities!H122-H868-H866-Sensitivities!H125</f>
        <v/>
      </c>
      <c r="I869" s="31">
        <f>Sensitivities!I120-Sensitivities!I121-Sensitivities!I122-I868-I866-Sensitivities!I125</f>
        <v/>
      </c>
      <c r="J869" s="31">
        <f>Sensitivities!J120-Sensitivities!J121-Sensitivities!J122-J868-J866-Sensitivities!J125</f>
        <v/>
      </c>
      <c r="K869" s="31">
        <f>Sensitivities!K120-Sensitivities!K121-Sensitivities!K122-K868-K866-Sensitivities!K125</f>
        <v/>
      </c>
      <c r="L869" s="31">
        <f>Sensitivities!L120-Sensitivities!L121-Sensitivities!L122-L868-L866-Sensitivities!L125</f>
        <v/>
      </c>
      <c r="M869" s="31">
        <f>Sensitivities!M120-Sensitivities!M121-Sensitivities!M122-M868-M866-Sensitivities!M125</f>
        <v/>
      </c>
      <c r="N869" s="31">
        <f>Sensitivities!N120-Sensitivities!N121-Sensitivities!N122-N868-N866-Sensitivities!N125</f>
        <v/>
      </c>
      <c r="O869" s="31">
        <f>Sensitivities!O120-Sensitivities!O121-Sensitivities!O122-O868-O866-Sensitivities!O125</f>
        <v/>
      </c>
      <c r="P869" s="31">
        <f>Sensitivities!P120-Sensitivities!P121-Sensitivities!P122-P868-P866-Sensitivities!P125</f>
        <v/>
      </c>
      <c r="Q869" s="31">
        <f>Sensitivities!Q120-Sensitivities!Q121-Sensitivities!Q122-Q868-Q866-Sensitivities!Q125</f>
        <v/>
      </c>
      <c r="R869" s="31">
        <f>Sensitivities!R120-Sensitivities!R121-Sensitivities!R122-R868-R866-Sensitivities!R125</f>
        <v/>
      </c>
      <c r="S869" s="31">
        <f>Sensitivities!S120-Sensitivities!S121-Sensitivities!S122-S868-S866-Sensitivities!S125</f>
        <v/>
      </c>
      <c r="T869" s="31">
        <f>Sensitivities!T120-Sensitivities!T121-Sensitivities!T122-T868-T866-Sensitivities!T125</f>
        <v/>
      </c>
      <c r="U869" s="31">
        <f>Sensitivities!U120-Sensitivities!U121-Sensitivities!U122-U868-U866-Sensitivities!U125</f>
        <v/>
      </c>
      <c r="V869" s="31">
        <f>Sensitivities!V120-Sensitivities!V121-Sensitivities!V122-V868-V866-Sensitivities!V125</f>
        <v/>
      </c>
      <c r="W869" s="31">
        <f>Sensitivities!W120-Sensitivities!W121-Sensitivities!W122-W868-W866-Sensitivities!W125</f>
        <v/>
      </c>
      <c r="X869" s="31">
        <f>Sensitivities!X120-Sensitivities!X121-Sensitivities!X122-X868-X866-Sensitivities!X125</f>
        <v/>
      </c>
      <c r="Y869" s="31">
        <f>Sensitivities!Y120-Sensitivities!Y121-Sensitivities!Y122-Y868-Y866-Sensitivities!Y125</f>
        <v/>
      </c>
      <c r="Z869" s="31">
        <f>Sensitivities!Z120-Sensitivities!Z121-Sensitivities!Z122-Z868-Z866-Sensitivities!Z125</f>
        <v/>
      </c>
      <c r="AA869" s="31">
        <f>Sensitivities!AA120-Sensitivities!AA121-Sensitivities!AA122-AA868-AA866-Sensitivities!AA125</f>
        <v/>
      </c>
      <c r="AB869" s="31">
        <f>Sensitivities!AB120-Sensitivities!AB121-Sensitivities!AB122-AB868-AB866-Sensitivities!AB125</f>
        <v/>
      </c>
      <c r="AC869" s="31">
        <f>Sensitivities!AC120-Sensitivities!AC121-Sensitivities!AC122-AC868-AC866-Sensitivities!AC125</f>
        <v/>
      </c>
      <c r="AD869" s="31">
        <f>Sensitivities!AD120-Sensitivities!AD121-Sensitivities!AD122-AD868-AD866-Sensitivities!AD125</f>
        <v/>
      </c>
      <c r="AE869" s="31">
        <f>Sensitivities!AE120-Sensitivities!AE121-Sensitivities!AE122-AE868-AE866-Sensitivities!AE125</f>
        <v/>
      </c>
      <c r="AF869" s="31">
        <f>Sensitivities!AF120-Sensitivities!AF121-Sensitivities!AF122-AF868-AF866-Sensitivities!AF125</f>
        <v/>
      </c>
      <c r="AG869" s="31">
        <f>Sensitivities!AG120-Sensitivities!AG121-Sensitivities!AG122-AG868-AG866-Sensitivities!AG125</f>
        <v/>
      </c>
      <c r="AH869" s="31">
        <f>Sensitivities!AH120-Sensitivities!AH121-Sensitivities!AH122-AH868-AH866-Sensitivities!AH125</f>
        <v/>
      </c>
      <c r="AI869" s="31">
        <f>Sensitivities!AI120-Sensitivities!AI121-Sensitivities!AI122-AI868-AI866-Sensitivities!AI125</f>
        <v/>
      </c>
    </row>
    <row r="870">
      <c r="B870" s="2" t="inlineStr">
        <is>
          <t>Exit EV at the end of the exit year (DCF at the exit rate)</t>
        </is>
      </c>
      <c r="C870" s="19">
        <f>SUMPRODUCT((Sensitivities!$D$3:$AI$3&gt;i_exit_year)*(Sensitivities!$D$3:$AI$3&lt;=i_last)*Sensitivities!$D$126:$AI$126/(1+Sensitivities!$C$817)^(Sensitivities!$D$3:$AI$3-i_exit_year))+Sensitivities!$AI$126/(Sensitivities!$C$817-i_g)/(1+Sensitivities!$C$817)^(i_last-i_exit_year)</f>
        <v/>
      </c>
    </row>
    <row r="871">
      <c r="B871" s="2" t="inlineStr">
        <is>
          <t>Debt at exit (bullets)</t>
        </is>
      </c>
      <c r="C871" s="19">
        <f>Sensitivities!$C$840+Sensitivities!$C$841</f>
        <v/>
      </c>
    </row>
    <row r="872">
      <c r="B872" s="3" t="inlineStr">
        <is>
          <t>Equity value at exit</t>
        </is>
      </c>
      <c r="C872" s="31">
        <f>Sensitivities!$C$870-Sensitivities!$C$871</f>
        <v/>
      </c>
    </row>
    <row r="873">
      <c r="B873" s="2" t="inlineStr">
        <is>
          <t>Minority option: EV at the end of 2031 (minority buyer's rate)</t>
        </is>
      </c>
      <c r="C873" s="19">
        <f>SUMPRODUCT((Sensitivities!$D$3:$AI$3&gt;i_min_year)*(Sensitivities!$D$3:$AI$3&lt;=i_last)*Sensitivities!$D$126:$AI$126/(1+i_min_r)^(Sensitivities!$D$3:$AI$3-i_min_year))+Sensitivities!$AI$126/(i_min_r-i_g)/(1+i_min_r)^(i_last-i_min_year)</f>
        <v/>
      </c>
    </row>
    <row r="874">
      <c r="B874" s="2" t="inlineStr">
        <is>
          <t>Minority option: equity value in 2031</t>
        </is>
      </c>
      <c r="C874" s="19">
        <f>Sensitivities!$C$873-Sensitivities!$C$871</f>
        <v/>
      </c>
    </row>
    <row r="875">
      <c r="B875" s="2" t="inlineStr">
        <is>
          <t>Minority option: proceeds of the 49 percent sold</t>
        </is>
      </c>
      <c r="C875" s="19">
        <f>Sensitivities!$C$816*i_min_share*Sensitivities!$C$874*(1-i_min_disc)</f>
        <v/>
      </c>
    </row>
    <row r="876">
      <c r="B876" s="4" t="inlineStr">
        <is>
          <t>Time of each flow (years after 31 December 2026)</t>
        </is>
      </c>
      <c r="D876" s="28">
        <f>D$4</f>
        <v/>
      </c>
      <c r="E876" s="28">
        <f>E$4</f>
        <v/>
      </c>
      <c r="F876" s="28">
        <f>F$4</f>
        <v/>
      </c>
      <c r="G876" s="28">
        <f>G$4</f>
        <v/>
      </c>
      <c r="H876" s="28">
        <f>H$4</f>
        <v/>
      </c>
      <c r="I876" s="28">
        <f>I$4</f>
        <v/>
      </c>
      <c r="J876" s="28">
        <f>J$4</f>
        <v/>
      </c>
      <c r="K876" s="28">
        <f>K$4</f>
        <v/>
      </c>
      <c r="L876" s="28">
        <f>L$4</f>
        <v/>
      </c>
      <c r="M876" s="28">
        <f>M$4</f>
        <v/>
      </c>
      <c r="N876" s="28">
        <f>N$4</f>
        <v/>
      </c>
      <c r="O876" s="28">
        <f>O$4</f>
        <v/>
      </c>
      <c r="P876" s="28">
        <f>P$4</f>
        <v/>
      </c>
      <c r="Q876" s="28">
        <f>Q$4</f>
        <v/>
      </c>
      <c r="R876" s="28">
        <f>R$4</f>
        <v/>
      </c>
      <c r="S876" s="28">
        <f>S$4</f>
        <v/>
      </c>
      <c r="T876" s="28">
        <f>T$4</f>
        <v/>
      </c>
      <c r="U876" s="28">
        <f>U$4</f>
        <v/>
      </c>
      <c r="V876" s="28">
        <f>V$4</f>
        <v/>
      </c>
      <c r="W876" s="28">
        <f>W$4</f>
        <v/>
      </c>
      <c r="X876" s="28">
        <f>X$4</f>
        <v/>
      </c>
      <c r="Y876" s="28">
        <f>Y$4</f>
        <v/>
      </c>
      <c r="Z876" s="28">
        <f>Z$4</f>
        <v/>
      </c>
      <c r="AA876" s="28">
        <f>AA$4</f>
        <v/>
      </c>
      <c r="AB876" s="28">
        <f>AB$4</f>
        <v/>
      </c>
      <c r="AC876" s="28">
        <f>AC$4</f>
        <v/>
      </c>
      <c r="AD876" s="28">
        <f>AD$4</f>
        <v/>
      </c>
      <c r="AE876" s="28">
        <f>AE$4</f>
        <v/>
      </c>
      <c r="AF876" s="28">
        <f>AF$4</f>
        <v/>
      </c>
      <c r="AG876" s="28">
        <f>AG$4</f>
        <v/>
      </c>
      <c r="AH876" s="28">
        <f>AH$4</f>
        <v/>
      </c>
      <c r="AI876" s="28">
        <f>AI$4</f>
        <v/>
      </c>
      <c r="AJ876" s="28">
        <f>Sensitivities!$C$814</f>
        <v/>
      </c>
      <c r="AK876" s="28">
        <f>i_min_year-i_base_year</f>
        <v/>
      </c>
      <c r="AL876" s="28">
        <f>i_exit_year-i_base_year</f>
        <v/>
      </c>
    </row>
    <row r="877">
      <c r="B877" s="3" t="inlineStr">
        <is>
          <t>Levered flows (equity)</t>
        </is>
      </c>
      <c r="D877" s="31">
        <f>D864*D869*IF(AND(Sensitivities!$C$816=1,D876&gt;$AK$876+1E-9),1-i_min_share,1)</f>
        <v/>
      </c>
      <c r="E877" s="31">
        <f>E864*E869*IF(AND(Sensitivities!$C$816=1,E876&gt;$AK$876+1E-9),1-i_min_share,1)</f>
        <v/>
      </c>
      <c r="F877" s="31">
        <f>F864*F869*IF(AND(Sensitivities!$C$816=1,F876&gt;$AK$876+1E-9),1-i_min_share,1)</f>
        <v/>
      </c>
      <c r="G877" s="31">
        <f>G864*G869*IF(AND(Sensitivities!$C$816=1,G876&gt;$AK$876+1E-9),1-i_min_share,1)</f>
        <v/>
      </c>
      <c r="H877" s="31">
        <f>H864*H869*IF(AND(Sensitivities!$C$816=1,H876&gt;$AK$876+1E-9),1-i_min_share,1)</f>
        <v/>
      </c>
      <c r="I877" s="31">
        <f>I864*I869*IF(AND(Sensitivities!$C$816=1,I876&gt;$AK$876+1E-9),1-i_min_share,1)</f>
        <v/>
      </c>
      <c r="J877" s="31">
        <f>J864*J869*IF(AND(Sensitivities!$C$816=1,J876&gt;$AK$876+1E-9),1-i_min_share,1)</f>
        <v/>
      </c>
      <c r="K877" s="31">
        <f>K864*K869*IF(AND(Sensitivities!$C$816=1,K876&gt;$AK$876+1E-9),1-i_min_share,1)</f>
        <v/>
      </c>
      <c r="L877" s="31">
        <f>L864*L869*IF(AND(Sensitivities!$C$816=1,L876&gt;$AK$876+1E-9),1-i_min_share,1)</f>
        <v/>
      </c>
      <c r="M877" s="31">
        <f>M864*M869*IF(AND(Sensitivities!$C$816=1,M876&gt;$AK$876+1E-9),1-i_min_share,1)</f>
        <v/>
      </c>
      <c r="N877" s="31">
        <f>N864*N869*IF(AND(Sensitivities!$C$816=1,N876&gt;$AK$876+1E-9),1-i_min_share,1)</f>
        <v/>
      </c>
      <c r="O877" s="31">
        <f>O864*O869*IF(AND(Sensitivities!$C$816=1,O876&gt;$AK$876+1E-9),1-i_min_share,1)</f>
        <v/>
      </c>
      <c r="P877" s="31">
        <f>P864*P869*IF(AND(Sensitivities!$C$816=1,P876&gt;$AK$876+1E-9),1-i_min_share,1)</f>
        <v/>
      </c>
      <c r="Q877" s="31">
        <f>Q864*Q869*IF(AND(Sensitivities!$C$816=1,Q876&gt;$AK$876+1E-9),1-i_min_share,1)</f>
        <v/>
      </c>
      <c r="R877" s="31">
        <f>R864*R869*IF(AND(Sensitivities!$C$816=1,R876&gt;$AK$876+1E-9),1-i_min_share,1)</f>
        <v/>
      </c>
      <c r="S877" s="31">
        <f>S864*S869*IF(AND(Sensitivities!$C$816=1,S876&gt;$AK$876+1E-9),1-i_min_share,1)</f>
        <v/>
      </c>
      <c r="T877" s="31">
        <f>T864*T869*IF(AND(Sensitivities!$C$816=1,T876&gt;$AK$876+1E-9),1-i_min_share,1)</f>
        <v/>
      </c>
      <c r="U877" s="31">
        <f>U864*U869*IF(AND(Sensitivities!$C$816=1,U876&gt;$AK$876+1E-9),1-i_min_share,1)</f>
        <v/>
      </c>
      <c r="V877" s="31">
        <f>V864*V869*IF(AND(Sensitivities!$C$816=1,V876&gt;$AK$876+1E-9),1-i_min_share,1)</f>
        <v/>
      </c>
      <c r="W877" s="31">
        <f>W864*W869*IF(AND(Sensitivities!$C$816=1,W876&gt;$AK$876+1E-9),1-i_min_share,1)</f>
        <v/>
      </c>
      <c r="X877" s="31">
        <f>X864*X869*IF(AND(Sensitivities!$C$816=1,X876&gt;$AK$876+1E-9),1-i_min_share,1)</f>
        <v/>
      </c>
      <c r="Y877" s="31">
        <f>Y864*Y869*IF(AND(Sensitivities!$C$816=1,Y876&gt;$AK$876+1E-9),1-i_min_share,1)</f>
        <v/>
      </c>
      <c r="Z877" s="31">
        <f>Z864*Z869*IF(AND(Sensitivities!$C$816=1,Z876&gt;$AK$876+1E-9),1-i_min_share,1)</f>
        <v/>
      </c>
      <c r="AA877" s="31">
        <f>AA864*AA869*IF(AND(Sensitivities!$C$816=1,AA876&gt;$AK$876+1E-9),1-i_min_share,1)</f>
        <v/>
      </c>
      <c r="AB877" s="31">
        <f>AB864*AB869*IF(AND(Sensitivities!$C$816=1,AB876&gt;$AK$876+1E-9),1-i_min_share,1)</f>
        <v/>
      </c>
      <c r="AC877" s="31">
        <f>AC864*AC869*IF(AND(Sensitivities!$C$816=1,AC876&gt;$AK$876+1E-9),1-i_min_share,1)</f>
        <v/>
      </c>
      <c r="AD877" s="31">
        <f>AD864*AD869*IF(AND(Sensitivities!$C$816=1,AD876&gt;$AK$876+1E-9),1-i_min_share,1)</f>
        <v/>
      </c>
      <c r="AE877" s="31">
        <f>AE864*AE869*IF(AND(Sensitivities!$C$816=1,AE876&gt;$AK$876+1E-9),1-i_min_share,1)</f>
        <v/>
      </c>
      <c r="AF877" s="31">
        <f>AF864*AF869*IF(AND(Sensitivities!$C$816=1,AF876&gt;$AK$876+1E-9),1-i_min_share,1)</f>
        <v/>
      </c>
      <c r="AG877" s="31">
        <f>AG864*AG869*IF(AND(Sensitivities!$C$816=1,AG876&gt;$AK$876+1E-9),1-i_min_share,1)</f>
        <v/>
      </c>
      <c r="AH877" s="31">
        <f>AH864*AH869*IF(AND(Sensitivities!$C$816=1,AH876&gt;$AK$876+1E-9),1-i_min_share,1)</f>
        <v/>
      </c>
      <c r="AI877" s="31">
        <f>AI864*AI869*IF(AND(Sensitivities!$C$816=1,AI876&gt;$AK$876+1E-9),1-i_min_share,1)</f>
        <v/>
      </c>
      <c r="AJ877" s="31">
        <f>-Sensitivities!$C$860</f>
        <v/>
      </c>
      <c r="AK877" s="31">
        <f>Sensitivities!$C$875</f>
        <v/>
      </c>
      <c r="AL877" s="31">
        <f>Sensitivities!$C$872*IF(Sensitivities!$C$816=1,1-i_min_share,1)</f>
        <v/>
      </c>
    </row>
    <row r="878">
      <c r="B878" s="3" t="inlineStr">
        <is>
          <t>Unlevered flows (before financing)</t>
        </is>
      </c>
      <c r="D878" s="31">
        <f>D864*Sensitivities!D126</f>
        <v/>
      </c>
      <c r="E878" s="31">
        <f>E864*Sensitivities!E126</f>
        <v/>
      </c>
      <c r="F878" s="31">
        <f>F864*Sensitivities!F126</f>
        <v/>
      </c>
      <c r="G878" s="31">
        <f>G864*Sensitivities!G126</f>
        <v/>
      </c>
      <c r="H878" s="31">
        <f>H864*Sensitivities!H126</f>
        <v/>
      </c>
      <c r="I878" s="31">
        <f>I864*Sensitivities!I126</f>
        <v/>
      </c>
      <c r="J878" s="31">
        <f>J864*Sensitivities!J126</f>
        <v/>
      </c>
      <c r="K878" s="31">
        <f>K864*Sensitivities!K126</f>
        <v/>
      </c>
      <c r="L878" s="31">
        <f>L864*Sensitivities!L126</f>
        <v/>
      </c>
      <c r="M878" s="31">
        <f>M864*Sensitivities!M126</f>
        <v/>
      </c>
      <c r="N878" s="31">
        <f>N864*Sensitivities!N126</f>
        <v/>
      </c>
      <c r="O878" s="31">
        <f>O864*Sensitivities!O126</f>
        <v/>
      </c>
      <c r="P878" s="31">
        <f>P864*Sensitivities!P126</f>
        <v/>
      </c>
      <c r="Q878" s="31">
        <f>Q864*Sensitivities!Q126</f>
        <v/>
      </c>
      <c r="R878" s="31">
        <f>R864*Sensitivities!R126</f>
        <v/>
      </c>
      <c r="S878" s="31">
        <f>S864*Sensitivities!S126</f>
        <v/>
      </c>
      <c r="T878" s="31">
        <f>T864*Sensitivities!T126</f>
        <v/>
      </c>
      <c r="U878" s="31">
        <f>U864*Sensitivities!U126</f>
        <v/>
      </c>
      <c r="V878" s="31">
        <f>V864*Sensitivities!V126</f>
        <v/>
      </c>
      <c r="W878" s="31">
        <f>W864*Sensitivities!W126</f>
        <v/>
      </c>
      <c r="X878" s="31">
        <f>X864*Sensitivities!X126</f>
        <v/>
      </c>
      <c r="Y878" s="31">
        <f>Y864*Sensitivities!Y126</f>
        <v/>
      </c>
      <c r="Z878" s="31">
        <f>Z864*Sensitivities!Z126</f>
        <v/>
      </c>
      <c r="AA878" s="31">
        <f>AA864*Sensitivities!AA126</f>
        <v/>
      </c>
      <c r="AB878" s="31">
        <f>AB864*Sensitivities!AB126</f>
        <v/>
      </c>
      <c r="AC878" s="31">
        <f>AC864*Sensitivities!AC126</f>
        <v/>
      </c>
      <c r="AD878" s="31">
        <f>AD864*Sensitivities!AD126</f>
        <v/>
      </c>
      <c r="AE878" s="31">
        <f>AE864*Sensitivities!AE126</f>
        <v/>
      </c>
      <c r="AF878" s="31">
        <f>AF864*Sensitivities!AF126</f>
        <v/>
      </c>
      <c r="AG878" s="31">
        <f>AG864*Sensitivities!AG126</f>
        <v/>
      </c>
      <c r="AH878" s="31">
        <f>AH864*Sensitivities!AH126</f>
        <v/>
      </c>
      <c r="AI878" s="31">
        <f>AI864*Sensitivities!AI126</f>
        <v/>
      </c>
      <c r="AJ878" s="31">
        <f>-(Sensitivities!$C$855-Sensitivities!$C$833-Sensitivities!$C$845)</f>
        <v/>
      </c>
      <c r="AK878" s="19" t="n">
        <v>0</v>
      </c>
      <c r="AL878" s="31">
        <f>Sensitivities!$C$870</f>
        <v/>
      </c>
    </row>
    <row r="879">
      <c r="B879" s="4" t="inlineStr">
        <is>
          <t>Levered IRR (Newton steps from 10 percent)</t>
        </is>
      </c>
      <c r="D879" s="38" t="n">
        <v>0.1</v>
      </c>
      <c r="E879" s="40">
        <f>D879-SUMPRODUCT($D$877:$AL$877,(1+D879)^(-$D$876:$AL$876))/SUMPRODUCT($D$877:$AL$877*(-$D$876:$AL$876),(1+D879)^(-$D$876:$AL$876-1))</f>
        <v/>
      </c>
      <c r="F879" s="40">
        <f>E879-SUMPRODUCT($D$877:$AL$877,(1+E879)^(-$D$876:$AL$876))/SUMPRODUCT($D$877:$AL$877*(-$D$876:$AL$876),(1+E879)^(-$D$876:$AL$876-1))</f>
        <v/>
      </c>
      <c r="G879" s="40">
        <f>F879-SUMPRODUCT($D$877:$AL$877,(1+F879)^(-$D$876:$AL$876))/SUMPRODUCT($D$877:$AL$877*(-$D$876:$AL$876),(1+F879)^(-$D$876:$AL$876-1))</f>
        <v/>
      </c>
      <c r="H879" s="40">
        <f>G879-SUMPRODUCT($D$877:$AL$877,(1+G879)^(-$D$876:$AL$876))/SUMPRODUCT($D$877:$AL$877*(-$D$876:$AL$876),(1+G879)^(-$D$876:$AL$876-1))</f>
        <v/>
      </c>
      <c r="I879" s="40">
        <f>H879-SUMPRODUCT($D$877:$AL$877,(1+H879)^(-$D$876:$AL$876))/SUMPRODUCT($D$877:$AL$877*(-$D$876:$AL$876),(1+H879)^(-$D$876:$AL$876-1))</f>
        <v/>
      </c>
      <c r="J879" s="40">
        <f>I879-SUMPRODUCT($D$877:$AL$877,(1+I879)^(-$D$876:$AL$876))/SUMPRODUCT($D$877:$AL$877*(-$D$876:$AL$876),(1+I879)^(-$D$876:$AL$876-1))</f>
        <v/>
      </c>
      <c r="K879" s="40">
        <f>J879-SUMPRODUCT($D$877:$AL$877,(1+J879)^(-$D$876:$AL$876))/SUMPRODUCT($D$877:$AL$877*(-$D$876:$AL$876),(1+J879)^(-$D$876:$AL$876-1))</f>
        <v/>
      </c>
      <c r="L879" s="40">
        <f>K879-SUMPRODUCT($D$877:$AL$877,(1+K879)^(-$D$876:$AL$876))/SUMPRODUCT($D$877:$AL$877*(-$D$876:$AL$876),(1+K879)^(-$D$876:$AL$876-1))</f>
        <v/>
      </c>
      <c r="M879" s="40">
        <f>L879-SUMPRODUCT($D$877:$AL$877,(1+L879)^(-$D$876:$AL$876))/SUMPRODUCT($D$877:$AL$877*(-$D$876:$AL$876),(1+L879)^(-$D$876:$AL$876-1))</f>
        <v/>
      </c>
      <c r="N879" s="40">
        <f>M879-SUMPRODUCT($D$877:$AL$877,(1+M879)^(-$D$876:$AL$876))/SUMPRODUCT($D$877:$AL$877*(-$D$876:$AL$876),(1+M879)^(-$D$876:$AL$876-1))</f>
        <v/>
      </c>
      <c r="O879" s="40">
        <f>N879-SUMPRODUCT($D$877:$AL$877,(1+N879)^(-$D$876:$AL$876))/SUMPRODUCT($D$877:$AL$877*(-$D$876:$AL$876),(1+N879)^(-$D$876:$AL$876-1))</f>
        <v/>
      </c>
      <c r="P879" s="40">
        <f>O879-SUMPRODUCT($D$877:$AL$877,(1+O879)^(-$D$876:$AL$876))/SUMPRODUCT($D$877:$AL$877*(-$D$876:$AL$876),(1+O879)^(-$D$876:$AL$876-1))</f>
        <v/>
      </c>
      <c r="Q879" s="40">
        <f>P879-SUMPRODUCT($D$877:$AL$877,(1+P879)^(-$D$876:$AL$876))/SUMPRODUCT($D$877:$AL$877*(-$D$876:$AL$876),(1+P879)^(-$D$876:$AL$876-1))</f>
        <v/>
      </c>
      <c r="R879" s="40">
        <f>Q879-SUMPRODUCT($D$877:$AL$877,(1+Q879)^(-$D$876:$AL$876))/SUMPRODUCT($D$877:$AL$877*(-$D$876:$AL$876),(1+Q879)^(-$D$876:$AL$876-1))</f>
        <v/>
      </c>
    </row>
    <row r="880">
      <c r="B880" s="4" t="inlineStr">
        <is>
          <t>Unlevered IRR (Newton steps from 10 percent)</t>
        </is>
      </c>
      <c r="D880" s="38" t="n">
        <v>0.1</v>
      </c>
      <c r="E880" s="40">
        <f>D880-SUMPRODUCT($D$878:$AL$878,(1+D880)^(-$D$876:$AL$876))/SUMPRODUCT($D$878:$AL$878*(-$D$876:$AL$876),(1+D880)^(-$D$876:$AL$876-1))</f>
        <v/>
      </c>
      <c r="F880" s="40">
        <f>E880-SUMPRODUCT($D$878:$AL$878,(1+E880)^(-$D$876:$AL$876))/SUMPRODUCT($D$878:$AL$878*(-$D$876:$AL$876),(1+E880)^(-$D$876:$AL$876-1))</f>
        <v/>
      </c>
      <c r="G880" s="40">
        <f>F880-SUMPRODUCT($D$878:$AL$878,(1+F880)^(-$D$876:$AL$876))/SUMPRODUCT($D$878:$AL$878*(-$D$876:$AL$876),(1+F880)^(-$D$876:$AL$876-1))</f>
        <v/>
      </c>
      <c r="H880" s="40">
        <f>G880-SUMPRODUCT($D$878:$AL$878,(1+G880)^(-$D$876:$AL$876))/SUMPRODUCT($D$878:$AL$878*(-$D$876:$AL$876),(1+G880)^(-$D$876:$AL$876-1))</f>
        <v/>
      </c>
      <c r="I880" s="40">
        <f>H880-SUMPRODUCT($D$878:$AL$878,(1+H880)^(-$D$876:$AL$876))/SUMPRODUCT($D$878:$AL$878*(-$D$876:$AL$876),(1+H880)^(-$D$876:$AL$876-1))</f>
        <v/>
      </c>
      <c r="J880" s="40">
        <f>I880-SUMPRODUCT($D$878:$AL$878,(1+I880)^(-$D$876:$AL$876))/SUMPRODUCT($D$878:$AL$878*(-$D$876:$AL$876),(1+I880)^(-$D$876:$AL$876-1))</f>
        <v/>
      </c>
      <c r="K880" s="40">
        <f>J880-SUMPRODUCT($D$878:$AL$878,(1+J880)^(-$D$876:$AL$876))/SUMPRODUCT($D$878:$AL$878*(-$D$876:$AL$876),(1+J880)^(-$D$876:$AL$876-1))</f>
        <v/>
      </c>
      <c r="L880" s="40">
        <f>K880-SUMPRODUCT($D$878:$AL$878,(1+K880)^(-$D$876:$AL$876))/SUMPRODUCT($D$878:$AL$878*(-$D$876:$AL$876),(1+K880)^(-$D$876:$AL$876-1))</f>
        <v/>
      </c>
      <c r="M880" s="40">
        <f>L880-SUMPRODUCT($D$878:$AL$878,(1+L880)^(-$D$876:$AL$876))/SUMPRODUCT($D$878:$AL$878*(-$D$876:$AL$876),(1+L880)^(-$D$876:$AL$876-1))</f>
        <v/>
      </c>
      <c r="N880" s="40">
        <f>M880-SUMPRODUCT($D$878:$AL$878,(1+M880)^(-$D$876:$AL$876))/SUMPRODUCT($D$878:$AL$878*(-$D$876:$AL$876),(1+M880)^(-$D$876:$AL$876-1))</f>
        <v/>
      </c>
      <c r="O880" s="40">
        <f>N880-SUMPRODUCT($D$878:$AL$878,(1+N880)^(-$D$876:$AL$876))/SUMPRODUCT($D$878:$AL$878*(-$D$876:$AL$876),(1+N880)^(-$D$876:$AL$876-1))</f>
        <v/>
      </c>
      <c r="P880" s="40">
        <f>O880-SUMPRODUCT($D$878:$AL$878,(1+O880)^(-$D$876:$AL$876))/SUMPRODUCT($D$878:$AL$878*(-$D$876:$AL$876),(1+O880)^(-$D$876:$AL$876-1))</f>
        <v/>
      </c>
      <c r="Q880" s="40">
        <f>P880-SUMPRODUCT($D$878:$AL$878,(1+P880)^(-$D$876:$AL$876))/SUMPRODUCT($D$878:$AL$878*(-$D$876:$AL$876),(1+P880)^(-$D$876:$AL$876-1))</f>
        <v/>
      </c>
      <c r="R880" s="40">
        <f>Q880-SUMPRODUCT($D$878:$AL$878,(1+Q880)^(-$D$876:$AL$876))/SUMPRODUCT($D$878:$AL$878*(-$D$876:$AL$876),(1+Q880)^(-$D$876:$AL$876-1))</f>
        <v/>
      </c>
    </row>
    <row r="881">
      <c r="B881" s="3" t="inlineStr">
        <is>
          <t>Levered IRR (equity)</t>
        </is>
      </c>
      <c r="C881" s="33">
        <f>R879</f>
        <v/>
      </c>
    </row>
    <row r="882">
      <c r="B882" s="3" t="inlineStr">
        <is>
          <t>Unlevered IRR</t>
        </is>
      </c>
      <c r="C882" s="33">
        <f>R880</f>
        <v/>
      </c>
    </row>
    <row r="883">
      <c r="B883" s="2" t="inlineStr">
        <is>
          <t>Check: levered NPV at the levered IRR</t>
        </is>
      </c>
      <c r="C883" s="41">
        <f>SUMPRODUCT($D$877:$AL$877,(1+Sensitivities!$C$881)^(-$D$876:$AL$876))</f>
        <v/>
      </c>
    </row>
    <row r="884">
      <c r="B884" s="2" t="inlineStr">
        <is>
          <t>Check: unlevered NPV at the unlevered IRR</t>
        </is>
      </c>
      <c r="C884" s="41">
        <f>SUMPRODUCT($D$878:$AL$878,(1+Sensitivities!$C$882)^(-$D$876:$AL$876))</f>
        <v/>
      </c>
    </row>
    <row r="885">
      <c r="B885" s="2" t="inlineStr">
        <is>
          <t>Money multiple (cash in over cash out)</t>
        </is>
      </c>
      <c r="C885" s="37">
        <f>SUMIF($D$877:$AL$877,"&gt;0")/-SUMIF($D$877:$AL$877,"&lt;0")</f>
        <v/>
      </c>
    </row>
    <row r="886">
      <c r="B886" s="2" t="inlineStr">
        <is>
          <t>Present value at the target IRR of the flows after closing</t>
        </is>
      </c>
      <c r="C886" s="19">
        <f>SUMPRODUCT($D$877:$AL$877,(1+i_hurdle)^(-$D$876:$AL$876))+Sensitivities!$C$860*(1+i_hurdle)^(-Sensitivities!$C$814)</f>
        <v/>
      </c>
    </row>
    <row r="887">
      <c r="B887" s="2" t="inlineStr">
        <is>
          <t>Equity cheque that gives exactly the target IRR</t>
        </is>
      </c>
      <c r="C887" s="19">
        <f>Sensitivities!$C$886*(1+i_hurdle)^Sensitivities!$C$814</f>
        <v/>
      </c>
    </row>
    <row r="888">
      <c r="B888" s="2" t="inlineStr">
        <is>
          <t>EV less equity price (fixed bridge items)</t>
        </is>
      </c>
      <c r="C888" s="19">
        <f>Sensitivities!$C$819-Sensitivities!$C$825</f>
        <v/>
      </c>
    </row>
    <row r="889">
      <c r="B889" s="2" t="inlineStr">
        <is>
          <t>Equity cheque items that do not move with the price</t>
        </is>
      </c>
      <c r="C889" s="19">
        <f>Sensitivities!$C$850+Sensitivities!$C$822+i_costs_adv+Sensitivities!$C$845+Sensitivities!$C$846-Sensitivities!$C$840-Sensitivities!$C$841-Sensitivities!$C$833</f>
        <v/>
      </c>
    </row>
    <row r="890">
      <c r="B890" s="2" t="inlineStr">
        <is>
          <t>Walk-away EV, first pass (HSR fee at the bid)</t>
        </is>
      </c>
      <c r="C890" s="19">
        <f>(Sensitivities!$C$887-Sensitivities!$C$889-Sensitivities!$C$843+Sensitivities!$C$888*(1+i_ticking*Sensitivities!$C$814))/(1+i_ticking*Sensitivities!$C$814+i_wi_limit_pct*i_wi_rol*(1+i_wi_ipt))</f>
        <v/>
      </c>
    </row>
    <row r="891">
      <c r="B891" s="3" t="inlineStr">
        <is>
          <t>Walk-away EV (highest EV at the target IRR)</t>
        </is>
      </c>
      <c r="C891" s="31">
        <f>(Sensitivities!$C$887-Sensitivities!$C$889-IF(Sensitivities!$C$890-Sensitivities!$C$888&lt;INDEX(i_hsr_lo,1),0,LOOKUP(Sensitivities!$C$890-Sensitivities!$C$888,i_hsr_lo,i_hsr_fee))+Sensitivities!$C$888*(1+i_ticking*Sensitivities!$C$814))/(1+i_ticking*Sensitivities!$C$814+i_wi_limit_pct*i_wi_rol*(1+i_wi_ipt))</f>
        <v/>
      </c>
    </row>
    <row r="894">
      <c r="B894" s="5" t="inlineStr">
        <is>
          <t>Deal: inflation 1.5 percent instead of 2.5 (discount and debt rates unchanged)</t>
        </is>
      </c>
    </row>
    <row r="895">
      <c r="B895" s="4" t="inlineStr">
        <is>
          <t>Enterprise value at 31 December 2026</t>
        </is>
      </c>
      <c r="C895" s="29">
        <f>i_bid_ev</f>
        <v/>
      </c>
    </row>
    <row r="896">
      <c r="B896" s="4" t="inlineStr">
        <is>
          <t>Closing (years after 31 December 2026)</t>
        </is>
      </c>
      <c r="C896" s="28">
        <f>Inputs!$F$238</f>
        <v/>
      </c>
    </row>
    <row r="897">
      <c r="B897" s="4" t="inlineStr">
        <is>
          <t>Staple financing (1) or own debt (0)</t>
        </is>
      </c>
      <c r="C897" s="26">
        <f>0</f>
        <v/>
      </c>
    </row>
    <row r="898">
      <c r="B898" s="4" t="inlineStr">
        <is>
          <t>Minority sale in 2031 (1) or full exit (0)</t>
        </is>
      </c>
      <c r="C898" s="26">
        <f>0</f>
        <v/>
      </c>
    </row>
    <row r="899">
      <c r="B899" s="4" t="inlineStr">
        <is>
          <t>Exit discount rate</t>
        </is>
      </c>
      <c r="C899" s="38">
        <f>Inputs!$E$238</f>
        <v/>
      </c>
    </row>
    <row r="900">
      <c r="B900" s="4" t="inlineStr">
        <is>
          <t>Change in the opco rate at refinancing</t>
        </is>
      </c>
      <c r="C900" s="38">
        <f>Inputs!$D$238</f>
        <v/>
      </c>
    </row>
    <row r="901">
      <c r="B901" s="2" t="inlineStr">
        <is>
          <t>Enterprise value</t>
        </is>
      </c>
      <c r="C901" s="19">
        <f>Sensitivities!$C$895</f>
        <v/>
      </c>
    </row>
    <row r="902">
      <c r="B902" s="2" t="inlineStr">
        <is>
          <t>less existing financial debt (term loan and notes)</t>
        </is>
      </c>
      <c r="C902" s="19">
        <f>i_old_tl+i_old_notes</f>
        <v/>
      </c>
    </row>
    <row r="903">
      <c r="B903" s="2" t="inlineStr">
        <is>
          <t>less make-whole on the notes</t>
        </is>
      </c>
      <c r="C903" s="19">
        <f>i_make_whole</f>
        <v/>
      </c>
    </row>
    <row r="904">
      <c r="B904" s="2" t="inlineStr">
        <is>
          <t>less debt-like items (pension, accrued capex, 2026 tax)</t>
        </is>
      </c>
      <c r="C904" s="19">
        <f>i_pension+i_def_capex+i_acc_tax</f>
        <v/>
      </c>
    </row>
    <row r="905">
      <c r="B905" s="2" t="inlineStr">
        <is>
          <t>plus cash at the locked box date</t>
        </is>
      </c>
      <c r="C905" s="19">
        <f>i_lb_cash</f>
        <v/>
      </c>
    </row>
    <row r="906">
      <c r="B906" s="2" t="inlineStr">
        <is>
          <t>less permitted leakage</t>
        </is>
      </c>
      <c r="C906" s="19">
        <f>i_permitted_leak</f>
        <v/>
      </c>
    </row>
    <row r="907">
      <c r="B907" s="3" t="inlineStr">
        <is>
          <t>Equity price (shares and shareholder loan)</t>
        </is>
      </c>
      <c r="C907" s="31">
        <f>Sensitivities!$C$901-Sensitivities!$C$902-Sensitivities!$C$903-Sensitivities!$C$904+Sensitivities!$C$905-Sensitivities!$C$906</f>
        <v/>
      </c>
    </row>
    <row r="908">
      <c r="B908" s="2" t="inlineStr">
        <is>
          <t xml:space="preserve">  of which shareholder loan at face value</t>
        </is>
      </c>
      <c r="C908" s="19">
        <f>i_shl</f>
        <v/>
      </c>
    </row>
    <row r="909">
      <c r="B909" s="2" t="inlineStr">
        <is>
          <t xml:space="preserve">  of which shares</t>
        </is>
      </c>
      <c r="C909" s="19">
        <f>Sensitivities!$C$907-Sensitivities!$C$908</f>
        <v/>
      </c>
    </row>
    <row r="910">
      <c r="B910" s="2" t="inlineStr">
        <is>
          <t>Ticking fee to closing</t>
        </is>
      </c>
      <c r="C910" s="19">
        <f>Sensitivities!$C$907*i_ticking*Sensitivities!$C$896</f>
        <v/>
      </c>
    </row>
    <row r="911">
      <c r="B911" s="2" t="inlineStr">
        <is>
          <t>Share of the year before closing (box period)</t>
        </is>
      </c>
      <c r="D911" s="24">
        <f>IF(D$4&lt;1,0,MAX(0,MIN(1,Sensitivities!$C$896-(D$4-1))))</f>
        <v/>
      </c>
      <c r="E911" s="24">
        <f>IF(E$4&lt;1,0,MAX(0,MIN(1,Sensitivities!$C$896-(E$4-1))))</f>
        <v/>
      </c>
      <c r="F911" s="24">
        <f>IF(F$4&lt;1,0,MAX(0,MIN(1,Sensitivities!$C$896-(F$4-1))))</f>
        <v/>
      </c>
      <c r="G911" s="24">
        <f>IF(G$4&lt;1,0,MAX(0,MIN(1,Sensitivities!$C$896-(G$4-1))))</f>
        <v/>
      </c>
      <c r="H911" s="24">
        <f>IF(H$4&lt;1,0,MAX(0,MIN(1,Sensitivities!$C$896-(H$4-1))))</f>
        <v/>
      </c>
      <c r="I911" s="24">
        <f>IF(I$4&lt;1,0,MAX(0,MIN(1,Sensitivities!$C$896-(I$4-1))))</f>
        <v/>
      </c>
      <c r="J911" s="24">
        <f>IF(J$4&lt;1,0,MAX(0,MIN(1,Sensitivities!$C$896-(J$4-1))))</f>
        <v/>
      </c>
      <c r="K911" s="24">
        <f>IF(K$4&lt;1,0,MAX(0,MIN(1,Sensitivities!$C$896-(K$4-1))))</f>
        <v/>
      </c>
      <c r="L911" s="24">
        <f>IF(L$4&lt;1,0,MAX(0,MIN(1,Sensitivities!$C$896-(L$4-1))))</f>
        <v/>
      </c>
      <c r="M911" s="24">
        <f>IF(M$4&lt;1,0,MAX(0,MIN(1,Sensitivities!$C$896-(M$4-1))))</f>
        <v/>
      </c>
      <c r="N911" s="24">
        <f>IF(N$4&lt;1,0,MAX(0,MIN(1,Sensitivities!$C$896-(N$4-1))))</f>
        <v/>
      </c>
      <c r="O911" s="24">
        <f>IF(O$4&lt;1,0,MAX(0,MIN(1,Sensitivities!$C$896-(O$4-1))))</f>
        <v/>
      </c>
      <c r="P911" s="24">
        <f>IF(P$4&lt;1,0,MAX(0,MIN(1,Sensitivities!$C$896-(P$4-1))))</f>
        <v/>
      </c>
      <c r="Q911" s="24">
        <f>IF(Q$4&lt;1,0,MAX(0,MIN(1,Sensitivities!$C$896-(Q$4-1))))</f>
        <v/>
      </c>
      <c r="R911" s="24">
        <f>IF(R$4&lt;1,0,MAX(0,MIN(1,Sensitivities!$C$896-(R$4-1))))</f>
        <v/>
      </c>
      <c r="S911" s="24">
        <f>IF(S$4&lt;1,0,MAX(0,MIN(1,Sensitivities!$C$896-(S$4-1))))</f>
        <v/>
      </c>
      <c r="T911" s="24">
        <f>IF(T$4&lt;1,0,MAX(0,MIN(1,Sensitivities!$C$896-(T$4-1))))</f>
        <v/>
      </c>
      <c r="U911" s="24">
        <f>IF(U$4&lt;1,0,MAX(0,MIN(1,Sensitivities!$C$896-(U$4-1))))</f>
        <v/>
      </c>
      <c r="V911" s="24">
        <f>IF(V$4&lt;1,0,MAX(0,MIN(1,Sensitivities!$C$896-(V$4-1))))</f>
        <v/>
      </c>
      <c r="W911" s="24">
        <f>IF(W$4&lt;1,0,MAX(0,MIN(1,Sensitivities!$C$896-(W$4-1))))</f>
        <v/>
      </c>
      <c r="X911" s="24">
        <f>IF(X$4&lt;1,0,MAX(0,MIN(1,Sensitivities!$C$896-(X$4-1))))</f>
        <v/>
      </c>
      <c r="Y911" s="24">
        <f>IF(Y$4&lt;1,0,MAX(0,MIN(1,Sensitivities!$C$896-(Y$4-1))))</f>
        <v/>
      </c>
      <c r="Z911" s="24">
        <f>IF(Z$4&lt;1,0,MAX(0,MIN(1,Sensitivities!$C$896-(Z$4-1))))</f>
        <v/>
      </c>
      <c r="AA911" s="24">
        <f>IF(AA$4&lt;1,0,MAX(0,MIN(1,Sensitivities!$C$896-(AA$4-1))))</f>
        <v/>
      </c>
      <c r="AB911" s="24">
        <f>IF(AB$4&lt;1,0,MAX(0,MIN(1,Sensitivities!$C$896-(AB$4-1))))</f>
        <v/>
      </c>
      <c r="AC911" s="24">
        <f>IF(AC$4&lt;1,0,MAX(0,MIN(1,Sensitivities!$C$896-(AC$4-1))))</f>
        <v/>
      </c>
      <c r="AD911" s="24">
        <f>IF(AD$4&lt;1,0,MAX(0,MIN(1,Sensitivities!$C$896-(AD$4-1))))</f>
        <v/>
      </c>
      <c r="AE911" s="24">
        <f>IF(AE$4&lt;1,0,MAX(0,MIN(1,Sensitivities!$C$896-(AE$4-1))))</f>
        <v/>
      </c>
      <c r="AF911" s="24">
        <f>IF(AF$4&lt;1,0,MAX(0,MIN(1,Sensitivities!$C$896-(AF$4-1))))</f>
        <v/>
      </c>
      <c r="AG911" s="24">
        <f>IF(AG$4&lt;1,0,MAX(0,MIN(1,Sensitivities!$C$896-(AG$4-1))))</f>
        <v/>
      </c>
      <c r="AH911" s="24">
        <f>IF(AH$4&lt;1,0,MAX(0,MIN(1,Sensitivities!$C$896-(AH$4-1))))</f>
        <v/>
      </c>
      <c r="AI911" s="24">
        <f>IF(AI$4&lt;1,0,MAX(0,MIN(1,Sensitivities!$C$896-(AI$4-1))))</f>
        <v/>
      </c>
    </row>
    <row r="912">
      <c r="B912" s="2" t="inlineStr">
        <is>
          <t>Box cash: free cash flow less interest on the old debt</t>
        </is>
      </c>
      <c r="D912" s="19">
        <f>D911*(Sensitivities!D234-i_old_rate*(i_old_tl+i_old_notes))</f>
        <v/>
      </c>
      <c r="E912" s="19">
        <f>E911*(Sensitivities!E234-i_old_rate*(i_old_tl+i_old_notes))</f>
        <v/>
      </c>
      <c r="F912" s="19">
        <f>F911*(Sensitivities!F234-i_old_rate*(i_old_tl+i_old_notes))</f>
        <v/>
      </c>
      <c r="G912" s="19">
        <f>G911*(Sensitivities!G234-i_old_rate*(i_old_tl+i_old_notes))</f>
        <v/>
      </c>
      <c r="H912" s="19">
        <f>H911*(Sensitivities!H234-i_old_rate*(i_old_tl+i_old_notes))</f>
        <v/>
      </c>
      <c r="I912" s="19">
        <f>I911*(Sensitivities!I234-i_old_rate*(i_old_tl+i_old_notes))</f>
        <v/>
      </c>
      <c r="J912" s="19">
        <f>J911*(Sensitivities!J234-i_old_rate*(i_old_tl+i_old_notes))</f>
        <v/>
      </c>
      <c r="K912" s="19">
        <f>K911*(Sensitivities!K234-i_old_rate*(i_old_tl+i_old_notes))</f>
        <v/>
      </c>
      <c r="L912" s="19">
        <f>L911*(Sensitivities!L234-i_old_rate*(i_old_tl+i_old_notes))</f>
        <v/>
      </c>
      <c r="M912" s="19">
        <f>M911*(Sensitivities!M234-i_old_rate*(i_old_tl+i_old_notes))</f>
        <v/>
      </c>
      <c r="N912" s="19">
        <f>N911*(Sensitivities!N234-i_old_rate*(i_old_tl+i_old_notes))</f>
        <v/>
      </c>
      <c r="O912" s="19">
        <f>O911*(Sensitivities!O234-i_old_rate*(i_old_tl+i_old_notes))</f>
        <v/>
      </c>
      <c r="P912" s="19">
        <f>P911*(Sensitivities!P234-i_old_rate*(i_old_tl+i_old_notes))</f>
        <v/>
      </c>
      <c r="Q912" s="19">
        <f>Q911*(Sensitivities!Q234-i_old_rate*(i_old_tl+i_old_notes))</f>
        <v/>
      </c>
      <c r="R912" s="19">
        <f>R911*(Sensitivities!R234-i_old_rate*(i_old_tl+i_old_notes))</f>
        <v/>
      </c>
      <c r="S912" s="19">
        <f>S911*(Sensitivities!S234-i_old_rate*(i_old_tl+i_old_notes))</f>
        <v/>
      </c>
      <c r="T912" s="19">
        <f>T911*(Sensitivities!T234-i_old_rate*(i_old_tl+i_old_notes))</f>
        <v/>
      </c>
      <c r="U912" s="19">
        <f>U911*(Sensitivities!U234-i_old_rate*(i_old_tl+i_old_notes))</f>
        <v/>
      </c>
      <c r="V912" s="19">
        <f>V911*(Sensitivities!V234-i_old_rate*(i_old_tl+i_old_notes))</f>
        <v/>
      </c>
      <c r="W912" s="19">
        <f>W911*(Sensitivities!W234-i_old_rate*(i_old_tl+i_old_notes))</f>
        <v/>
      </c>
      <c r="X912" s="19">
        <f>X911*(Sensitivities!X234-i_old_rate*(i_old_tl+i_old_notes))</f>
        <v/>
      </c>
      <c r="Y912" s="19">
        <f>Y911*(Sensitivities!Y234-i_old_rate*(i_old_tl+i_old_notes))</f>
        <v/>
      </c>
      <c r="Z912" s="19">
        <f>Z911*(Sensitivities!Z234-i_old_rate*(i_old_tl+i_old_notes))</f>
        <v/>
      </c>
      <c r="AA912" s="19">
        <f>AA911*(Sensitivities!AA234-i_old_rate*(i_old_tl+i_old_notes))</f>
        <v/>
      </c>
      <c r="AB912" s="19">
        <f>AB911*(Sensitivities!AB234-i_old_rate*(i_old_tl+i_old_notes))</f>
        <v/>
      </c>
      <c r="AC912" s="19">
        <f>AC911*(Sensitivities!AC234-i_old_rate*(i_old_tl+i_old_notes))</f>
        <v/>
      </c>
      <c r="AD912" s="19">
        <f>AD911*(Sensitivities!AD234-i_old_rate*(i_old_tl+i_old_notes))</f>
        <v/>
      </c>
      <c r="AE912" s="19">
        <f>AE911*(Sensitivities!AE234-i_old_rate*(i_old_tl+i_old_notes))</f>
        <v/>
      </c>
      <c r="AF912" s="19">
        <f>AF911*(Sensitivities!AF234-i_old_rate*(i_old_tl+i_old_notes))</f>
        <v/>
      </c>
      <c r="AG912" s="19">
        <f>AG911*(Sensitivities!AG234-i_old_rate*(i_old_tl+i_old_notes))</f>
        <v/>
      </c>
      <c r="AH912" s="19">
        <f>AH911*(Sensitivities!AH234-i_old_rate*(i_old_tl+i_old_notes))</f>
        <v/>
      </c>
      <c r="AI912" s="19">
        <f>AI911*(Sensitivities!AI234-i_old_rate*(i_old_tl+i_old_notes))</f>
        <v/>
      </c>
    </row>
    <row r="913">
      <c r="B913" s="2" t="inlineStr">
        <is>
          <t>Box cash generated from 1 January 2027 to closing</t>
        </is>
      </c>
      <c r="C913" s="19">
        <f>SUM(Sensitivities!D912:AI912)</f>
        <v/>
      </c>
    </row>
    <row r="914">
      <c r="B914" s="2" t="inlineStr">
        <is>
          <t>Cash in the company at closing</t>
        </is>
      </c>
      <c r="C914" s="19">
        <f>Sensitivities!$C$905-Sensitivities!$C$906+Sensitivities!$C$913</f>
        <v/>
      </c>
    </row>
    <row r="915">
      <c r="B915" s="2" t="inlineStr">
        <is>
          <t>Cash used at closing (above operating cash)</t>
        </is>
      </c>
      <c r="C915" s="19">
        <f>Sensitivities!$C$914-i_min_cash</f>
        <v/>
      </c>
    </row>
    <row r="917">
      <c r="B917" s="3" t="inlineStr">
        <is>
          <t>Sources and uses at closing</t>
        </is>
      </c>
    </row>
    <row r="918">
      <c r="B918" s="2" t="inlineStr">
        <is>
          <t>EBITDA 2026 (sizing basis)</t>
        </is>
      </c>
      <c r="C918" s="19">
        <f>Sensitivities!$D$228</f>
        <v/>
      </c>
    </row>
    <row r="919">
      <c r="B919" s="2" t="inlineStr">
        <is>
          <t>Opco multiple of 2026 EBITDA</t>
        </is>
      </c>
      <c r="C919" s="37">
        <f>IF(Sensitivities!$C$897=1,i_staple_x,i_opco_x)</f>
        <v/>
      </c>
    </row>
    <row r="920">
      <c r="B920" s="2" t="inlineStr">
        <is>
          <t>Opco rate</t>
        </is>
      </c>
      <c r="C920" s="23">
        <f>IF(Sensitivities!$C$897=1,i_staple_rate,i_opco_rate)</f>
        <v/>
      </c>
    </row>
    <row r="921">
      <c r="B921" s="2" t="inlineStr">
        <is>
          <t>Opco fees</t>
        </is>
      </c>
      <c r="C921" s="23">
        <f>IF(Sensitivities!$C$897=1,i_staple_fee,i_opco_fee)</f>
        <v/>
      </c>
    </row>
    <row r="922">
      <c r="B922" s="2" t="inlineStr">
        <is>
          <t>Opco senior debt (whole $ million)</t>
        </is>
      </c>
      <c r="C922" s="19">
        <f>ROUND(Sensitivities!$C$919*Sensitivities!$C$918,0)</f>
        <v/>
      </c>
    </row>
    <row r="923">
      <c r="B923" s="2" t="inlineStr">
        <is>
          <t>Holdco debt (whole $ million)</t>
        </is>
      </c>
      <c r="C923" s="19">
        <f>ROUND(i_hold_x*Sensitivities!$C$918,0)</f>
        <v/>
      </c>
    </row>
    <row r="924">
      <c r="B924" s="2" t="inlineStr">
        <is>
          <t>W&amp;I premium with insurance premium tax</t>
        </is>
      </c>
      <c r="C924" s="35">
        <f>i_wi_limit_pct*Sensitivities!$C$901*i_wi_rol*(1+i_wi_ipt)</f>
        <v/>
      </c>
    </row>
    <row r="925">
      <c r="B925" s="2" t="inlineStr">
        <is>
          <t>HSR filing fee (on the equity price)</t>
        </is>
      </c>
      <c r="C925" s="39">
        <f>IF(Sensitivities!$C$907&lt;INDEX(i_hsr_lo,1),0,LOOKUP(Sensitivities!$C$907,i_hsr_lo,i_hsr_fee))</f>
        <v/>
      </c>
    </row>
    <row r="926">
      <c r="B926" s="2" t="inlineStr">
        <is>
          <t>Transaction costs (advisers, W&amp;I, HSR)</t>
        </is>
      </c>
      <c r="C926" s="19">
        <f>i_costs_adv+Sensitivities!$C$924+Sensitivities!$C$925</f>
        <v/>
      </c>
    </row>
    <row r="927">
      <c r="B927" s="2" t="inlineStr">
        <is>
          <t>Financing fees</t>
        </is>
      </c>
      <c r="C927" s="19">
        <f>Sensitivities!$C$921*Sensitivities!$C$922+i_hold_fee*Sensitivities!$C$923</f>
        <v/>
      </c>
    </row>
    <row r="928">
      <c r="B928" s="2" t="inlineStr">
        <is>
          <t>Commitment fees, signing to closing</t>
        </is>
      </c>
      <c r="C928" s="19">
        <f>i_commit_fee*(Sensitivities!$C$922+Sensitivities!$C$923)*MAX(0,Sensitivities!$C$896-i_t_sign)</f>
        <v/>
      </c>
    </row>
    <row r="929">
      <c r="B929" s="3" t="inlineStr">
        <is>
          <t>Uses</t>
        </is>
      </c>
    </row>
    <row r="930">
      <c r="B930" s="2" t="inlineStr">
        <is>
          <t xml:space="preserve">  Equity price</t>
        </is>
      </c>
      <c r="C930" s="19">
        <f>Sensitivities!$C$907</f>
        <v/>
      </c>
    </row>
    <row r="931">
      <c r="B931" s="2" t="inlineStr">
        <is>
          <t xml:space="preserve">  Ticking fee</t>
        </is>
      </c>
      <c r="C931" s="19">
        <f>Sensitivities!$C$910</f>
        <v/>
      </c>
    </row>
    <row r="932">
      <c r="B932" s="2" t="inlineStr">
        <is>
          <t xml:space="preserve">  Repayment of existing debt and make-whole</t>
        </is>
      </c>
      <c r="C932" s="19">
        <f>Sensitivities!$C$902+Sensitivities!$C$903</f>
        <v/>
      </c>
    </row>
    <row r="933">
      <c r="B933" s="2" t="inlineStr">
        <is>
          <t xml:space="preserve">  Debt-like items settled</t>
        </is>
      </c>
      <c r="C933" s="19">
        <f>Sensitivities!$C$904</f>
        <v/>
      </c>
    </row>
    <row r="934">
      <c r="B934" s="2" t="inlineStr">
        <is>
          <t xml:space="preserve">  Transaction costs</t>
        </is>
      </c>
      <c r="C934" s="19">
        <f>Sensitivities!$C$926</f>
        <v/>
      </c>
    </row>
    <row r="935">
      <c r="B935" s="2" t="inlineStr">
        <is>
          <t xml:space="preserve">  Financing fees</t>
        </is>
      </c>
      <c r="C935" s="19">
        <f>Sensitivities!$C$927</f>
        <v/>
      </c>
    </row>
    <row r="936">
      <c r="B936" s="2" t="inlineStr">
        <is>
          <t xml:space="preserve">  Commitment fees</t>
        </is>
      </c>
      <c r="C936" s="19">
        <f>Sensitivities!$C$928</f>
        <v/>
      </c>
    </row>
    <row r="937">
      <c r="B937" s="3" t="inlineStr">
        <is>
          <t>Total uses</t>
        </is>
      </c>
      <c r="C937" s="31">
        <f>SUM(C930:C936)</f>
        <v/>
      </c>
    </row>
    <row r="938">
      <c r="B938" s="3" t="inlineStr">
        <is>
          <t>Sources</t>
        </is>
      </c>
    </row>
    <row r="939">
      <c r="B939" s="2" t="inlineStr">
        <is>
          <t xml:space="preserve">  Opco senior debt</t>
        </is>
      </c>
      <c r="C939" s="19">
        <f>Sensitivities!$C$922</f>
        <v/>
      </c>
    </row>
    <row r="940">
      <c r="B940" s="2" t="inlineStr">
        <is>
          <t xml:space="preserve">  Holdco debt</t>
        </is>
      </c>
      <c r="C940" s="19">
        <f>Sensitivities!$C$923</f>
        <v/>
      </c>
    </row>
    <row r="941">
      <c r="B941" s="2" t="inlineStr">
        <is>
          <t xml:space="preserve">  Cash in the company at closing</t>
        </is>
      </c>
      <c r="C941" s="19">
        <f>Sensitivities!$C$915</f>
        <v/>
      </c>
    </row>
    <row r="942">
      <c r="B942" s="3" t="inlineStr">
        <is>
          <t xml:space="preserve">  Equity from the consortium</t>
        </is>
      </c>
      <c r="C942" s="31">
        <f>Sensitivities!$C$937-Sensitivities!$C$922-Sensitivities!$C$923-Sensitivities!$C$915</f>
        <v/>
      </c>
    </row>
    <row r="943">
      <c r="B943" s="3" t="inlineStr">
        <is>
          <t>Total sources</t>
        </is>
      </c>
      <c r="C943" s="31">
        <f>SUM(C939:C942)</f>
        <v/>
      </c>
    </row>
    <row r="945">
      <c r="B945" s="3" t="inlineStr">
        <is>
          <t>Flows after closing (years in columns D to AI; closing, minority sale and exit in AJ to AL)</t>
        </is>
      </c>
    </row>
    <row r="946">
      <c r="B946" s="2" t="inlineStr">
        <is>
          <t>Share of the year owned</t>
        </is>
      </c>
      <c r="D946" s="24">
        <f>IF(D$3&gt;i_exit_year,0,MIN(1,MAX(0,D$4-Sensitivities!$C$896)))</f>
        <v/>
      </c>
      <c r="E946" s="24">
        <f>IF(E$3&gt;i_exit_year,0,MIN(1,MAX(0,E$4-Sensitivities!$C$896)))</f>
        <v/>
      </c>
      <c r="F946" s="24">
        <f>IF(F$3&gt;i_exit_year,0,MIN(1,MAX(0,F$4-Sensitivities!$C$896)))</f>
        <v/>
      </c>
      <c r="G946" s="24">
        <f>IF(G$3&gt;i_exit_year,0,MIN(1,MAX(0,G$4-Sensitivities!$C$896)))</f>
        <v/>
      </c>
      <c r="H946" s="24">
        <f>IF(H$3&gt;i_exit_year,0,MIN(1,MAX(0,H$4-Sensitivities!$C$896)))</f>
        <v/>
      </c>
      <c r="I946" s="24">
        <f>IF(I$3&gt;i_exit_year,0,MIN(1,MAX(0,I$4-Sensitivities!$C$896)))</f>
        <v/>
      </c>
      <c r="J946" s="24">
        <f>IF(J$3&gt;i_exit_year,0,MIN(1,MAX(0,J$4-Sensitivities!$C$896)))</f>
        <v/>
      </c>
      <c r="K946" s="24">
        <f>IF(K$3&gt;i_exit_year,0,MIN(1,MAX(0,K$4-Sensitivities!$C$896)))</f>
        <v/>
      </c>
      <c r="L946" s="24">
        <f>IF(L$3&gt;i_exit_year,0,MIN(1,MAX(0,L$4-Sensitivities!$C$896)))</f>
        <v/>
      </c>
      <c r="M946" s="24">
        <f>IF(M$3&gt;i_exit_year,0,MIN(1,MAX(0,M$4-Sensitivities!$C$896)))</f>
        <v/>
      </c>
      <c r="N946" s="24">
        <f>IF(N$3&gt;i_exit_year,0,MIN(1,MAX(0,N$4-Sensitivities!$C$896)))</f>
        <v/>
      </c>
      <c r="O946" s="24">
        <f>IF(O$3&gt;i_exit_year,0,MIN(1,MAX(0,O$4-Sensitivities!$C$896)))</f>
        <v/>
      </c>
      <c r="P946" s="24">
        <f>IF(P$3&gt;i_exit_year,0,MIN(1,MAX(0,P$4-Sensitivities!$C$896)))</f>
        <v/>
      </c>
      <c r="Q946" s="24">
        <f>IF(Q$3&gt;i_exit_year,0,MIN(1,MAX(0,Q$4-Sensitivities!$C$896)))</f>
        <v/>
      </c>
      <c r="R946" s="24">
        <f>IF(R$3&gt;i_exit_year,0,MIN(1,MAX(0,R$4-Sensitivities!$C$896)))</f>
        <v/>
      </c>
      <c r="S946" s="24">
        <f>IF(S$3&gt;i_exit_year,0,MIN(1,MAX(0,S$4-Sensitivities!$C$896)))</f>
        <v/>
      </c>
      <c r="T946" s="24">
        <f>IF(T$3&gt;i_exit_year,0,MIN(1,MAX(0,T$4-Sensitivities!$C$896)))</f>
        <v/>
      </c>
      <c r="U946" s="24">
        <f>IF(U$3&gt;i_exit_year,0,MIN(1,MAX(0,U$4-Sensitivities!$C$896)))</f>
        <v/>
      </c>
      <c r="V946" s="24">
        <f>IF(V$3&gt;i_exit_year,0,MIN(1,MAX(0,V$4-Sensitivities!$C$896)))</f>
        <v/>
      </c>
      <c r="W946" s="24">
        <f>IF(W$3&gt;i_exit_year,0,MIN(1,MAX(0,W$4-Sensitivities!$C$896)))</f>
        <v/>
      </c>
      <c r="X946" s="24">
        <f>IF(X$3&gt;i_exit_year,0,MIN(1,MAX(0,X$4-Sensitivities!$C$896)))</f>
        <v/>
      </c>
      <c r="Y946" s="24">
        <f>IF(Y$3&gt;i_exit_year,0,MIN(1,MAX(0,Y$4-Sensitivities!$C$896)))</f>
        <v/>
      </c>
      <c r="Z946" s="24">
        <f>IF(Z$3&gt;i_exit_year,0,MIN(1,MAX(0,Z$4-Sensitivities!$C$896)))</f>
        <v/>
      </c>
      <c r="AA946" s="24">
        <f>IF(AA$3&gt;i_exit_year,0,MIN(1,MAX(0,AA$4-Sensitivities!$C$896)))</f>
        <v/>
      </c>
      <c r="AB946" s="24">
        <f>IF(AB$3&gt;i_exit_year,0,MIN(1,MAX(0,AB$4-Sensitivities!$C$896)))</f>
        <v/>
      </c>
      <c r="AC946" s="24">
        <f>IF(AC$3&gt;i_exit_year,0,MIN(1,MAX(0,AC$4-Sensitivities!$C$896)))</f>
        <v/>
      </c>
      <c r="AD946" s="24">
        <f>IF(AD$3&gt;i_exit_year,0,MIN(1,MAX(0,AD$4-Sensitivities!$C$896)))</f>
        <v/>
      </c>
      <c r="AE946" s="24">
        <f>IF(AE$3&gt;i_exit_year,0,MIN(1,MAX(0,AE$4-Sensitivities!$C$896)))</f>
        <v/>
      </c>
      <c r="AF946" s="24">
        <f>IF(AF$3&gt;i_exit_year,0,MIN(1,MAX(0,AF$4-Sensitivities!$C$896)))</f>
        <v/>
      </c>
      <c r="AG946" s="24">
        <f>IF(AG$3&gt;i_exit_year,0,MIN(1,MAX(0,AG$4-Sensitivities!$C$896)))</f>
        <v/>
      </c>
      <c r="AH946" s="24">
        <f>IF(AH$3&gt;i_exit_year,0,MIN(1,MAX(0,AH$4-Sensitivities!$C$896)))</f>
        <v/>
      </c>
      <c r="AI946" s="24">
        <f>IF(AI$3&gt;i_exit_year,0,MIN(1,MAX(0,AI$4-Sensitivities!$C$896)))</f>
        <v/>
      </c>
    </row>
    <row r="947">
      <c r="B947" s="2" t="inlineStr">
        <is>
          <t>Opco rate (refinanced after the tenor)</t>
        </is>
      </c>
      <c r="D947" s="23">
        <f>IF(D$4&lt;=Sensitivities!$C$896+i_opco_tenor,Sensitivities!$C$920,Sensitivities!$C$920+Sensitivities!$C$900)</f>
        <v/>
      </c>
      <c r="E947" s="23">
        <f>IF(E$4&lt;=Sensitivities!$C$896+i_opco_tenor,Sensitivities!$C$920,Sensitivities!$C$920+Sensitivities!$C$900)</f>
        <v/>
      </c>
      <c r="F947" s="23">
        <f>IF(F$4&lt;=Sensitivities!$C$896+i_opco_tenor,Sensitivities!$C$920,Sensitivities!$C$920+Sensitivities!$C$900)</f>
        <v/>
      </c>
      <c r="G947" s="23">
        <f>IF(G$4&lt;=Sensitivities!$C$896+i_opco_tenor,Sensitivities!$C$920,Sensitivities!$C$920+Sensitivities!$C$900)</f>
        <v/>
      </c>
      <c r="H947" s="23">
        <f>IF(H$4&lt;=Sensitivities!$C$896+i_opco_tenor,Sensitivities!$C$920,Sensitivities!$C$920+Sensitivities!$C$900)</f>
        <v/>
      </c>
      <c r="I947" s="23">
        <f>IF(I$4&lt;=Sensitivities!$C$896+i_opco_tenor,Sensitivities!$C$920,Sensitivities!$C$920+Sensitivities!$C$900)</f>
        <v/>
      </c>
      <c r="J947" s="23">
        <f>IF(J$4&lt;=Sensitivities!$C$896+i_opco_tenor,Sensitivities!$C$920,Sensitivities!$C$920+Sensitivities!$C$900)</f>
        <v/>
      </c>
      <c r="K947" s="23">
        <f>IF(K$4&lt;=Sensitivities!$C$896+i_opco_tenor,Sensitivities!$C$920,Sensitivities!$C$920+Sensitivities!$C$900)</f>
        <v/>
      </c>
      <c r="L947" s="23">
        <f>IF(L$4&lt;=Sensitivities!$C$896+i_opco_tenor,Sensitivities!$C$920,Sensitivities!$C$920+Sensitivities!$C$900)</f>
        <v/>
      </c>
      <c r="M947" s="23">
        <f>IF(M$4&lt;=Sensitivities!$C$896+i_opco_tenor,Sensitivities!$C$920,Sensitivities!$C$920+Sensitivities!$C$900)</f>
        <v/>
      </c>
      <c r="N947" s="23">
        <f>IF(N$4&lt;=Sensitivities!$C$896+i_opco_tenor,Sensitivities!$C$920,Sensitivities!$C$920+Sensitivities!$C$900)</f>
        <v/>
      </c>
      <c r="O947" s="23">
        <f>IF(O$4&lt;=Sensitivities!$C$896+i_opco_tenor,Sensitivities!$C$920,Sensitivities!$C$920+Sensitivities!$C$900)</f>
        <v/>
      </c>
      <c r="P947" s="23">
        <f>IF(P$4&lt;=Sensitivities!$C$896+i_opco_tenor,Sensitivities!$C$920,Sensitivities!$C$920+Sensitivities!$C$900)</f>
        <v/>
      </c>
      <c r="Q947" s="23">
        <f>IF(Q$4&lt;=Sensitivities!$C$896+i_opco_tenor,Sensitivities!$C$920,Sensitivities!$C$920+Sensitivities!$C$900)</f>
        <v/>
      </c>
      <c r="R947" s="23">
        <f>IF(R$4&lt;=Sensitivities!$C$896+i_opco_tenor,Sensitivities!$C$920,Sensitivities!$C$920+Sensitivities!$C$900)</f>
        <v/>
      </c>
      <c r="S947" s="23">
        <f>IF(S$4&lt;=Sensitivities!$C$896+i_opco_tenor,Sensitivities!$C$920,Sensitivities!$C$920+Sensitivities!$C$900)</f>
        <v/>
      </c>
      <c r="T947" s="23">
        <f>IF(T$4&lt;=Sensitivities!$C$896+i_opco_tenor,Sensitivities!$C$920,Sensitivities!$C$920+Sensitivities!$C$900)</f>
        <v/>
      </c>
      <c r="U947" s="23">
        <f>IF(U$4&lt;=Sensitivities!$C$896+i_opco_tenor,Sensitivities!$C$920,Sensitivities!$C$920+Sensitivities!$C$900)</f>
        <v/>
      </c>
      <c r="V947" s="23">
        <f>IF(V$4&lt;=Sensitivities!$C$896+i_opco_tenor,Sensitivities!$C$920,Sensitivities!$C$920+Sensitivities!$C$900)</f>
        <v/>
      </c>
      <c r="W947" s="23">
        <f>IF(W$4&lt;=Sensitivities!$C$896+i_opco_tenor,Sensitivities!$C$920,Sensitivities!$C$920+Sensitivities!$C$900)</f>
        <v/>
      </c>
      <c r="X947" s="23">
        <f>IF(X$4&lt;=Sensitivities!$C$896+i_opco_tenor,Sensitivities!$C$920,Sensitivities!$C$920+Sensitivities!$C$900)</f>
        <v/>
      </c>
      <c r="Y947" s="23">
        <f>IF(Y$4&lt;=Sensitivities!$C$896+i_opco_tenor,Sensitivities!$C$920,Sensitivities!$C$920+Sensitivities!$C$900)</f>
        <v/>
      </c>
      <c r="Z947" s="23">
        <f>IF(Z$4&lt;=Sensitivities!$C$896+i_opco_tenor,Sensitivities!$C$920,Sensitivities!$C$920+Sensitivities!$C$900)</f>
        <v/>
      </c>
      <c r="AA947" s="23">
        <f>IF(AA$4&lt;=Sensitivities!$C$896+i_opco_tenor,Sensitivities!$C$920,Sensitivities!$C$920+Sensitivities!$C$900)</f>
        <v/>
      </c>
      <c r="AB947" s="23">
        <f>IF(AB$4&lt;=Sensitivities!$C$896+i_opco_tenor,Sensitivities!$C$920,Sensitivities!$C$920+Sensitivities!$C$900)</f>
        <v/>
      </c>
      <c r="AC947" s="23">
        <f>IF(AC$4&lt;=Sensitivities!$C$896+i_opco_tenor,Sensitivities!$C$920,Sensitivities!$C$920+Sensitivities!$C$900)</f>
        <v/>
      </c>
      <c r="AD947" s="23">
        <f>IF(AD$4&lt;=Sensitivities!$C$896+i_opco_tenor,Sensitivities!$C$920,Sensitivities!$C$920+Sensitivities!$C$900)</f>
        <v/>
      </c>
      <c r="AE947" s="23">
        <f>IF(AE$4&lt;=Sensitivities!$C$896+i_opco_tenor,Sensitivities!$C$920,Sensitivities!$C$920+Sensitivities!$C$900)</f>
        <v/>
      </c>
      <c r="AF947" s="23">
        <f>IF(AF$4&lt;=Sensitivities!$C$896+i_opco_tenor,Sensitivities!$C$920,Sensitivities!$C$920+Sensitivities!$C$900)</f>
        <v/>
      </c>
      <c r="AG947" s="23">
        <f>IF(AG$4&lt;=Sensitivities!$C$896+i_opco_tenor,Sensitivities!$C$920,Sensitivities!$C$920+Sensitivities!$C$900)</f>
        <v/>
      </c>
      <c r="AH947" s="23">
        <f>IF(AH$4&lt;=Sensitivities!$C$896+i_opco_tenor,Sensitivities!$C$920,Sensitivities!$C$920+Sensitivities!$C$900)</f>
        <v/>
      </c>
      <c r="AI947" s="23">
        <f>IF(AI$4&lt;=Sensitivities!$C$896+i_opco_tenor,Sensitivities!$C$920,Sensitivities!$C$920+Sensitivities!$C$900)</f>
        <v/>
      </c>
    </row>
    <row r="948">
      <c r="B948" s="2" t="inlineStr">
        <is>
          <t>Interest (opco and holdco)</t>
        </is>
      </c>
      <c r="D948" s="19">
        <f>D947*Sensitivities!$C$922+i_hold_rate*Sensitivities!$C$923</f>
        <v/>
      </c>
      <c r="E948" s="19">
        <f>E947*Sensitivities!$C$922+i_hold_rate*Sensitivities!$C$923</f>
        <v/>
      </c>
      <c r="F948" s="19">
        <f>F947*Sensitivities!$C$922+i_hold_rate*Sensitivities!$C$923</f>
        <v/>
      </c>
      <c r="G948" s="19">
        <f>G947*Sensitivities!$C$922+i_hold_rate*Sensitivities!$C$923</f>
        <v/>
      </c>
      <c r="H948" s="19">
        <f>H947*Sensitivities!$C$922+i_hold_rate*Sensitivities!$C$923</f>
        <v/>
      </c>
      <c r="I948" s="19">
        <f>I947*Sensitivities!$C$922+i_hold_rate*Sensitivities!$C$923</f>
        <v/>
      </c>
      <c r="J948" s="19">
        <f>J947*Sensitivities!$C$922+i_hold_rate*Sensitivities!$C$923</f>
        <v/>
      </c>
      <c r="K948" s="19">
        <f>K947*Sensitivities!$C$922+i_hold_rate*Sensitivities!$C$923</f>
        <v/>
      </c>
      <c r="L948" s="19">
        <f>L947*Sensitivities!$C$922+i_hold_rate*Sensitivities!$C$923</f>
        <v/>
      </c>
      <c r="M948" s="19">
        <f>M947*Sensitivities!$C$922+i_hold_rate*Sensitivities!$C$923</f>
        <v/>
      </c>
      <c r="N948" s="19">
        <f>N947*Sensitivities!$C$922+i_hold_rate*Sensitivities!$C$923</f>
        <v/>
      </c>
      <c r="O948" s="19">
        <f>O947*Sensitivities!$C$922+i_hold_rate*Sensitivities!$C$923</f>
        <v/>
      </c>
      <c r="P948" s="19">
        <f>P947*Sensitivities!$C$922+i_hold_rate*Sensitivities!$C$923</f>
        <v/>
      </c>
      <c r="Q948" s="19">
        <f>Q947*Sensitivities!$C$922+i_hold_rate*Sensitivities!$C$923</f>
        <v/>
      </c>
      <c r="R948" s="19">
        <f>R947*Sensitivities!$C$922+i_hold_rate*Sensitivities!$C$923</f>
        <v/>
      </c>
      <c r="S948" s="19">
        <f>S947*Sensitivities!$C$922+i_hold_rate*Sensitivities!$C$923</f>
        <v/>
      </c>
      <c r="T948" s="19">
        <f>T947*Sensitivities!$C$922+i_hold_rate*Sensitivities!$C$923</f>
        <v/>
      </c>
      <c r="U948" s="19">
        <f>U947*Sensitivities!$C$922+i_hold_rate*Sensitivities!$C$923</f>
        <v/>
      </c>
      <c r="V948" s="19">
        <f>V947*Sensitivities!$C$922+i_hold_rate*Sensitivities!$C$923</f>
        <v/>
      </c>
      <c r="W948" s="19">
        <f>W947*Sensitivities!$C$922+i_hold_rate*Sensitivities!$C$923</f>
        <v/>
      </c>
      <c r="X948" s="19">
        <f>X947*Sensitivities!$C$922+i_hold_rate*Sensitivities!$C$923</f>
        <v/>
      </c>
      <c r="Y948" s="19">
        <f>Y947*Sensitivities!$C$922+i_hold_rate*Sensitivities!$C$923</f>
        <v/>
      </c>
      <c r="Z948" s="19">
        <f>Z947*Sensitivities!$C$922+i_hold_rate*Sensitivities!$C$923</f>
        <v/>
      </c>
      <c r="AA948" s="19">
        <f>AA947*Sensitivities!$C$922+i_hold_rate*Sensitivities!$C$923</f>
        <v/>
      </c>
      <c r="AB948" s="19">
        <f>AB947*Sensitivities!$C$922+i_hold_rate*Sensitivities!$C$923</f>
        <v/>
      </c>
      <c r="AC948" s="19">
        <f>AC947*Sensitivities!$C$922+i_hold_rate*Sensitivities!$C$923</f>
        <v/>
      </c>
      <c r="AD948" s="19">
        <f>AD947*Sensitivities!$C$922+i_hold_rate*Sensitivities!$C$923</f>
        <v/>
      </c>
      <c r="AE948" s="19">
        <f>AE947*Sensitivities!$C$922+i_hold_rate*Sensitivities!$C$923</f>
        <v/>
      </c>
      <c r="AF948" s="19">
        <f>AF947*Sensitivities!$C$922+i_hold_rate*Sensitivities!$C$923</f>
        <v/>
      </c>
      <c r="AG948" s="19">
        <f>AG947*Sensitivities!$C$922+i_hold_rate*Sensitivities!$C$923</f>
        <v/>
      </c>
      <c r="AH948" s="19">
        <f>AH947*Sensitivities!$C$922+i_hold_rate*Sensitivities!$C$923</f>
        <v/>
      </c>
      <c r="AI948" s="19">
        <f>AI947*Sensitivities!$C$922+i_hold_rate*Sensitivities!$C$923</f>
        <v/>
      </c>
    </row>
    <row r="949">
      <c r="B949" s="2" t="inlineStr">
        <is>
          <t>Deductible interest (cap on EBITDA)</t>
        </is>
      </c>
      <c r="D949" s="19">
        <f>MIN(D948,i_int_cap*Sensitivities!D228)</f>
        <v/>
      </c>
      <c r="E949" s="19">
        <f>MIN(E948,i_int_cap*Sensitivities!E228)</f>
        <v/>
      </c>
      <c r="F949" s="19">
        <f>MIN(F948,i_int_cap*Sensitivities!F228)</f>
        <v/>
      </c>
      <c r="G949" s="19">
        <f>MIN(G948,i_int_cap*Sensitivities!G228)</f>
        <v/>
      </c>
      <c r="H949" s="19">
        <f>MIN(H948,i_int_cap*Sensitivities!H228)</f>
        <v/>
      </c>
      <c r="I949" s="19">
        <f>MIN(I948,i_int_cap*Sensitivities!I228)</f>
        <v/>
      </c>
      <c r="J949" s="19">
        <f>MIN(J948,i_int_cap*Sensitivities!J228)</f>
        <v/>
      </c>
      <c r="K949" s="19">
        <f>MIN(K948,i_int_cap*Sensitivities!K228)</f>
        <v/>
      </c>
      <c r="L949" s="19">
        <f>MIN(L948,i_int_cap*Sensitivities!L228)</f>
        <v/>
      </c>
      <c r="M949" s="19">
        <f>MIN(M948,i_int_cap*Sensitivities!M228)</f>
        <v/>
      </c>
      <c r="N949" s="19">
        <f>MIN(N948,i_int_cap*Sensitivities!N228)</f>
        <v/>
      </c>
      <c r="O949" s="19">
        <f>MIN(O948,i_int_cap*Sensitivities!O228)</f>
        <v/>
      </c>
      <c r="P949" s="19">
        <f>MIN(P948,i_int_cap*Sensitivities!P228)</f>
        <v/>
      </c>
      <c r="Q949" s="19">
        <f>MIN(Q948,i_int_cap*Sensitivities!Q228)</f>
        <v/>
      </c>
      <c r="R949" s="19">
        <f>MIN(R948,i_int_cap*Sensitivities!R228)</f>
        <v/>
      </c>
      <c r="S949" s="19">
        <f>MIN(S948,i_int_cap*Sensitivities!S228)</f>
        <v/>
      </c>
      <c r="T949" s="19">
        <f>MIN(T948,i_int_cap*Sensitivities!T228)</f>
        <v/>
      </c>
      <c r="U949" s="19">
        <f>MIN(U948,i_int_cap*Sensitivities!U228)</f>
        <v/>
      </c>
      <c r="V949" s="19">
        <f>MIN(V948,i_int_cap*Sensitivities!V228)</f>
        <v/>
      </c>
      <c r="W949" s="19">
        <f>MIN(W948,i_int_cap*Sensitivities!W228)</f>
        <v/>
      </c>
      <c r="X949" s="19">
        <f>MIN(X948,i_int_cap*Sensitivities!X228)</f>
        <v/>
      </c>
      <c r="Y949" s="19">
        <f>MIN(Y948,i_int_cap*Sensitivities!Y228)</f>
        <v/>
      </c>
      <c r="Z949" s="19">
        <f>MIN(Z948,i_int_cap*Sensitivities!Z228)</f>
        <v/>
      </c>
      <c r="AA949" s="19">
        <f>MIN(AA948,i_int_cap*Sensitivities!AA228)</f>
        <v/>
      </c>
      <c r="AB949" s="19">
        <f>MIN(AB948,i_int_cap*Sensitivities!AB228)</f>
        <v/>
      </c>
      <c r="AC949" s="19">
        <f>MIN(AC948,i_int_cap*Sensitivities!AC228)</f>
        <v/>
      </c>
      <c r="AD949" s="19">
        <f>MIN(AD948,i_int_cap*Sensitivities!AD228)</f>
        <v/>
      </c>
      <c r="AE949" s="19">
        <f>MIN(AE948,i_int_cap*Sensitivities!AE228)</f>
        <v/>
      </c>
      <c r="AF949" s="19">
        <f>MIN(AF948,i_int_cap*Sensitivities!AF228)</f>
        <v/>
      </c>
      <c r="AG949" s="19">
        <f>MIN(AG948,i_int_cap*Sensitivities!AG228)</f>
        <v/>
      </c>
      <c r="AH949" s="19">
        <f>MIN(AH948,i_int_cap*Sensitivities!AH228)</f>
        <v/>
      </c>
      <c r="AI949" s="19">
        <f>MIN(AI948,i_int_cap*Sensitivities!AI228)</f>
        <v/>
      </c>
    </row>
    <row r="950">
      <c r="B950" s="2" t="inlineStr">
        <is>
          <t>Cash tax with the debt</t>
        </is>
      </c>
      <c r="D950" s="19">
        <f>i_tax*MAX(0,Sensitivities!D228-Sensitivities!D231-D949)</f>
        <v/>
      </c>
      <c r="E950" s="19">
        <f>i_tax*MAX(0,Sensitivities!E228-Sensitivities!E231-E949)</f>
        <v/>
      </c>
      <c r="F950" s="19">
        <f>i_tax*MAX(0,Sensitivities!F228-Sensitivities!F231-F949)</f>
        <v/>
      </c>
      <c r="G950" s="19">
        <f>i_tax*MAX(0,Sensitivities!G228-Sensitivities!G231-G949)</f>
        <v/>
      </c>
      <c r="H950" s="19">
        <f>i_tax*MAX(0,Sensitivities!H228-Sensitivities!H231-H949)</f>
        <v/>
      </c>
      <c r="I950" s="19">
        <f>i_tax*MAX(0,Sensitivities!I228-Sensitivities!I231-I949)</f>
        <v/>
      </c>
      <c r="J950" s="19">
        <f>i_tax*MAX(0,Sensitivities!J228-Sensitivities!J231-J949)</f>
        <v/>
      </c>
      <c r="K950" s="19">
        <f>i_tax*MAX(0,Sensitivities!K228-Sensitivities!K231-K949)</f>
        <v/>
      </c>
      <c r="L950" s="19">
        <f>i_tax*MAX(0,Sensitivities!L228-Sensitivities!L231-L949)</f>
        <v/>
      </c>
      <c r="M950" s="19">
        <f>i_tax*MAX(0,Sensitivities!M228-Sensitivities!M231-M949)</f>
        <v/>
      </c>
      <c r="N950" s="19">
        <f>i_tax*MAX(0,Sensitivities!N228-Sensitivities!N231-N949)</f>
        <v/>
      </c>
      <c r="O950" s="19">
        <f>i_tax*MAX(0,Sensitivities!O228-Sensitivities!O231-O949)</f>
        <v/>
      </c>
      <c r="P950" s="19">
        <f>i_tax*MAX(0,Sensitivities!P228-Sensitivities!P231-P949)</f>
        <v/>
      </c>
      <c r="Q950" s="19">
        <f>i_tax*MAX(0,Sensitivities!Q228-Sensitivities!Q231-Q949)</f>
        <v/>
      </c>
      <c r="R950" s="19">
        <f>i_tax*MAX(0,Sensitivities!R228-Sensitivities!R231-R949)</f>
        <v/>
      </c>
      <c r="S950" s="19">
        <f>i_tax*MAX(0,Sensitivities!S228-Sensitivities!S231-S949)</f>
        <v/>
      </c>
      <c r="T950" s="19">
        <f>i_tax*MAX(0,Sensitivities!T228-Sensitivities!T231-T949)</f>
        <v/>
      </c>
      <c r="U950" s="19">
        <f>i_tax*MAX(0,Sensitivities!U228-Sensitivities!U231-U949)</f>
        <v/>
      </c>
      <c r="V950" s="19">
        <f>i_tax*MAX(0,Sensitivities!V228-Sensitivities!V231-V949)</f>
        <v/>
      </c>
      <c r="W950" s="19">
        <f>i_tax*MAX(0,Sensitivities!W228-Sensitivities!W231-W949)</f>
        <v/>
      </c>
      <c r="X950" s="19">
        <f>i_tax*MAX(0,Sensitivities!X228-Sensitivities!X231-X949)</f>
        <v/>
      </c>
      <c r="Y950" s="19">
        <f>i_tax*MAX(0,Sensitivities!Y228-Sensitivities!Y231-Y949)</f>
        <v/>
      </c>
      <c r="Z950" s="19">
        <f>i_tax*MAX(0,Sensitivities!Z228-Sensitivities!Z231-Z949)</f>
        <v/>
      </c>
      <c r="AA950" s="19">
        <f>i_tax*MAX(0,Sensitivities!AA228-Sensitivities!AA231-AA949)</f>
        <v/>
      </c>
      <c r="AB950" s="19">
        <f>i_tax*MAX(0,Sensitivities!AB228-Sensitivities!AB231-AB949)</f>
        <v/>
      </c>
      <c r="AC950" s="19">
        <f>i_tax*MAX(0,Sensitivities!AC228-Sensitivities!AC231-AC949)</f>
        <v/>
      </c>
      <c r="AD950" s="19">
        <f>i_tax*MAX(0,Sensitivities!AD228-Sensitivities!AD231-AD949)</f>
        <v/>
      </c>
      <c r="AE950" s="19">
        <f>i_tax*MAX(0,Sensitivities!AE228-Sensitivities!AE231-AE949)</f>
        <v/>
      </c>
      <c r="AF950" s="19">
        <f>i_tax*MAX(0,Sensitivities!AF228-Sensitivities!AF231-AF949)</f>
        <v/>
      </c>
      <c r="AG950" s="19">
        <f>i_tax*MAX(0,Sensitivities!AG228-Sensitivities!AG231-AG949)</f>
        <v/>
      </c>
      <c r="AH950" s="19">
        <f>i_tax*MAX(0,Sensitivities!AH228-Sensitivities!AH231-AH949)</f>
        <v/>
      </c>
      <c r="AI950" s="19">
        <f>i_tax*MAX(0,Sensitivities!AI228-Sensitivities!AI231-AI949)</f>
        <v/>
      </c>
    </row>
    <row r="951">
      <c r="B951" s="3" t="inlineStr">
        <is>
          <t>Cash flow to equity (full year)</t>
        </is>
      </c>
      <c r="D951" s="31">
        <f>Sensitivities!D228-Sensitivities!D229-Sensitivities!D230-D950-D948-Sensitivities!D233</f>
        <v/>
      </c>
      <c r="E951" s="31">
        <f>Sensitivities!E228-Sensitivities!E229-Sensitivities!E230-E950-E948-Sensitivities!E233</f>
        <v/>
      </c>
      <c r="F951" s="31">
        <f>Sensitivities!F228-Sensitivities!F229-Sensitivities!F230-F950-F948-Sensitivities!F233</f>
        <v/>
      </c>
      <c r="G951" s="31">
        <f>Sensitivities!G228-Sensitivities!G229-Sensitivities!G230-G950-G948-Sensitivities!G233</f>
        <v/>
      </c>
      <c r="H951" s="31">
        <f>Sensitivities!H228-Sensitivities!H229-Sensitivities!H230-H950-H948-Sensitivities!H233</f>
        <v/>
      </c>
      <c r="I951" s="31">
        <f>Sensitivities!I228-Sensitivities!I229-Sensitivities!I230-I950-I948-Sensitivities!I233</f>
        <v/>
      </c>
      <c r="J951" s="31">
        <f>Sensitivities!J228-Sensitivities!J229-Sensitivities!J230-J950-J948-Sensitivities!J233</f>
        <v/>
      </c>
      <c r="K951" s="31">
        <f>Sensitivities!K228-Sensitivities!K229-Sensitivities!K230-K950-K948-Sensitivities!K233</f>
        <v/>
      </c>
      <c r="L951" s="31">
        <f>Sensitivities!L228-Sensitivities!L229-Sensitivities!L230-L950-L948-Sensitivities!L233</f>
        <v/>
      </c>
      <c r="M951" s="31">
        <f>Sensitivities!M228-Sensitivities!M229-Sensitivities!M230-M950-M948-Sensitivities!M233</f>
        <v/>
      </c>
      <c r="N951" s="31">
        <f>Sensitivities!N228-Sensitivities!N229-Sensitivities!N230-N950-N948-Sensitivities!N233</f>
        <v/>
      </c>
      <c r="O951" s="31">
        <f>Sensitivities!O228-Sensitivities!O229-Sensitivities!O230-O950-O948-Sensitivities!O233</f>
        <v/>
      </c>
      <c r="P951" s="31">
        <f>Sensitivities!P228-Sensitivities!P229-Sensitivities!P230-P950-P948-Sensitivities!P233</f>
        <v/>
      </c>
      <c r="Q951" s="31">
        <f>Sensitivities!Q228-Sensitivities!Q229-Sensitivities!Q230-Q950-Q948-Sensitivities!Q233</f>
        <v/>
      </c>
      <c r="R951" s="31">
        <f>Sensitivities!R228-Sensitivities!R229-Sensitivities!R230-R950-R948-Sensitivities!R233</f>
        <v/>
      </c>
      <c r="S951" s="31">
        <f>Sensitivities!S228-Sensitivities!S229-Sensitivities!S230-S950-S948-Sensitivities!S233</f>
        <v/>
      </c>
      <c r="T951" s="31">
        <f>Sensitivities!T228-Sensitivities!T229-Sensitivities!T230-T950-T948-Sensitivities!T233</f>
        <v/>
      </c>
      <c r="U951" s="31">
        <f>Sensitivities!U228-Sensitivities!U229-Sensitivities!U230-U950-U948-Sensitivities!U233</f>
        <v/>
      </c>
      <c r="V951" s="31">
        <f>Sensitivities!V228-Sensitivities!V229-Sensitivities!V230-V950-V948-Sensitivities!V233</f>
        <v/>
      </c>
      <c r="W951" s="31">
        <f>Sensitivities!W228-Sensitivities!W229-Sensitivities!W230-W950-W948-Sensitivities!W233</f>
        <v/>
      </c>
      <c r="X951" s="31">
        <f>Sensitivities!X228-Sensitivities!X229-Sensitivities!X230-X950-X948-Sensitivities!X233</f>
        <v/>
      </c>
      <c r="Y951" s="31">
        <f>Sensitivities!Y228-Sensitivities!Y229-Sensitivities!Y230-Y950-Y948-Sensitivities!Y233</f>
        <v/>
      </c>
      <c r="Z951" s="31">
        <f>Sensitivities!Z228-Sensitivities!Z229-Sensitivities!Z230-Z950-Z948-Sensitivities!Z233</f>
        <v/>
      </c>
      <c r="AA951" s="31">
        <f>Sensitivities!AA228-Sensitivities!AA229-Sensitivities!AA230-AA950-AA948-Sensitivities!AA233</f>
        <v/>
      </c>
      <c r="AB951" s="31">
        <f>Sensitivities!AB228-Sensitivities!AB229-Sensitivities!AB230-AB950-AB948-Sensitivities!AB233</f>
        <v/>
      </c>
      <c r="AC951" s="31">
        <f>Sensitivities!AC228-Sensitivities!AC229-Sensitivities!AC230-AC950-AC948-Sensitivities!AC233</f>
        <v/>
      </c>
      <c r="AD951" s="31">
        <f>Sensitivities!AD228-Sensitivities!AD229-Sensitivities!AD230-AD950-AD948-Sensitivities!AD233</f>
        <v/>
      </c>
      <c r="AE951" s="31">
        <f>Sensitivities!AE228-Sensitivities!AE229-Sensitivities!AE230-AE950-AE948-Sensitivities!AE233</f>
        <v/>
      </c>
      <c r="AF951" s="31">
        <f>Sensitivities!AF228-Sensitivities!AF229-Sensitivities!AF230-AF950-AF948-Sensitivities!AF233</f>
        <v/>
      </c>
      <c r="AG951" s="31">
        <f>Sensitivities!AG228-Sensitivities!AG229-Sensitivities!AG230-AG950-AG948-Sensitivities!AG233</f>
        <v/>
      </c>
      <c r="AH951" s="31">
        <f>Sensitivities!AH228-Sensitivities!AH229-Sensitivities!AH230-AH950-AH948-Sensitivities!AH233</f>
        <v/>
      </c>
      <c r="AI951" s="31">
        <f>Sensitivities!AI228-Sensitivities!AI229-Sensitivities!AI230-AI950-AI948-Sensitivities!AI233</f>
        <v/>
      </c>
    </row>
    <row r="952">
      <c r="B952" s="2" t="inlineStr">
        <is>
          <t>Exit EV at the end of the exit year (DCF at the exit rate)</t>
        </is>
      </c>
      <c r="C952" s="19">
        <f>SUMPRODUCT((Sensitivities!$D$3:$AI$3&gt;i_exit_year)*(Sensitivities!$D$3:$AI$3&lt;=i_last)*Sensitivities!$D$234:$AI$234/(1+Sensitivities!$C$899)^(Sensitivities!$D$3:$AI$3-i_exit_year))+Sensitivities!$AI$234/(Sensitivities!$C$899-i_g)/(1+Sensitivities!$C$899)^(i_last-i_exit_year)</f>
        <v/>
      </c>
    </row>
    <row r="953">
      <c r="B953" s="2" t="inlineStr">
        <is>
          <t>Debt at exit (bullets)</t>
        </is>
      </c>
      <c r="C953" s="19">
        <f>Sensitivities!$C$922+Sensitivities!$C$923</f>
        <v/>
      </c>
    </row>
    <row r="954">
      <c r="B954" s="3" t="inlineStr">
        <is>
          <t>Equity value at exit</t>
        </is>
      </c>
      <c r="C954" s="31">
        <f>Sensitivities!$C$952-Sensitivities!$C$953</f>
        <v/>
      </c>
    </row>
    <row r="955">
      <c r="B955" s="2" t="inlineStr">
        <is>
          <t>Minority option: EV at the end of 2031 (minority buyer's rate)</t>
        </is>
      </c>
      <c r="C955" s="19">
        <f>SUMPRODUCT((Sensitivities!$D$3:$AI$3&gt;i_min_year)*(Sensitivities!$D$3:$AI$3&lt;=i_last)*Sensitivities!$D$234:$AI$234/(1+i_min_r)^(Sensitivities!$D$3:$AI$3-i_min_year))+Sensitivities!$AI$234/(i_min_r-i_g)/(1+i_min_r)^(i_last-i_min_year)</f>
        <v/>
      </c>
    </row>
    <row r="956">
      <c r="B956" s="2" t="inlineStr">
        <is>
          <t>Minority option: equity value in 2031</t>
        </is>
      </c>
      <c r="C956" s="19">
        <f>Sensitivities!$C$955-Sensitivities!$C$953</f>
        <v/>
      </c>
    </row>
    <row r="957">
      <c r="B957" s="2" t="inlineStr">
        <is>
          <t>Minority option: proceeds of the 49 percent sold</t>
        </is>
      </c>
      <c r="C957" s="19">
        <f>Sensitivities!$C$898*i_min_share*Sensitivities!$C$956*(1-i_min_disc)</f>
        <v/>
      </c>
    </row>
    <row r="958">
      <c r="B958" s="4" t="inlineStr">
        <is>
          <t>Time of each flow (years after 31 December 2026)</t>
        </is>
      </c>
      <c r="D958" s="28">
        <f>D$4</f>
        <v/>
      </c>
      <c r="E958" s="28">
        <f>E$4</f>
        <v/>
      </c>
      <c r="F958" s="28">
        <f>F$4</f>
        <v/>
      </c>
      <c r="G958" s="28">
        <f>G$4</f>
        <v/>
      </c>
      <c r="H958" s="28">
        <f>H$4</f>
        <v/>
      </c>
      <c r="I958" s="28">
        <f>I$4</f>
        <v/>
      </c>
      <c r="J958" s="28">
        <f>J$4</f>
        <v/>
      </c>
      <c r="K958" s="28">
        <f>K$4</f>
        <v/>
      </c>
      <c r="L958" s="28">
        <f>L$4</f>
        <v/>
      </c>
      <c r="M958" s="28">
        <f>M$4</f>
        <v/>
      </c>
      <c r="N958" s="28">
        <f>N$4</f>
        <v/>
      </c>
      <c r="O958" s="28">
        <f>O$4</f>
        <v/>
      </c>
      <c r="P958" s="28">
        <f>P$4</f>
        <v/>
      </c>
      <c r="Q958" s="28">
        <f>Q$4</f>
        <v/>
      </c>
      <c r="R958" s="28">
        <f>R$4</f>
        <v/>
      </c>
      <c r="S958" s="28">
        <f>S$4</f>
        <v/>
      </c>
      <c r="T958" s="28">
        <f>T$4</f>
        <v/>
      </c>
      <c r="U958" s="28">
        <f>U$4</f>
        <v/>
      </c>
      <c r="V958" s="28">
        <f>V$4</f>
        <v/>
      </c>
      <c r="W958" s="28">
        <f>W$4</f>
        <v/>
      </c>
      <c r="X958" s="28">
        <f>X$4</f>
        <v/>
      </c>
      <c r="Y958" s="28">
        <f>Y$4</f>
        <v/>
      </c>
      <c r="Z958" s="28">
        <f>Z$4</f>
        <v/>
      </c>
      <c r="AA958" s="28">
        <f>AA$4</f>
        <v/>
      </c>
      <c r="AB958" s="28">
        <f>AB$4</f>
        <v/>
      </c>
      <c r="AC958" s="28">
        <f>AC$4</f>
        <v/>
      </c>
      <c r="AD958" s="28">
        <f>AD$4</f>
        <v/>
      </c>
      <c r="AE958" s="28">
        <f>AE$4</f>
        <v/>
      </c>
      <c r="AF958" s="28">
        <f>AF$4</f>
        <v/>
      </c>
      <c r="AG958" s="28">
        <f>AG$4</f>
        <v/>
      </c>
      <c r="AH958" s="28">
        <f>AH$4</f>
        <v/>
      </c>
      <c r="AI958" s="28">
        <f>AI$4</f>
        <v/>
      </c>
      <c r="AJ958" s="28">
        <f>Sensitivities!$C$896</f>
        <v/>
      </c>
      <c r="AK958" s="28">
        <f>i_min_year-i_base_year</f>
        <v/>
      </c>
      <c r="AL958" s="28">
        <f>i_exit_year-i_base_year</f>
        <v/>
      </c>
    </row>
    <row r="959">
      <c r="B959" s="3" t="inlineStr">
        <is>
          <t>Levered flows (equity)</t>
        </is>
      </c>
      <c r="D959" s="31">
        <f>D946*D951*IF(AND(Sensitivities!$C$898=1,D958&gt;$AK$958+1E-9),1-i_min_share,1)</f>
        <v/>
      </c>
      <c r="E959" s="31">
        <f>E946*E951*IF(AND(Sensitivities!$C$898=1,E958&gt;$AK$958+1E-9),1-i_min_share,1)</f>
        <v/>
      </c>
      <c r="F959" s="31">
        <f>F946*F951*IF(AND(Sensitivities!$C$898=1,F958&gt;$AK$958+1E-9),1-i_min_share,1)</f>
        <v/>
      </c>
      <c r="G959" s="31">
        <f>G946*G951*IF(AND(Sensitivities!$C$898=1,G958&gt;$AK$958+1E-9),1-i_min_share,1)</f>
        <v/>
      </c>
      <c r="H959" s="31">
        <f>H946*H951*IF(AND(Sensitivities!$C$898=1,H958&gt;$AK$958+1E-9),1-i_min_share,1)</f>
        <v/>
      </c>
      <c r="I959" s="31">
        <f>I946*I951*IF(AND(Sensitivities!$C$898=1,I958&gt;$AK$958+1E-9),1-i_min_share,1)</f>
        <v/>
      </c>
      <c r="J959" s="31">
        <f>J946*J951*IF(AND(Sensitivities!$C$898=1,J958&gt;$AK$958+1E-9),1-i_min_share,1)</f>
        <v/>
      </c>
      <c r="K959" s="31">
        <f>K946*K951*IF(AND(Sensitivities!$C$898=1,K958&gt;$AK$958+1E-9),1-i_min_share,1)</f>
        <v/>
      </c>
      <c r="L959" s="31">
        <f>L946*L951*IF(AND(Sensitivities!$C$898=1,L958&gt;$AK$958+1E-9),1-i_min_share,1)</f>
        <v/>
      </c>
      <c r="M959" s="31">
        <f>M946*M951*IF(AND(Sensitivities!$C$898=1,M958&gt;$AK$958+1E-9),1-i_min_share,1)</f>
        <v/>
      </c>
      <c r="N959" s="31">
        <f>N946*N951*IF(AND(Sensitivities!$C$898=1,N958&gt;$AK$958+1E-9),1-i_min_share,1)</f>
        <v/>
      </c>
      <c r="O959" s="31">
        <f>O946*O951*IF(AND(Sensitivities!$C$898=1,O958&gt;$AK$958+1E-9),1-i_min_share,1)</f>
        <v/>
      </c>
      <c r="P959" s="31">
        <f>P946*P951*IF(AND(Sensitivities!$C$898=1,P958&gt;$AK$958+1E-9),1-i_min_share,1)</f>
        <v/>
      </c>
      <c r="Q959" s="31">
        <f>Q946*Q951*IF(AND(Sensitivities!$C$898=1,Q958&gt;$AK$958+1E-9),1-i_min_share,1)</f>
        <v/>
      </c>
      <c r="R959" s="31">
        <f>R946*R951*IF(AND(Sensitivities!$C$898=1,R958&gt;$AK$958+1E-9),1-i_min_share,1)</f>
        <v/>
      </c>
      <c r="S959" s="31">
        <f>S946*S951*IF(AND(Sensitivities!$C$898=1,S958&gt;$AK$958+1E-9),1-i_min_share,1)</f>
        <v/>
      </c>
      <c r="T959" s="31">
        <f>T946*T951*IF(AND(Sensitivities!$C$898=1,T958&gt;$AK$958+1E-9),1-i_min_share,1)</f>
        <v/>
      </c>
      <c r="U959" s="31">
        <f>U946*U951*IF(AND(Sensitivities!$C$898=1,U958&gt;$AK$958+1E-9),1-i_min_share,1)</f>
        <v/>
      </c>
      <c r="V959" s="31">
        <f>V946*V951*IF(AND(Sensitivities!$C$898=1,V958&gt;$AK$958+1E-9),1-i_min_share,1)</f>
        <v/>
      </c>
      <c r="W959" s="31">
        <f>W946*W951*IF(AND(Sensitivities!$C$898=1,W958&gt;$AK$958+1E-9),1-i_min_share,1)</f>
        <v/>
      </c>
      <c r="X959" s="31">
        <f>X946*X951*IF(AND(Sensitivities!$C$898=1,X958&gt;$AK$958+1E-9),1-i_min_share,1)</f>
        <v/>
      </c>
      <c r="Y959" s="31">
        <f>Y946*Y951*IF(AND(Sensitivities!$C$898=1,Y958&gt;$AK$958+1E-9),1-i_min_share,1)</f>
        <v/>
      </c>
      <c r="Z959" s="31">
        <f>Z946*Z951*IF(AND(Sensitivities!$C$898=1,Z958&gt;$AK$958+1E-9),1-i_min_share,1)</f>
        <v/>
      </c>
      <c r="AA959" s="31">
        <f>AA946*AA951*IF(AND(Sensitivities!$C$898=1,AA958&gt;$AK$958+1E-9),1-i_min_share,1)</f>
        <v/>
      </c>
      <c r="AB959" s="31">
        <f>AB946*AB951*IF(AND(Sensitivities!$C$898=1,AB958&gt;$AK$958+1E-9),1-i_min_share,1)</f>
        <v/>
      </c>
      <c r="AC959" s="31">
        <f>AC946*AC951*IF(AND(Sensitivities!$C$898=1,AC958&gt;$AK$958+1E-9),1-i_min_share,1)</f>
        <v/>
      </c>
      <c r="AD959" s="31">
        <f>AD946*AD951*IF(AND(Sensitivities!$C$898=1,AD958&gt;$AK$958+1E-9),1-i_min_share,1)</f>
        <v/>
      </c>
      <c r="AE959" s="31">
        <f>AE946*AE951*IF(AND(Sensitivities!$C$898=1,AE958&gt;$AK$958+1E-9),1-i_min_share,1)</f>
        <v/>
      </c>
      <c r="AF959" s="31">
        <f>AF946*AF951*IF(AND(Sensitivities!$C$898=1,AF958&gt;$AK$958+1E-9),1-i_min_share,1)</f>
        <v/>
      </c>
      <c r="AG959" s="31">
        <f>AG946*AG951*IF(AND(Sensitivities!$C$898=1,AG958&gt;$AK$958+1E-9),1-i_min_share,1)</f>
        <v/>
      </c>
      <c r="AH959" s="31">
        <f>AH946*AH951*IF(AND(Sensitivities!$C$898=1,AH958&gt;$AK$958+1E-9),1-i_min_share,1)</f>
        <v/>
      </c>
      <c r="AI959" s="31">
        <f>AI946*AI951*IF(AND(Sensitivities!$C$898=1,AI958&gt;$AK$958+1E-9),1-i_min_share,1)</f>
        <v/>
      </c>
      <c r="AJ959" s="31">
        <f>-Sensitivities!$C$942</f>
        <v/>
      </c>
      <c r="AK959" s="31">
        <f>Sensitivities!$C$957</f>
        <v/>
      </c>
      <c r="AL959" s="31">
        <f>Sensitivities!$C$954*IF(Sensitivities!$C$898=1,1-i_min_share,1)</f>
        <v/>
      </c>
    </row>
    <row r="960">
      <c r="B960" s="3" t="inlineStr">
        <is>
          <t>Unlevered flows (before financing)</t>
        </is>
      </c>
      <c r="D960" s="31">
        <f>D946*Sensitivities!D234</f>
        <v/>
      </c>
      <c r="E960" s="31">
        <f>E946*Sensitivities!E234</f>
        <v/>
      </c>
      <c r="F960" s="31">
        <f>F946*Sensitivities!F234</f>
        <v/>
      </c>
      <c r="G960" s="31">
        <f>G946*Sensitivities!G234</f>
        <v/>
      </c>
      <c r="H960" s="31">
        <f>H946*Sensitivities!H234</f>
        <v/>
      </c>
      <c r="I960" s="31">
        <f>I946*Sensitivities!I234</f>
        <v/>
      </c>
      <c r="J960" s="31">
        <f>J946*Sensitivities!J234</f>
        <v/>
      </c>
      <c r="K960" s="31">
        <f>K946*Sensitivities!K234</f>
        <v/>
      </c>
      <c r="L960" s="31">
        <f>L946*Sensitivities!L234</f>
        <v/>
      </c>
      <c r="M960" s="31">
        <f>M946*Sensitivities!M234</f>
        <v/>
      </c>
      <c r="N960" s="31">
        <f>N946*Sensitivities!N234</f>
        <v/>
      </c>
      <c r="O960" s="31">
        <f>O946*Sensitivities!O234</f>
        <v/>
      </c>
      <c r="P960" s="31">
        <f>P946*Sensitivities!P234</f>
        <v/>
      </c>
      <c r="Q960" s="31">
        <f>Q946*Sensitivities!Q234</f>
        <v/>
      </c>
      <c r="R960" s="31">
        <f>R946*Sensitivities!R234</f>
        <v/>
      </c>
      <c r="S960" s="31">
        <f>S946*Sensitivities!S234</f>
        <v/>
      </c>
      <c r="T960" s="31">
        <f>T946*Sensitivities!T234</f>
        <v/>
      </c>
      <c r="U960" s="31">
        <f>U946*Sensitivities!U234</f>
        <v/>
      </c>
      <c r="V960" s="31">
        <f>V946*Sensitivities!V234</f>
        <v/>
      </c>
      <c r="W960" s="31">
        <f>W946*Sensitivities!W234</f>
        <v/>
      </c>
      <c r="X960" s="31">
        <f>X946*Sensitivities!X234</f>
        <v/>
      </c>
      <c r="Y960" s="31">
        <f>Y946*Sensitivities!Y234</f>
        <v/>
      </c>
      <c r="Z960" s="31">
        <f>Z946*Sensitivities!Z234</f>
        <v/>
      </c>
      <c r="AA960" s="31">
        <f>AA946*Sensitivities!AA234</f>
        <v/>
      </c>
      <c r="AB960" s="31">
        <f>AB946*Sensitivities!AB234</f>
        <v/>
      </c>
      <c r="AC960" s="31">
        <f>AC946*Sensitivities!AC234</f>
        <v/>
      </c>
      <c r="AD960" s="31">
        <f>AD946*Sensitivities!AD234</f>
        <v/>
      </c>
      <c r="AE960" s="31">
        <f>AE946*Sensitivities!AE234</f>
        <v/>
      </c>
      <c r="AF960" s="31">
        <f>AF946*Sensitivities!AF234</f>
        <v/>
      </c>
      <c r="AG960" s="31">
        <f>AG946*Sensitivities!AG234</f>
        <v/>
      </c>
      <c r="AH960" s="31">
        <f>AH946*Sensitivities!AH234</f>
        <v/>
      </c>
      <c r="AI960" s="31">
        <f>AI946*Sensitivities!AI234</f>
        <v/>
      </c>
      <c r="AJ960" s="31">
        <f>-(Sensitivities!$C$937-Sensitivities!$C$915-Sensitivities!$C$927)</f>
        <v/>
      </c>
      <c r="AK960" s="19" t="n">
        <v>0</v>
      </c>
      <c r="AL960" s="31">
        <f>Sensitivities!$C$952</f>
        <v/>
      </c>
    </row>
    <row r="961">
      <c r="B961" s="4" t="inlineStr">
        <is>
          <t>Levered IRR (Newton steps from 10 percent)</t>
        </is>
      </c>
      <c r="D961" s="38" t="n">
        <v>0.1</v>
      </c>
      <c r="E961" s="40">
        <f>D961-SUMPRODUCT($D$959:$AL$959,(1+D961)^(-$D$958:$AL$958))/SUMPRODUCT($D$959:$AL$959*(-$D$958:$AL$958),(1+D961)^(-$D$958:$AL$958-1))</f>
        <v/>
      </c>
      <c r="F961" s="40">
        <f>E961-SUMPRODUCT($D$959:$AL$959,(1+E961)^(-$D$958:$AL$958))/SUMPRODUCT($D$959:$AL$959*(-$D$958:$AL$958),(1+E961)^(-$D$958:$AL$958-1))</f>
        <v/>
      </c>
      <c r="G961" s="40">
        <f>F961-SUMPRODUCT($D$959:$AL$959,(1+F961)^(-$D$958:$AL$958))/SUMPRODUCT($D$959:$AL$959*(-$D$958:$AL$958),(1+F961)^(-$D$958:$AL$958-1))</f>
        <v/>
      </c>
      <c r="H961" s="40">
        <f>G961-SUMPRODUCT($D$959:$AL$959,(1+G961)^(-$D$958:$AL$958))/SUMPRODUCT($D$959:$AL$959*(-$D$958:$AL$958),(1+G961)^(-$D$958:$AL$958-1))</f>
        <v/>
      </c>
      <c r="I961" s="40">
        <f>H961-SUMPRODUCT($D$959:$AL$959,(1+H961)^(-$D$958:$AL$958))/SUMPRODUCT($D$959:$AL$959*(-$D$958:$AL$958),(1+H961)^(-$D$958:$AL$958-1))</f>
        <v/>
      </c>
      <c r="J961" s="40">
        <f>I961-SUMPRODUCT($D$959:$AL$959,(1+I961)^(-$D$958:$AL$958))/SUMPRODUCT($D$959:$AL$959*(-$D$958:$AL$958),(1+I961)^(-$D$958:$AL$958-1))</f>
        <v/>
      </c>
      <c r="K961" s="40">
        <f>J961-SUMPRODUCT($D$959:$AL$959,(1+J961)^(-$D$958:$AL$958))/SUMPRODUCT($D$959:$AL$959*(-$D$958:$AL$958),(1+J961)^(-$D$958:$AL$958-1))</f>
        <v/>
      </c>
      <c r="L961" s="40">
        <f>K961-SUMPRODUCT($D$959:$AL$959,(1+K961)^(-$D$958:$AL$958))/SUMPRODUCT($D$959:$AL$959*(-$D$958:$AL$958),(1+K961)^(-$D$958:$AL$958-1))</f>
        <v/>
      </c>
      <c r="M961" s="40">
        <f>L961-SUMPRODUCT($D$959:$AL$959,(1+L961)^(-$D$958:$AL$958))/SUMPRODUCT($D$959:$AL$959*(-$D$958:$AL$958),(1+L961)^(-$D$958:$AL$958-1))</f>
        <v/>
      </c>
      <c r="N961" s="40">
        <f>M961-SUMPRODUCT($D$959:$AL$959,(1+M961)^(-$D$958:$AL$958))/SUMPRODUCT($D$959:$AL$959*(-$D$958:$AL$958),(1+M961)^(-$D$958:$AL$958-1))</f>
        <v/>
      </c>
      <c r="O961" s="40">
        <f>N961-SUMPRODUCT($D$959:$AL$959,(1+N961)^(-$D$958:$AL$958))/SUMPRODUCT($D$959:$AL$959*(-$D$958:$AL$958),(1+N961)^(-$D$958:$AL$958-1))</f>
        <v/>
      </c>
      <c r="P961" s="40">
        <f>O961-SUMPRODUCT($D$959:$AL$959,(1+O961)^(-$D$958:$AL$958))/SUMPRODUCT($D$959:$AL$959*(-$D$958:$AL$958),(1+O961)^(-$D$958:$AL$958-1))</f>
        <v/>
      </c>
      <c r="Q961" s="40">
        <f>P961-SUMPRODUCT($D$959:$AL$959,(1+P961)^(-$D$958:$AL$958))/SUMPRODUCT($D$959:$AL$959*(-$D$958:$AL$958),(1+P961)^(-$D$958:$AL$958-1))</f>
        <v/>
      </c>
      <c r="R961" s="40">
        <f>Q961-SUMPRODUCT($D$959:$AL$959,(1+Q961)^(-$D$958:$AL$958))/SUMPRODUCT($D$959:$AL$959*(-$D$958:$AL$958),(1+Q961)^(-$D$958:$AL$958-1))</f>
        <v/>
      </c>
    </row>
    <row r="962">
      <c r="B962" s="4" t="inlineStr">
        <is>
          <t>Unlevered IRR (Newton steps from 10 percent)</t>
        </is>
      </c>
      <c r="D962" s="38" t="n">
        <v>0.1</v>
      </c>
      <c r="E962" s="40">
        <f>D962-SUMPRODUCT($D$960:$AL$960,(1+D962)^(-$D$958:$AL$958))/SUMPRODUCT($D$960:$AL$960*(-$D$958:$AL$958),(1+D962)^(-$D$958:$AL$958-1))</f>
        <v/>
      </c>
      <c r="F962" s="40">
        <f>E962-SUMPRODUCT($D$960:$AL$960,(1+E962)^(-$D$958:$AL$958))/SUMPRODUCT($D$960:$AL$960*(-$D$958:$AL$958),(1+E962)^(-$D$958:$AL$958-1))</f>
        <v/>
      </c>
      <c r="G962" s="40">
        <f>F962-SUMPRODUCT($D$960:$AL$960,(1+F962)^(-$D$958:$AL$958))/SUMPRODUCT($D$960:$AL$960*(-$D$958:$AL$958),(1+F962)^(-$D$958:$AL$958-1))</f>
        <v/>
      </c>
      <c r="H962" s="40">
        <f>G962-SUMPRODUCT($D$960:$AL$960,(1+G962)^(-$D$958:$AL$958))/SUMPRODUCT($D$960:$AL$960*(-$D$958:$AL$958),(1+G962)^(-$D$958:$AL$958-1))</f>
        <v/>
      </c>
      <c r="I962" s="40">
        <f>H962-SUMPRODUCT($D$960:$AL$960,(1+H962)^(-$D$958:$AL$958))/SUMPRODUCT($D$960:$AL$960*(-$D$958:$AL$958),(1+H962)^(-$D$958:$AL$958-1))</f>
        <v/>
      </c>
      <c r="J962" s="40">
        <f>I962-SUMPRODUCT($D$960:$AL$960,(1+I962)^(-$D$958:$AL$958))/SUMPRODUCT($D$960:$AL$960*(-$D$958:$AL$958),(1+I962)^(-$D$958:$AL$958-1))</f>
        <v/>
      </c>
      <c r="K962" s="40">
        <f>J962-SUMPRODUCT($D$960:$AL$960,(1+J962)^(-$D$958:$AL$958))/SUMPRODUCT($D$960:$AL$960*(-$D$958:$AL$958),(1+J962)^(-$D$958:$AL$958-1))</f>
        <v/>
      </c>
      <c r="L962" s="40">
        <f>K962-SUMPRODUCT($D$960:$AL$960,(1+K962)^(-$D$958:$AL$958))/SUMPRODUCT($D$960:$AL$960*(-$D$958:$AL$958),(1+K962)^(-$D$958:$AL$958-1))</f>
        <v/>
      </c>
      <c r="M962" s="40">
        <f>L962-SUMPRODUCT($D$960:$AL$960,(1+L962)^(-$D$958:$AL$958))/SUMPRODUCT($D$960:$AL$960*(-$D$958:$AL$958),(1+L962)^(-$D$958:$AL$958-1))</f>
        <v/>
      </c>
      <c r="N962" s="40">
        <f>M962-SUMPRODUCT($D$960:$AL$960,(1+M962)^(-$D$958:$AL$958))/SUMPRODUCT($D$960:$AL$960*(-$D$958:$AL$958),(1+M962)^(-$D$958:$AL$958-1))</f>
        <v/>
      </c>
      <c r="O962" s="40">
        <f>N962-SUMPRODUCT($D$960:$AL$960,(1+N962)^(-$D$958:$AL$958))/SUMPRODUCT($D$960:$AL$960*(-$D$958:$AL$958),(1+N962)^(-$D$958:$AL$958-1))</f>
        <v/>
      </c>
      <c r="P962" s="40">
        <f>O962-SUMPRODUCT($D$960:$AL$960,(1+O962)^(-$D$958:$AL$958))/SUMPRODUCT($D$960:$AL$960*(-$D$958:$AL$958),(1+O962)^(-$D$958:$AL$958-1))</f>
        <v/>
      </c>
      <c r="Q962" s="40">
        <f>P962-SUMPRODUCT($D$960:$AL$960,(1+P962)^(-$D$958:$AL$958))/SUMPRODUCT($D$960:$AL$960*(-$D$958:$AL$958),(1+P962)^(-$D$958:$AL$958-1))</f>
        <v/>
      </c>
      <c r="R962" s="40">
        <f>Q962-SUMPRODUCT($D$960:$AL$960,(1+Q962)^(-$D$958:$AL$958))/SUMPRODUCT($D$960:$AL$960*(-$D$958:$AL$958),(1+Q962)^(-$D$958:$AL$958-1))</f>
        <v/>
      </c>
    </row>
    <row r="963">
      <c r="B963" s="3" t="inlineStr">
        <is>
          <t>Levered IRR (equity)</t>
        </is>
      </c>
      <c r="C963" s="33">
        <f>R961</f>
        <v/>
      </c>
    </row>
    <row r="964">
      <c r="B964" s="3" t="inlineStr">
        <is>
          <t>Unlevered IRR</t>
        </is>
      </c>
      <c r="C964" s="33">
        <f>R962</f>
        <v/>
      </c>
    </row>
    <row r="965">
      <c r="B965" s="2" t="inlineStr">
        <is>
          <t>Check: levered NPV at the levered IRR</t>
        </is>
      </c>
      <c r="C965" s="41">
        <f>SUMPRODUCT($D$959:$AL$959,(1+Sensitivities!$C$963)^(-$D$958:$AL$958))</f>
        <v/>
      </c>
    </row>
    <row r="966">
      <c r="B966" s="2" t="inlineStr">
        <is>
          <t>Check: unlevered NPV at the unlevered IRR</t>
        </is>
      </c>
      <c r="C966" s="41">
        <f>SUMPRODUCT($D$960:$AL$960,(1+Sensitivities!$C$964)^(-$D$958:$AL$958))</f>
        <v/>
      </c>
    </row>
    <row r="967">
      <c r="B967" s="2" t="inlineStr">
        <is>
          <t>Money multiple (cash in over cash out)</t>
        </is>
      </c>
      <c r="C967" s="37">
        <f>SUMIF($D$959:$AL$959,"&gt;0")/-SUMIF($D$959:$AL$959,"&lt;0")</f>
        <v/>
      </c>
    </row>
    <row r="968">
      <c r="B968" s="2" t="inlineStr">
        <is>
          <t>Present value at the target IRR of the flows after closing</t>
        </is>
      </c>
      <c r="C968" s="19">
        <f>SUMPRODUCT($D$959:$AL$959,(1+i_hurdle)^(-$D$958:$AL$958))+Sensitivities!$C$942*(1+i_hurdle)^(-Sensitivities!$C$896)</f>
        <v/>
      </c>
    </row>
    <row r="969">
      <c r="B969" s="2" t="inlineStr">
        <is>
          <t>Equity cheque that gives exactly the target IRR</t>
        </is>
      </c>
      <c r="C969" s="19">
        <f>Sensitivities!$C$968*(1+i_hurdle)^Sensitivities!$C$896</f>
        <v/>
      </c>
    </row>
    <row r="970">
      <c r="B970" s="2" t="inlineStr">
        <is>
          <t>EV less equity price (fixed bridge items)</t>
        </is>
      </c>
      <c r="C970" s="19">
        <f>Sensitivities!$C$901-Sensitivities!$C$907</f>
        <v/>
      </c>
    </row>
    <row r="971">
      <c r="B971" s="2" t="inlineStr">
        <is>
          <t>Equity cheque items that do not move with the price</t>
        </is>
      </c>
      <c r="C971" s="19">
        <f>Sensitivities!$C$932+Sensitivities!$C$904+i_costs_adv+Sensitivities!$C$927+Sensitivities!$C$928-Sensitivities!$C$922-Sensitivities!$C$923-Sensitivities!$C$915</f>
        <v/>
      </c>
    </row>
    <row r="972">
      <c r="B972" s="2" t="inlineStr">
        <is>
          <t>Walk-away EV, first pass (HSR fee at the bid)</t>
        </is>
      </c>
      <c r="C972" s="19">
        <f>(Sensitivities!$C$969-Sensitivities!$C$971-Sensitivities!$C$925+Sensitivities!$C$970*(1+i_ticking*Sensitivities!$C$896))/(1+i_ticking*Sensitivities!$C$896+i_wi_limit_pct*i_wi_rol*(1+i_wi_ipt))</f>
        <v/>
      </c>
    </row>
    <row r="973">
      <c r="B973" s="3" t="inlineStr">
        <is>
          <t>Walk-away EV (highest EV at the target IRR)</t>
        </is>
      </c>
      <c r="C973" s="31">
        <f>(Sensitivities!$C$969-Sensitivities!$C$971-IF(Sensitivities!$C$972-Sensitivities!$C$970&lt;INDEX(i_hsr_lo,1),0,LOOKUP(Sensitivities!$C$972-Sensitivities!$C$970,i_hsr_lo,i_hsr_fee))+Sensitivities!$C$970*(1+i_ticking*Sensitivities!$C$896))/(1+i_ticking*Sensitivities!$C$896+i_wi_limit_pct*i_wi_rol*(1+i_wi_ipt))</f>
        <v/>
      </c>
    </row>
    <row r="976">
      <c r="B976" s="5" t="inlineStr">
        <is>
          <t>Deal: inflation 3.5 percent with refinancing and exit discount rates 1 point higher</t>
        </is>
      </c>
    </row>
    <row r="977">
      <c r="B977" s="4" t="inlineStr">
        <is>
          <t>Enterprise value at 31 December 2026</t>
        </is>
      </c>
      <c r="C977" s="29">
        <f>i_bid_ev</f>
        <v/>
      </c>
    </row>
    <row r="978">
      <c r="B978" s="4" t="inlineStr">
        <is>
          <t>Closing (years after 31 December 2026)</t>
        </is>
      </c>
      <c r="C978" s="28">
        <f>Inputs!$F$239</f>
        <v/>
      </c>
    </row>
    <row r="979">
      <c r="B979" s="4" t="inlineStr">
        <is>
          <t>Staple financing (1) or own debt (0)</t>
        </is>
      </c>
      <c r="C979" s="26">
        <f>0</f>
        <v/>
      </c>
    </row>
    <row r="980">
      <c r="B980" s="4" t="inlineStr">
        <is>
          <t>Minority sale in 2031 (1) or full exit (0)</t>
        </is>
      </c>
      <c r="C980" s="26">
        <f>0</f>
        <v/>
      </c>
    </row>
    <row r="981">
      <c r="B981" s="4" t="inlineStr">
        <is>
          <t>Exit discount rate</t>
        </is>
      </c>
      <c r="C981" s="38">
        <f>Inputs!$E$239</f>
        <v/>
      </c>
    </row>
    <row r="982">
      <c r="B982" s="4" t="inlineStr">
        <is>
          <t>Change in the opco rate at refinancing</t>
        </is>
      </c>
      <c r="C982" s="38">
        <f>Inputs!$D$239</f>
        <v/>
      </c>
    </row>
    <row r="983">
      <c r="B983" s="2" t="inlineStr">
        <is>
          <t>Enterprise value</t>
        </is>
      </c>
      <c r="C983" s="19">
        <f>Sensitivities!$C$977</f>
        <v/>
      </c>
    </row>
    <row r="984">
      <c r="B984" s="2" t="inlineStr">
        <is>
          <t>less existing financial debt (term loan and notes)</t>
        </is>
      </c>
      <c r="C984" s="19">
        <f>i_old_tl+i_old_notes</f>
        <v/>
      </c>
    </row>
    <row r="985">
      <c r="B985" s="2" t="inlineStr">
        <is>
          <t>less make-whole on the notes</t>
        </is>
      </c>
      <c r="C985" s="19">
        <f>i_make_whole</f>
        <v/>
      </c>
    </row>
    <row r="986">
      <c r="B986" s="2" t="inlineStr">
        <is>
          <t>less debt-like items (pension, accrued capex, 2026 tax)</t>
        </is>
      </c>
      <c r="C986" s="19">
        <f>i_pension+i_def_capex+i_acc_tax</f>
        <v/>
      </c>
    </row>
    <row r="987">
      <c r="B987" s="2" t="inlineStr">
        <is>
          <t>plus cash at the locked box date</t>
        </is>
      </c>
      <c r="C987" s="19">
        <f>i_lb_cash</f>
        <v/>
      </c>
    </row>
    <row r="988">
      <c r="B988" s="2" t="inlineStr">
        <is>
          <t>less permitted leakage</t>
        </is>
      </c>
      <c r="C988" s="19">
        <f>i_permitted_leak</f>
        <v/>
      </c>
    </row>
    <row r="989">
      <c r="B989" s="3" t="inlineStr">
        <is>
          <t>Equity price (shares and shareholder loan)</t>
        </is>
      </c>
      <c r="C989" s="31">
        <f>Sensitivities!$C$983-Sensitivities!$C$984-Sensitivities!$C$985-Sensitivities!$C$986+Sensitivities!$C$987-Sensitivities!$C$988</f>
        <v/>
      </c>
    </row>
    <row r="990">
      <c r="B990" s="2" t="inlineStr">
        <is>
          <t xml:space="preserve">  of which shareholder loan at face value</t>
        </is>
      </c>
      <c r="C990" s="19">
        <f>i_shl</f>
        <v/>
      </c>
    </row>
    <row r="991">
      <c r="B991" s="2" t="inlineStr">
        <is>
          <t xml:space="preserve">  of which shares</t>
        </is>
      </c>
      <c r="C991" s="19">
        <f>Sensitivities!$C$989-Sensitivities!$C$990</f>
        <v/>
      </c>
    </row>
    <row r="992">
      <c r="B992" s="2" t="inlineStr">
        <is>
          <t>Ticking fee to closing</t>
        </is>
      </c>
      <c r="C992" s="19">
        <f>Sensitivities!$C$989*i_ticking*Sensitivities!$C$978</f>
        <v/>
      </c>
    </row>
    <row r="993">
      <c r="B993" s="2" t="inlineStr">
        <is>
          <t>Share of the year before closing (box period)</t>
        </is>
      </c>
      <c r="D993" s="24">
        <f>IF(D$4&lt;1,0,MAX(0,MIN(1,Sensitivities!$C$978-(D$4-1))))</f>
        <v/>
      </c>
      <c r="E993" s="24">
        <f>IF(E$4&lt;1,0,MAX(0,MIN(1,Sensitivities!$C$978-(E$4-1))))</f>
        <v/>
      </c>
      <c r="F993" s="24">
        <f>IF(F$4&lt;1,0,MAX(0,MIN(1,Sensitivities!$C$978-(F$4-1))))</f>
        <v/>
      </c>
      <c r="G993" s="24">
        <f>IF(G$4&lt;1,0,MAX(0,MIN(1,Sensitivities!$C$978-(G$4-1))))</f>
        <v/>
      </c>
      <c r="H993" s="24">
        <f>IF(H$4&lt;1,0,MAX(0,MIN(1,Sensitivities!$C$978-(H$4-1))))</f>
        <v/>
      </c>
      <c r="I993" s="24">
        <f>IF(I$4&lt;1,0,MAX(0,MIN(1,Sensitivities!$C$978-(I$4-1))))</f>
        <v/>
      </c>
      <c r="J993" s="24">
        <f>IF(J$4&lt;1,0,MAX(0,MIN(1,Sensitivities!$C$978-(J$4-1))))</f>
        <v/>
      </c>
      <c r="K993" s="24">
        <f>IF(K$4&lt;1,0,MAX(0,MIN(1,Sensitivities!$C$978-(K$4-1))))</f>
        <v/>
      </c>
      <c r="L993" s="24">
        <f>IF(L$4&lt;1,0,MAX(0,MIN(1,Sensitivities!$C$978-(L$4-1))))</f>
        <v/>
      </c>
      <c r="M993" s="24">
        <f>IF(M$4&lt;1,0,MAX(0,MIN(1,Sensitivities!$C$978-(M$4-1))))</f>
        <v/>
      </c>
      <c r="N993" s="24">
        <f>IF(N$4&lt;1,0,MAX(0,MIN(1,Sensitivities!$C$978-(N$4-1))))</f>
        <v/>
      </c>
      <c r="O993" s="24">
        <f>IF(O$4&lt;1,0,MAX(0,MIN(1,Sensitivities!$C$978-(O$4-1))))</f>
        <v/>
      </c>
      <c r="P993" s="24">
        <f>IF(P$4&lt;1,0,MAX(0,MIN(1,Sensitivities!$C$978-(P$4-1))))</f>
        <v/>
      </c>
      <c r="Q993" s="24">
        <f>IF(Q$4&lt;1,0,MAX(0,MIN(1,Sensitivities!$C$978-(Q$4-1))))</f>
        <v/>
      </c>
      <c r="R993" s="24">
        <f>IF(R$4&lt;1,0,MAX(0,MIN(1,Sensitivities!$C$978-(R$4-1))))</f>
        <v/>
      </c>
      <c r="S993" s="24">
        <f>IF(S$4&lt;1,0,MAX(0,MIN(1,Sensitivities!$C$978-(S$4-1))))</f>
        <v/>
      </c>
      <c r="T993" s="24">
        <f>IF(T$4&lt;1,0,MAX(0,MIN(1,Sensitivities!$C$978-(T$4-1))))</f>
        <v/>
      </c>
      <c r="U993" s="24">
        <f>IF(U$4&lt;1,0,MAX(0,MIN(1,Sensitivities!$C$978-(U$4-1))))</f>
        <v/>
      </c>
      <c r="V993" s="24">
        <f>IF(V$4&lt;1,0,MAX(0,MIN(1,Sensitivities!$C$978-(V$4-1))))</f>
        <v/>
      </c>
      <c r="W993" s="24">
        <f>IF(W$4&lt;1,0,MAX(0,MIN(1,Sensitivities!$C$978-(W$4-1))))</f>
        <v/>
      </c>
      <c r="X993" s="24">
        <f>IF(X$4&lt;1,0,MAX(0,MIN(1,Sensitivities!$C$978-(X$4-1))))</f>
        <v/>
      </c>
      <c r="Y993" s="24">
        <f>IF(Y$4&lt;1,0,MAX(0,MIN(1,Sensitivities!$C$978-(Y$4-1))))</f>
        <v/>
      </c>
      <c r="Z993" s="24">
        <f>IF(Z$4&lt;1,0,MAX(0,MIN(1,Sensitivities!$C$978-(Z$4-1))))</f>
        <v/>
      </c>
      <c r="AA993" s="24">
        <f>IF(AA$4&lt;1,0,MAX(0,MIN(1,Sensitivities!$C$978-(AA$4-1))))</f>
        <v/>
      </c>
      <c r="AB993" s="24">
        <f>IF(AB$4&lt;1,0,MAX(0,MIN(1,Sensitivities!$C$978-(AB$4-1))))</f>
        <v/>
      </c>
      <c r="AC993" s="24">
        <f>IF(AC$4&lt;1,0,MAX(0,MIN(1,Sensitivities!$C$978-(AC$4-1))))</f>
        <v/>
      </c>
      <c r="AD993" s="24">
        <f>IF(AD$4&lt;1,0,MAX(0,MIN(1,Sensitivities!$C$978-(AD$4-1))))</f>
        <v/>
      </c>
      <c r="AE993" s="24">
        <f>IF(AE$4&lt;1,0,MAX(0,MIN(1,Sensitivities!$C$978-(AE$4-1))))</f>
        <v/>
      </c>
      <c r="AF993" s="24">
        <f>IF(AF$4&lt;1,0,MAX(0,MIN(1,Sensitivities!$C$978-(AF$4-1))))</f>
        <v/>
      </c>
      <c r="AG993" s="24">
        <f>IF(AG$4&lt;1,0,MAX(0,MIN(1,Sensitivities!$C$978-(AG$4-1))))</f>
        <v/>
      </c>
      <c r="AH993" s="24">
        <f>IF(AH$4&lt;1,0,MAX(0,MIN(1,Sensitivities!$C$978-(AH$4-1))))</f>
        <v/>
      </c>
      <c r="AI993" s="24">
        <f>IF(AI$4&lt;1,0,MAX(0,MIN(1,Sensitivities!$C$978-(AI$4-1))))</f>
        <v/>
      </c>
    </row>
    <row r="994">
      <c r="B994" s="2" t="inlineStr">
        <is>
          <t>Box cash: free cash flow less interest on the old debt</t>
        </is>
      </c>
      <c r="D994" s="19">
        <f>D993*(Sensitivities!D126-i_old_rate*(i_old_tl+i_old_notes))</f>
        <v/>
      </c>
      <c r="E994" s="19">
        <f>E993*(Sensitivities!E126-i_old_rate*(i_old_tl+i_old_notes))</f>
        <v/>
      </c>
      <c r="F994" s="19">
        <f>F993*(Sensitivities!F126-i_old_rate*(i_old_tl+i_old_notes))</f>
        <v/>
      </c>
      <c r="G994" s="19">
        <f>G993*(Sensitivities!G126-i_old_rate*(i_old_tl+i_old_notes))</f>
        <v/>
      </c>
      <c r="H994" s="19">
        <f>H993*(Sensitivities!H126-i_old_rate*(i_old_tl+i_old_notes))</f>
        <v/>
      </c>
      <c r="I994" s="19">
        <f>I993*(Sensitivities!I126-i_old_rate*(i_old_tl+i_old_notes))</f>
        <v/>
      </c>
      <c r="J994" s="19">
        <f>J993*(Sensitivities!J126-i_old_rate*(i_old_tl+i_old_notes))</f>
        <v/>
      </c>
      <c r="K994" s="19">
        <f>K993*(Sensitivities!K126-i_old_rate*(i_old_tl+i_old_notes))</f>
        <v/>
      </c>
      <c r="L994" s="19">
        <f>L993*(Sensitivities!L126-i_old_rate*(i_old_tl+i_old_notes))</f>
        <v/>
      </c>
      <c r="M994" s="19">
        <f>M993*(Sensitivities!M126-i_old_rate*(i_old_tl+i_old_notes))</f>
        <v/>
      </c>
      <c r="N994" s="19">
        <f>N993*(Sensitivities!N126-i_old_rate*(i_old_tl+i_old_notes))</f>
        <v/>
      </c>
      <c r="O994" s="19">
        <f>O993*(Sensitivities!O126-i_old_rate*(i_old_tl+i_old_notes))</f>
        <v/>
      </c>
      <c r="P994" s="19">
        <f>P993*(Sensitivities!P126-i_old_rate*(i_old_tl+i_old_notes))</f>
        <v/>
      </c>
      <c r="Q994" s="19">
        <f>Q993*(Sensitivities!Q126-i_old_rate*(i_old_tl+i_old_notes))</f>
        <v/>
      </c>
      <c r="R994" s="19">
        <f>R993*(Sensitivities!R126-i_old_rate*(i_old_tl+i_old_notes))</f>
        <v/>
      </c>
      <c r="S994" s="19">
        <f>S993*(Sensitivities!S126-i_old_rate*(i_old_tl+i_old_notes))</f>
        <v/>
      </c>
      <c r="T994" s="19">
        <f>T993*(Sensitivities!T126-i_old_rate*(i_old_tl+i_old_notes))</f>
        <v/>
      </c>
      <c r="U994" s="19">
        <f>U993*(Sensitivities!U126-i_old_rate*(i_old_tl+i_old_notes))</f>
        <v/>
      </c>
      <c r="V994" s="19">
        <f>V993*(Sensitivities!V126-i_old_rate*(i_old_tl+i_old_notes))</f>
        <v/>
      </c>
      <c r="W994" s="19">
        <f>W993*(Sensitivities!W126-i_old_rate*(i_old_tl+i_old_notes))</f>
        <v/>
      </c>
      <c r="X994" s="19">
        <f>X993*(Sensitivities!X126-i_old_rate*(i_old_tl+i_old_notes))</f>
        <v/>
      </c>
      <c r="Y994" s="19">
        <f>Y993*(Sensitivities!Y126-i_old_rate*(i_old_tl+i_old_notes))</f>
        <v/>
      </c>
      <c r="Z994" s="19">
        <f>Z993*(Sensitivities!Z126-i_old_rate*(i_old_tl+i_old_notes))</f>
        <v/>
      </c>
      <c r="AA994" s="19">
        <f>AA993*(Sensitivities!AA126-i_old_rate*(i_old_tl+i_old_notes))</f>
        <v/>
      </c>
      <c r="AB994" s="19">
        <f>AB993*(Sensitivities!AB126-i_old_rate*(i_old_tl+i_old_notes))</f>
        <v/>
      </c>
      <c r="AC994" s="19">
        <f>AC993*(Sensitivities!AC126-i_old_rate*(i_old_tl+i_old_notes))</f>
        <v/>
      </c>
      <c r="AD994" s="19">
        <f>AD993*(Sensitivities!AD126-i_old_rate*(i_old_tl+i_old_notes))</f>
        <v/>
      </c>
      <c r="AE994" s="19">
        <f>AE993*(Sensitivities!AE126-i_old_rate*(i_old_tl+i_old_notes))</f>
        <v/>
      </c>
      <c r="AF994" s="19">
        <f>AF993*(Sensitivities!AF126-i_old_rate*(i_old_tl+i_old_notes))</f>
        <v/>
      </c>
      <c r="AG994" s="19">
        <f>AG993*(Sensitivities!AG126-i_old_rate*(i_old_tl+i_old_notes))</f>
        <v/>
      </c>
      <c r="AH994" s="19">
        <f>AH993*(Sensitivities!AH126-i_old_rate*(i_old_tl+i_old_notes))</f>
        <v/>
      </c>
      <c r="AI994" s="19">
        <f>AI993*(Sensitivities!AI126-i_old_rate*(i_old_tl+i_old_notes))</f>
        <v/>
      </c>
    </row>
    <row r="995">
      <c r="B995" s="2" t="inlineStr">
        <is>
          <t>Box cash generated from 1 January 2027 to closing</t>
        </is>
      </c>
      <c r="C995" s="19">
        <f>SUM(Sensitivities!D994:AI994)</f>
        <v/>
      </c>
    </row>
    <row r="996">
      <c r="B996" s="2" t="inlineStr">
        <is>
          <t>Cash in the company at closing</t>
        </is>
      </c>
      <c r="C996" s="19">
        <f>Sensitivities!$C$987-Sensitivities!$C$988+Sensitivities!$C$995</f>
        <v/>
      </c>
    </row>
    <row r="997">
      <c r="B997" s="2" t="inlineStr">
        <is>
          <t>Cash used at closing (above operating cash)</t>
        </is>
      </c>
      <c r="C997" s="19">
        <f>Sensitivities!$C$996-i_min_cash</f>
        <v/>
      </c>
    </row>
    <row r="999">
      <c r="B999" s="3" t="inlineStr">
        <is>
          <t>Sources and uses at closing</t>
        </is>
      </c>
    </row>
    <row r="1000">
      <c r="B1000" s="2" t="inlineStr">
        <is>
          <t>EBITDA 2026 (sizing basis)</t>
        </is>
      </c>
      <c r="C1000" s="19">
        <f>Sensitivities!$D$120</f>
        <v/>
      </c>
    </row>
    <row r="1001">
      <c r="B1001" s="2" t="inlineStr">
        <is>
          <t>Opco multiple of 2026 EBITDA</t>
        </is>
      </c>
      <c r="C1001" s="37">
        <f>IF(Sensitivities!$C$979=1,i_staple_x,i_opco_x)</f>
        <v/>
      </c>
    </row>
    <row r="1002">
      <c r="B1002" s="2" t="inlineStr">
        <is>
          <t>Opco rate</t>
        </is>
      </c>
      <c r="C1002" s="23">
        <f>IF(Sensitivities!$C$979=1,i_staple_rate,i_opco_rate)</f>
        <v/>
      </c>
    </row>
    <row r="1003">
      <c r="B1003" s="2" t="inlineStr">
        <is>
          <t>Opco fees</t>
        </is>
      </c>
      <c r="C1003" s="23">
        <f>IF(Sensitivities!$C$979=1,i_staple_fee,i_opco_fee)</f>
        <v/>
      </c>
    </row>
    <row r="1004">
      <c r="B1004" s="2" t="inlineStr">
        <is>
          <t>Opco senior debt (whole $ million)</t>
        </is>
      </c>
      <c r="C1004" s="19">
        <f>ROUND(Sensitivities!$C$1001*Sensitivities!$C$1000,0)</f>
        <v/>
      </c>
    </row>
    <row r="1005">
      <c r="B1005" s="2" t="inlineStr">
        <is>
          <t>Holdco debt (whole $ million)</t>
        </is>
      </c>
      <c r="C1005" s="19">
        <f>ROUND(i_hold_x*Sensitivities!$C$1000,0)</f>
        <v/>
      </c>
    </row>
    <row r="1006">
      <c r="B1006" s="2" t="inlineStr">
        <is>
          <t>W&amp;I premium with insurance premium tax</t>
        </is>
      </c>
      <c r="C1006" s="35">
        <f>i_wi_limit_pct*Sensitivities!$C$983*i_wi_rol*(1+i_wi_ipt)</f>
        <v/>
      </c>
    </row>
    <row r="1007">
      <c r="B1007" s="2" t="inlineStr">
        <is>
          <t>HSR filing fee (on the equity price)</t>
        </is>
      </c>
      <c r="C1007" s="39">
        <f>IF(Sensitivities!$C$989&lt;INDEX(i_hsr_lo,1),0,LOOKUP(Sensitivities!$C$989,i_hsr_lo,i_hsr_fee))</f>
        <v/>
      </c>
    </row>
    <row r="1008">
      <c r="B1008" s="2" t="inlineStr">
        <is>
          <t>Transaction costs (advisers, W&amp;I, HSR)</t>
        </is>
      </c>
      <c r="C1008" s="19">
        <f>i_costs_adv+Sensitivities!$C$1006+Sensitivities!$C$1007</f>
        <v/>
      </c>
    </row>
    <row r="1009">
      <c r="B1009" s="2" t="inlineStr">
        <is>
          <t>Financing fees</t>
        </is>
      </c>
      <c r="C1009" s="19">
        <f>Sensitivities!$C$1003*Sensitivities!$C$1004+i_hold_fee*Sensitivities!$C$1005</f>
        <v/>
      </c>
    </row>
    <row r="1010">
      <c r="B1010" s="2" t="inlineStr">
        <is>
          <t>Commitment fees, signing to closing</t>
        </is>
      </c>
      <c r="C1010" s="19">
        <f>i_commit_fee*(Sensitivities!$C$1004+Sensitivities!$C$1005)*MAX(0,Sensitivities!$C$978-i_t_sign)</f>
        <v/>
      </c>
    </row>
    <row r="1011">
      <c r="B1011" s="3" t="inlineStr">
        <is>
          <t>Uses</t>
        </is>
      </c>
    </row>
    <row r="1012">
      <c r="B1012" s="2" t="inlineStr">
        <is>
          <t xml:space="preserve">  Equity price</t>
        </is>
      </c>
      <c r="C1012" s="19">
        <f>Sensitivities!$C$989</f>
        <v/>
      </c>
    </row>
    <row r="1013">
      <c r="B1013" s="2" t="inlineStr">
        <is>
          <t xml:space="preserve">  Ticking fee</t>
        </is>
      </c>
      <c r="C1013" s="19">
        <f>Sensitivities!$C$992</f>
        <v/>
      </c>
    </row>
    <row r="1014">
      <c r="B1014" s="2" t="inlineStr">
        <is>
          <t xml:space="preserve">  Repayment of existing debt and make-whole</t>
        </is>
      </c>
      <c r="C1014" s="19">
        <f>Sensitivities!$C$984+Sensitivities!$C$985</f>
        <v/>
      </c>
    </row>
    <row r="1015">
      <c r="B1015" s="2" t="inlineStr">
        <is>
          <t xml:space="preserve">  Debt-like items settled</t>
        </is>
      </c>
      <c r="C1015" s="19">
        <f>Sensitivities!$C$986</f>
        <v/>
      </c>
    </row>
    <row r="1016">
      <c r="B1016" s="2" t="inlineStr">
        <is>
          <t xml:space="preserve">  Transaction costs</t>
        </is>
      </c>
      <c r="C1016" s="19">
        <f>Sensitivities!$C$1008</f>
        <v/>
      </c>
    </row>
    <row r="1017">
      <c r="B1017" s="2" t="inlineStr">
        <is>
          <t xml:space="preserve">  Financing fees</t>
        </is>
      </c>
      <c r="C1017" s="19">
        <f>Sensitivities!$C$1009</f>
        <v/>
      </c>
    </row>
    <row r="1018">
      <c r="B1018" s="2" t="inlineStr">
        <is>
          <t xml:space="preserve">  Commitment fees</t>
        </is>
      </c>
      <c r="C1018" s="19">
        <f>Sensitivities!$C$1010</f>
        <v/>
      </c>
    </row>
    <row r="1019">
      <c r="B1019" s="3" t="inlineStr">
        <is>
          <t>Total uses</t>
        </is>
      </c>
      <c r="C1019" s="31">
        <f>SUM(C1012:C1018)</f>
        <v/>
      </c>
    </row>
    <row r="1020">
      <c r="B1020" s="3" t="inlineStr">
        <is>
          <t>Sources</t>
        </is>
      </c>
    </row>
    <row r="1021">
      <c r="B1021" s="2" t="inlineStr">
        <is>
          <t xml:space="preserve">  Opco senior debt</t>
        </is>
      </c>
      <c r="C1021" s="19">
        <f>Sensitivities!$C$1004</f>
        <v/>
      </c>
    </row>
    <row r="1022">
      <c r="B1022" s="2" t="inlineStr">
        <is>
          <t xml:space="preserve">  Holdco debt</t>
        </is>
      </c>
      <c r="C1022" s="19">
        <f>Sensitivities!$C$1005</f>
        <v/>
      </c>
    </row>
    <row r="1023">
      <c r="B1023" s="2" t="inlineStr">
        <is>
          <t xml:space="preserve">  Cash in the company at closing</t>
        </is>
      </c>
      <c r="C1023" s="19">
        <f>Sensitivities!$C$997</f>
        <v/>
      </c>
    </row>
    <row r="1024">
      <c r="B1024" s="3" t="inlineStr">
        <is>
          <t xml:space="preserve">  Equity from the consortium</t>
        </is>
      </c>
      <c r="C1024" s="31">
        <f>Sensitivities!$C$1019-Sensitivities!$C$1004-Sensitivities!$C$1005-Sensitivities!$C$997</f>
        <v/>
      </c>
    </row>
    <row r="1025">
      <c r="B1025" s="3" t="inlineStr">
        <is>
          <t>Total sources</t>
        </is>
      </c>
      <c r="C1025" s="31">
        <f>SUM(C1021:C1024)</f>
        <v/>
      </c>
    </row>
    <row r="1027">
      <c r="B1027" s="3" t="inlineStr">
        <is>
          <t>Flows after closing (years in columns D to AI; closing, minority sale and exit in AJ to AL)</t>
        </is>
      </c>
    </row>
    <row r="1028">
      <c r="B1028" s="2" t="inlineStr">
        <is>
          <t>Share of the year owned</t>
        </is>
      </c>
      <c r="D1028" s="24">
        <f>IF(D$3&gt;i_exit_year,0,MIN(1,MAX(0,D$4-Sensitivities!$C$978)))</f>
        <v/>
      </c>
      <c r="E1028" s="24">
        <f>IF(E$3&gt;i_exit_year,0,MIN(1,MAX(0,E$4-Sensitivities!$C$978)))</f>
        <v/>
      </c>
      <c r="F1028" s="24">
        <f>IF(F$3&gt;i_exit_year,0,MIN(1,MAX(0,F$4-Sensitivities!$C$978)))</f>
        <v/>
      </c>
      <c r="G1028" s="24">
        <f>IF(G$3&gt;i_exit_year,0,MIN(1,MAX(0,G$4-Sensitivities!$C$978)))</f>
        <v/>
      </c>
      <c r="H1028" s="24">
        <f>IF(H$3&gt;i_exit_year,0,MIN(1,MAX(0,H$4-Sensitivities!$C$978)))</f>
        <v/>
      </c>
      <c r="I1028" s="24">
        <f>IF(I$3&gt;i_exit_year,0,MIN(1,MAX(0,I$4-Sensitivities!$C$978)))</f>
        <v/>
      </c>
      <c r="J1028" s="24">
        <f>IF(J$3&gt;i_exit_year,0,MIN(1,MAX(0,J$4-Sensitivities!$C$978)))</f>
        <v/>
      </c>
      <c r="K1028" s="24">
        <f>IF(K$3&gt;i_exit_year,0,MIN(1,MAX(0,K$4-Sensitivities!$C$978)))</f>
        <v/>
      </c>
      <c r="L1028" s="24">
        <f>IF(L$3&gt;i_exit_year,0,MIN(1,MAX(0,L$4-Sensitivities!$C$978)))</f>
        <v/>
      </c>
      <c r="M1028" s="24">
        <f>IF(M$3&gt;i_exit_year,0,MIN(1,MAX(0,M$4-Sensitivities!$C$978)))</f>
        <v/>
      </c>
      <c r="N1028" s="24">
        <f>IF(N$3&gt;i_exit_year,0,MIN(1,MAX(0,N$4-Sensitivities!$C$978)))</f>
        <v/>
      </c>
      <c r="O1028" s="24">
        <f>IF(O$3&gt;i_exit_year,0,MIN(1,MAX(0,O$4-Sensitivities!$C$978)))</f>
        <v/>
      </c>
      <c r="P1028" s="24">
        <f>IF(P$3&gt;i_exit_year,0,MIN(1,MAX(0,P$4-Sensitivities!$C$978)))</f>
        <v/>
      </c>
      <c r="Q1028" s="24">
        <f>IF(Q$3&gt;i_exit_year,0,MIN(1,MAX(0,Q$4-Sensitivities!$C$978)))</f>
        <v/>
      </c>
      <c r="R1028" s="24">
        <f>IF(R$3&gt;i_exit_year,0,MIN(1,MAX(0,R$4-Sensitivities!$C$978)))</f>
        <v/>
      </c>
      <c r="S1028" s="24">
        <f>IF(S$3&gt;i_exit_year,0,MIN(1,MAX(0,S$4-Sensitivities!$C$978)))</f>
        <v/>
      </c>
      <c r="T1028" s="24">
        <f>IF(T$3&gt;i_exit_year,0,MIN(1,MAX(0,T$4-Sensitivities!$C$978)))</f>
        <v/>
      </c>
      <c r="U1028" s="24">
        <f>IF(U$3&gt;i_exit_year,0,MIN(1,MAX(0,U$4-Sensitivities!$C$978)))</f>
        <v/>
      </c>
      <c r="V1028" s="24">
        <f>IF(V$3&gt;i_exit_year,0,MIN(1,MAX(0,V$4-Sensitivities!$C$978)))</f>
        <v/>
      </c>
      <c r="W1028" s="24">
        <f>IF(W$3&gt;i_exit_year,0,MIN(1,MAX(0,W$4-Sensitivities!$C$978)))</f>
        <v/>
      </c>
      <c r="X1028" s="24">
        <f>IF(X$3&gt;i_exit_year,0,MIN(1,MAX(0,X$4-Sensitivities!$C$978)))</f>
        <v/>
      </c>
      <c r="Y1028" s="24">
        <f>IF(Y$3&gt;i_exit_year,0,MIN(1,MAX(0,Y$4-Sensitivities!$C$978)))</f>
        <v/>
      </c>
      <c r="Z1028" s="24">
        <f>IF(Z$3&gt;i_exit_year,0,MIN(1,MAX(0,Z$4-Sensitivities!$C$978)))</f>
        <v/>
      </c>
      <c r="AA1028" s="24">
        <f>IF(AA$3&gt;i_exit_year,0,MIN(1,MAX(0,AA$4-Sensitivities!$C$978)))</f>
        <v/>
      </c>
      <c r="AB1028" s="24">
        <f>IF(AB$3&gt;i_exit_year,0,MIN(1,MAX(0,AB$4-Sensitivities!$C$978)))</f>
        <v/>
      </c>
      <c r="AC1028" s="24">
        <f>IF(AC$3&gt;i_exit_year,0,MIN(1,MAX(0,AC$4-Sensitivities!$C$978)))</f>
        <v/>
      </c>
      <c r="AD1028" s="24">
        <f>IF(AD$3&gt;i_exit_year,0,MIN(1,MAX(0,AD$4-Sensitivities!$C$978)))</f>
        <v/>
      </c>
      <c r="AE1028" s="24">
        <f>IF(AE$3&gt;i_exit_year,0,MIN(1,MAX(0,AE$4-Sensitivities!$C$978)))</f>
        <v/>
      </c>
      <c r="AF1028" s="24">
        <f>IF(AF$3&gt;i_exit_year,0,MIN(1,MAX(0,AF$4-Sensitivities!$C$978)))</f>
        <v/>
      </c>
      <c r="AG1028" s="24">
        <f>IF(AG$3&gt;i_exit_year,0,MIN(1,MAX(0,AG$4-Sensitivities!$C$978)))</f>
        <v/>
      </c>
      <c r="AH1028" s="24">
        <f>IF(AH$3&gt;i_exit_year,0,MIN(1,MAX(0,AH$4-Sensitivities!$C$978)))</f>
        <v/>
      </c>
      <c r="AI1028" s="24">
        <f>IF(AI$3&gt;i_exit_year,0,MIN(1,MAX(0,AI$4-Sensitivities!$C$978)))</f>
        <v/>
      </c>
    </row>
    <row r="1029">
      <c r="B1029" s="2" t="inlineStr">
        <is>
          <t>Opco rate (refinanced after the tenor)</t>
        </is>
      </c>
      <c r="D1029" s="23">
        <f>IF(D$4&lt;=Sensitivities!$C$978+i_opco_tenor,Sensitivities!$C$1002,Sensitivities!$C$1002+Sensitivities!$C$982)</f>
        <v/>
      </c>
      <c r="E1029" s="23">
        <f>IF(E$4&lt;=Sensitivities!$C$978+i_opco_tenor,Sensitivities!$C$1002,Sensitivities!$C$1002+Sensitivities!$C$982)</f>
        <v/>
      </c>
      <c r="F1029" s="23">
        <f>IF(F$4&lt;=Sensitivities!$C$978+i_opco_tenor,Sensitivities!$C$1002,Sensitivities!$C$1002+Sensitivities!$C$982)</f>
        <v/>
      </c>
      <c r="G1029" s="23">
        <f>IF(G$4&lt;=Sensitivities!$C$978+i_opco_tenor,Sensitivities!$C$1002,Sensitivities!$C$1002+Sensitivities!$C$982)</f>
        <v/>
      </c>
      <c r="H1029" s="23">
        <f>IF(H$4&lt;=Sensitivities!$C$978+i_opco_tenor,Sensitivities!$C$1002,Sensitivities!$C$1002+Sensitivities!$C$982)</f>
        <v/>
      </c>
      <c r="I1029" s="23">
        <f>IF(I$4&lt;=Sensitivities!$C$978+i_opco_tenor,Sensitivities!$C$1002,Sensitivities!$C$1002+Sensitivities!$C$982)</f>
        <v/>
      </c>
      <c r="J1029" s="23">
        <f>IF(J$4&lt;=Sensitivities!$C$978+i_opco_tenor,Sensitivities!$C$1002,Sensitivities!$C$1002+Sensitivities!$C$982)</f>
        <v/>
      </c>
      <c r="K1029" s="23">
        <f>IF(K$4&lt;=Sensitivities!$C$978+i_opco_tenor,Sensitivities!$C$1002,Sensitivities!$C$1002+Sensitivities!$C$982)</f>
        <v/>
      </c>
      <c r="L1029" s="23">
        <f>IF(L$4&lt;=Sensitivities!$C$978+i_opco_tenor,Sensitivities!$C$1002,Sensitivities!$C$1002+Sensitivities!$C$982)</f>
        <v/>
      </c>
      <c r="M1029" s="23">
        <f>IF(M$4&lt;=Sensitivities!$C$978+i_opco_tenor,Sensitivities!$C$1002,Sensitivities!$C$1002+Sensitivities!$C$982)</f>
        <v/>
      </c>
      <c r="N1029" s="23">
        <f>IF(N$4&lt;=Sensitivities!$C$978+i_opco_tenor,Sensitivities!$C$1002,Sensitivities!$C$1002+Sensitivities!$C$982)</f>
        <v/>
      </c>
      <c r="O1029" s="23">
        <f>IF(O$4&lt;=Sensitivities!$C$978+i_opco_tenor,Sensitivities!$C$1002,Sensitivities!$C$1002+Sensitivities!$C$982)</f>
        <v/>
      </c>
      <c r="P1029" s="23">
        <f>IF(P$4&lt;=Sensitivities!$C$978+i_opco_tenor,Sensitivities!$C$1002,Sensitivities!$C$1002+Sensitivities!$C$982)</f>
        <v/>
      </c>
      <c r="Q1029" s="23">
        <f>IF(Q$4&lt;=Sensitivities!$C$978+i_opco_tenor,Sensitivities!$C$1002,Sensitivities!$C$1002+Sensitivities!$C$982)</f>
        <v/>
      </c>
      <c r="R1029" s="23">
        <f>IF(R$4&lt;=Sensitivities!$C$978+i_opco_tenor,Sensitivities!$C$1002,Sensitivities!$C$1002+Sensitivities!$C$982)</f>
        <v/>
      </c>
      <c r="S1029" s="23">
        <f>IF(S$4&lt;=Sensitivities!$C$978+i_opco_tenor,Sensitivities!$C$1002,Sensitivities!$C$1002+Sensitivities!$C$982)</f>
        <v/>
      </c>
      <c r="T1029" s="23">
        <f>IF(T$4&lt;=Sensitivities!$C$978+i_opco_tenor,Sensitivities!$C$1002,Sensitivities!$C$1002+Sensitivities!$C$982)</f>
        <v/>
      </c>
      <c r="U1029" s="23">
        <f>IF(U$4&lt;=Sensitivities!$C$978+i_opco_tenor,Sensitivities!$C$1002,Sensitivities!$C$1002+Sensitivities!$C$982)</f>
        <v/>
      </c>
      <c r="V1029" s="23">
        <f>IF(V$4&lt;=Sensitivities!$C$978+i_opco_tenor,Sensitivities!$C$1002,Sensitivities!$C$1002+Sensitivities!$C$982)</f>
        <v/>
      </c>
      <c r="W1029" s="23">
        <f>IF(W$4&lt;=Sensitivities!$C$978+i_opco_tenor,Sensitivities!$C$1002,Sensitivities!$C$1002+Sensitivities!$C$982)</f>
        <v/>
      </c>
      <c r="X1029" s="23">
        <f>IF(X$4&lt;=Sensitivities!$C$978+i_opco_tenor,Sensitivities!$C$1002,Sensitivities!$C$1002+Sensitivities!$C$982)</f>
        <v/>
      </c>
      <c r="Y1029" s="23">
        <f>IF(Y$4&lt;=Sensitivities!$C$978+i_opco_tenor,Sensitivities!$C$1002,Sensitivities!$C$1002+Sensitivities!$C$982)</f>
        <v/>
      </c>
      <c r="Z1029" s="23">
        <f>IF(Z$4&lt;=Sensitivities!$C$978+i_opco_tenor,Sensitivities!$C$1002,Sensitivities!$C$1002+Sensitivities!$C$982)</f>
        <v/>
      </c>
      <c r="AA1029" s="23">
        <f>IF(AA$4&lt;=Sensitivities!$C$978+i_opco_tenor,Sensitivities!$C$1002,Sensitivities!$C$1002+Sensitivities!$C$982)</f>
        <v/>
      </c>
      <c r="AB1029" s="23">
        <f>IF(AB$4&lt;=Sensitivities!$C$978+i_opco_tenor,Sensitivities!$C$1002,Sensitivities!$C$1002+Sensitivities!$C$982)</f>
        <v/>
      </c>
      <c r="AC1029" s="23">
        <f>IF(AC$4&lt;=Sensitivities!$C$978+i_opco_tenor,Sensitivities!$C$1002,Sensitivities!$C$1002+Sensitivities!$C$982)</f>
        <v/>
      </c>
      <c r="AD1029" s="23">
        <f>IF(AD$4&lt;=Sensitivities!$C$978+i_opco_tenor,Sensitivities!$C$1002,Sensitivities!$C$1002+Sensitivities!$C$982)</f>
        <v/>
      </c>
      <c r="AE1029" s="23">
        <f>IF(AE$4&lt;=Sensitivities!$C$978+i_opco_tenor,Sensitivities!$C$1002,Sensitivities!$C$1002+Sensitivities!$C$982)</f>
        <v/>
      </c>
      <c r="AF1029" s="23">
        <f>IF(AF$4&lt;=Sensitivities!$C$978+i_opco_tenor,Sensitivities!$C$1002,Sensitivities!$C$1002+Sensitivities!$C$982)</f>
        <v/>
      </c>
      <c r="AG1029" s="23">
        <f>IF(AG$4&lt;=Sensitivities!$C$978+i_opco_tenor,Sensitivities!$C$1002,Sensitivities!$C$1002+Sensitivities!$C$982)</f>
        <v/>
      </c>
      <c r="AH1029" s="23">
        <f>IF(AH$4&lt;=Sensitivities!$C$978+i_opco_tenor,Sensitivities!$C$1002,Sensitivities!$C$1002+Sensitivities!$C$982)</f>
        <v/>
      </c>
      <c r="AI1029" s="23">
        <f>IF(AI$4&lt;=Sensitivities!$C$978+i_opco_tenor,Sensitivities!$C$1002,Sensitivities!$C$1002+Sensitivities!$C$982)</f>
        <v/>
      </c>
    </row>
    <row r="1030">
      <c r="B1030" s="2" t="inlineStr">
        <is>
          <t>Interest (opco and holdco)</t>
        </is>
      </c>
      <c r="D1030" s="19">
        <f>D1029*Sensitivities!$C$1004+i_hold_rate*Sensitivities!$C$1005</f>
        <v/>
      </c>
      <c r="E1030" s="19">
        <f>E1029*Sensitivities!$C$1004+i_hold_rate*Sensitivities!$C$1005</f>
        <v/>
      </c>
      <c r="F1030" s="19">
        <f>F1029*Sensitivities!$C$1004+i_hold_rate*Sensitivities!$C$1005</f>
        <v/>
      </c>
      <c r="G1030" s="19">
        <f>G1029*Sensitivities!$C$1004+i_hold_rate*Sensitivities!$C$1005</f>
        <v/>
      </c>
      <c r="H1030" s="19">
        <f>H1029*Sensitivities!$C$1004+i_hold_rate*Sensitivities!$C$1005</f>
        <v/>
      </c>
      <c r="I1030" s="19">
        <f>I1029*Sensitivities!$C$1004+i_hold_rate*Sensitivities!$C$1005</f>
        <v/>
      </c>
      <c r="J1030" s="19">
        <f>J1029*Sensitivities!$C$1004+i_hold_rate*Sensitivities!$C$1005</f>
        <v/>
      </c>
      <c r="K1030" s="19">
        <f>K1029*Sensitivities!$C$1004+i_hold_rate*Sensitivities!$C$1005</f>
        <v/>
      </c>
      <c r="L1030" s="19">
        <f>L1029*Sensitivities!$C$1004+i_hold_rate*Sensitivities!$C$1005</f>
        <v/>
      </c>
      <c r="M1030" s="19">
        <f>M1029*Sensitivities!$C$1004+i_hold_rate*Sensitivities!$C$1005</f>
        <v/>
      </c>
      <c r="N1030" s="19">
        <f>N1029*Sensitivities!$C$1004+i_hold_rate*Sensitivities!$C$1005</f>
        <v/>
      </c>
      <c r="O1030" s="19">
        <f>O1029*Sensitivities!$C$1004+i_hold_rate*Sensitivities!$C$1005</f>
        <v/>
      </c>
      <c r="P1030" s="19">
        <f>P1029*Sensitivities!$C$1004+i_hold_rate*Sensitivities!$C$1005</f>
        <v/>
      </c>
      <c r="Q1030" s="19">
        <f>Q1029*Sensitivities!$C$1004+i_hold_rate*Sensitivities!$C$1005</f>
        <v/>
      </c>
      <c r="R1030" s="19">
        <f>R1029*Sensitivities!$C$1004+i_hold_rate*Sensitivities!$C$1005</f>
        <v/>
      </c>
      <c r="S1030" s="19">
        <f>S1029*Sensitivities!$C$1004+i_hold_rate*Sensitivities!$C$1005</f>
        <v/>
      </c>
      <c r="T1030" s="19">
        <f>T1029*Sensitivities!$C$1004+i_hold_rate*Sensitivities!$C$1005</f>
        <v/>
      </c>
      <c r="U1030" s="19">
        <f>U1029*Sensitivities!$C$1004+i_hold_rate*Sensitivities!$C$1005</f>
        <v/>
      </c>
      <c r="V1030" s="19">
        <f>V1029*Sensitivities!$C$1004+i_hold_rate*Sensitivities!$C$1005</f>
        <v/>
      </c>
      <c r="W1030" s="19">
        <f>W1029*Sensitivities!$C$1004+i_hold_rate*Sensitivities!$C$1005</f>
        <v/>
      </c>
      <c r="X1030" s="19">
        <f>X1029*Sensitivities!$C$1004+i_hold_rate*Sensitivities!$C$1005</f>
        <v/>
      </c>
      <c r="Y1030" s="19">
        <f>Y1029*Sensitivities!$C$1004+i_hold_rate*Sensitivities!$C$1005</f>
        <v/>
      </c>
      <c r="Z1030" s="19">
        <f>Z1029*Sensitivities!$C$1004+i_hold_rate*Sensitivities!$C$1005</f>
        <v/>
      </c>
      <c r="AA1030" s="19">
        <f>AA1029*Sensitivities!$C$1004+i_hold_rate*Sensitivities!$C$1005</f>
        <v/>
      </c>
      <c r="AB1030" s="19">
        <f>AB1029*Sensitivities!$C$1004+i_hold_rate*Sensitivities!$C$1005</f>
        <v/>
      </c>
      <c r="AC1030" s="19">
        <f>AC1029*Sensitivities!$C$1004+i_hold_rate*Sensitivities!$C$1005</f>
        <v/>
      </c>
      <c r="AD1030" s="19">
        <f>AD1029*Sensitivities!$C$1004+i_hold_rate*Sensitivities!$C$1005</f>
        <v/>
      </c>
      <c r="AE1030" s="19">
        <f>AE1029*Sensitivities!$C$1004+i_hold_rate*Sensitivities!$C$1005</f>
        <v/>
      </c>
      <c r="AF1030" s="19">
        <f>AF1029*Sensitivities!$C$1004+i_hold_rate*Sensitivities!$C$1005</f>
        <v/>
      </c>
      <c r="AG1030" s="19">
        <f>AG1029*Sensitivities!$C$1004+i_hold_rate*Sensitivities!$C$1005</f>
        <v/>
      </c>
      <c r="AH1030" s="19">
        <f>AH1029*Sensitivities!$C$1004+i_hold_rate*Sensitivities!$C$1005</f>
        <v/>
      </c>
      <c r="AI1030" s="19">
        <f>AI1029*Sensitivities!$C$1004+i_hold_rate*Sensitivities!$C$1005</f>
        <v/>
      </c>
    </row>
    <row r="1031">
      <c r="B1031" s="2" t="inlineStr">
        <is>
          <t>Deductible interest (cap on EBITDA)</t>
        </is>
      </c>
      <c r="D1031" s="19">
        <f>MIN(D1030,i_int_cap*Sensitivities!D120)</f>
        <v/>
      </c>
      <c r="E1031" s="19">
        <f>MIN(E1030,i_int_cap*Sensitivities!E120)</f>
        <v/>
      </c>
      <c r="F1031" s="19">
        <f>MIN(F1030,i_int_cap*Sensitivities!F120)</f>
        <v/>
      </c>
      <c r="G1031" s="19">
        <f>MIN(G1030,i_int_cap*Sensitivities!G120)</f>
        <v/>
      </c>
      <c r="H1031" s="19">
        <f>MIN(H1030,i_int_cap*Sensitivities!H120)</f>
        <v/>
      </c>
      <c r="I1031" s="19">
        <f>MIN(I1030,i_int_cap*Sensitivities!I120)</f>
        <v/>
      </c>
      <c r="J1031" s="19">
        <f>MIN(J1030,i_int_cap*Sensitivities!J120)</f>
        <v/>
      </c>
      <c r="K1031" s="19">
        <f>MIN(K1030,i_int_cap*Sensitivities!K120)</f>
        <v/>
      </c>
      <c r="L1031" s="19">
        <f>MIN(L1030,i_int_cap*Sensitivities!L120)</f>
        <v/>
      </c>
      <c r="M1031" s="19">
        <f>MIN(M1030,i_int_cap*Sensitivities!M120)</f>
        <v/>
      </c>
      <c r="N1031" s="19">
        <f>MIN(N1030,i_int_cap*Sensitivities!N120)</f>
        <v/>
      </c>
      <c r="O1031" s="19">
        <f>MIN(O1030,i_int_cap*Sensitivities!O120)</f>
        <v/>
      </c>
      <c r="P1031" s="19">
        <f>MIN(P1030,i_int_cap*Sensitivities!P120)</f>
        <v/>
      </c>
      <c r="Q1031" s="19">
        <f>MIN(Q1030,i_int_cap*Sensitivities!Q120)</f>
        <v/>
      </c>
      <c r="R1031" s="19">
        <f>MIN(R1030,i_int_cap*Sensitivities!R120)</f>
        <v/>
      </c>
      <c r="S1031" s="19">
        <f>MIN(S1030,i_int_cap*Sensitivities!S120)</f>
        <v/>
      </c>
      <c r="T1031" s="19">
        <f>MIN(T1030,i_int_cap*Sensitivities!T120)</f>
        <v/>
      </c>
      <c r="U1031" s="19">
        <f>MIN(U1030,i_int_cap*Sensitivities!U120)</f>
        <v/>
      </c>
      <c r="V1031" s="19">
        <f>MIN(V1030,i_int_cap*Sensitivities!V120)</f>
        <v/>
      </c>
      <c r="W1031" s="19">
        <f>MIN(W1030,i_int_cap*Sensitivities!W120)</f>
        <v/>
      </c>
      <c r="X1031" s="19">
        <f>MIN(X1030,i_int_cap*Sensitivities!X120)</f>
        <v/>
      </c>
      <c r="Y1031" s="19">
        <f>MIN(Y1030,i_int_cap*Sensitivities!Y120)</f>
        <v/>
      </c>
      <c r="Z1031" s="19">
        <f>MIN(Z1030,i_int_cap*Sensitivities!Z120)</f>
        <v/>
      </c>
      <c r="AA1031" s="19">
        <f>MIN(AA1030,i_int_cap*Sensitivities!AA120)</f>
        <v/>
      </c>
      <c r="AB1031" s="19">
        <f>MIN(AB1030,i_int_cap*Sensitivities!AB120)</f>
        <v/>
      </c>
      <c r="AC1031" s="19">
        <f>MIN(AC1030,i_int_cap*Sensitivities!AC120)</f>
        <v/>
      </c>
      <c r="AD1031" s="19">
        <f>MIN(AD1030,i_int_cap*Sensitivities!AD120)</f>
        <v/>
      </c>
      <c r="AE1031" s="19">
        <f>MIN(AE1030,i_int_cap*Sensitivities!AE120)</f>
        <v/>
      </c>
      <c r="AF1031" s="19">
        <f>MIN(AF1030,i_int_cap*Sensitivities!AF120)</f>
        <v/>
      </c>
      <c r="AG1031" s="19">
        <f>MIN(AG1030,i_int_cap*Sensitivities!AG120)</f>
        <v/>
      </c>
      <c r="AH1031" s="19">
        <f>MIN(AH1030,i_int_cap*Sensitivities!AH120)</f>
        <v/>
      </c>
      <c r="AI1031" s="19">
        <f>MIN(AI1030,i_int_cap*Sensitivities!AI120)</f>
        <v/>
      </c>
    </row>
    <row r="1032">
      <c r="B1032" s="2" t="inlineStr">
        <is>
          <t>Cash tax with the debt</t>
        </is>
      </c>
      <c r="D1032" s="19">
        <f>i_tax*MAX(0,Sensitivities!D120-Sensitivities!D123-D1031)</f>
        <v/>
      </c>
      <c r="E1032" s="19">
        <f>i_tax*MAX(0,Sensitivities!E120-Sensitivities!E123-E1031)</f>
        <v/>
      </c>
      <c r="F1032" s="19">
        <f>i_tax*MAX(0,Sensitivities!F120-Sensitivities!F123-F1031)</f>
        <v/>
      </c>
      <c r="G1032" s="19">
        <f>i_tax*MAX(0,Sensitivities!G120-Sensitivities!G123-G1031)</f>
        <v/>
      </c>
      <c r="H1032" s="19">
        <f>i_tax*MAX(0,Sensitivities!H120-Sensitivities!H123-H1031)</f>
        <v/>
      </c>
      <c r="I1032" s="19">
        <f>i_tax*MAX(0,Sensitivities!I120-Sensitivities!I123-I1031)</f>
        <v/>
      </c>
      <c r="J1032" s="19">
        <f>i_tax*MAX(0,Sensitivities!J120-Sensitivities!J123-J1031)</f>
        <v/>
      </c>
      <c r="K1032" s="19">
        <f>i_tax*MAX(0,Sensitivities!K120-Sensitivities!K123-K1031)</f>
        <v/>
      </c>
      <c r="L1032" s="19">
        <f>i_tax*MAX(0,Sensitivities!L120-Sensitivities!L123-L1031)</f>
        <v/>
      </c>
      <c r="M1032" s="19">
        <f>i_tax*MAX(0,Sensitivities!M120-Sensitivities!M123-M1031)</f>
        <v/>
      </c>
      <c r="N1032" s="19">
        <f>i_tax*MAX(0,Sensitivities!N120-Sensitivities!N123-N1031)</f>
        <v/>
      </c>
      <c r="O1032" s="19">
        <f>i_tax*MAX(0,Sensitivities!O120-Sensitivities!O123-O1031)</f>
        <v/>
      </c>
      <c r="P1032" s="19">
        <f>i_tax*MAX(0,Sensitivities!P120-Sensitivities!P123-P1031)</f>
        <v/>
      </c>
      <c r="Q1032" s="19">
        <f>i_tax*MAX(0,Sensitivities!Q120-Sensitivities!Q123-Q1031)</f>
        <v/>
      </c>
      <c r="R1032" s="19">
        <f>i_tax*MAX(0,Sensitivities!R120-Sensitivities!R123-R1031)</f>
        <v/>
      </c>
      <c r="S1032" s="19">
        <f>i_tax*MAX(0,Sensitivities!S120-Sensitivities!S123-S1031)</f>
        <v/>
      </c>
      <c r="T1032" s="19">
        <f>i_tax*MAX(0,Sensitivities!T120-Sensitivities!T123-T1031)</f>
        <v/>
      </c>
      <c r="U1032" s="19">
        <f>i_tax*MAX(0,Sensitivities!U120-Sensitivities!U123-U1031)</f>
        <v/>
      </c>
      <c r="V1032" s="19">
        <f>i_tax*MAX(0,Sensitivities!V120-Sensitivities!V123-V1031)</f>
        <v/>
      </c>
      <c r="W1032" s="19">
        <f>i_tax*MAX(0,Sensitivities!W120-Sensitivities!W123-W1031)</f>
        <v/>
      </c>
      <c r="X1032" s="19">
        <f>i_tax*MAX(0,Sensitivities!X120-Sensitivities!X123-X1031)</f>
        <v/>
      </c>
      <c r="Y1032" s="19">
        <f>i_tax*MAX(0,Sensitivities!Y120-Sensitivities!Y123-Y1031)</f>
        <v/>
      </c>
      <c r="Z1032" s="19">
        <f>i_tax*MAX(0,Sensitivities!Z120-Sensitivities!Z123-Z1031)</f>
        <v/>
      </c>
      <c r="AA1032" s="19">
        <f>i_tax*MAX(0,Sensitivities!AA120-Sensitivities!AA123-AA1031)</f>
        <v/>
      </c>
      <c r="AB1032" s="19">
        <f>i_tax*MAX(0,Sensitivities!AB120-Sensitivities!AB123-AB1031)</f>
        <v/>
      </c>
      <c r="AC1032" s="19">
        <f>i_tax*MAX(0,Sensitivities!AC120-Sensitivities!AC123-AC1031)</f>
        <v/>
      </c>
      <c r="AD1032" s="19">
        <f>i_tax*MAX(0,Sensitivities!AD120-Sensitivities!AD123-AD1031)</f>
        <v/>
      </c>
      <c r="AE1032" s="19">
        <f>i_tax*MAX(0,Sensitivities!AE120-Sensitivities!AE123-AE1031)</f>
        <v/>
      </c>
      <c r="AF1032" s="19">
        <f>i_tax*MAX(0,Sensitivities!AF120-Sensitivities!AF123-AF1031)</f>
        <v/>
      </c>
      <c r="AG1032" s="19">
        <f>i_tax*MAX(0,Sensitivities!AG120-Sensitivities!AG123-AG1031)</f>
        <v/>
      </c>
      <c r="AH1032" s="19">
        <f>i_tax*MAX(0,Sensitivities!AH120-Sensitivities!AH123-AH1031)</f>
        <v/>
      </c>
      <c r="AI1032" s="19">
        <f>i_tax*MAX(0,Sensitivities!AI120-Sensitivities!AI123-AI1031)</f>
        <v/>
      </c>
    </row>
    <row r="1033">
      <c r="B1033" s="3" t="inlineStr">
        <is>
          <t>Cash flow to equity (full year)</t>
        </is>
      </c>
      <c r="D1033" s="31">
        <f>Sensitivities!D120-Sensitivities!D121-Sensitivities!D122-D1032-D1030-Sensitivities!D125</f>
        <v/>
      </c>
      <c r="E1033" s="31">
        <f>Sensitivities!E120-Sensitivities!E121-Sensitivities!E122-E1032-E1030-Sensitivities!E125</f>
        <v/>
      </c>
      <c r="F1033" s="31">
        <f>Sensitivities!F120-Sensitivities!F121-Sensitivities!F122-F1032-F1030-Sensitivities!F125</f>
        <v/>
      </c>
      <c r="G1033" s="31">
        <f>Sensitivities!G120-Sensitivities!G121-Sensitivities!G122-G1032-G1030-Sensitivities!G125</f>
        <v/>
      </c>
      <c r="H1033" s="31">
        <f>Sensitivities!H120-Sensitivities!H121-Sensitivities!H122-H1032-H1030-Sensitivities!H125</f>
        <v/>
      </c>
      <c r="I1033" s="31">
        <f>Sensitivities!I120-Sensitivities!I121-Sensitivities!I122-I1032-I1030-Sensitivities!I125</f>
        <v/>
      </c>
      <c r="J1033" s="31">
        <f>Sensitivities!J120-Sensitivities!J121-Sensitivities!J122-J1032-J1030-Sensitivities!J125</f>
        <v/>
      </c>
      <c r="K1033" s="31">
        <f>Sensitivities!K120-Sensitivities!K121-Sensitivities!K122-K1032-K1030-Sensitivities!K125</f>
        <v/>
      </c>
      <c r="L1033" s="31">
        <f>Sensitivities!L120-Sensitivities!L121-Sensitivities!L122-L1032-L1030-Sensitivities!L125</f>
        <v/>
      </c>
      <c r="M1033" s="31">
        <f>Sensitivities!M120-Sensitivities!M121-Sensitivities!M122-M1032-M1030-Sensitivities!M125</f>
        <v/>
      </c>
      <c r="N1033" s="31">
        <f>Sensitivities!N120-Sensitivities!N121-Sensitivities!N122-N1032-N1030-Sensitivities!N125</f>
        <v/>
      </c>
      <c r="O1033" s="31">
        <f>Sensitivities!O120-Sensitivities!O121-Sensitivities!O122-O1032-O1030-Sensitivities!O125</f>
        <v/>
      </c>
      <c r="P1033" s="31">
        <f>Sensitivities!P120-Sensitivities!P121-Sensitivities!P122-P1032-P1030-Sensitivities!P125</f>
        <v/>
      </c>
      <c r="Q1033" s="31">
        <f>Sensitivities!Q120-Sensitivities!Q121-Sensitivities!Q122-Q1032-Q1030-Sensitivities!Q125</f>
        <v/>
      </c>
      <c r="R1033" s="31">
        <f>Sensitivities!R120-Sensitivities!R121-Sensitivities!R122-R1032-R1030-Sensitivities!R125</f>
        <v/>
      </c>
      <c r="S1033" s="31">
        <f>Sensitivities!S120-Sensitivities!S121-Sensitivities!S122-S1032-S1030-Sensitivities!S125</f>
        <v/>
      </c>
      <c r="T1033" s="31">
        <f>Sensitivities!T120-Sensitivities!T121-Sensitivities!T122-T1032-T1030-Sensitivities!T125</f>
        <v/>
      </c>
      <c r="U1033" s="31">
        <f>Sensitivities!U120-Sensitivities!U121-Sensitivities!U122-U1032-U1030-Sensitivities!U125</f>
        <v/>
      </c>
      <c r="V1033" s="31">
        <f>Sensitivities!V120-Sensitivities!V121-Sensitivities!V122-V1032-V1030-Sensitivities!V125</f>
        <v/>
      </c>
      <c r="W1033" s="31">
        <f>Sensitivities!W120-Sensitivities!W121-Sensitivities!W122-W1032-W1030-Sensitivities!W125</f>
        <v/>
      </c>
      <c r="X1033" s="31">
        <f>Sensitivities!X120-Sensitivities!X121-Sensitivities!X122-X1032-X1030-Sensitivities!X125</f>
        <v/>
      </c>
      <c r="Y1033" s="31">
        <f>Sensitivities!Y120-Sensitivities!Y121-Sensitivities!Y122-Y1032-Y1030-Sensitivities!Y125</f>
        <v/>
      </c>
      <c r="Z1033" s="31">
        <f>Sensitivities!Z120-Sensitivities!Z121-Sensitivities!Z122-Z1032-Z1030-Sensitivities!Z125</f>
        <v/>
      </c>
      <c r="AA1033" s="31">
        <f>Sensitivities!AA120-Sensitivities!AA121-Sensitivities!AA122-AA1032-AA1030-Sensitivities!AA125</f>
        <v/>
      </c>
      <c r="AB1033" s="31">
        <f>Sensitivities!AB120-Sensitivities!AB121-Sensitivities!AB122-AB1032-AB1030-Sensitivities!AB125</f>
        <v/>
      </c>
      <c r="AC1033" s="31">
        <f>Sensitivities!AC120-Sensitivities!AC121-Sensitivities!AC122-AC1032-AC1030-Sensitivities!AC125</f>
        <v/>
      </c>
      <c r="AD1033" s="31">
        <f>Sensitivities!AD120-Sensitivities!AD121-Sensitivities!AD122-AD1032-AD1030-Sensitivities!AD125</f>
        <v/>
      </c>
      <c r="AE1033" s="31">
        <f>Sensitivities!AE120-Sensitivities!AE121-Sensitivities!AE122-AE1032-AE1030-Sensitivities!AE125</f>
        <v/>
      </c>
      <c r="AF1033" s="31">
        <f>Sensitivities!AF120-Sensitivities!AF121-Sensitivities!AF122-AF1032-AF1030-Sensitivities!AF125</f>
        <v/>
      </c>
      <c r="AG1033" s="31">
        <f>Sensitivities!AG120-Sensitivities!AG121-Sensitivities!AG122-AG1032-AG1030-Sensitivities!AG125</f>
        <v/>
      </c>
      <c r="AH1033" s="31">
        <f>Sensitivities!AH120-Sensitivities!AH121-Sensitivities!AH122-AH1032-AH1030-Sensitivities!AH125</f>
        <v/>
      </c>
      <c r="AI1033" s="31">
        <f>Sensitivities!AI120-Sensitivities!AI121-Sensitivities!AI122-AI1032-AI1030-Sensitivities!AI125</f>
        <v/>
      </c>
    </row>
    <row r="1034">
      <c r="B1034" s="2" t="inlineStr">
        <is>
          <t>Exit EV at the end of the exit year (DCF at the exit rate)</t>
        </is>
      </c>
      <c r="C1034" s="19">
        <f>SUMPRODUCT((Sensitivities!$D$3:$AI$3&gt;i_exit_year)*(Sensitivities!$D$3:$AI$3&lt;=i_last)*Sensitivities!$D$126:$AI$126/(1+Sensitivities!$C$981)^(Sensitivities!$D$3:$AI$3-i_exit_year))+Sensitivities!$AI$126/(Sensitivities!$C$981-i_g)/(1+Sensitivities!$C$981)^(i_last-i_exit_year)</f>
        <v/>
      </c>
    </row>
    <row r="1035">
      <c r="B1035" s="2" t="inlineStr">
        <is>
          <t>Debt at exit (bullets)</t>
        </is>
      </c>
      <c r="C1035" s="19">
        <f>Sensitivities!$C$1004+Sensitivities!$C$1005</f>
        <v/>
      </c>
    </row>
    <row r="1036">
      <c r="B1036" s="3" t="inlineStr">
        <is>
          <t>Equity value at exit</t>
        </is>
      </c>
      <c r="C1036" s="31">
        <f>Sensitivities!$C$1034-Sensitivities!$C$1035</f>
        <v/>
      </c>
    </row>
    <row r="1037">
      <c r="B1037" s="2" t="inlineStr">
        <is>
          <t>Minority option: EV at the end of 2031 (minority buyer's rate)</t>
        </is>
      </c>
      <c r="C1037" s="19">
        <f>SUMPRODUCT((Sensitivities!$D$3:$AI$3&gt;i_min_year)*(Sensitivities!$D$3:$AI$3&lt;=i_last)*Sensitivities!$D$126:$AI$126/(1+i_min_r)^(Sensitivities!$D$3:$AI$3-i_min_year))+Sensitivities!$AI$126/(i_min_r-i_g)/(1+i_min_r)^(i_last-i_min_year)</f>
        <v/>
      </c>
    </row>
    <row r="1038">
      <c r="B1038" s="2" t="inlineStr">
        <is>
          <t>Minority option: equity value in 2031</t>
        </is>
      </c>
      <c r="C1038" s="19">
        <f>Sensitivities!$C$1037-Sensitivities!$C$1035</f>
        <v/>
      </c>
    </row>
    <row r="1039">
      <c r="B1039" s="2" t="inlineStr">
        <is>
          <t>Minority option: proceeds of the 49 percent sold</t>
        </is>
      </c>
      <c r="C1039" s="19">
        <f>Sensitivities!$C$980*i_min_share*Sensitivities!$C$1038*(1-i_min_disc)</f>
        <v/>
      </c>
    </row>
    <row r="1040">
      <c r="B1040" s="4" t="inlineStr">
        <is>
          <t>Time of each flow (years after 31 December 2026)</t>
        </is>
      </c>
      <c r="D1040" s="28">
        <f>D$4</f>
        <v/>
      </c>
      <c r="E1040" s="28">
        <f>E$4</f>
        <v/>
      </c>
      <c r="F1040" s="28">
        <f>F$4</f>
        <v/>
      </c>
      <c r="G1040" s="28">
        <f>G$4</f>
        <v/>
      </c>
      <c r="H1040" s="28">
        <f>H$4</f>
        <v/>
      </c>
      <c r="I1040" s="28">
        <f>I$4</f>
        <v/>
      </c>
      <c r="J1040" s="28">
        <f>J$4</f>
        <v/>
      </c>
      <c r="K1040" s="28">
        <f>K$4</f>
        <v/>
      </c>
      <c r="L1040" s="28">
        <f>L$4</f>
        <v/>
      </c>
      <c r="M1040" s="28">
        <f>M$4</f>
        <v/>
      </c>
      <c r="N1040" s="28">
        <f>N$4</f>
        <v/>
      </c>
      <c r="O1040" s="28">
        <f>O$4</f>
        <v/>
      </c>
      <c r="P1040" s="28">
        <f>P$4</f>
        <v/>
      </c>
      <c r="Q1040" s="28">
        <f>Q$4</f>
        <v/>
      </c>
      <c r="R1040" s="28">
        <f>R$4</f>
        <v/>
      </c>
      <c r="S1040" s="28">
        <f>S$4</f>
        <v/>
      </c>
      <c r="T1040" s="28">
        <f>T$4</f>
        <v/>
      </c>
      <c r="U1040" s="28">
        <f>U$4</f>
        <v/>
      </c>
      <c r="V1040" s="28">
        <f>V$4</f>
        <v/>
      </c>
      <c r="W1040" s="28">
        <f>W$4</f>
        <v/>
      </c>
      <c r="X1040" s="28">
        <f>X$4</f>
        <v/>
      </c>
      <c r="Y1040" s="28">
        <f>Y$4</f>
        <v/>
      </c>
      <c r="Z1040" s="28">
        <f>Z$4</f>
        <v/>
      </c>
      <c r="AA1040" s="28">
        <f>AA$4</f>
        <v/>
      </c>
      <c r="AB1040" s="28">
        <f>AB$4</f>
        <v/>
      </c>
      <c r="AC1040" s="28">
        <f>AC$4</f>
        <v/>
      </c>
      <c r="AD1040" s="28">
        <f>AD$4</f>
        <v/>
      </c>
      <c r="AE1040" s="28">
        <f>AE$4</f>
        <v/>
      </c>
      <c r="AF1040" s="28">
        <f>AF$4</f>
        <v/>
      </c>
      <c r="AG1040" s="28">
        <f>AG$4</f>
        <v/>
      </c>
      <c r="AH1040" s="28">
        <f>AH$4</f>
        <v/>
      </c>
      <c r="AI1040" s="28">
        <f>AI$4</f>
        <v/>
      </c>
      <c r="AJ1040" s="28">
        <f>Sensitivities!$C$978</f>
        <v/>
      </c>
      <c r="AK1040" s="28">
        <f>i_min_year-i_base_year</f>
        <v/>
      </c>
      <c r="AL1040" s="28">
        <f>i_exit_year-i_base_year</f>
        <v/>
      </c>
    </row>
    <row r="1041">
      <c r="B1041" s="3" t="inlineStr">
        <is>
          <t>Levered flows (equity)</t>
        </is>
      </c>
      <c r="D1041" s="31">
        <f>D1028*D1033*IF(AND(Sensitivities!$C$980=1,D1040&gt;$AK$1040+1E-9),1-i_min_share,1)</f>
        <v/>
      </c>
      <c r="E1041" s="31">
        <f>E1028*E1033*IF(AND(Sensitivities!$C$980=1,E1040&gt;$AK$1040+1E-9),1-i_min_share,1)</f>
        <v/>
      </c>
      <c r="F1041" s="31">
        <f>F1028*F1033*IF(AND(Sensitivities!$C$980=1,F1040&gt;$AK$1040+1E-9),1-i_min_share,1)</f>
        <v/>
      </c>
      <c r="G1041" s="31">
        <f>G1028*G1033*IF(AND(Sensitivities!$C$980=1,G1040&gt;$AK$1040+1E-9),1-i_min_share,1)</f>
        <v/>
      </c>
      <c r="H1041" s="31">
        <f>H1028*H1033*IF(AND(Sensitivities!$C$980=1,H1040&gt;$AK$1040+1E-9),1-i_min_share,1)</f>
        <v/>
      </c>
      <c r="I1041" s="31">
        <f>I1028*I1033*IF(AND(Sensitivities!$C$980=1,I1040&gt;$AK$1040+1E-9),1-i_min_share,1)</f>
        <v/>
      </c>
      <c r="J1041" s="31">
        <f>J1028*J1033*IF(AND(Sensitivities!$C$980=1,J1040&gt;$AK$1040+1E-9),1-i_min_share,1)</f>
        <v/>
      </c>
      <c r="K1041" s="31">
        <f>K1028*K1033*IF(AND(Sensitivities!$C$980=1,K1040&gt;$AK$1040+1E-9),1-i_min_share,1)</f>
        <v/>
      </c>
      <c r="L1041" s="31">
        <f>L1028*L1033*IF(AND(Sensitivities!$C$980=1,L1040&gt;$AK$1040+1E-9),1-i_min_share,1)</f>
        <v/>
      </c>
      <c r="M1041" s="31">
        <f>M1028*M1033*IF(AND(Sensitivities!$C$980=1,M1040&gt;$AK$1040+1E-9),1-i_min_share,1)</f>
        <v/>
      </c>
      <c r="N1041" s="31">
        <f>N1028*N1033*IF(AND(Sensitivities!$C$980=1,N1040&gt;$AK$1040+1E-9),1-i_min_share,1)</f>
        <v/>
      </c>
      <c r="O1041" s="31">
        <f>O1028*O1033*IF(AND(Sensitivities!$C$980=1,O1040&gt;$AK$1040+1E-9),1-i_min_share,1)</f>
        <v/>
      </c>
      <c r="P1041" s="31">
        <f>P1028*P1033*IF(AND(Sensitivities!$C$980=1,P1040&gt;$AK$1040+1E-9),1-i_min_share,1)</f>
        <v/>
      </c>
      <c r="Q1041" s="31">
        <f>Q1028*Q1033*IF(AND(Sensitivities!$C$980=1,Q1040&gt;$AK$1040+1E-9),1-i_min_share,1)</f>
        <v/>
      </c>
      <c r="R1041" s="31">
        <f>R1028*R1033*IF(AND(Sensitivities!$C$980=1,R1040&gt;$AK$1040+1E-9),1-i_min_share,1)</f>
        <v/>
      </c>
      <c r="S1041" s="31">
        <f>S1028*S1033*IF(AND(Sensitivities!$C$980=1,S1040&gt;$AK$1040+1E-9),1-i_min_share,1)</f>
        <v/>
      </c>
      <c r="T1041" s="31">
        <f>T1028*T1033*IF(AND(Sensitivities!$C$980=1,T1040&gt;$AK$1040+1E-9),1-i_min_share,1)</f>
        <v/>
      </c>
      <c r="U1041" s="31">
        <f>U1028*U1033*IF(AND(Sensitivities!$C$980=1,U1040&gt;$AK$1040+1E-9),1-i_min_share,1)</f>
        <v/>
      </c>
      <c r="V1041" s="31">
        <f>V1028*V1033*IF(AND(Sensitivities!$C$980=1,V1040&gt;$AK$1040+1E-9),1-i_min_share,1)</f>
        <v/>
      </c>
      <c r="W1041" s="31">
        <f>W1028*W1033*IF(AND(Sensitivities!$C$980=1,W1040&gt;$AK$1040+1E-9),1-i_min_share,1)</f>
        <v/>
      </c>
      <c r="X1041" s="31">
        <f>X1028*X1033*IF(AND(Sensitivities!$C$980=1,X1040&gt;$AK$1040+1E-9),1-i_min_share,1)</f>
        <v/>
      </c>
      <c r="Y1041" s="31">
        <f>Y1028*Y1033*IF(AND(Sensitivities!$C$980=1,Y1040&gt;$AK$1040+1E-9),1-i_min_share,1)</f>
        <v/>
      </c>
      <c r="Z1041" s="31">
        <f>Z1028*Z1033*IF(AND(Sensitivities!$C$980=1,Z1040&gt;$AK$1040+1E-9),1-i_min_share,1)</f>
        <v/>
      </c>
      <c r="AA1041" s="31">
        <f>AA1028*AA1033*IF(AND(Sensitivities!$C$980=1,AA1040&gt;$AK$1040+1E-9),1-i_min_share,1)</f>
        <v/>
      </c>
      <c r="AB1041" s="31">
        <f>AB1028*AB1033*IF(AND(Sensitivities!$C$980=1,AB1040&gt;$AK$1040+1E-9),1-i_min_share,1)</f>
        <v/>
      </c>
      <c r="AC1041" s="31">
        <f>AC1028*AC1033*IF(AND(Sensitivities!$C$980=1,AC1040&gt;$AK$1040+1E-9),1-i_min_share,1)</f>
        <v/>
      </c>
      <c r="AD1041" s="31">
        <f>AD1028*AD1033*IF(AND(Sensitivities!$C$980=1,AD1040&gt;$AK$1040+1E-9),1-i_min_share,1)</f>
        <v/>
      </c>
      <c r="AE1041" s="31">
        <f>AE1028*AE1033*IF(AND(Sensitivities!$C$980=1,AE1040&gt;$AK$1040+1E-9),1-i_min_share,1)</f>
        <v/>
      </c>
      <c r="AF1041" s="31">
        <f>AF1028*AF1033*IF(AND(Sensitivities!$C$980=1,AF1040&gt;$AK$1040+1E-9),1-i_min_share,1)</f>
        <v/>
      </c>
      <c r="AG1041" s="31">
        <f>AG1028*AG1033*IF(AND(Sensitivities!$C$980=1,AG1040&gt;$AK$1040+1E-9),1-i_min_share,1)</f>
        <v/>
      </c>
      <c r="AH1041" s="31">
        <f>AH1028*AH1033*IF(AND(Sensitivities!$C$980=1,AH1040&gt;$AK$1040+1E-9),1-i_min_share,1)</f>
        <v/>
      </c>
      <c r="AI1041" s="31">
        <f>AI1028*AI1033*IF(AND(Sensitivities!$C$980=1,AI1040&gt;$AK$1040+1E-9),1-i_min_share,1)</f>
        <v/>
      </c>
      <c r="AJ1041" s="31">
        <f>-Sensitivities!$C$1024</f>
        <v/>
      </c>
      <c r="AK1041" s="31">
        <f>Sensitivities!$C$1039</f>
        <v/>
      </c>
      <c r="AL1041" s="31">
        <f>Sensitivities!$C$1036*IF(Sensitivities!$C$980=1,1-i_min_share,1)</f>
        <v/>
      </c>
    </row>
    <row r="1042">
      <c r="B1042" s="3" t="inlineStr">
        <is>
          <t>Unlevered flows (before financing)</t>
        </is>
      </c>
      <c r="D1042" s="31">
        <f>D1028*Sensitivities!D126</f>
        <v/>
      </c>
      <c r="E1042" s="31">
        <f>E1028*Sensitivities!E126</f>
        <v/>
      </c>
      <c r="F1042" s="31">
        <f>F1028*Sensitivities!F126</f>
        <v/>
      </c>
      <c r="G1042" s="31">
        <f>G1028*Sensitivities!G126</f>
        <v/>
      </c>
      <c r="H1042" s="31">
        <f>H1028*Sensitivities!H126</f>
        <v/>
      </c>
      <c r="I1042" s="31">
        <f>I1028*Sensitivities!I126</f>
        <v/>
      </c>
      <c r="J1042" s="31">
        <f>J1028*Sensitivities!J126</f>
        <v/>
      </c>
      <c r="K1042" s="31">
        <f>K1028*Sensitivities!K126</f>
        <v/>
      </c>
      <c r="L1042" s="31">
        <f>L1028*Sensitivities!L126</f>
        <v/>
      </c>
      <c r="M1042" s="31">
        <f>M1028*Sensitivities!M126</f>
        <v/>
      </c>
      <c r="N1042" s="31">
        <f>N1028*Sensitivities!N126</f>
        <v/>
      </c>
      <c r="O1042" s="31">
        <f>O1028*Sensitivities!O126</f>
        <v/>
      </c>
      <c r="P1042" s="31">
        <f>P1028*Sensitivities!P126</f>
        <v/>
      </c>
      <c r="Q1042" s="31">
        <f>Q1028*Sensitivities!Q126</f>
        <v/>
      </c>
      <c r="R1042" s="31">
        <f>R1028*Sensitivities!R126</f>
        <v/>
      </c>
      <c r="S1042" s="31">
        <f>S1028*Sensitivities!S126</f>
        <v/>
      </c>
      <c r="T1042" s="31">
        <f>T1028*Sensitivities!T126</f>
        <v/>
      </c>
      <c r="U1042" s="31">
        <f>U1028*Sensitivities!U126</f>
        <v/>
      </c>
      <c r="V1042" s="31">
        <f>V1028*Sensitivities!V126</f>
        <v/>
      </c>
      <c r="W1042" s="31">
        <f>W1028*Sensitivities!W126</f>
        <v/>
      </c>
      <c r="X1042" s="31">
        <f>X1028*Sensitivities!X126</f>
        <v/>
      </c>
      <c r="Y1042" s="31">
        <f>Y1028*Sensitivities!Y126</f>
        <v/>
      </c>
      <c r="Z1042" s="31">
        <f>Z1028*Sensitivities!Z126</f>
        <v/>
      </c>
      <c r="AA1042" s="31">
        <f>AA1028*Sensitivities!AA126</f>
        <v/>
      </c>
      <c r="AB1042" s="31">
        <f>AB1028*Sensitivities!AB126</f>
        <v/>
      </c>
      <c r="AC1042" s="31">
        <f>AC1028*Sensitivities!AC126</f>
        <v/>
      </c>
      <c r="AD1042" s="31">
        <f>AD1028*Sensitivities!AD126</f>
        <v/>
      </c>
      <c r="AE1042" s="31">
        <f>AE1028*Sensitivities!AE126</f>
        <v/>
      </c>
      <c r="AF1042" s="31">
        <f>AF1028*Sensitivities!AF126</f>
        <v/>
      </c>
      <c r="AG1042" s="31">
        <f>AG1028*Sensitivities!AG126</f>
        <v/>
      </c>
      <c r="AH1042" s="31">
        <f>AH1028*Sensitivities!AH126</f>
        <v/>
      </c>
      <c r="AI1042" s="31">
        <f>AI1028*Sensitivities!AI126</f>
        <v/>
      </c>
      <c r="AJ1042" s="31">
        <f>-(Sensitivities!$C$1019-Sensitivities!$C$997-Sensitivities!$C$1009)</f>
        <v/>
      </c>
      <c r="AK1042" s="19" t="n">
        <v>0</v>
      </c>
      <c r="AL1042" s="31">
        <f>Sensitivities!$C$1034</f>
        <v/>
      </c>
    </row>
    <row r="1043">
      <c r="B1043" s="4" t="inlineStr">
        <is>
          <t>Levered IRR (Newton steps from 10 percent)</t>
        </is>
      </c>
      <c r="D1043" s="38" t="n">
        <v>0.1</v>
      </c>
      <c r="E1043" s="40">
        <f>D1043-SUMPRODUCT($D$1041:$AL$1041,(1+D1043)^(-$D$1040:$AL$1040))/SUMPRODUCT($D$1041:$AL$1041*(-$D$1040:$AL$1040),(1+D1043)^(-$D$1040:$AL$1040-1))</f>
        <v/>
      </c>
      <c r="F1043" s="40">
        <f>E1043-SUMPRODUCT($D$1041:$AL$1041,(1+E1043)^(-$D$1040:$AL$1040))/SUMPRODUCT($D$1041:$AL$1041*(-$D$1040:$AL$1040),(1+E1043)^(-$D$1040:$AL$1040-1))</f>
        <v/>
      </c>
      <c r="G1043" s="40">
        <f>F1043-SUMPRODUCT($D$1041:$AL$1041,(1+F1043)^(-$D$1040:$AL$1040))/SUMPRODUCT($D$1041:$AL$1041*(-$D$1040:$AL$1040),(1+F1043)^(-$D$1040:$AL$1040-1))</f>
        <v/>
      </c>
      <c r="H1043" s="40">
        <f>G1043-SUMPRODUCT($D$1041:$AL$1041,(1+G1043)^(-$D$1040:$AL$1040))/SUMPRODUCT($D$1041:$AL$1041*(-$D$1040:$AL$1040),(1+G1043)^(-$D$1040:$AL$1040-1))</f>
        <v/>
      </c>
      <c r="I1043" s="40">
        <f>H1043-SUMPRODUCT($D$1041:$AL$1041,(1+H1043)^(-$D$1040:$AL$1040))/SUMPRODUCT($D$1041:$AL$1041*(-$D$1040:$AL$1040),(1+H1043)^(-$D$1040:$AL$1040-1))</f>
        <v/>
      </c>
      <c r="J1043" s="40">
        <f>I1043-SUMPRODUCT($D$1041:$AL$1041,(1+I1043)^(-$D$1040:$AL$1040))/SUMPRODUCT($D$1041:$AL$1041*(-$D$1040:$AL$1040),(1+I1043)^(-$D$1040:$AL$1040-1))</f>
        <v/>
      </c>
      <c r="K1043" s="40">
        <f>J1043-SUMPRODUCT($D$1041:$AL$1041,(1+J1043)^(-$D$1040:$AL$1040))/SUMPRODUCT($D$1041:$AL$1041*(-$D$1040:$AL$1040),(1+J1043)^(-$D$1040:$AL$1040-1))</f>
        <v/>
      </c>
      <c r="L1043" s="40">
        <f>K1043-SUMPRODUCT($D$1041:$AL$1041,(1+K1043)^(-$D$1040:$AL$1040))/SUMPRODUCT($D$1041:$AL$1041*(-$D$1040:$AL$1040),(1+K1043)^(-$D$1040:$AL$1040-1))</f>
        <v/>
      </c>
      <c r="M1043" s="40">
        <f>L1043-SUMPRODUCT($D$1041:$AL$1041,(1+L1043)^(-$D$1040:$AL$1040))/SUMPRODUCT($D$1041:$AL$1041*(-$D$1040:$AL$1040),(1+L1043)^(-$D$1040:$AL$1040-1))</f>
        <v/>
      </c>
      <c r="N1043" s="40">
        <f>M1043-SUMPRODUCT($D$1041:$AL$1041,(1+M1043)^(-$D$1040:$AL$1040))/SUMPRODUCT($D$1041:$AL$1041*(-$D$1040:$AL$1040),(1+M1043)^(-$D$1040:$AL$1040-1))</f>
        <v/>
      </c>
      <c r="O1043" s="40">
        <f>N1043-SUMPRODUCT($D$1041:$AL$1041,(1+N1043)^(-$D$1040:$AL$1040))/SUMPRODUCT($D$1041:$AL$1041*(-$D$1040:$AL$1040),(1+N1043)^(-$D$1040:$AL$1040-1))</f>
        <v/>
      </c>
      <c r="P1043" s="40">
        <f>O1043-SUMPRODUCT($D$1041:$AL$1041,(1+O1043)^(-$D$1040:$AL$1040))/SUMPRODUCT($D$1041:$AL$1041*(-$D$1040:$AL$1040),(1+O1043)^(-$D$1040:$AL$1040-1))</f>
        <v/>
      </c>
      <c r="Q1043" s="40">
        <f>P1043-SUMPRODUCT($D$1041:$AL$1041,(1+P1043)^(-$D$1040:$AL$1040))/SUMPRODUCT($D$1041:$AL$1041*(-$D$1040:$AL$1040),(1+P1043)^(-$D$1040:$AL$1040-1))</f>
        <v/>
      </c>
      <c r="R1043" s="40">
        <f>Q1043-SUMPRODUCT($D$1041:$AL$1041,(1+Q1043)^(-$D$1040:$AL$1040))/SUMPRODUCT($D$1041:$AL$1041*(-$D$1040:$AL$1040),(1+Q1043)^(-$D$1040:$AL$1040-1))</f>
        <v/>
      </c>
    </row>
    <row r="1044">
      <c r="B1044" s="4" t="inlineStr">
        <is>
          <t>Unlevered IRR (Newton steps from 10 percent)</t>
        </is>
      </c>
      <c r="D1044" s="38" t="n">
        <v>0.1</v>
      </c>
      <c r="E1044" s="40">
        <f>D1044-SUMPRODUCT($D$1042:$AL$1042,(1+D1044)^(-$D$1040:$AL$1040))/SUMPRODUCT($D$1042:$AL$1042*(-$D$1040:$AL$1040),(1+D1044)^(-$D$1040:$AL$1040-1))</f>
        <v/>
      </c>
      <c r="F1044" s="40">
        <f>E1044-SUMPRODUCT($D$1042:$AL$1042,(1+E1044)^(-$D$1040:$AL$1040))/SUMPRODUCT($D$1042:$AL$1042*(-$D$1040:$AL$1040),(1+E1044)^(-$D$1040:$AL$1040-1))</f>
        <v/>
      </c>
      <c r="G1044" s="40">
        <f>F1044-SUMPRODUCT($D$1042:$AL$1042,(1+F1044)^(-$D$1040:$AL$1040))/SUMPRODUCT($D$1042:$AL$1042*(-$D$1040:$AL$1040),(1+F1044)^(-$D$1040:$AL$1040-1))</f>
        <v/>
      </c>
      <c r="H1044" s="40">
        <f>G1044-SUMPRODUCT($D$1042:$AL$1042,(1+G1044)^(-$D$1040:$AL$1040))/SUMPRODUCT($D$1042:$AL$1042*(-$D$1040:$AL$1040),(1+G1044)^(-$D$1040:$AL$1040-1))</f>
        <v/>
      </c>
      <c r="I1044" s="40">
        <f>H1044-SUMPRODUCT($D$1042:$AL$1042,(1+H1044)^(-$D$1040:$AL$1040))/SUMPRODUCT($D$1042:$AL$1042*(-$D$1040:$AL$1040),(1+H1044)^(-$D$1040:$AL$1040-1))</f>
        <v/>
      </c>
      <c r="J1044" s="40">
        <f>I1044-SUMPRODUCT($D$1042:$AL$1042,(1+I1044)^(-$D$1040:$AL$1040))/SUMPRODUCT($D$1042:$AL$1042*(-$D$1040:$AL$1040),(1+I1044)^(-$D$1040:$AL$1040-1))</f>
        <v/>
      </c>
      <c r="K1044" s="40">
        <f>J1044-SUMPRODUCT($D$1042:$AL$1042,(1+J1044)^(-$D$1040:$AL$1040))/SUMPRODUCT($D$1042:$AL$1042*(-$D$1040:$AL$1040),(1+J1044)^(-$D$1040:$AL$1040-1))</f>
        <v/>
      </c>
      <c r="L1044" s="40">
        <f>K1044-SUMPRODUCT($D$1042:$AL$1042,(1+K1044)^(-$D$1040:$AL$1040))/SUMPRODUCT($D$1042:$AL$1042*(-$D$1040:$AL$1040),(1+K1044)^(-$D$1040:$AL$1040-1))</f>
        <v/>
      </c>
      <c r="M1044" s="40">
        <f>L1044-SUMPRODUCT($D$1042:$AL$1042,(1+L1044)^(-$D$1040:$AL$1040))/SUMPRODUCT($D$1042:$AL$1042*(-$D$1040:$AL$1040),(1+L1044)^(-$D$1040:$AL$1040-1))</f>
        <v/>
      </c>
      <c r="N1044" s="40">
        <f>M1044-SUMPRODUCT($D$1042:$AL$1042,(1+M1044)^(-$D$1040:$AL$1040))/SUMPRODUCT($D$1042:$AL$1042*(-$D$1040:$AL$1040),(1+M1044)^(-$D$1040:$AL$1040-1))</f>
        <v/>
      </c>
      <c r="O1044" s="40">
        <f>N1044-SUMPRODUCT($D$1042:$AL$1042,(1+N1044)^(-$D$1040:$AL$1040))/SUMPRODUCT($D$1042:$AL$1042*(-$D$1040:$AL$1040),(1+N1044)^(-$D$1040:$AL$1040-1))</f>
        <v/>
      </c>
      <c r="P1044" s="40">
        <f>O1044-SUMPRODUCT($D$1042:$AL$1042,(1+O1044)^(-$D$1040:$AL$1040))/SUMPRODUCT($D$1042:$AL$1042*(-$D$1040:$AL$1040),(1+O1044)^(-$D$1040:$AL$1040-1))</f>
        <v/>
      </c>
      <c r="Q1044" s="40">
        <f>P1044-SUMPRODUCT($D$1042:$AL$1042,(1+P1044)^(-$D$1040:$AL$1040))/SUMPRODUCT($D$1042:$AL$1042*(-$D$1040:$AL$1040),(1+P1044)^(-$D$1040:$AL$1040-1))</f>
        <v/>
      </c>
      <c r="R1044" s="40">
        <f>Q1044-SUMPRODUCT($D$1042:$AL$1042,(1+Q1044)^(-$D$1040:$AL$1040))/SUMPRODUCT($D$1042:$AL$1042*(-$D$1040:$AL$1040),(1+Q1044)^(-$D$1040:$AL$1040-1))</f>
        <v/>
      </c>
    </row>
    <row r="1045">
      <c r="B1045" s="3" t="inlineStr">
        <is>
          <t>Levered IRR (equity)</t>
        </is>
      </c>
      <c r="C1045" s="33">
        <f>R1043</f>
        <v/>
      </c>
    </row>
    <row r="1046">
      <c r="B1046" s="3" t="inlineStr">
        <is>
          <t>Unlevered IRR</t>
        </is>
      </c>
      <c r="C1046" s="33">
        <f>R1044</f>
        <v/>
      </c>
    </row>
    <row r="1047">
      <c r="B1047" s="2" t="inlineStr">
        <is>
          <t>Check: levered NPV at the levered IRR</t>
        </is>
      </c>
      <c r="C1047" s="41">
        <f>SUMPRODUCT($D$1041:$AL$1041,(1+Sensitivities!$C$1045)^(-$D$1040:$AL$1040))</f>
        <v/>
      </c>
    </row>
    <row r="1048">
      <c r="B1048" s="2" t="inlineStr">
        <is>
          <t>Check: unlevered NPV at the unlevered IRR</t>
        </is>
      </c>
      <c r="C1048" s="41">
        <f>SUMPRODUCT($D$1042:$AL$1042,(1+Sensitivities!$C$1046)^(-$D$1040:$AL$1040))</f>
        <v/>
      </c>
    </row>
    <row r="1049">
      <c r="B1049" s="2" t="inlineStr">
        <is>
          <t>Money multiple (cash in over cash out)</t>
        </is>
      </c>
      <c r="C1049" s="37">
        <f>SUMIF($D$1041:$AL$1041,"&gt;0")/-SUMIF($D$1041:$AL$1041,"&lt;0")</f>
        <v/>
      </c>
    </row>
    <row r="1050">
      <c r="B1050" s="2" t="inlineStr">
        <is>
          <t>Present value at the target IRR of the flows after closing</t>
        </is>
      </c>
      <c r="C1050" s="19">
        <f>SUMPRODUCT($D$1041:$AL$1041,(1+i_hurdle)^(-$D$1040:$AL$1040))+Sensitivities!$C$1024*(1+i_hurdle)^(-Sensitivities!$C$978)</f>
        <v/>
      </c>
    </row>
    <row r="1051">
      <c r="B1051" s="2" t="inlineStr">
        <is>
          <t>Equity cheque that gives exactly the target IRR</t>
        </is>
      </c>
      <c r="C1051" s="19">
        <f>Sensitivities!$C$1050*(1+i_hurdle)^Sensitivities!$C$978</f>
        <v/>
      </c>
    </row>
    <row r="1052">
      <c r="B1052" s="2" t="inlineStr">
        <is>
          <t>EV less equity price (fixed bridge items)</t>
        </is>
      </c>
      <c r="C1052" s="19">
        <f>Sensitivities!$C$983-Sensitivities!$C$989</f>
        <v/>
      </c>
    </row>
    <row r="1053">
      <c r="B1053" s="2" t="inlineStr">
        <is>
          <t>Equity cheque items that do not move with the price</t>
        </is>
      </c>
      <c r="C1053" s="19">
        <f>Sensitivities!$C$1014+Sensitivities!$C$986+i_costs_adv+Sensitivities!$C$1009+Sensitivities!$C$1010-Sensitivities!$C$1004-Sensitivities!$C$1005-Sensitivities!$C$997</f>
        <v/>
      </c>
    </row>
    <row r="1054">
      <c r="B1054" s="2" t="inlineStr">
        <is>
          <t>Walk-away EV, first pass (HSR fee at the bid)</t>
        </is>
      </c>
      <c r="C1054" s="19">
        <f>(Sensitivities!$C$1051-Sensitivities!$C$1053-Sensitivities!$C$1007+Sensitivities!$C$1052*(1+i_ticking*Sensitivities!$C$978))/(1+i_ticking*Sensitivities!$C$978+i_wi_limit_pct*i_wi_rol*(1+i_wi_ipt))</f>
        <v/>
      </c>
    </row>
    <row r="1055">
      <c r="B1055" s="3" t="inlineStr">
        <is>
          <t>Walk-away EV (highest EV at the target IRR)</t>
        </is>
      </c>
      <c r="C1055" s="31">
        <f>(Sensitivities!$C$1051-Sensitivities!$C$1053-IF(Sensitivities!$C$1054-Sensitivities!$C$1052&lt;INDEX(i_hsr_lo,1),0,LOOKUP(Sensitivities!$C$1054-Sensitivities!$C$1052,i_hsr_lo,i_hsr_fee))+Sensitivities!$C$1052*(1+i_ticking*Sensitivities!$C$978))/(1+i_ticking*Sensitivities!$C$978+i_wi_limit_pct*i_wi_rol*(1+i_wi_ipt))</f>
        <v/>
      </c>
    </row>
    <row r="1058">
      <c r="B1058" s="5" t="inlineStr">
        <is>
          <t>Deal: occupancy 5 points lower, all terminals, from 2027</t>
        </is>
      </c>
    </row>
    <row r="1059">
      <c r="B1059" s="4" t="inlineStr">
        <is>
          <t>Enterprise value at 31 December 2026</t>
        </is>
      </c>
      <c r="C1059" s="29">
        <f>i_bid_ev</f>
        <v/>
      </c>
    </row>
    <row r="1060">
      <c r="B1060" s="4" t="inlineStr">
        <is>
          <t>Closing (years after 31 December 2026)</t>
        </is>
      </c>
      <c r="C1060" s="28">
        <f>Inputs!$F$240</f>
        <v/>
      </c>
    </row>
    <row r="1061">
      <c r="B1061" s="4" t="inlineStr">
        <is>
          <t>Staple financing (1) or own debt (0)</t>
        </is>
      </c>
      <c r="C1061" s="26">
        <f>0</f>
        <v/>
      </c>
    </row>
    <row r="1062">
      <c r="B1062" s="4" t="inlineStr">
        <is>
          <t>Minority sale in 2031 (1) or full exit (0)</t>
        </is>
      </c>
      <c r="C1062" s="26">
        <f>0</f>
        <v/>
      </c>
    </row>
    <row r="1063">
      <c r="B1063" s="4" t="inlineStr">
        <is>
          <t>Exit discount rate</t>
        </is>
      </c>
      <c r="C1063" s="38">
        <f>Inputs!$E$240</f>
        <v/>
      </c>
    </row>
    <row r="1064">
      <c r="B1064" s="4" t="inlineStr">
        <is>
          <t>Change in the opco rate at refinancing</t>
        </is>
      </c>
      <c r="C1064" s="38">
        <f>Inputs!$D$240</f>
        <v/>
      </c>
    </row>
    <row r="1065">
      <c r="B1065" s="2" t="inlineStr">
        <is>
          <t>Enterprise value</t>
        </is>
      </c>
      <c r="C1065" s="19">
        <f>Sensitivities!$C$1059</f>
        <v/>
      </c>
    </row>
    <row r="1066">
      <c r="B1066" s="2" t="inlineStr">
        <is>
          <t>less existing financial debt (term loan and notes)</t>
        </is>
      </c>
      <c r="C1066" s="19">
        <f>i_old_tl+i_old_notes</f>
        <v/>
      </c>
    </row>
    <row r="1067">
      <c r="B1067" s="2" t="inlineStr">
        <is>
          <t>less make-whole on the notes</t>
        </is>
      </c>
      <c r="C1067" s="19">
        <f>i_make_whole</f>
        <v/>
      </c>
    </row>
    <row r="1068">
      <c r="B1068" s="2" t="inlineStr">
        <is>
          <t>less debt-like items (pension, accrued capex, 2026 tax)</t>
        </is>
      </c>
      <c r="C1068" s="19">
        <f>i_pension+i_def_capex+i_acc_tax</f>
        <v/>
      </c>
    </row>
    <row r="1069">
      <c r="B1069" s="2" t="inlineStr">
        <is>
          <t>plus cash at the locked box date</t>
        </is>
      </c>
      <c r="C1069" s="19">
        <f>i_lb_cash</f>
        <v/>
      </c>
    </row>
    <row r="1070">
      <c r="B1070" s="2" t="inlineStr">
        <is>
          <t>less permitted leakage</t>
        </is>
      </c>
      <c r="C1070" s="19">
        <f>i_permitted_leak</f>
        <v/>
      </c>
    </row>
    <row r="1071">
      <c r="B1071" s="3" t="inlineStr">
        <is>
          <t>Equity price (shares and shareholder loan)</t>
        </is>
      </c>
      <c r="C1071" s="31">
        <f>Sensitivities!$C$1065-Sensitivities!$C$1066-Sensitivities!$C$1067-Sensitivities!$C$1068+Sensitivities!$C$1069-Sensitivities!$C$1070</f>
        <v/>
      </c>
    </row>
    <row r="1072">
      <c r="B1072" s="2" t="inlineStr">
        <is>
          <t xml:space="preserve">  of which shareholder loan at face value</t>
        </is>
      </c>
      <c r="C1072" s="19">
        <f>i_shl</f>
        <v/>
      </c>
    </row>
    <row r="1073">
      <c r="B1073" s="2" t="inlineStr">
        <is>
          <t xml:space="preserve">  of which shares</t>
        </is>
      </c>
      <c r="C1073" s="19">
        <f>Sensitivities!$C$1071-Sensitivities!$C$1072</f>
        <v/>
      </c>
    </row>
    <row r="1074">
      <c r="B1074" s="2" t="inlineStr">
        <is>
          <t>Ticking fee to closing</t>
        </is>
      </c>
      <c r="C1074" s="19">
        <f>Sensitivities!$C$1071*i_ticking*Sensitivities!$C$1060</f>
        <v/>
      </c>
    </row>
    <row r="1075">
      <c r="B1075" s="2" t="inlineStr">
        <is>
          <t>Share of the year before closing (box period)</t>
        </is>
      </c>
      <c r="D1075" s="24">
        <f>IF(D$4&lt;1,0,MAX(0,MIN(1,Sensitivities!$C$1060-(D$4-1))))</f>
        <v/>
      </c>
      <c r="E1075" s="24">
        <f>IF(E$4&lt;1,0,MAX(0,MIN(1,Sensitivities!$C$1060-(E$4-1))))</f>
        <v/>
      </c>
      <c r="F1075" s="24">
        <f>IF(F$4&lt;1,0,MAX(0,MIN(1,Sensitivities!$C$1060-(F$4-1))))</f>
        <v/>
      </c>
      <c r="G1075" s="24">
        <f>IF(G$4&lt;1,0,MAX(0,MIN(1,Sensitivities!$C$1060-(G$4-1))))</f>
        <v/>
      </c>
      <c r="H1075" s="24">
        <f>IF(H$4&lt;1,0,MAX(0,MIN(1,Sensitivities!$C$1060-(H$4-1))))</f>
        <v/>
      </c>
      <c r="I1075" s="24">
        <f>IF(I$4&lt;1,0,MAX(0,MIN(1,Sensitivities!$C$1060-(I$4-1))))</f>
        <v/>
      </c>
      <c r="J1075" s="24">
        <f>IF(J$4&lt;1,0,MAX(0,MIN(1,Sensitivities!$C$1060-(J$4-1))))</f>
        <v/>
      </c>
      <c r="K1075" s="24">
        <f>IF(K$4&lt;1,0,MAX(0,MIN(1,Sensitivities!$C$1060-(K$4-1))))</f>
        <v/>
      </c>
      <c r="L1075" s="24">
        <f>IF(L$4&lt;1,0,MAX(0,MIN(1,Sensitivities!$C$1060-(L$4-1))))</f>
        <v/>
      </c>
      <c r="M1075" s="24">
        <f>IF(M$4&lt;1,0,MAX(0,MIN(1,Sensitivities!$C$1060-(M$4-1))))</f>
        <v/>
      </c>
      <c r="N1075" s="24">
        <f>IF(N$4&lt;1,0,MAX(0,MIN(1,Sensitivities!$C$1060-(N$4-1))))</f>
        <v/>
      </c>
      <c r="O1075" s="24">
        <f>IF(O$4&lt;1,0,MAX(0,MIN(1,Sensitivities!$C$1060-(O$4-1))))</f>
        <v/>
      </c>
      <c r="P1075" s="24">
        <f>IF(P$4&lt;1,0,MAX(0,MIN(1,Sensitivities!$C$1060-(P$4-1))))</f>
        <v/>
      </c>
      <c r="Q1075" s="24">
        <f>IF(Q$4&lt;1,0,MAX(0,MIN(1,Sensitivities!$C$1060-(Q$4-1))))</f>
        <v/>
      </c>
      <c r="R1075" s="24">
        <f>IF(R$4&lt;1,0,MAX(0,MIN(1,Sensitivities!$C$1060-(R$4-1))))</f>
        <v/>
      </c>
      <c r="S1075" s="24">
        <f>IF(S$4&lt;1,0,MAX(0,MIN(1,Sensitivities!$C$1060-(S$4-1))))</f>
        <v/>
      </c>
      <c r="T1075" s="24">
        <f>IF(T$4&lt;1,0,MAX(0,MIN(1,Sensitivities!$C$1060-(T$4-1))))</f>
        <v/>
      </c>
      <c r="U1075" s="24">
        <f>IF(U$4&lt;1,0,MAX(0,MIN(1,Sensitivities!$C$1060-(U$4-1))))</f>
        <v/>
      </c>
      <c r="V1075" s="24">
        <f>IF(V$4&lt;1,0,MAX(0,MIN(1,Sensitivities!$C$1060-(V$4-1))))</f>
        <v/>
      </c>
      <c r="W1075" s="24">
        <f>IF(W$4&lt;1,0,MAX(0,MIN(1,Sensitivities!$C$1060-(W$4-1))))</f>
        <v/>
      </c>
      <c r="X1075" s="24">
        <f>IF(X$4&lt;1,0,MAX(0,MIN(1,Sensitivities!$C$1060-(X$4-1))))</f>
        <v/>
      </c>
      <c r="Y1075" s="24">
        <f>IF(Y$4&lt;1,0,MAX(0,MIN(1,Sensitivities!$C$1060-(Y$4-1))))</f>
        <v/>
      </c>
      <c r="Z1075" s="24">
        <f>IF(Z$4&lt;1,0,MAX(0,MIN(1,Sensitivities!$C$1060-(Z$4-1))))</f>
        <v/>
      </c>
      <c r="AA1075" s="24">
        <f>IF(AA$4&lt;1,0,MAX(0,MIN(1,Sensitivities!$C$1060-(AA$4-1))))</f>
        <v/>
      </c>
      <c r="AB1075" s="24">
        <f>IF(AB$4&lt;1,0,MAX(0,MIN(1,Sensitivities!$C$1060-(AB$4-1))))</f>
        <v/>
      </c>
      <c r="AC1075" s="24">
        <f>IF(AC$4&lt;1,0,MAX(0,MIN(1,Sensitivities!$C$1060-(AC$4-1))))</f>
        <v/>
      </c>
      <c r="AD1075" s="24">
        <f>IF(AD$4&lt;1,0,MAX(0,MIN(1,Sensitivities!$C$1060-(AD$4-1))))</f>
        <v/>
      </c>
      <c r="AE1075" s="24">
        <f>IF(AE$4&lt;1,0,MAX(0,MIN(1,Sensitivities!$C$1060-(AE$4-1))))</f>
        <v/>
      </c>
      <c r="AF1075" s="24">
        <f>IF(AF$4&lt;1,0,MAX(0,MIN(1,Sensitivities!$C$1060-(AF$4-1))))</f>
        <v/>
      </c>
      <c r="AG1075" s="24">
        <f>IF(AG$4&lt;1,0,MAX(0,MIN(1,Sensitivities!$C$1060-(AG$4-1))))</f>
        <v/>
      </c>
      <c r="AH1075" s="24">
        <f>IF(AH$4&lt;1,0,MAX(0,MIN(1,Sensitivities!$C$1060-(AH$4-1))))</f>
        <v/>
      </c>
      <c r="AI1075" s="24">
        <f>IF(AI$4&lt;1,0,MAX(0,MIN(1,Sensitivities!$C$1060-(AI$4-1))))</f>
        <v/>
      </c>
    </row>
    <row r="1076">
      <c r="B1076" s="2" t="inlineStr">
        <is>
          <t>Box cash: free cash flow less interest on the old debt</t>
        </is>
      </c>
      <c r="D1076" s="19">
        <f>D1075*(Sensitivities!D342-i_old_rate*(i_old_tl+i_old_notes))</f>
        <v/>
      </c>
      <c r="E1076" s="19">
        <f>E1075*(Sensitivities!E342-i_old_rate*(i_old_tl+i_old_notes))</f>
        <v/>
      </c>
      <c r="F1076" s="19">
        <f>F1075*(Sensitivities!F342-i_old_rate*(i_old_tl+i_old_notes))</f>
        <v/>
      </c>
      <c r="G1076" s="19">
        <f>G1075*(Sensitivities!G342-i_old_rate*(i_old_tl+i_old_notes))</f>
        <v/>
      </c>
      <c r="H1076" s="19">
        <f>H1075*(Sensitivities!H342-i_old_rate*(i_old_tl+i_old_notes))</f>
        <v/>
      </c>
      <c r="I1076" s="19">
        <f>I1075*(Sensitivities!I342-i_old_rate*(i_old_tl+i_old_notes))</f>
        <v/>
      </c>
      <c r="J1076" s="19">
        <f>J1075*(Sensitivities!J342-i_old_rate*(i_old_tl+i_old_notes))</f>
        <v/>
      </c>
      <c r="K1076" s="19">
        <f>K1075*(Sensitivities!K342-i_old_rate*(i_old_tl+i_old_notes))</f>
        <v/>
      </c>
      <c r="L1076" s="19">
        <f>L1075*(Sensitivities!L342-i_old_rate*(i_old_tl+i_old_notes))</f>
        <v/>
      </c>
      <c r="M1076" s="19">
        <f>M1075*(Sensitivities!M342-i_old_rate*(i_old_tl+i_old_notes))</f>
        <v/>
      </c>
      <c r="N1076" s="19">
        <f>N1075*(Sensitivities!N342-i_old_rate*(i_old_tl+i_old_notes))</f>
        <v/>
      </c>
      <c r="O1076" s="19">
        <f>O1075*(Sensitivities!O342-i_old_rate*(i_old_tl+i_old_notes))</f>
        <v/>
      </c>
      <c r="P1076" s="19">
        <f>P1075*(Sensitivities!P342-i_old_rate*(i_old_tl+i_old_notes))</f>
        <v/>
      </c>
      <c r="Q1076" s="19">
        <f>Q1075*(Sensitivities!Q342-i_old_rate*(i_old_tl+i_old_notes))</f>
        <v/>
      </c>
      <c r="R1076" s="19">
        <f>R1075*(Sensitivities!R342-i_old_rate*(i_old_tl+i_old_notes))</f>
        <v/>
      </c>
      <c r="S1076" s="19">
        <f>S1075*(Sensitivities!S342-i_old_rate*(i_old_tl+i_old_notes))</f>
        <v/>
      </c>
      <c r="T1076" s="19">
        <f>T1075*(Sensitivities!T342-i_old_rate*(i_old_tl+i_old_notes))</f>
        <v/>
      </c>
      <c r="U1076" s="19">
        <f>U1075*(Sensitivities!U342-i_old_rate*(i_old_tl+i_old_notes))</f>
        <v/>
      </c>
      <c r="V1076" s="19">
        <f>V1075*(Sensitivities!V342-i_old_rate*(i_old_tl+i_old_notes))</f>
        <v/>
      </c>
      <c r="W1076" s="19">
        <f>W1075*(Sensitivities!W342-i_old_rate*(i_old_tl+i_old_notes))</f>
        <v/>
      </c>
      <c r="X1076" s="19">
        <f>X1075*(Sensitivities!X342-i_old_rate*(i_old_tl+i_old_notes))</f>
        <v/>
      </c>
      <c r="Y1076" s="19">
        <f>Y1075*(Sensitivities!Y342-i_old_rate*(i_old_tl+i_old_notes))</f>
        <v/>
      </c>
      <c r="Z1076" s="19">
        <f>Z1075*(Sensitivities!Z342-i_old_rate*(i_old_tl+i_old_notes))</f>
        <v/>
      </c>
      <c r="AA1076" s="19">
        <f>AA1075*(Sensitivities!AA342-i_old_rate*(i_old_tl+i_old_notes))</f>
        <v/>
      </c>
      <c r="AB1076" s="19">
        <f>AB1075*(Sensitivities!AB342-i_old_rate*(i_old_tl+i_old_notes))</f>
        <v/>
      </c>
      <c r="AC1076" s="19">
        <f>AC1075*(Sensitivities!AC342-i_old_rate*(i_old_tl+i_old_notes))</f>
        <v/>
      </c>
      <c r="AD1076" s="19">
        <f>AD1075*(Sensitivities!AD342-i_old_rate*(i_old_tl+i_old_notes))</f>
        <v/>
      </c>
      <c r="AE1076" s="19">
        <f>AE1075*(Sensitivities!AE342-i_old_rate*(i_old_tl+i_old_notes))</f>
        <v/>
      </c>
      <c r="AF1076" s="19">
        <f>AF1075*(Sensitivities!AF342-i_old_rate*(i_old_tl+i_old_notes))</f>
        <v/>
      </c>
      <c r="AG1076" s="19">
        <f>AG1075*(Sensitivities!AG342-i_old_rate*(i_old_tl+i_old_notes))</f>
        <v/>
      </c>
      <c r="AH1076" s="19">
        <f>AH1075*(Sensitivities!AH342-i_old_rate*(i_old_tl+i_old_notes))</f>
        <v/>
      </c>
      <c r="AI1076" s="19">
        <f>AI1075*(Sensitivities!AI342-i_old_rate*(i_old_tl+i_old_notes))</f>
        <v/>
      </c>
    </row>
    <row r="1077">
      <c r="B1077" s="2" t="inlineStr">
        <is>
          <t>Box cash generated from 1 January 2027 to closing</t>
        </is>
      </c>
      <c r="C1077" s="19">
        <f>SUM(Sensitivities!D1076:AI1076)</f>
        <v/>
      </c>
    </row>
    <row r="1078">
      <c r="B1078" s="2" t="inlineStr">
        <is>
          <t>Cash in the company at closing</t>
        </is>
      </c>
      <c r="C1078" s="19">
        <f>Sensitivities!$C$1069-Sensitivities!$C$1070+Sensitivities!$C$1077</f>
        <v/>
      </c>
    </row>
    <row r="1079">
      <c r="B1079" s="2" t="inlineStr">
        <is>
          <t>Cash used at closing (above operating cash)</t>
        </is>
      </c>
      <c r="C1079" s="19">
        <f>Sensitivities!$C$1078-i_min_cash</f>
        <v/>
      </c>
    </row>
    <row r="1081">
      <c r="B1081" s="3" t="inlineStr">
        <is>
          <t>Sources and uses at closing</t>
        </is>
      </c>
    </row>
    <row r="1082">
      <c r="B1082" s="2" t="inlineStr">
        <is>
          <t>EBITDA 2026 (sizing basis)</t>
        </is>
      </c>
      <c r="C1082" s="19">
        <f>Sensitivities!$D$336</f>
        <v/>
      </c>
    </row>
    <row r="1083">
      <c r="B1083" s="2" t="inlineStr">
        <is>
          <t>Opco multiple of 2026 EBITDA</t>
        </is>
      </c>
      <c r="C1083" s="37">
        <f>IF(Sensitivities!$C$1061=1,i_staple_x,i_opco_x)</f>
        <v/>
      </c>
    </row>
    <row r="1084">
      <c r="B1084" s="2" t="inlineStr">
        <is>
          <t>Opco rate</t>
        </is>
      </c>
      <c r="C1084" s="23">
        <f>IF(Sensitivities!$C$1061=1,i_staple_rate,i_opco_rate)</f>
        <v/>
      </c>
    </row>
    <row r="1085">
      <c r="B1085" s="2" t="inlineStr">
        <is>
          <t>Opco fees</t>
        </is>
      </c>
      <c r="C1085" s="23">
        <f>IF(Sensitivities!$C$1061=1,i_staple_fee,i_opco_fee)</f>
        <v/>
      </c>
    </row>
    <row r="1086">
      <c r="B1086" s="2" t="inlineStr">
        <is>
          <t>Opco senior debt (whole $ million)</t>
        </is>
      </c>
      <c r="C1086" s="19">
        <f>ROUND(Sensitivities!$C$1083*Sensitivities!$C$1082,0)</f>
        <v/>
      </c>
    </row>
    <row r="1087">
      <c r="B1087" s="2" t="inlineStr">
        <is>
          <t>Holdco debt (whole $ million)</t>
        </is>
      </c>
      <c r="C1087" s="19">
        <f>ROUND(i_hold_x*Sensitivities!$C$1082,0)</f>
        <v/>
      </c>
    </row>
    <row r="1088">
      <c r="B1088" s="2" t="inlineStr">
        <is>
          <t>W&amp;I premium with insurance premium tax</t>
        </is>
      </c>
      <c r="C1088" s="35">
        <f>i_wi_limit_pct*Sensitivities!$C$1065*i_wi_rol*(1+i_wi_ipt)</f>
        <v/>
      </c>
    </row>
    <row r="1089">
      <c r="B1089" s="2" t="inlineStr">
        <is>
          <t>HSR filing fee (on the equity price)</t>
        </is>
      </c>
      <c r="C1089" s="39">
        <f>IF(Sensitivities!$C$1071&lt;INDEX(i_hsr_lo,1),0,LOOKUP(Sensitivities!$C$1071,i_hsr_lo,i_hsr_fee))</f>
        <v/>
      </c>
    </row>
    <row r="1090">
      <c r="B1090" s="2" t="inlineStr">
        <is>
          <t>Transaction costs (advisers, W&amp;I, HSR)</t>
        </is>
      </c>
      <c r="C1090" s="19">
        <f>i_costs_adv+Sensitivities!$C$1088+Sensitivities!$C$1089</f>
        <v/>
      </c>
    </row>
    <row r="1091">
      <c r="B1091" s="2" t="inlineStr">
        <is>
          <t>Financing fees</t>
        </is>
      </c>
      <c r="C1091" s="19">
        <f>Sensitivities!$C$1085*Sensitivities!$C$1086+i_hold_fee*Sensitivities!$C$1087</f>
        <v/>
      </c>
    </row>
    <row r="1092">
      <c r="B1092" s="2" t="inlineStr">
        <is>
          <t>Commitment fees, signing to closing</t>
        </is>
      </c>
      <c r="C1092" s="19">
        <f>i_commit_fee*(Sensitivities!$C$1086+Sensitivities!$C$1087)*MAX(0,Sensitivities!$C$1060-i_t_sign)</f>
        <v/>
      </c>
    </row>
    <row r="1093">
      <c r="B1093" s="3" t="inlineStr">
        <is>
          <t>Uses</t>
        </is>
      </c>
    </row>
    <row r="1094">
      <c r="B1094" s="2" t="inlineStr">
        <is>
          <t xml:space="preserve">  Equity price</t>
        </is>
      </c>
      <c r="C1094" s="19">
        <f>Sensitivities!$C$1071</f>
        <v/>
      </c>
    </row>
    <row r="1095">
      <c r="B1095" s="2" t="inlineStr">
        <is>
          <t xml:space="preserve">  Ticking fee</t>
        </is>
      </c>
      <c r="C1095" s="19">
        <f>Sensitivities!$C$1074</f>
        <v/>
      </c>
    </row>
    <row r="1096">
      <c r="B1096" s="2" t="inlineStr">
        <is>
          <t xml:space="preserve">  Repayment of existing debt and make-whole</t>
        </is>
      </c>
      <c r="C1096" s="19">
        <f>Sensitivities!$C$1066+Sensitivities!$C$1067</f>
        <v/>
      </c>
    </row>
    <row r="1097">
      <c r="B1097" s="2" t="inlineStr">
        <is>
          <t xml:space="preserve">  Debt-like items settled</t>
        </is>
      </c>
      <c r="C1097" s="19">
        <f>Sensitivities!$C$1068</f>
        <v/>
      </c>
    </row>
    <row r="1098">
      <c r="B1098" s="2" t="inlineStr">
        <is>
          <t xml:space="preserve">  Transaction costs</t>
        </is>
      </c>
      <c r="C1098" s="19">
        <f>Sensitivities!$C$1090</f>
        <v/>
      </c>
    </row>
    <row r="1099">
      <c r="B1099" s="2" t="inlineStr">
        <is>
          <t xml:space="preserve">  Financing fees</t>
        </is>
      </c>
      <c r="C1099" s="19">
        <f>Sensitivities!$C$1091</f>
        <v/>
      </c>
    </row>
    <row r="1100">
      <c r="B1100" s="2" t="inlineStr">
        <is>
          <t xml:space="preserve">  Commitment fees</t>
        </is>
      </c>
      <c r="C1100" s="19">
        <f>Sensitivities!$C$1092</f>
        <v/>
      </c>
    </row>
    <row r="1101">
      <c r="B1101" s="3" t="inlineStr">
        <is>
          <t>Total uses</t>
        </is>
      </c>
      <c r="C1101" s="31">
        <f>SUM(C1094:C1100)</f>
        <v/>
      </c>
    </row>
    <row r="1102">
      <c r="B1102" s="3" t="inlineStr">
        <is>
          <t>Sources</t>
        </is>
      </c>
    </row>
    <row r="1103">
      <c r="B1103" s="2" t="inlineStr">
        <is>
          <t xml:space="preserve">  Opco senior debt</t>
        </is>
      </c>
      <c r="C1103" s="19">
        <f>Sensitivities!$C$1086</f>
        <v/>
      </c>
    </row>
    <row r="1104">
      <c r="B1104" s="2" t="inlineStr">
        <is>
          <t xml:space="preserve">  Holdco debt</t>
        </is>
      </c>
      <c r="C1104" s="19">
        <f>Sensitivities!$C$1087</f>
        <v/>
      </c>
    </row>
    <row r="1105">
      <c r="B1105" s="2" t="inlineStr">
        <is>
          <t xml:space="preserve">  Cash in the company at closing</t>
        </is>
      </c>
      <c r="C1105" s="19">
        <f>Sensitivities!$C$1079</f>
        <v/>
      </c>
    </row>
    <row r="1106">
      <c r="B1106" s="3" t="inlineStr">
        <is>
          <t xml:space="preserve">  Equity from the consortium</t>
        </is>
      </c>
      <c r="C1106" s="31">
        <f>Sensitivities!$C$1101-Sensitivities!$C$1086-Sensitivities!$C$1087-Sensitivities!$C$1079</f>
        <v/>
      </c>
    </row>
    <row r="1107">
      <c r="B1107" s="3" t="inlineStr">
        <is>
          <t>Total sources</t>
        </is>
      </c>
      <c r="C1107" s="31">
        <f>SUM(C1103:C1106)</f>
        <v/>
      </c>
    </row>
    <row r="1109">
      <c r="B1109" s="3" t="inlineStr">
        <is>
          <t>Flows after closing (years in columns D to AI; closing, minority sale and exit in AJ to AL)</t>
        </is>
      </c>
    </row>
    <row r="1110">
      <c r="B1110" s="2" t="inlineStr">
        <is>
          <t>Share of the year owned</t>
        </is>
      </c>
      <c r="D1110" s="24">
        <f>IF(D$3&gt;i_exit_year,0,MIN(1,MAX(0,D$4-Sensitivities!$C$1060)))</f>
        <v/>
      </c>
      <c r="E1110" s="24">
        <f>IF(E$3&gt;i_exit_year,0,MIN(1,MAX(0,E$4-Sensitivities!$C$1060)))</f>
        <v/>
      </c>
      <c r="F1110" s="24">
        <f>IF(F$3&gt;i_exit_year,0,MIN(1,MAX(0,F$4-Sensitivities!$C$1060)))</f>
        <v/>
      </c>
      <c r="G1110" s="24">
        <f>IF(G$3&gt;i_exit_year,0,MIN(1,MAX(0,G$4-Sensitivities!$C$1060)))</f>
        <v/>
      </c>
      <c r="H1110" s="24">
        <f>IF(H$3&gt;i_exit_year,0,MIN(1,MAX(0,H$4-Sensitivities!$C$1060)))</f>
        <v/>
      </c>
      <c r="I1110" s="24">
        <f>IF(I$3&gt;i_exit_year,0,MIN(1,MAX(0,I$4-Sensitivities!$C$1060)))</f>
        <v/>
      </c>
      <c r="J1110" s="24">
        <f>IF(J$3&gt;i_exit_year,0,MIN(1,MAX(0,J$4-Sensitivities!$C$1060)))</f>
        <v/>
      </c>
      <c r="K1110" s="24">
        <f>IF(K$3&gt;i_exit_year,0,MIN(1,MAX(0,K$4-Sensitivities!$C$1060)))</f>
        <v/>
      </c>
      <c r="L1110" s="24">
        <f>IF(L$3&gt;i_exit_year,0,MIN(1,MAX(0,L$4-Sensitivities!$C$1060)))</f>
        <v/>
      </c>
      <c r="M1110" s="24">
        <f>IF(M$3&gt;i_exit_year,0,MIN(1,MAX(0,M$4-Sensitivities!$C$1060)))</f>
        <v/>
      </c>
      <c r="N1110" s="24">
        <f>IF(N$3&gt;i_exit_year,0,MIN(1,MAX(0,N$4-Sensitivities!$C$1060)))</f>
        <v/>
      </c>
      <c r="O1110" s="24">
        <f>IF(O$3&gt;i_exit_year,0,MIN(1,MAX(0,O$4-Sensitivities!$C$1060)))</f>
        <v/>
      </c>
      <c r="P1110" s="24">
        <f>IF(P$3&gt;i_exit_year,0,MIN(1,MAX(0,P$4-Sensitivities!$C$1060)))</f>
        <v/>
      </c>
      <c r="Q1110" s="24">
        <f>IF(Q$3&gt;i_exit_year,0,MIN(1,MAX(0,Q$4-Sensitivities!$C$1060)))</f>
        <v/>
      </c>
      <c r="R1110" s="24">
        <f>IF(R$3&gt;i_exit_year,0,MIN(1,MAX(0,R$4-Sensitivities!$C$1060)))</f>
        <v/>
      </c>
      <c r="S1110" s="24">
        <f>IF(S$3&gt;i_exit_year,0,MIN(1,MAX(0,S$4-Sensitivities!$C$1060)))</f>
        <v/>
      </c>
      <c r="T1110" s="24">
        <f>IF(T$3&gt;i_exit_year,0,MIN(1,MAX(0,T$4-Sensitivities!$C$1060)))</f>
        <v/>
      </c>
      <c r="U1110" s="24">
        <f>IF(U$3&gt;i_exit_year,0,MIN(1,MAX(0,U$4-Sensitivities!$C$1060)))</f>
        <v/>
      </c>
      <c r="V1110" s="24">
        <f>IF(V$3&gt;i_exit_year,0,MIN(1,MAX(0,V$4-Sensitivities!$C$1060)))</f>
        <v/>
      </c>
      <c r="W1110" s="24">
        <f>IF(W$3&gt;i_exit_year,0,MIN(1,MAX(0,W$4-Sensitivities!$C$1060)))</f>
        <v/>
      </c>
      <c r="X1110" s="24">
        <f>IF(X$3&gt;i_exit_year,0,MIN(1,MAX(0,X$4-Sensitivities!$C$1060)))</f>
        <v/>
      </c>
      <c r="Y1110" s="24">
        <f>IF(Y$3&gt;i_exit_year,0,MIN(1,MAX(0,Y$4-Sensitivities!$C$1060)))</f>
        <v/>
      </c>
      <c r="Z1110" s="24">
        <f>IF(Z$3&gt;i_exit_year,0,MIN(1,MAX(0,Z$4-Sensitivities!$C$1060)))</f>
        <v/>
      </c>
      <c r="AA1110" s="24">
        <f>IF(AA$3&gt;i_exit_year,0,MIN(1,MAX(0,AA$4-Sensitivities!$C$1060)))</f>
        <v/>
      </c>
      <c r="AB1110" s="24">
        <f>IF(AB$3&gt;i_exit_year,0,MIN(1,MAX(0,AB$4-Sensitivities!$C$1060)))</f>
        <v/>
      </c>
      <c r="AC1110" s="24">
        <f>IF(AC$3&gt;i_exit_year,0,MIN(1,MAX(0,AC$4-Sensitivities!$C$1060)))</f>
        <v/>
      </c>
      <c r="AD1110" s="24">
        <f>IF(AD$3&gt;i_exit_year,0,MIN(1,MAX(0,AD$4-Sensitivities!$C$1060)))</f>
        <v/>
      </c>
      <c r="AE1110" s="24">
        <f>IF(AE$3&gt;i_exit_year,0,MIN(1,MAX(0,AE$4-Sensitivities!$C$1060)))</f>
        <v/>
      </c>
      <c r="AF1110" s="24">
        <f>IF(AF$3&gt;i_exit_year,0,MIN(1,MAX(0,AF$4-Sensitivities!$C$1060)))</f>
        <v/>
      </c>
      <c r="AG1110" s="24">
        <f>IF(AG$3&gt;i_exit_year,0,MIN(1,MAX(0,AG$4-Sensitivities!$C$1060)))</f>
        <v/>
      </c>
      <c r="AH1110" s="24">
        <f>IF(AH$3&gt;i_exit_year,0,MIN(1,MAX(0,AH$4-Sensitivities!$C$1060)))</f>
        <v/>
      </c>
      <c r="AI1110" s="24">
        <f>IF(AI$3&gt;i_exit_year,0,MIN(1,MAX(0,AI$4-Sensitivities!$C$1060)))</f>
        <v/>
      </c>
    </row>
    <row r="1111">
      <c r="B1111" s="2" t="inlineStr">
        <is>
          <t>Opco rate (refinanced after the tenor)</t>
        </is>
      </c>
      <c r="D1111" s="23">
        <f>IF(D$4&lt;=Sensitivities!$C$1060+i_opco_tenor,Sensitivities!$C$1084,Sensitivities!$C$1084+Sensitivities!$C$1064)</f>
        <v/>
      </c>
      <c r="E1111" s="23">
        <f>IF(E$4&lt;=Sensitivities!$C$1060+i_opco_tenor,Sensitivities!$C$1084,Sensitivities!$C$1084+Sensitivities!$C$1064)</f>
        <v/>
      </c>
      <c r="F1111" s="23">
        <f>IF(F$4&lt;=Sensitivities!$C$1060+i_opco_tenor,Sensitivities!$C$1084,Sensitivities!$C$1084+Sensitivities!$C$1064)</f>
        <v/>
      </c>
      <c r="G1111" s="23">
        <f>IF(G$4&lt;=Sensitivities!$C$1060+i_opco_tenor,Sensitivities!$C$1084,Sensitivities!$C$1084+Sensitivities!$C$1064)</f>
        <v/>
      </c>
      <c r="H1111" s="23">
        <f>IF(H$4&lt;=Sensitivities!$C$1060+i_opco_tenor,Sensitivities!$C$1084,Sensitivities!$C$1084+Sensitivities!$C$1064)</f>
        <v/>
      </c>
      <c r="I1111" s="23">
        <f>IF(I$4&lt;=Sensitivities!$C$1060+i_opco_tenor,Sensitivities!$C$1084,Sensitivities!$C$1084+Sensitivities!$C$1064)</f>
        <v/>
      </c>
      <c r="J1111" s="23">
        <f>IF(J$4&lt;=Sensitivities!$C$1060+i_opco_tenor,Sensitivities!$C$1084,Sensitivities!$C$1084+Sensitivities!$C$1064)</f>
        <v/>
      </c>
      <c r="K1111" s="23">
        <f>IF(K$4&lt;=Sensitivities!$C$1060+i_opco_tenor,Sensitivities!$C$1084,Sensitivities!$C$1084+Sensitivities!$C$1064)</f>
        <v/>
      </c>
      <c r="L1111" s="23">
        <f>IF(L$4&lt;=Sensitivities!$C$1060+i_opco_tenor,Sensitivities!$C$1084,Sensitivities!$C$1084+Sensitivities!$C$1064)</f>
        <v/>
      </c>
      <c r="M1111" s="23">
        <f>IF(M$4&lt;=Sensitivities!$C$1060+i_opco_tenor,Sensitivities!$C$1084,Sensitivities!$C$1084+Sensitivities!$C$1064)</f>
        <v/>
      </c>
      <c r="N1111" s="23">
        <f>IF(N$4&lt;=Sensitivities!$C$1060+i_opco_tenor,Sensitivities!$C$1084,Sensitivities!$C$1084+Sensitivities!$C$1064)</f>
        <v/>
      </c>
      <c r="O1111" s="23">
        <f>IF(O$4&lt;=Sensitivities!$C$1060+i_opco_tenor,Sensitivities!$C$1084,Sensitivities!$C$1084+Sensitivities!$C$1064)</f>
        <v/>
      </c>
      <c r="P1111" s="23">
        <f>IF(P$4&lt;=Sensitivities!$C$1060+i_opco_tenor,Sensitivities!$C$1084,Sensitivities!$C$1084+Sensitivities!$C$1064)</f>
        <v/>
      </c>
      <c r="Q1111" s="23">
        <f>IF(Q$4&lt;=Sensitivities!$C$1060+i_opco_tenor,Sensitivities!$C$1084,Sensitivities!$C$1084+Sensitivities!$C$1064)</f>
        <v/>
      </c>
      <c r="R1111" s="23">
        <f>IF(R$4&lt;=Sensitivities!$C$1060+i_opco_tenor,Sensitivities!$C$1084,Sensitivities!$C$1084+Sensitivities!$C$1064)</f>
        <v/>
      </c>
      <c r="S1111" s="23">
        <f>IF(S$4&lt;=Sensitivities!$C$1060+i_opco_tenor,Sensitivities!$C$1084,Sensitivities!$C$1084+Sensitivities!$C$1064)</f>
        <v/>
      </c>
      <c r="T1111" s="23">
        <f>IF(T$4&lt;=Sensitivities!$C$1060+i_opco_tenor,Sensitivities!$C$1084,Sensitivities!$C$1084+Sensitivities!$C$1064)</f>
        <v/>
      </c>
      <c r="U1111" s="23">
        <f>IF(U$4&lt;=Sensitivities!$C$1060+i_opco_tenor,Sensitivities!$C$1084,Sensitivities!$C$1084+Sensitivities!$C$1064)</f>
        <v/>
      </c>
      <c r="V1111" s="23">
        <f>IF(V$4&lt;=Sensitivities!$C$1060+i_opco_tenor,Sensitivities!$C$1084,Sensitivities!$C$1084+Sensitivities!$C$1064)</f>
        <v/>
      </c>
      <c r="W1111" s="23">
        <f>IF(W$4&lt;=Sensitivities!$C$1060+i_opco_tenor,Sensitivities!$C$1084,Sensitivities!$C$1084+Sensitivities!$C$1064)</f>
        <v/>
      </c>
      <c r="X1111" s="23">
        <f>IF(X$4&lt;=Sensitivities!$C$1060+i_opco_tenor,Sensitivities!$C$1084,Sensitivities!$C$1084+Sensitivities!$C$1064)</f>
        <v/>
      </c>
      <c r="Y1111" s="23">
        <f>IF(Y$4&lt;=Sensitivities!$C$1060+i_opco_tenor,Sensitivities!$C$1084,Sensitivities!$C$1084+Sensitivities!$C$1064)</f>
        <v/>
      </c>
      <c r="Z1111" s="23">
        <f>IF(Z$4&lt;=Sensitivities!$C$1060+i_opco_tenor,Sensitivities!$C$1084,Sensitivities!$C$1084+Sensitivities!$C$1064)</f>
        <v/>
      </c>
      <c r="AA1111" s="23">
        <f>IF(AA$4&lt;=Sensitivities!$C$1060+i_opco_tenor,Sensitivities!$C$1084,Sensitivities!$C$1084+Sensitivities!$C$1064)</f>
        <v/>
      </c>
      <c r="AB1111" s="23">
        <f>IF(AB$4&lt;=Sensitivities!$C$1060+i_opco_tenor,Sensitivities!$C$1084,Sensitivities!$C$1084+Sensitivities!$C$1064)</f>
        <v/>
      </c>
      <c r="AC1111" s="23">
        <f>IF(AC$4&lt;=Sensitivities!$C$1060+i_opco_tenor,Sensitivities!$C$1084,Sensitivities!$C$1084+Sensitivities!$C$1064)</f>
        <v/>
      </c>
      <c r="AD1111" s="23">
        <f>IF(AD$4&lt;=Sensitivities!$C$1060+i_opco_tenor,Sensitivities!$C$1084,Sensitivities!$C$1084+Sensitivities!$C$1064)</f>
        <v/>
      </c>
      <c r="AE1111" s="23">
        <f>IF(AE$4&lt;=Sensitivities!$C$1060+i_opco_tenor,Sensitivities!$C$1084,Sensitivities!$C$1084+Sensitivities!$C$1064)</f>
        <v/>
      </c>
      <c r="AF1111" s="23">
        <f>IF(AF$4&lt;=Sensitivities!$C$1060+i_opco_tenor,Sensitivities!$C$1084,Sensitivities!$C$1084+Sensitivities!$C$1064)</f>
        <v/>
      </c>
      <c r="AG1111" s="23">
        <f>IF(AG$4&lt;=Sensitivities!$C$1060+i_opco_tenor,Sensitivities!$C$1084,Sensitivities!$C$1084+Sensitivities!$C$1064)</f>
        <v/>
      </c>
      <c r="AH1111" s="23">
        <f>IF(AH$4&lt;=Sensitivities!$C$1060+i_opco_tenor,Sensitivities!$C$1084,Sensitivities!$C$1084+Sensitivities!$C$1064)</f>
        <v/>
      </c>
      <c r="AI1111" s="23">
        <f>IF(AI$4&lt;=Sensitivities!$C$1060+i_opco_tenor,Sensitivities!$C$1084,Sensitivities!$C$1084+Sensitivities!$C$1064)</f>
        <v/>
      </c>
    </row>
    <row r="1112">
      <c r="B1112" s="2" t="inlineStr">
        <is>
          <t>Interest (opco and holdco)</t>
        </is>
      </c>
      <c r="D1112" s="19">
        <f>D1111*Sensitivities!$C$1086+i_hold_rate*Sensitivities!$C$1087</f>
        <v/>
      </c>
      <c r="E1112" s="19">
        <f>E1111*Sensitivities!$C$1086+i_hold_rate*Sensitivities!$C$1087</f>
        <v/>
      </c>
      <c r="F1112" s="19">
        <f>F1111*Sensitivities!$C$1086+i_hold_rate*Sensitivities!$C$1087</f>
        <v/>
      </c>
      <c r="G1112" s="19">
        <f>G1111*Sensitivities!$C$1086+i_hold_rate*Sensitivities!$C$1087</f>
        <v/>
      </c>
      <c r="H1112" s="19">
        <f>H1111*Sensitivities!$C$1086+i_hold_rate*Sensitivities!$C$1087</f>
        <v/>
      </c>
      <c r="I1112" s="19">
        <f>I1111*Sensitivities!$C$1086+i_hold_rate*Sensitivities!$C$1087</f>
        <v/>
      </c>
      <c r="J1112" s="19">
        <f>J1111*Sensitivities!$C$1086+i_hold_rate*Sensitivities!$C$1087</f>
        <v/>
      </c>
      <c r="K1112" s="19">
        <f>K1111*Sensitivities!$C$1086+i_hold_rate*Sensitivities!$C$1087</f>
        <v/>
      </c>
      <c r="L1112" s="19">
        <f>L1111*Sensitivities!$C$1086+i_hold_rate*Sensitivities!$C$1087</f>
        <v/>
      </c>
      <c r="M1112" s="19">
        <f>M1111*Sensitivities!$C$1086+i_hold_rate*Sensitivities!$C$1087</f>
        <v/>
      </c>
      <c r="N1112" s="19">
        <f>N1111*Sensitivities!$C$1086+i_hold_rate*Sensitivities!$C$1087</f>
        <v/>
      </c>
      <c r="O1112" s="19">
        <f>O1111*Sensitivities!$C$1086+i_hold_rate*Sensitivities!$C$1087</f>
        <v/>
      </c>
      <c r="P1112" s="19">
        <f>P1111*Sensitivities!$C$1086+i_hold_rate*Sensitivities!$C$1087</f>
        <v/>
      </c>
      <c r="Q1112" s="19">
        <f>Q1111*Sensitivities!$C$1086+i_hold_rate*Sensitivities!$C$1087</f>
        <v/>
      </c>
      <c r="R1112" s="19">
        <f>R1111*Sensitivities!$C$1086+i_hold_rate*Sensitivities!$C$1087</f>
        <v/>
      </c>
      <c r="S1112" s="19">
        <f>S1111*Sensitivities!$C$1086+i_hold_rate*Sensitivities!$C$1087</f>
        <v/>
      </c>
      <c r="T1112" s="19">
        <f>T1111*Sensitivities!$C$1086+i_hold_rate*Sensitivities!$C$1087</f>
        <v/>
      </c>
      <c r="U1112" s="19">
        <f>U1111*Sensitivities!$C$1086+i_hold_rate*Sensitivities!$C$1087</f>
        <v/>
      </c>
      <c r="V1112" s="19">
        <f>V1111*Sensitivities!$C$1086+i_hold_rate*Sensitivities!$C$1087</f>
        <v/>
      </c>
      <c r="W1112" s="19">
        <f>W1111*Sensitivities!$C$1086+i_hold_rate*Sensitivities!$C$1087</f>
        <v/>
      </c>
      <c r="X1112" s="19">
        <f>X1111*Sensitivities!$C$1086+i_hold_rate*Sensitivities!$C$1087</f>
        <v/>
      </c>
      <c r="Y1112" s="19">
        <f>Y1111*Sensitivities!$C$1086+i_hold_rate*Sensitivities!$C$1087</f>
        <v/>
      </c>
      <c r="Z1112" s="19">
        <f>Z1111*Sensitivities!$C$1086+i_hold_rate*Sensitivities!$C$1087</f>
        <v/>
      </c>
      <c r="AA1112" s="19">
        <f>AA1111*Sensitivities!$C$1086+i_hold_rate*Sensitivities!$C$1087</f>
        <v/>
      </c>
      <c r="AB1112" s="19">
        <f>AB1111*Sensitivities!$C$1086+i_hold_rate*Sensitivities!$C$1087</f>
        <v/>
      </c>
      <c r="AC1112" s="19">
        <f>AC1111*Sensitivities!$C$1086+i_hold_rate*Sensitivities!$C$1087</f>
        <v/>
      </c>
      <c r="AD1112" s="19">
        <f>AD1111*Sensitivities!$C$1086+i_hold_rate*Sensitivities!$C$1087</f>
        <v/>
      </c>
      <c r="AE1112" s="19">
        <f>AE1111*Sensitivities!$C$1086+i_hold_rate*Sensitivities!$C$1087</f>
        <v/>
      </c>
      <c r="AF1112" s="19">
        <f>AF1111*Sensitivities!$C$1086+i_hold_rate*Sensitivities!$C$1087</f>
        <v/>
      </c>
      <c r="AG1112" s="19">
        <f>AG1111*Sensitivities!$C$1086+i_hold_rate*Sensitivities!$C$1087</f>
        <v/>
      </c>
      <c r="AH1112" s="19">
        <f>AH1111*Sensitivities!$C$1086+i_hold_rate*Sensitivities!$C$1087</f>
        <v/>
      </c>
      <c r="AI1112" s="19">
        <f>AI1111*Sensitivities!$C$1086+i_hold_rate*Sensitivities!$C$1087</f>
        <v/>
      </c>
    </row>
    <row r="1113">
      <c r="B1113" s="2" t="inlineStr">
        <is>
          <t>Deductible interest (cap on EBITDA)</t>
        </is>
      </c>
      <c r="D1113" s="19">
        <f>MIN(D1112,i_int_cap*Sensitivities!D336)</f>
        <v/>
      </c>
      <c r="E1113" s="19">
        <f>MIN(E1112,i_int_cap*Sensitivities!E336)</f>
        <v/>
      </c>
      <c r="F1113" s="19">
        <f>MIN(F1112,i_int_cap*Sensitivities!F336)</f>
        <v/>
      </c>
      <c r="G1113" s="19">
        <f>MIN(G1112,i_int_cap*Sensitivities!G336)</f>
        <v/>
      </c>
      <c r="H1113" s="19">
        <f>MIN(H1112,i_int_cap*Sensitivities!H336)</f>
        <v/>
      </c>
      <c r="I1113" s="19">
        <f>MIN(I1112,i_int_cap*Sensitivities!I336)</f>
        <v/>
      </c>
      <c r="J1113" s="19">
        <f>MIN(J1112,i_int_cap*Sensitivities!J336)</f>
        <v/>
      </c>
      <c r="K1113" s="19">
        <f>MIN(K1112,i_int_cap*Sensitivities!K336)</f>
        <v/>
      </c>
      <c r="L1113" s="19">
        <f>MIN(L1112,i_int_cap*Sensitivities!L336)</f>
        <v/>
      </c>
      <c r="M1113" s="19">
        <f>MIN(M1112,i_int_cap*Sensitivities!M336)</f>
        <v/>
      </c>
      <c r="N1113" s="19">
        <f>MIN(N1112,i_int_cap*Sensitivities!N336)</f>
        <v/>
      </c>
      <c r="O1113" s="19">
        <f>MIN(O1112,i_int_cap*Sensitivities!O336)</f>
        <v/>
      </c>
      <c r="P1113" s="19">
        <f>MIN(P1112,i_int_cap*Sensitivities!P336)</f>
        <v/>
      </c>
      <c r="Q1113" s="19">
        <f>MIN(Q1112,i_int_cap*Sensitivities!Q336)</f>
        <v/>
      </c>
      <c r="R1113" s="19">
        <f>MIN(R1112,i_int_cap*Sensitivities!R336)</f>
        <v/>
      </c>
      <c r="S1113" s="19">
        <f>MIN(S1112,i_int_cap*Sensitivities!S336)</f>
        <v/>
      </c>
      <c r="T1113" s="19">
        <f>MIN(T1112,i_int_cap*Sensitivities!T336)</f>
        <v/>
      </c>
      <c r="U1113" s="19">
        <f>MIN(U1112,i_int_cap*Sensitivities!U336)</f>
        <v/>
      </c>
      <c r="V1113" s="19">
        <f>MIN(V1112,i_int_cap*Sensitivities!V336)</f>
        <v/>
      </c>
      <c r="W1113" s="19">
        <f>MIN(W1112,i_int_cap*Sensitivities!W336)</f>
        <v/>
      </c>
      <c r="X1113" s="19">
        <f>MIN(X1112,i_int_cap*Sensitivities!X336)</f>
        <v/>
      </c>
      <c r="Y1113" s="19">
        <f>MIN(Y1112,i_int_cap*Sensitivities!Y336)</f>
        <v/>
      </c>
      <c r="Z1113" s="19">
        <f>MIN(Z1112,i_int_cap*Sensitivities!Z336)</f>
        <v/>
      </c>
      <c r="AA1113" s="19">
        <f>MIN(AA1112,i_int_cap*Sensitivities!AA336)</f>
        <v/>
      </c>
      <c r="AB1113" s="19">
        <f>MIN(AB1112,i_int_cap*Sensitivities!AB336)</f>
        <v/>
      </c>
      <c r="AC1113" s="19">
        <f>MIN(AC1112,i_int_cap*Sensitivities!AC336)</f>
        <v/>
      </c>
      <c r="AD1113" s="19">
        <f>MIN(AD1112,i_int_cap*Sensitivities!AD336)</f>
        <v/>
      </c>
      <c r="AE1113" s="19">
        <f>MIN(AE1112,i_int_cap*Sensitivities!AE336)</f>
        <v/>
      </c>
      <c r="AF1113" s="19">
        <f>MIN(AF1112,i_int_cap*Sensitivities!AF336)</f>
        <v/>
      </c>
      <c r="AG1113" s="19">
        <f>MIN(AG1112,i_int_cap*Sensitivities!AG336)</f>
        <v/>
      </c>
      <c r="AH1113" s="19">
        <f>MIN(AH1112,i_int_cap*Sensitivities!AH336)</f>
        <v/>
      </c>
      <c r="AI1113" s="19">
        <f>MIN(AI1112,i_int_cap*Sensitivities!AI336)</f>
        <v/>
      </c>
    </row>
    <row r="1114">
      <c r="B1114" s="2" t="inlineStr">
        <is>
          <t>Cash tax with the debt</t>
        </is>
      </c>
      <c r="D1114" s="19">
        <f>i_tax*MAX(0,Sensitivities!D336-Sensitivities!D339-D1113)</f>
        <v/>
      </c>
      <c r="E1114" s="19">
        <f>i_tax*MAX(0,Sensitivities!E336-Sensitivities!E339-E1113)</f>
        <v/>
      </c>
      <c r="F1114" s="19">
        <f>i_tax*MAX(0,Sensitivities!F336-Sensitivities!F339-F1113)</f>
        <v/>
      </c>
      <c r="G1114" s="19">
        <f>i_tax*MAX(0,Sensitivities!G336-Sensitivities!G339-G1113)</f>
        <v/>
      </c>
      <c r="H1114" s="19">
        <f>i_tax*MAX(0,Sensitivities!H336-Sensitivities!H339-H1113)</f>
        <v/>
      </c>
      <c r="I1114" s="19">
        <f>i_tax*MAX(0,Sensitivities!I336-Sensitivities!I339-I1113)</f>
        <v/>
      </c>
      <c r="J1114" s="19">
        <f>i_tax*MAX(0,Sensitivities!J336-Sensitivities!J339-J1113)</f>
        <v/>
      </c>
      <c r="K1114" s="19">
        <f>i_tax*MAX(0,Sensitivities!K336-Sensitivities!K339-K1113)</f>
        <v/>
      </c>
      <c r="L1114" s="19">
        <f>i_tax*MAX(0,Sensitivities!L336-Sensitivities!L339-L1113)</f>
        <v/>
      </c>
      <c r="M1114" s="19">
        <f>i_tax*MAX(0,Sensitivities!M336-Sensitivities!M339-M1113)</f>
        <v/>
      </c>
      <c r="N1114" s="19">
        <f>i_tax*MAX(0,Sensitivities!N336-Sensitivities!N339-N1113)</f>
        <v/>
      </c>
      <c r="O1114" s="19">
        <f>i_tax*MAX(0,Sensitivities!O336-Sensitivities!O339-O1113)</f>
        <v/>
      </c>
      <c r="P1114" s="19">
        <f>i_tax*MAX(0,Sensitivities!P336-Sensitivities!P339-P1113)</f>
        <v/>
      </c>
      <c r="Q1114" s="19">
        <f>i_tax*MAX(0,Sensitivities!Q336-Sensitivities!Q339-Q1113)</f>
        <v/>
      </c>
      <c r="R1114" s="19">
        <f>i_tax*MAX(0,Sensitivities!R336-Sensitivities!R339-R1113)</f>
        <v/>
      </c>
      <c r="S1114" s="19">
        <f>i_tax*MAX(0,Sensitivities!S336-Sensitivities!S339-S1113)</f>
        <v/>
      </c>
      <c r="T1114" s="19">
        <f>i_tax*MAX(0,Sensitivities!T336-Sensitivities!T339-T1113)</f>
        <v/>
      </c>
      <c r="U1114" s="19">
        <f>i_tax*MAX(0,Sensitivities!U336-Sensitivities!U339-U1113)</f>
        <v/>
      </c>
      <c r="V1114" s="19">
        <f>i_tax*MAX(0,Sensitivities!V336-Sensitivities!V339-V1113)</f>
        <v/>
      </c>
      <c r="W1114" s="19">
        <f>i_tax*MAX(0,Sensitivities!W336-Sensitivities!W339-W1113)</f>
        <v/>
      </c>
      <c r="X1114" s="19">
        <f>i_tax*MAX(0,Sensitivities!X336-Sensitivities!X339-X1113)</f>
        <v/>
      </c>
      <c r="Y1114" s="19">
        <f>i_tax*MAX(0,Sensitivities!Y336-Sensitivities!Y339-Y1113)</f>
        <v/>
      </c>
      <c r="Z1114" s="19">
        <f>i_tax*MAX(0,Sensitivities!Z336-Sensitivities!Z339-Z1113)</f>
        <v/>
      </c>
      <c r="AA1114" s="19">
        <f>i_tax*MAX(0,Sensitivities!AA336-Sensitivities!AA339-AA1113)</f>
        <v/>
      </c>
      <c r="AB1114" s="19">
        <f>i_tax*MAX(0,Sensitivities!AB336-Sensitivities!AB339-AB1113)</f>
        <v/>
      </c>
      <c r="AC1114" s="19">
        <f>i_tax*MAX(0,Sensitivities!AC336-Sensitivities!AC339-AC1113)</f>
        <v/>
      </c>
      <c r="AD1114" s="19">
        <f>i_tax*MAX(0,Sensitivities!AD336-Sensitivities!AD339-AD1113)</f>
        <v/>
      </c>
      <c r="AE1114" s="19">
        <f>i_tax*MAX(0,Sensitivities!AE336-Sensitivities!AE339-AE1113)</f>
        <v/>
      </c>
      <c r="AF1114" s="19">
        <f>i_tax*MAX(0,Sensitivities!AF336-Sensitivities!AF339-AF1113)</f>
        <v/>
      </c>
      <c r="AG1114" s="19">
        <f>i_tax*MAX(0,Sensitivities!AG336-Sensitivities!AG339-AG1113)</f>
        <v/>
      </c>
      <c r="AH1114" s="19">
        <f>i_tax*MAX(0,Sensitivities!AH336-Sensitivities!AH339-AH1113)</f>
        <v/>
      </c>
      <c r="AI1114" s="19">
        <f>i_tax*MAX(0,Sensitivities!AI336-Sensitivities!AI339-AI1113)</f>
        <v/>
      </c>
    </row>
    <row r="1115">
      <c r="B1115" s="3" t="inlineStr">
        <is>
          <t>Cash flow to equity (full year)</t>
        </is>
      </c>
      <c r="D1115" s="31">
        <f>Sensitivities!D336-Sensitivities!D337-Sensitivities!D338-D1114-D1112-Sensitivities!D341</f>
        <v/>
      </c>
      <c r="E1115" s="31">
        <f>Sensitivities!E336-Sensitivities!E337-Sensitivities!E338-E1114-E1112-Sensitivities!E341</f>
        <v/>
      </c>
      <c r="F1115" s="31">
        <f>Sensitivities!F336-Sensitivities!F337-Sensitivities!F338-F1114-F1112-Sensitivities!F341</f>
        <v/>
      </c>
      <c r="G1115" s="31">
        <f>Sensitivities!G336-Sensitivities!G337-Sensitivities!G338-G1114-G1112-Sensitivities!G341</f>
        <v/>
      </c>
      <c r="H1115" s="31">
        <f>Sensitivities!H336-Sensitivities!H337-Sensitivities!H338-H1114-H1112-Sensitivities!H341</f>
        <v/>
      </c>
      <c r="I1115" s="31">
        <f>Sensitivities!I336-Sensitivities!I337-Sensitivities!I338-I1114-I1112-Sensitivities!I341</f>
        <v/>
      </c>
      <c r="J1115" s="31">
        <f>Sensitivities!J336-Sensitivities!J337-Sensitivities!J338-J1114-J1112-Sensitivities!J341</f>
        <v/>
      </c>
      <c r="K1115" s="31">
        <f>Sensitivities!K336-Sensitivities!K337-Sensitivities!K338-K1114-K1112-Sensitivities!K341</f>
        <v/>
      </c>
      <c r="L1115" s="31">
        <f>Sensitivities!L336-Sensitivities!L337-Sensitivities!L338-L1114-L1112-Sensitivities!L341</f>
        <v/>
      </c>
      <c r="M1115" s="31">
        <f>Sensitivities!M336-Sensitivities!M337-Sensitivities!M338-M1114-M1112-Sensitivities!M341</f>
        <v/>
      </c>
      <c r="N1115" s="31">
        <f>Sensitivities!N336-Sensitivities!N337-Sensitivities!N338-N1114-N1112-Sensitivities!N341</f>
        <v/>
      </c>
      <c r="O1115" s="31">
        <f>Sensitivities!O336-Sensitivities!O337-Sensitivities!O338-O1114-O1112-Sensitivities!O341</f>
        <v/>
      </c>
      <c r="P1115" s="31">
        <f>Sensitivities!P336-Sensitivities!P337-Sensitivities!P338-P1114-P1112-Sensitivities!P341</f>
        <v/>
      </c>
      <c r="Q1115" s="31">
        <f>Sensitivities!Q336-Sensitivities!Q337-Sensitivities!Q338-Q1114-Q1112-Sensitivities!Q341</f>
        <v/>
      </c>
      <c r="R1115" s="31">
        <f>Sensitivities!R336-Sensitivities!R337-Sensitivities!R338-R1114-R1112-Sensitivities!R341</f>
        <v/>
      </c>
      <c r="S1115" s="31">
        <f>Sensitivities!S336-Sensitivities!S337-Sensitivities!S338-S1114-S1112-Sensitivities!S341</f>
        <v/>
      </c>
      <c r="T1115" s="31">
        <f>Sensitivities!T336-Sensitivities!T337-Sensitivities!T338-T1114-T1112-Sensitivities!T341</f>
        <v/>
      </c>
      <c r="U1115" s="31">
        <f>Sensitivities!U336-Sensitivities!U337-Sensitivities!U338-U1114-U1112-Sensitivities!U341</f>
        <v/>
      </c>
      <c r="V1115" s="31">
        <f>Sensitivities!V336-Sensitivities!V337-Sensitivities!V338-V1114-V1112-Sensitivities!V341</f>
        <v/>
      </c>
      <c r="W1115" s="31">
        <f>Sensitivities!W336-Sensitivities!W337-Sensitivities!W338-W1114-W1112-Sensitivities!W341</f>
        <v/>
      </c>
      <c r="X1115" s="31">
        <f>Sensitivities!X336-Sensitivities!X337-Sensitivities!X338-X1114-X1112-Sensitivities!X341</f>
        <v/>
      </c>
      <c r="Y1115" s="31">
        <f>Sensitivities!Y336-Sensitivities!Y337-Sensitivities!Y338-Y1114-Y1112-Sensitivities!Y341</f>
        <v/>
      </c>
      <c r="Z1115" s="31">
        <f>Sensitivities!Z336-Sensitivities!Z337-Sensitivities!Z338-Z1114-Z1112-Sensitivities!Z341</f>
        <v/>
      </c>
      <c r="AA1115" s="31">
        <f>Sensitivities!AA336-Sensitivities!AA337-Sensitivities!AA338-AA1114-AA1112-Sensitivities!AA341</f>
        <v/>
      </c>
      <c r="AB1115" s="31">
        <f>Sensitivities!AB336-Sensitivities!AB337-Sensitivities!AB338-AB1114-AB1112-Sensitivities!AB341</f>
        <v/>
      </c>
      <c r="AC1115" s="31">
        <f>Sensitivities!AC336-Sensitivities!AC337-Sensitivities!AC338-AC1114-AC1112-Sensitivities!AC341</f>
        <v/>
      </c>
      <c r="AD1115" s="31">
        <f>Sensitivities!AD336-Sensitivities!AD337-Sensitivities!AD338-AD1114-AD1112-Sensitivities!AD341</f>
        <v/>
      </c>
      <c r="AE1115" s="31">
        <f>Sensitivities!AE336-Sensitivities!AE337-Sensitivities!AE338-AE1114-AE1112-Sensitivities!AE341</f>
        <v/>
      </c>
      <c r="AF1115" s="31">
        <f>Sensitivities!AF336-Sensitivities!AF337-Sensitivities!AF338-AF1114-AF1112-Sensitivities!AF341</f>
        <v/>
      </c>
      <c r="AG1115" s="31">
        <f>Sensitivities!AG336-Sensitivities!AG337-Sensitivities!AG338-AG1114-AG1112-Sensitivities!AG341</f>
        <v/>
      </c>
      <c r="AH1115" s="31">
        <f>Sensitivities!AH336-Sensitivities!AH337-Sensitivities!AH338-AH1114-AH1112-Sensitivities!AH341</f>
        <v/>
      </c>
      <c r="AI1115" s="31">
        <f>Sensitivities!AI336-Sensitivities!AI337-Sensitivities!AI338-AI1114-AI1112-Sensitivities!AI341</f>
        <v/>
      </c>
    </row>
    <row r="1116">
      <c r="B1116" s="2" t="inlineStr">
        <is>
          <t>Exit EV at the end of the exit year (DCF at the exit rate)</t>
        </is>
      </c>
      <c r="C1116" s="19">
        <f>SUMPRODUCT((Sensitivities!$D$3:$AI$3&gt;i_exit_year)*(Sensitivities!$D$3:$AI$3&lt;=i_last)*Sensitivities!$D$342:$AI$342/(1+Sensitivities!$C$1063)^(Sensitivities!$D$3:$AI$3-i_exit_year))+Sensitivities!$AI$342/(Sensitivities!$C$1063-i_g)/(1+Sensitivities!$C$1063)^(i_last-i_exit_year)</f>
        <v/>
      </c>
    </row>
    <row r="1117">
      <c r="B1117" s="2" t="inlineStr">
        <is>
          <t>Debt at exit (bullets)</t>
        </is>
      </c>
      <c r="C1117" s="19">
        <f>Sensitivities!$C$1086+Sensitivities!$C$1087</f>
        <v/>
      </c>
    </row>
    <row r="1118">
      <c r="B1118" s="3" t="inlineStr">
        <is>
          <t>Equity value at exit</t>
        </is>
      </c>
      <c r="C1118" s="31">
        <f>Sensitivities!$C$1116-Sensitivities!$C$1117</f>
        <v/>
      </c>
    </row>
    <row r="1119">
      <c r="B1119" s="2" t="inlineStr">
        <is>
          <t>Minority option: EV at the end of 2031 (minority buyer's rate)</t>
        </is>
      </c>
      <c r="C1119" s="19">
        <f>SUMPRODUCT((Sensitivities!$D$3:$AI$3&gt;i_min_year)*(Sensitivities!$D$3:$AI$3&lt;=i_last)*Sensitivities!$D$342:$AI$342/(1+i_min_r)^(Sensitivities!$D$3:$AI$3-i_min_year))+Sensitivities!$AI$342/(i_min_r-i_g)/(1+i_min_r)^(i_last-i_min_year)</f>
        <v/>
      </c>
    </row>
    <row r="1120">
      <c r="B1120" s="2" t="inlineStr">
        <is>
          <t>Minority option: equity value in 2031</t>
        </is>
      </c>
      <c r="C1120" s="19">
        <f>Sensitivities!$C$1119-Sensitivities!$C$1117</f>
        <v/>
      </c>
    </row>
    <row r="1121">
      <c r="B1121" s="2" t="inlineStr">
        <is>
          <t>Minority option: proceeds of the 49 percent sold</t>
        </is>
      </c>
      <c r="C1121" s="19">
        <f>Sensitivities!$C$1062*i_min_share*Sensitivities!$C$1120*(1-i_min_disc)</f>
        <v/>
      </c>
    </row>
    <row r="1122">
      <c r="B1122" s="4" t="inlineStr">
        <is>
          <t>Time of each flow (years after 31 December 2026)</t>
        </is>
      </c>
      <c r="D1122" s="28">
        <f>D$4</f>
        <v/>
      </c>
      <c r="E1122" s="28">
        <f>E$4</f>
        <v/>
      </c>
      <c r="F1122" s="28">
        <f>F$4</f>
        <v/>
      </c>
      <c r="G1122" s="28">
        <f>G$4</f>
        <v/>
      </c>
      <c r="H1122" s="28">
        <f>H$4</f>
        <v/>
      </c>
      <c r="I1122" s="28">
        <f>I$4</f>
        <v/>
      </c>
      <c r="J1122" s="28">
        <f>J$4</f>
        <v/>
      </c>
      <c r="K1122" s="28">
        <f>K$4</f>
        <v/>
      </c>
      <c r="L1122" s="28">
        <f>L$4</f>
        <v/>
      </c>
      <c r="M1122" s="28">
        <f>M$4</f>
        <v/>
      </c>
      <c r="N1122" s="28">
        <f>N$4</f>
        <v/>
      </c>
      <c r="O1122" s="28">
        <f>O$4</f>
        <v/>
      </c>
      <c r="P1122" s="28">
        <f>P$4</f>
        <v/>
      </c>
      <c r="Q1122" s="28">
        <f>Q$4</f>
        <v/>
      </c>
      <c r="R1122" s="28">
        <f>R$4</f>
        <v/>
      </c>
      <c r="S1122" s="28">
        <f>S$4</f>
        <v/>
      </c>
      <c r="T1122" s="28">
        <f>T$4</f>
        <v/>
      </c>
      <c r="U1122" s="28">
        <f>U$4</f>
        <v/>
      </c>
      <c r="V1122" s="28">
        <f>V$4</f>
        <v/>
      </c>
      <c r="W1122" s="28">
        <f>W$4</f>
        <v/>
      </c>
      <c r="X1122" s="28">
        <f>X$4</f>
        <v/>
      </c>
      <c r="Y1122" s="28">
        <f>Y$4</f>
        <v/>
      </c>
      <c r="Z1122" s="28">
        <f>Z$4</f>
        <v/>
      </c>
      <c r="AA1122" s="28">
        <f>AA$4</f>
        <v/>
      </c>
      <c r="AB1122" s="28">
        <f>AB$4</f>
        <v/>
      </c>
      <c r="AC1122" s="28">
        <f>AC$4</f>
        <v/>
      </c>
      <c r="AD1122" s="28">
        <f>AD$4</f>
        <v/>
      </c>
      <c r="AE1122" s="28">
        <f>AE$4</f>
        <v/>
      </c>
      <c r="AF1122" s="28">
        <f>AF$4</f>
        <v/>
      </c>
      <c r="AG1122" s="28">
        <f>AG$4</f>
        <v/>
      </c>
      <c r="AH1122" s="28">
        <f>AH$4</f>
        <v/>
      </c>
      <c r="AI1122" s="28">
        <f>AI$4</f>
        <v/>
      </c>
      <c r="AJ1122" s="28">
        <f>Sensitivities!$C$1060</f>
        <v/>
      </c>
      <c r="AK1122" s="28">
        <f>i_min_year-i_base_year</f>
        <v/>
      </c>
      <c r="AL1122" s="28">
        <f>i_exit_year-i_base_year</f>
        <v/>
      </c>
    </row>
    <row r="1123">
      <c r="B1123" s="3" t="inlineStr">
        <is>
          <t>Levered flows (equity)</t>
        </is>
      </c>
      <c r="D1123" s="31">
        <f>D1110*D1115*IF(AND(Sensitivities!$C$1062=1,D1122&gt;$AK$1122+1E-9),1-i_min_share,1)</f>
        <v/>
      </c>
      <c r="E1123" s="31">
        <f>E1110*E1115*IF(AND(Sensitivities!$C$1062=1,E1122&gt;$AK$1122+1E-9),1-i_min_share,1)</f>
        <v/>
      </c>
      <c r="F1123" s="31">
        <f>F1110*F1115*IF(AND(Sensitivities!$C$1062=1,F1122&gt;$AK$1122+1E-9),1-i_min_share,1)</f>
        <v/>
      </c>
      <c r="G1123" s="31">
        <f>G1110*G1115*IF(AND(Sensitivities!$C$1062=1,G1122&gt;$AK$1122+1E-9),1-i_min_share,1)</f>
        <v/>
      </c>
      <c r="H1123" s="31">
        <f>H1110*H1115*IF(AND(Sensitivities!$C$1062=1,H1122&gt;$AK$1122+1E-9),1-i_min_share,1)</f>
        <v/>
      </c>
      <c r="I1123" s="31">
        <f>I1110*I1115*IF(AND(Sensitivities!$C$1062=1,I1122&gt;$AK$1122+1E-9),1-i_min_share,1)</f>
        <v/>
      </c>
      <c r="J1123" s="31">
        <f>J1110*J1115*IF(AND(Sensitivities!$C$1062=1,J1122&gt;$AK$1122+1E-9),1-i_min_share,1)</f>
        <v/>
      </c>
      <c r="K1123" s="31">
        <f>K1110*K1115*IF(AND(Sensitivities!$C$1062=1,K1122&gt;$AK$1122+1E-9),1-i_min_share,1)</f>
        <v/>
      </c>
      <c r="L1123" s="31">
        <f>L1110*L1115*IF(AND(Sensitivities!$C$1062=1,L1122&gt;$AK$1122+1E-9),1-i_min_share,1)</f>
        <v/>
      </c>
      <c r="M1123" s="31">
        <f>M1110*M1115*IF(AND(Sensitivities!$C$1062=1,M1122&gt;$AK$1122+1E-9),1-i_min_share,1)</f>
        <v/>
      </c>
      <c r="N1123" s="31">
        <f>N1110*N1115*IF(AND(Sensitivities!$C$1062=1,N1122&gt;$AK$1122+1E-9),1-i_min_share,1)</f>
        <v/>
      </c>
      <c r="O1123" s="31">
        <f>O1110*O1115*IF(AND(Sensitivities!$C$1062=1,O1122&gt;$AK$1122+1E-9),1-i_min_share,1)</f>
        <v/>
      </c>
      <c r="P1123" s="31">
        <f>P1110*P1115*IF(AND(Sensitivities!$C$1062=1,P1122&gt;$AK$1122+1E-9),1-i_min_share,1)</f>
        <v/>
      </c>
      <c r="Q1123" s="31">
        <f>Q1110*Q1115*IF(AND(Sensitivities!$C$1062=1,Q1122&gt;$AK$1122+1E-9),1-i_min_share,1)</f>
        <v/>
      </c>
      <c r="R1123" s="31">
        <f>R1110*R1115*IF(AND(Sensitivities!$C$1062=1,R1122&gt;$AK$1122+1E-9),1-i_min_share,1)</f>
        <v/>
      </c>
      <c r="S1123" s="31">
        <f>S1110*S1115*IF(AND(Sensitivities!$C$1062=1,S1122&gt;$AK$1122+1E-9),1-i_min_share,1)</f>
        <v/>
      </c>
      <c r="T1123" s="31">
        <f>T1110*T1115*IF(AND(Sensitivities!$C$1062=1,T1122&gt;$AK$1122+1E-9),1-i_min_share,1)</f>
        <v/>
      </c>
      <c r="U1123" s="31">
        <f>U1110*U1115*IF(AND(Sensitivities!$C$1062=1,U1122&gt;$AK$1122+1E-9),1-i_min_share,1)</f>
        <v/>
      </c>
      <c r="V1123" s="31">
        <f>V1110*V1115*IF(AND(Sensitivities!$C$1062=1,V1122&gt;$AK$1122+1E-9),1-i_min_share,1)</f>
        <v/>
      </c>
      <c r="W1123" s="31">
        <f>W1110*W1115*IF(AND(Sensitivities!$C$1062=1,W1122&gt;$AK$1122+1E-9),1-i_min_share,1)</f>
        <v/>
      </c>
      <c r="X1123" s="31">
        <f>X1110*X1115*IF(AND(Sensitivities!$C$1062=1,X1122&gt;$AK$1122+1E-9),1-i_min_share,1)</f>
        <v/>
      </c>
      <c r="Y1123" s="31">
        <f>Y1110*Y1115*IF(AND(Sensitivities!$C$1062=1,Y1122&gt;$AK$1122+1E-9),1-i_min_share,1)</f>
        <v/>
      </c>
      <c r="Z1123" s="31">
        <f>Z1110*Z1115*IF(AND(Sensitivities!$C$1062=1,Z1122&gt;$AK$1122+1E-9),1-i_min_share,1)</f>
        <v/>
      </c>
      <c r="AA1123" s="31">
        <f>AA1110*AA1115*IF(AND(Sensitivities!$C$1062=1,AA1122&gt;$AK$1122+1E-9),1-i_min_share,1)</f>
        <v/>
      </c>
      <c r="AB1123" s="31">
        <f>AB1110*AB1115*IF(AND(Sensitivities!$C$1062=1,AB1122&gt;$AK$1122+1E-9),1-i_min_share,1)</f>
        <v/>
      </c>
      <c r="AC1123" s="31">
        <f>AC1110*AC1115*IF(AND(Sensitivities!$C$1062=1,AC1122&gt;$AK$1122+1E-9),1-i_min_share,1)</f>
        <v/>
      </c>
      <c r="AD1123" s="31">
        <f>AD1110*AD1115*IF(AND(Sensitivities!$C$1062=1,AD1122&gt;$AK$1122+1E-9),1-i_min_share,1)</f>
        <v/>
      </c>
      <c r="AE1123" s="31">
        <f>AE1110*AE1115*IF(AND(Sensitivities!$C$1062=1,AE1122&gt;$AK$1122+1E-9),1-i_min_share,1)</f>
        <v/>
      </c>
      <c r="AF1123" s="31">
        <f>AF1110*AF1115*IF(AND(Sensitivities!$C$1062=1,AF1122&gt;$AK$1122+1E-9),1-i_min_share,1)</f>
        <v/>
      </c>
      <c r="AG1123" s="31">
        <f>AG1110*AG1115*IF(AND(Sensitivities!$C$1062=1,AG1122&gt;$AK$1122+1E-9),1-i_min_share,1)</f>
        <v/>
      </c>
      <c r="AH1123" s="31">
        <f>AH1110*AH1115*IF(AND(Sensitivities!$C$1062=1,AH1122&gt;$AK$1122+1E-9),1-i_min_share,1)</f>
        <v/>
      </c>
      <c r="AI1123" s="31">
        <f>AI1110*AI1115*IF(AND(Sensitivities!$C$1062=1,AI1122&gt;$AK$1122+1E-9),1-i_min_share,1)</f>
        <v/>
      </c>
      <c r="AJ1123" s="31">
        <f>-Sensitivities!$C$1106</f>
        <v/>
      </c>
      <c r="AK1123" s="31">
        <f>Sensitivities!$C$1121</f>
        <v/>
      </c>
      <c r="AL1123" s="31">
        <f>Sensitivities!$C$1118*IF(Sensitivities!$C$1062=1,1-i_min_share,1)</f>
        <v/>
      </c>
    </row>
    <row r="1124">
      <c r="B1124" s="3" t="inlineStr">
        <is>
          <t>Unlevered flows (before financing)</t>
        </is>
      </c>
      <c r="D1124" s="31">
        <f>D1110*Sensitivities!D342</f>
        <v/>
      </c>
      <c r="E1124" s="31">
        <f>E1110*Sensitivities!E342</f>
        <v/>
      </c>
      <c r="F1124" s="31">
        <f>F1110*Sensitivities!F342</f>
        <v/>
      </c>
      <c r="G1124" s="31">
        <f>G1110*Sensitivities!G342</f>
        <v/>
      </c>
      <c r="H1124" s="31">
        <f>H1110*Sensitivities!H342</f>
        <v/>
      </c>
      <c r="I1124" s="31">
        <f>I1110*Sensitivities!I342</f>
        <v/>
      </c>
      <c r="J1124" s="31">
        <f>J1110*Sensitivities!J342</f>
        <v/>
      </c>
      <c r="K1124" s="31">
        <f>K1110*Sensitivities!K342</f>
        <v/>
      </c>
      <c r="L1124" s="31">
        <f>L1110*Sensitivities!L342</f>
        <v/>
      </c>
      <c r="M1124" s="31">
        <f>M1110*Sensitivities!M342</f>
        <v/>
      </c>
      <c r="N1124" s="31">
        <f>N1110*Sensitivities!N342</f>
        <v/>
      </c>
      <c r="O1124" s="31">
        <f>O1110*Sensitivities!O342</f>
        <v/>
      </c>
      <c r="P1124" s="31">
        <f>P1110*Sensitivities!P342</f>
        <v/>
      </c>
      <c r="Q1124" s="31">
        <f>Q1110*Sensitivities!Q342</f>
        <v/>
      </c>
      <c r="R1124" s="31">
        <f>R1110*Sensitivities!R342</f>
        <v/>
      </c>
      <c r="S1124" s="31">
        <f>S1110*Sensitivities!S342</f>
        <v/>
      </c>
      <c r="T1124" s="31">
        <f>T1110*Sensitivities!T342</f>
        <v/>
      </c>
      <c r="U1124" s="31">
        <f>U1110*Sensitivities!U342</f>
        <v/>
      </c>
      <c r="V1124" s="31">
        <f>V1110*Sensitivities!V342</f>
        <v/>
      </c>
      <c r="W1124" s="31">
        <f>W1110*Sensitivities!W342</f>
        <v/>
      </c>
      <c r="X1124" s="31">
        <f>X1110*Sensitivities!X342</f>
        <v/>
      </c>
      <c r="Y1124" s="31">
        <f>Y1110*Sensitivities!Y342</f>
        <v/>
      </c>
      <c r="Z1124" s="31">
        <f>Z1110*Sensitivities!Z342</f>
        <v/>
      </c>
      <c r="AA1124" s="31">
        <f>AA1110*Sensitivities!AA342</f>
        <v/>
      </c>
      <c r="AB1124" s="31">
        <f>AB1110*Sensitivities!AB342</f>
        <v/>
      </c>
      <c r="AC1124" s="31">
        <f>AC1110*Sensitivities!AC342</f>
        <v/>
      </c>
      <c r="AD1124" s="31">
        <f>AD1110*Sensitivities!AD342</f>
        <v/>
      </c>
      <c r="AE1124" s="31">
        <f>AE1110*Sensitivities!AE342</f>
        <v/>
      </c>
      <c r="AF1124" s="31">
        <f>AF1110*Sensitivities!AF342</f>
        <v/>
      </c>
      <c r="AG1124" s="31">
        <f>AG1110*Sensitivities!AG342</f>
        <v/>
      </c>
      <c r="AH1124" s="31">
        <f>AH1110*Sensitivities!AH342</f>
        <v/>
      </c>
      <c r="AI1124" s="31">
        <f>AI1110*Sensitivities!AI342</f>
        <v/>
      </c>
      <c r="AJ1124" s="31">
        <f>-(Sensitivities!$C$1101-Sensitivities!$C$1079-Sensitivities!$C$1091)</f>
        <v/>
      </c>
      <c r="AK1124" s="19" t="n">
        <v>0</v>
      </c>
      <c r="AL1124" s="31">
        <f>Sensitivities!$C$1116</f>
        <v/>
      </c>
    </row>
    <row r="1125">
      <c r="B1125" s="4" t="inlineStr">
        <is>
          <t>Levered IRR (Newton steps from 10 percent)</t>
        </is>
      </c>
      <c r="D1125" s="38" t="n">
        <v>0.1</v>
      </c>
      <c r="E1125" s="40">
        <f>D1125-SUMPRODUCT($D$1123:$AL$1123,(1+D1125)^(-$D$1122:$AL$1122))/SUMPRODUCT($D$1123:$AL$1123*(-$D$1122:$AL$1122),(1+D1125)^(-$D$1122:$AL$1122-1))</f>
        <v/>
      </c>
      <c r="F1125" s="40">
        <f>E1125-SUMPRODUCT($D$1123:$AL$1123,(1+E1125)^(-$D$1122:$AL$1122))/SUMPRODUCT($D$1123:$AL$1123*(-$D$1122:$AL$1122),(1+E1125)^(-$D$1122:$AL$1122-1))</f>
        <v/>
      </c>
      <c r="G1125" s="40">
        <f>F1125-SUMPRODUCT($D$1123:$AL$1123,(1+F1125)^(-$D$1122:$AL$1122))/SUMPRODUCT($D$1123:$AL$1123*(-$D$1122:$AL$1122),(1+F1125)^(-$D$1122:$AL$1122-1))</f>
        <v/>
      </c>
      <c r="H1125" s="40">
        <f>G1125-SUMPRODUCT($D$1123:$AL$1123,(1+G1125)^(-$D$1122:$AL$1122))/SUMPRODUCT($D$1123:$AL$1123*(-$D$1122:$AL$1122),(1+G1125)^(-$D$1122:$AL$1122-1))</f>
        <v/>
      </c>
      <c r="I1125" s="40">
        <f>H1125-SUMPRODUCT($D$1123:$AL$1123,(1+H1125)^(-$D$1122:$AL$1122))/SUMPRODUCT($D$1123:$AL$1123*(-$D$1122:$AL$1122),(1+H1125)^(-$D$1122:$AL$1122-1))</f>
        <v/>
      </c>
      <c r="J1125" s="40">
        <f>I1125-SUMPRODUCT($D$1123:$AL$1123,(1+I1125)^(-$D$1122:$AL$1122))/SUMPRODUCT($D$1123:$AL$1123*(-$D$1122:$AL$1122),(1+I1125)^(-$D$1122:$AL$1122-1))</f>
        <v/>
      </c>
      <c r="K1125" s="40">
        <f>J1125-SUMPRODUCT($D$1123:$AL$1123,(1+J1125)^(-$D$1122:$AL$1122))/SUMPRODUCT($D$1123:$AL$1123*(-$D$1122:$AL$1122),(1+J1125)^(-$D$1122:$AL$1122-1))</f>
        <v/>
      </c>
      <c r="L1125" s="40">
        <f>K1125-SUMPRODUCT($D$1123:$AL$1123,(1+K1125)^(-$D$1122:$AL$1122))/SUMPRODUCT($D$1123:$AL$1123*(-$D$1122:$AL$1122),(1+K1125)^(-$D$1122:$AL$1122-1))</f>
        <v/>
      </c>
      <c r="M1125" s="40">
        <f>L1125-SUMPRODUCT($D$1123:$AL$1123,(1+L1125)^(-$D$1122:$AL$1122))/SUMPRODUCT($D$1123:$AL$1123*(-$D$1122:$AL$1122),(1+L1125)^(-$D$1122:$AL$1122-1))</f>
        <v/>
      </c>
      <c r="N1125" s="40">
        <f>M1125-SUMPRODUCT($D$1123:$AL$1123,(1+M1125)^(-$D$1122:$AL$1122))/SUMPRODUCT($D$1123:$AL$1123*(-$D$1122:$AL$1122),(1+M1125)^(-$D$1122:$AL$1122-1))</f>
        <v/>
      </c>
      <c r="O1125" s="40">
        <f>N1125-SUMPRODUCT($D$1123:$AL$1123,(1+N1125)^(-$D$1122:$AL$1122))/SUMPRODUCT($D$1123:$AL$1123*(-$D$1122:$AL$1122),(1+N1125)^(-$D$1122:$AL$1122-1))</f>
        <v/>
      </c>
      <c r="P1125" s="40">
        <f>O1125-SUMPRODUCT($D$1123:$AL$1123,(1+O1125)^(-$D$1122:$AL$1122))/SUMPRODUCT($D$1123:$AL$1123*(-$D$1122:$AL$1122),(1+O1125)^(-$D$1122:$AL$1122-1))</f>
        <v/>
      </c>
      <c r="Q1125" s="40">
        <f>P1125-SUMPRODUCT($D$1123:$AL$1123,(1+P1125)^(-$D$1122:$AL$1122))/SUMPRODUCT($D$1123:$AL$1123*(-$D$1122:$AL$1122),(1+P1125)^(-$D$1122:$AL$1122-1))</f>
        <v/>
      </c>
      <c r="R1125" s="40">
        <f>Q1125-SUMPRODUCT($D$1123:$AL$1123,(1+Q1125)^(-$D$1122:$AL$1122))/SUMPRODUCT($D$1123:$AL$1123*(-$D$1122:$AL$1122),(1+Q1125)^(-$D$1122:$AL$1122-1))</f>
        <v/>
      </c>
    </row>
    <row r="1126">
      <c r="B1126" s="4" t="inlineStr">
        <is>
          <t>Unlevered IRR (Newton steps from 10 percent)</t>
        </is>
      </c>
      <c r="D1126" s="38" t="n">
        <v>0.1</v>
      </c>
      <c r="E1126" s="40">
        <f>D1126-SUMPRODUCT($D$1124:$AL$1124,(1+D1126)^(-$D$1122:$AL$1122))/SUMPRODUCT($D$1124:$AL$1124*(-$D$1122:$AL$1122),(1+D1126)^(-$D$1122:$AL$1122-1))</f>
        <v/>
      </c>
      <c r="F1126" s="40">
        <f>E1126-SUMPRODUCT($D$1124:$AL$1124,(1+E1126)^(-$D$1122:$AL$1122))/SUMPRODUCT($D$1124:$AL$1124*(-$D$1122:$AL$1122),(1+E1126)^(-$D$1122:$AL$1122-1))</f>
        <v/>
      </c>
      <c r="G1126" s="40">
        <f>F1126-SUMPRODUCT($D$1124:$AL$1124,(1+F1126)^(-$D$1122:$AL$1122))/SUMPRODUCT($D$1124:$AL$1124*(-$D$1122:$AL$1122),(1+F1126)^(-$D$1122:$AL$1122-1))</f>
        <v/>
      </c>
      <c r="H1126" s="40">
        <f>G1126-SUMPRODUCT($D$1124:$AL$1124,(1+G1126)^(-$D$1122:$AL$1122))/SUMPRODUCT($D$1124:$AL$1124*(-$D$1122:$AL$1122),(1+G1126)^(-$D$1122:$AL$1122-1))</f>
        <v/>
      </c>
      <c r="I1126" s="40">
        <f>H1126-SUMPRODUCT($D$1124:$AL$1124,(1+H1126)^(-$D$1122:$AL$1122))/SUMPRODUCT($D$1124:$AL$1124*(-$D$1122:$AL$1122),(1+H1126)^(-$D$1122:$AL$1122-1))</f>
        <v/>
      </c>
      <c r="J1126" s="40">
        <f>I1126-SUMPRODUCT($D$1124:$AL$1124,(1+I1126)^(-$D$1122:$AL$1122))/SUMPRODUCT($D$1124:$AL$1124*(-$D$1122:$AL$1122),(1+I1126)^(-$D$1122:$AL$1122-1))</f>
        <v/>
      </c>
      <c r="K1126" s="40">
        <f>J1126-SUMPRODUCT($D$1124:$AL$1124,(1+J1126)^(-$D$1122:$AL$1122))/SUMPRODUCT($D$1124:$AL$1124*(-$D$1122:$AL$1122),(1+J1126)^(-$D$1122:$AL$1122-1))</f>
        <v/>
      </c>
      <c r="L1126" s="40">
        <f>K1126-SUMPRODUCT($D$1124:$AL$1124,(1+K1126)^(-$D$1122:$AL$1122))/SUMPRODUCT($D$1124:$AL$1124*(-$D$1122:$AL$1122),(1+K1126)^(-$D$1122:$AL$1122-1))</f>
        <v/>
      </c>
      <c r="M1126" s="40">
        <f>L1126-SUMPRODUCT($D$1124:$AL$1124,(1+L1126)^(-$D$1122:$AL$1122))/SUMPRODUCT($D$1124:$AL$1124*(-$D$1122:$AL$1122),(1+L1126)^(-$D$1122:$AL$1122-1))</f>
        <v/>
      </c>
      <c r="N1126" s="40">
        <f>M1126-SUMPRODUCT($D$1124:$AL$1124,(1+M1126)^(-$D$1122:$AL$1122))/SUMPRODUCT($D$1124:$AL$1124*(-$D$1122:$AL$1122),(1+M1126)^(-$D$1122:$AL$1122-1))</f>
        <v/>
      </c>
      <c r="O1126" s="40">
        <f>N1126-SUMPRODUCT($D$1124:$AL$1124,(1+N1126)^(-$D$1122:$AL$1122))/SUMPRODUCT($D$1124:$AL$1124*(-$D$1122:$AL$1122),(1+N1126)^(-$D$1122:$AL$1122-1))</f>
        <v/>
      </c>
      <c r="P1126" s="40">
        <f>O1126-SUMPRODUCT($D$1124:$AL$1124,(1+O1126)^(-$D$1122:$AL$1122))/SUMPRODUCT($D$1124:$AL$1124*(-$D$1122:$AL$1122),(1+O1126)^(-$D$1122:$AL$1122-1))</f>
        <v/>
      </c>
      <c r="Q1126" s="40">
        <f>P1126-SUMPRODUCT($D$1124:$AL$1124,(1+P1126)^(-$D$1122:$AL$1122))/SUMPRODUCT($D$1124:$AL$1124*(-$D$1122:$AL$1122),(1+P1126)^(-$D$1122:$AL$1122-1))</f>
        <v/>
      </c>
      <c r="R1126" s="40">
        <f>Q1126-SUMPRODUCT($D$1124:$AL$1124,(1+Q1126)^(-$D$1122:$AL$1122))/SUMPRODUCT($D$1124:$AL$1124*(-$D$1122:$AL$1122),(1+Q1126)^(-$D$1122:$AL$1122-1))</f>
        <v/>
      </c>
    </row>
    <row r="1127">
      <c r="B1127" s="3" t="inlineStr">
        <is>
          <t>Levered IRR (equity)</t>
        </is>
      </c>
      <c r="C1127" s="33">
        <f>R1125</f>
        <v/>
      </c>
    </row>
    <row r="1128">
      <c r="B1128" s="3" t="inlineStr">
        <is>
          <t>Unlevered IRR</t>
        </is>
      </c>
      <c r="C1128" s="33">
        <f>R1126</f>
        <v/>
      </c>
    </row>
    <row r="1129">
      <c r="B1129" s="2" t="inlineStr">
        <is>
          <t>Check: levered NPV at the levered IRR</t>
        </is>
      </c>
      <c r="C1129" s="41">
        <f>SUMPRODUCT($D$1123:$AL$1123,(1+Sensitivities!$C$1127)^(-$D$1122:$AL$1122))</f>
        <v/>
      </c>
    </row>
    <row r="1130">
      <c r="B1130" s="2" t="inlineStr">
        <is>
          <t>Check: unlevered NPV at the unlevered IRR</t>
        </is>
      </c>
      <c r="C1130" s="41">
        <f>SUMPRODUCT($D$1124:$AL$1124,(1+Sensitivities!$C$1128)^(-$D$1122:$AL$1122))</f>
        <v/>
      </c>
    </row>
    <row r="1131">
      <c r="B1131" s="2" t="inlineStr">
        <is>
          <t>Money multiple (cash in over cash out)</t>
        </is>
      </c>
      <c r="C1131" s="37">
        <f>SUMIF($D$1123:$AL$1123,"&gt;0")/-SUMIF($D$1123:$AL$1123,"&lt;0")</f>
        <v/>
      </c>
    </row>
    <row r="1132">
      <c r="B1132" s="2" t="inlineStr">
        <is>
          <t>Present value at the target IRR of the flows after closing</t>
        </is>
      </c>
      <c r="C1132" s="19">
        <f>SUMPRODUCT($D$1123:$AL$1123,(1+i_hurdle)^(-$D$1122:$AL$1122))+Sensitivities!$C$1106*(1+i_hurdle)^(-Sensitivities!$C$1060)</f>
        <v/>
      </c>
    </row>
    <row r="1133">
      <c r="B1133" s="2" t="inlineStr">
        <is>
          <t>Equity cheque that gives exactly the target IRR</t>
        </is>
      </c>
      <c r="C1133" s="19">
        <f>Sensitivities!$C$1132*(1+i_hurdle)^Sensitivities!$C$1060</f>
        <v/>
      </c>
    </row>
    <row r="1134">
      <c r="B1134" s="2" t="inlineStr">
        <is>
          <t>EV less equity price (fixed bridge items)</t>
        </is>
      </c>
      <c r="C1134" s="19">
        <f>Sensitivities!$C$1065-Sensitivities!$C$1071</f>
        <v/>
      </c>
    </row>
    <row r="1135">
      <c r="B1135" s="2" t="inlineStr">
        <is>
          <t>Equity cheque items that do not move with the price</t>
        </is>
      </c>
      <c r="C1135" s="19">
        <f>Sensitivities!$C$1096+Sensitivities!$C$1068+i_costs_adv+Sensitivities!$C$1091+Sensitivities!$C$1092-Sensitivities!$C$1086-Sensitivities!$C$1087-Sensitivities!$C$1079</f>
        <v/>
      </c>
    </row>
    <row r="1136">
      <c r="B1136" s="2" t="inlineStr">
        <is>
          <t>Walk-away EV, first pass (HSR fee at the bid)</t>
        </is>
      </c>
      <c r="C1136" s="19">
        <f>(Sensitivities!$C$1133-Sensitivities!$C$1135-Sensitivities!$C$1089+Sensitivities!$C$1134*(1+i_ticking*Sensitivities!$C$1060))/(1+i_ticking*Sensitivities!$C$1060+i_wi_limit_pct*i_wi_rol*(1+i_wi_ipt))</f>
        <v/>
      </c>
    </row>
    <row r="1137">
      <c r="B1137" s="3" t="inlineStr">
        <is>
          <t>Walk-away EV (highest EV at the target IRR)</t>
        </is>
      </c>
      <c r="C1137" s="31">
        <f>(Sensitivities!$C$1133-Sensitivities!$C$1135-IF(Sensitivities!$C$1136-Sensitivities!$C$1134&lt;INDEX(i_hsr_lo,1),0,LOOKUP(Sensitivities!$C$1136-Sensitivities!$C$1134,i_hsr_lo,i_hsr_fee))+Sensitivities!$C$1134*(1+i_ticking*Sensitivities!$C$1060))/(1+i_ticking*Sensitivities!$C$1060+i_wi_limit_pct*i_wi_rol*(1+i_wi_ipt))</f>
        <v/>
      </c>
    </row>
    <row r="1140">
      <c r="B1140" s="5" t="inlineStr">
        <is>
          <t>Deal: occupancy 2 points lower, all terminals, from 2027</t>
        </is>
      </c>
    </row>
    <row r="1141">
      <c r="B1141" s="4" t="inlineStr">
        <is>
          <t>Enterprise value at 31 December 2026</t>
        </is>
      </c>
      <c r="C1141" s="29">
        <f>i_bid_ev</f>
        <v/>
      </c>
    </row>
    <row r="1142">
      <c r="B1142" s="4" t="inlineStr">
        <is>
          <t>Closing (years after 31 December 2026)</t>
        </is>
      </c>
      <c r="C1142" s="28">
        <f>Inputs!$F$241</f>
        <v/>
      </c>
    </row>
    <row r="1143">
      <c r="B1143" s="4" t="inlineStr">
        <is>
          <t>Staple financing (1) or own debt (0)</t>
        </is>
      </c>
      <c r="C1143" s="26">
        <f>0</f>
        <v/>
      </c>
    </row>
    <row r="1144">
      <c r="B1144" s="4" t="inlineStr">
        <is>
          <t>Minority sale in 2031 (1) or full exit (0)</t>
        </is>
      </c>
      <c r="C1144" s="26">
        <f>0</f>
        <v/>
      </c>
    </row>
    <row r="1145">
      <c r="B1145" s="4" t="inlineStr">
        <is>
          <t>Exit discount rate</t>
        </is>
      </c>
      <c r="C1145" s="38">
        <f>Inputs!$E$241</f>
        <v/>
      </c>
    </row>
    <row r="1146">
      <c r="B1146" s="4" t="inlineStr">
        <is>
          <t>Change in the opco rate at refinancing</t>
        </is>
      </c>
      <c r="C1146" s="38">
        <f>Inputs!$D$241</f>
        <v/>
      </c>
    </row>
    <row r="1147">
      <c r="B1147" s="2" t="inlineStr">
        <is>
          <t>Enterprise value</t>
        </is>
      </c>
      <c r="C1147" s="19">
        <f>Sensitivities!$C$1141</f>
        <v/>
      </c>
    </row>
    <row r="1148">
      <c r="B1148" s="2" t="inlineStr">
        <is>
          <t>less existing financial debt (term loan and notes)</t>
        </is>
      </c>
      <c r="C1148" s="19">
        <f>i_old_tl+i_old_notes</f>
        <v/>
      </c>
    </row>
    <row r="1149">
      <c r="B1149" s="2" t="inlineStr">
        <is>
          <t>less make-whole on the notes</t>
        </is>
      </c>
      <c r="C1149" s="19">
        <f>i_make_whole</f>
        <v/>
      </c>
    </row>
    <row r="1150">
      <c r="B1150" s="2" t="inlineStr">
        <is>
          <t>less debt-like items (pension, accrued capex, 2026 tax)</t>
        </is>
      </c>
      <c r="C1150" s="19">
        <f>i_pension+i_def_capex+i_acc_tax</f>
        <v/>
      </c>
    </row>
    <row r="1151">
      <c r="B1151" s="2" t="inlineStr">
        <is>
          <t>plus cash at the locked box date</t>
        </is>
      </c>
      <c r="C1151" s="19">
        <f>i_lb_cash</f>
        <v/>
      </c>
    </row>
    <row r="1152">
      <c r="B1152" s="2" t="inlineStr">
        <is>
          <t>less permitted leakage</t>
        </is>
      </c>
      <c r="C1152" s="19">
        <f>i_permitted_leak</f>
        <v/>
      </c>
    </row>
    <row r="1153">
      <c r="B1153" s="3" t="inlineStr">
        <is>
          <t>Equity price (shares and shareholder loan)</t>
        </is>
      </c>
      <c r="C1153" s="31">
        <f>Sensitivities!$C$1147-Sensitivities!$C$1148-Sensitivities!$C$1149-Sensitivities!$C$1150+Sensitivities!$C$1151-Sensitivities!$C$1152</f>
        <v/>
      </c>
    </row>
    <row r="1154">
      <c r="B1154" s="2" t="inlineStr">
        <is>
          <t xml:space="preserve">  of which shareholder loan at face value</t>
        </is>
      </c>
      <c r="C1154" s="19">
        <f>i_shl</f>
        <v/>
      </c>
    </row>
    <row r="1155">
      <c r="B1155" s="2" t="inlineStr">
        <is>
          <t xml:space="preserve">  of which shares</t>
        </is>
      </c>
      <c r="C1155" s="19">
        <f>Sensitivities!$C$1153-Sensitivities!$C$1154</f>
        <v/>
      </c>
    </row>
    <row r="1156">
      <c r="B1156" s="2" t="inlineStr">
        <is>
          <t>Ticking fee to closing</t>
        </is>
      </c>
      <c r="C1156" s="19">
        <f>Sensitivities!$C$1153*i_ticking*Sensitivities!$C$1142</f>
        <v/>
      </c>
    </row>
    <row r="1157">
      <c r="B1157" s="2" t="inlineStr">
        <is>
          <t>Share of the year before closing (box period)</t>
        </is>
      </c>
      <c r="D1157" s="24">
        <f>IF(D$4&lt;1,0,MAX(0,MIN(1,Sensitivities!$C$1142-(D$4-1))))</f>
        <v/>
      </c>
      <c r="E1157" s="24">
        <f>IF(E$4&lt;1,0,MAX(0,MIN(1,Sensitivities!$C$1142-(E$4-1))))</f>
        <v/>
      </c>
      <c r="F1157" s="24">
        <f>IF(F$4&lt;1,0,MAX(0,MIN(1,Sensitivities!$C$1142-(F$4-1))))</f>
        <v/>
      </c>
      <c r="G1157" s="24">
        <f>IF(G$4&lt;1,0,MAX(0,MIN(1,Sensitivities!$C$1142-(G$4-1))))</f>
        <v/>
      </c>
      <c r="H1157" s="24">
        <f>IF(H$4&lt;1,0,MAX(0,MIN(1,Sensitivities!$C$1142-(H$4-1))))</f>
        <v/>
      </c>
      <c r="I1157" s="24">
        <f>IF(I$4&lt;1,0,MAX(0,MIN(1,Sensitivities!$C$1142-(I$4-1))))</f>
        <v/>
      </c>
      <c r="J1157" s="24">
        <f>IF(J$4&lt;1,0,MAX(0,MIN(1,Sensitivities!$C$1142-(J$4-1))))</f>
        <v/>
      </c>
      <c r="K1157" s="24">
        <f>IF(K$4&lt;1,0,MAX(0,MIN(1,Sensitivities!$C$1142-(K$4-1))))</f>
        <v/>
      </c>
      <c r="L1157" s="24">
        <f>IF(L$4&lt;1,0,MAX(0,MIN(1,Sensitivities!$C$1142-(L$4-1))))</f>
        <v/>
      </c>
      <c r="M1157" s="24">
        <f>IF(M$4&lt;1,0,MAX(0,MIN(1,Sensitivities!$C$1142-(M$4-1))))</f>
        <v/>
      </c>
      <c r="N1157" s="24">
        <f>IF(N$4&lt;1,0,MAX(0,MIN(1,Sensitivities!$C$1142-(N$4-1))))</f>
        <v/>
      </c>
      <c r="O1157" s="24">
        <f>IF(O$4&lt;1,0,MAX(0,MIN(1,Sensitivities!$C$1142-(O$4-1))))</f>
        <v/>
      </c>
      <c r="P1157" s="24">
        <f>IF(P$4&lt;1,0,MAX(0,MIN(1,Sensitivities!$C$1142-(P$4-1))))</f>
        <v/>
      </c>
      <c r="Q1157" s="24">
        <f>IF(Q$4&lt;1,0,MAX(0,MIN(1,Sensitivities!$C$1142-(Q$4-1))))</f>
        <v/>
      </c>
      <c r="R1157" s="24">
        <f>IF(R$4&lt;1,0,MAX(0,MIN(1,Sensitivities!$C$1142-(R$4-1))))</f>
        <v/>
      </c>
      <c r="S1157" s="24">
        <f>IF(S$4&lt;1,0,MAX(0,MIN(1,Sensitivities!$C$1142-(S$4-1))))</f>
        <v/>
      </c>
      <c r="T1157" s="24">
        <f>IF(T$4&lt;1,0,MAX(0,MIN(1,Sensitivities!$C$1142-(T$4-1))))</f>
        <v/>
      </c>
      <c r="U1157" s="24">
        <f>IF(U$4&lt;1,0,MAX(0,MIN(1,Sensitivities!$C$1142-(U$4-1))))</f>
        <v/>
      </c>
      <c r="V1157" s="24">
        <f>IF(V$4&lt;1,0,MAX(0,MIN(1,Sensitivities!$C$1142-(V$4-1))))</f>
        <v/>
      </c>
      <c r="W1157" s="24">
        <f>IF(W$4&lt;1,0,MAX(0,MIN(1,Sensitivities!$C$1142-(W$4-1))))</f>
        <v/>
      </c>
      <c r="X1157" s="24">
        <f>IF(X$4&lt;1,0,MAX(0,MIN(1,Sensitivities!$C$1142-(X$4-1))))</f>
        <v/>
      </c>
      <c r="Y1157" s="24">
        <f>IF(Y$4&lt;1,0,MAX(0,MIN(1,Sensitivities!$C$1142-(Y$4-1))))</f>
        <v/>
      </c>
      <c r="Z1157" s="24">
        <f>IF(Z$4&lt;1,0,MAX(0,MIN(1,Sensitivities!$C$1142-(Z$4-1))))</f>
        <v/>
      </c>
      <c r="AA1157" s="24">
        <f>IF(AA$4&lt;1,0,MAX(0,MIN(1,Sensitivities!$C$1142-(AA$4-1))))</f>
        <v/>
      </c>
      <c r="AB1157" s="24">
        <f>IF(AB$4&lt;1,0,MAX(0,MIN(1,Sensitivities!$C$1142-(AB$4-1))))</f>
        <v/>
      </c>
      <c r="AC1157" s="24">
        <f>IF(AC$4&lt;1,0,MAX(0,MIN(1,Sensitivities!$C$1142-(AC$4-1))))</f>
        <v/>
      </c>
      <c r="AD1157" s="24">
        <f>IF(AD$4&lt;1,0,MAX(0,MIN(1,Sensitivities!$C$1142-(AD$4-1))))</f>
        <v/>
      </c>
      <c r="AE1157" s="24">
        <f>IF(AE$4&lt;1,0,MAX(0,MIN(1,Sensitivities!$C$1142-(AE$4-1))))</f>
        <v/>
      </c>
      <c r="AF1157" s="24">
        <f>IF(AF$4&lt;1,0,MAX(0,MIN(1,Sensitivities!$C$1142-(AF$4-1))))</f>
        <v/>
      </c>
      <c r="AG1157" s="24">
        <f>IF(AG$4&lt;1,0,MAX(0,MIN(1,Sensitivities!$C$1142-(AG$4-1))))</f>
        <v/>
      </c>
      <c r="AH1157" s="24">
        <f>IF(AH$4&lt;1,0,MAX(0,MIN(1,Sensitivities!$C$1142-(AH$4-1))))</f>
        <v/>
      </c>
      <c r="AI1157" s="24">
        <f>IF(AI$4&lt;1,0,MAX(0,MIN(1,Sensitivities!$C$1142-(AI$4-1))))</f>
        <v/>
      </c>
    </row>
    <row r="1158">
      <c r="B1158" s="2" t="inlineStr">
        <is>
          <t>Box cash: free cash flow less interest on the old debt</t>
        </is>
      </c>
      <c r="D1158" s="19">
        <f>D1157*(Sensitivities!D450-i_old_rate*(i_old_tl+i_old_notes))</f>
        <v/>
      </c>
      <c r="E1158" s="19">
        <f>E1157*(Sensitivities!E450-i_old_rate*(i_old_tl+i_old_notes))</f>
        <v/>
      </c>
      <c r="F1158" s="19">
        <f>F1157*(Sensitivities!F450-i_old_rate*(i_old_tl+i_old_notes))</f>
        <v/>
      </c>
      <c r="G1158" s="19">
        <f>G1157*(Sensitivities!G450-i_old_rate*(i_old_tl+i_old_notes))</f>
        <v/>
      </c>
      <c r="H1158" s="19">
        <f>H1157*(Sensitivities!H450-i_old_rate*(i_old_tl+i_old_notes))</f>
        <v/>
      </c>
      <c r="I1158" s="19">
        <f>I1157*(Sensitivities!I450-i_old_rate*(i_old_tl+i_old_notes))</f>
        <v/>
      </c>
      <c r="J1158" s="19">
        <f>J1157*(Sensitivities!J450-i_old_rate*(i_old_tl+i_old_notes))</f>
        <v/>
      </c>
      <c r="K1158" s="19">
        <f>K1157*(Sensitivities!K450-i_old_rate*(i_old_tl+i_old_notes))</f>
        <v/>
      </c>
      <c r="L1158" s="19">
        <f>L1157*(Sensitivities!L450-i_old_rate*(i_old_tl+i_old_notes))</f>
        <v/>
      </c>
      <c r="M1158" s="19">
        <f>M1157*(Sensitivities!M450-i_old_rate*(i_old_tl+i_old_notes))</f>
        <v/>
      </c>
      <c r="N1158" s="19">
        <f>N1157*(Sensitivities!N450-i_old_rate*(i_old_tl+i_old_notes))</f>
        <v/>
      </c>
      <c r="O1158" s="19">
        <f>O1157*(Sensitivities!O450-i_old_rate*(i_old_tl+i_old_notes))</f>
        <v/>
      </c>
      <c r="P1158" s="19">
        <f>P1157*(Sensitivities!P450-i_old_rate*(i_old_tl+i_old_notes))</f>
        <v/>
      </c>
      <c r="Q1158" s="19">
        <f>Q1157*(Sensitivities!Q450-i_old_rate*(i_old_tl+i_old_notes))</f>
        <v/>
      </c>
      <c r="R1158" s="19">
        <f>R1157*(Sensitivities!R450-i_old_rate*(i_old_tl+i_old_notes))</f>
        <v/>
      </c>
      <c r="S1158" s="19">
        <f>S1157*(Sensitivities!S450-i_old_rate*(i_old_tl+i_old_notes))</f>
        <v/>
      </c>
      <c r="T1158" s="19">
        <f>T1157*(Sensitivities!T450-i_old_rate*(i_old_tl+i_old_notes))</f>
        <v/>
      </c>
      <c r="U1158" s="19">
        <f>U1157*(Sensitivities!U450-i_old_rate*(i_old_tl+i_old_notes))</f>
        <v/>
      </c>
      <c r="V1158" s="19">
        <f>V1157*(Sensitivities!V450-i_old_rate*(i_old_tl+i_old_notes))</f>
        <v/>
      </c>
      <c r="W1158" s="19">
        <f>W1157*(Sensitivities!W450-i_old_rate*(i_old_tl+i_old_notes))</f>
        <v/>
      </c>
      <c r="X1158" s="19">
        <f>X1157*(Sensitivities!X450-i_old_rate*(i_old_tl+i_old_notes))</f>
        <v/>
      </c>
      <c r="Y1158" s="19">
        <f>Y1157*(Sensitivities!Y450-i_old_rate*(i_old_tl+i_old_notes))</f>
        <v/>
      </c>
      <c r="Z1158" s="19">
        <f>Z1157*(Sensitivities!Z450-i_old_rate*(i_old_tl+i_old_notes))</f>
        <v/>
      </c>
      <c r="AA1158" s="19">
        <f>AA1157*(Sensitivities!AA450-i_old_rate*(i_old_tl+i_old_notes))</f>
        <v/>
      </c>
      <c r="AB1158" s="19">
        <f>AB1157*(Sensitivities!AB450-i_old_rate*(i_old_tl+i_old_notes))</f>
        <v/>
      </c>
      <c r="AC1158" s="19">
        <f>AC1157*(Sensitivities!AC450-i_old_rate*(i_old_tl+i_old_notes))</f>
        <v/>
      </c>
      <c r="AD1158" s="19">
        <f>AD1157*(Sensitivities!AD450-i_old_rate*(i_old_tl+i_old_notes))</f>
        <v/>
      </c>
      <c r="AE1158" s="19">
        <f>AE1157*(Sensitivities!AE450-i_old_rate*(i_old_tl+i_old_notes))</f>
        <v/>
      </c>
      <c r="AF1158" s="19">
        <f>AF1157*(Sensitivities!AF450-i_old_rate*(i_old_tl+i_old_notes))</f>
        <v/>
      </c>
      <c r="AG1158" s="19">
        <f>AG1157*(Sensitivities!AG450-i_old_rate*(i_old_tl+i_old_notes))</f>
        <v/>
      </c>
      <c r="AH1158" s="19">
        <f>AH1157*(Sensitivities!AH450-i_old_rate*(i_old_tl+i_old_notes))</f>
        <v/>
      </c>
      <c r="AI1158" s="19">
        <f>AI1157*(Sensitivities!AI450-i_old_rate*(i_old_tl+i_old_notes))</f>
        <v/>
      </c>
    </row>
    <row r="1159">
      <c r="B1159" s="2" t="inlineStr">
        <is>
          <t>Box cash generated from 1 January 2027 to closing</t>
        </is>
      </c>
      <c r="C1159" s="19">
        <f>SUM(Sensitivities!D1158:AI1158)</f>
        <v/>
      </c>
    </row>
    <row r="1160">
      <c r="B1160" s="2" t="inlineStr">
        <is>
          <t>Cash in the company at closing</t>
        </is>
      </c>
      <c r="C1160" s="19">
        <f>Sensitivities!$C$1151-Sensitivities!$C$1152+Sensitivities!$C$1159</f>
        <v/>
      </c>
    </row>
    <row r="1161">
      <c r="B1161" s="2" t="inlineStr">
        <is>
          <t>Cash used at closing (above operating cash)</t>
        </is>
      </c>
      <c r="C1161" s="19">
        <f>Sensitivities!$C$1160-i_min_cash</f>
        <v/>
      </c>
    </row>
    <row r="1163">
      <c r="B1163" s="3" t="inlineStr">
        <is>
          <t>Sources and uses at closing</t>
        </is>
      </c>
    </row>
    <row r="1164">
      <c r="B1164" s="2" t="inlineStr">
        <is>
          <t>EBITDA 2026 (sizing basis)</t>
        </is>
      </c>
      <c r="C1164" s="19">
        <f>Sensitivities!$D$444</f>
        <v/>
      </c>
    </row>
    <row r="1165">
      <c r="B1165" s="2" t="inlineStr">
        <is>
          <t>Opco multiple of 2026 EBITDA</t>
        </is>
      </c>
      <c r="C1165" s="37">
        <f>IF(Sensitivities!$C$1143=1,i_staple_x,i_opco_x)</f>
        <v/>
      </c>
    </row>
    <row r="1166">
      <c r="B1166" s="2" t="inlineStr">
        <is>
          <t>Opco rate</t>
        </is>
      </c>
      <c r="C1166" s="23">
        <f>IF(Sensitivities!$C$1143=1,i_staple_rate,i_opco_rate)</f>
        <v/>
      </c>
    </row>
    <row r="1167">
      <c r="B1167" s="2" t="inlineStr">
        <is>
          <t>Opco fees</t>
        </is>
      </c>
      <c r="C1167" s="23">
        <f>IF(Sensitivities!$C$1143=1,i_staple_fee,i_opco_fee)</f>
        <v/>
      </c>
    </row>
    <row r="1168">
      <c r="B1168" s="2" t="inlineStr">
        <is>
          <t>Opco senior debt (whole $ million)</t>
        </is>
      </c>
      <c r="C1168" s="19">
        <f>ROUND(Sensitivities!$C$1165*Sensitivities!$C$1164,0)</f>
        <v/>
      </c>
    </row>
    <row r="1169">
      <c r="B1169" s="2" t="inlineStr">
        <is>
          <t>Holdco debt (whole $ million)</t>
        </is>
      </c>
      <c r="C1169" s="19">
        <f>ROUND(i_hold_x*Sensitivities!$C$1164,0)</f>
        <v/>
      </c>
    </row>
    <row r="1170">
      <c r="B1170" s="2" t="inlineStr">
        <is>
          <t>W&amp;I premium with insurance premium tax</t>
        </is>
      </c>
      <c r="C1170" s="35">
        <f>i_wi_limit_pct*Sensitivities!$C$1147*i_wi_rol*(1+i_wi_ipt)</f>
        <v/>
      </c>
    </row>
    <row r="1171">
      <c r="B1171" s="2" t="inlineStr">
        <is>
          <t>HSR filing fee (on the equity price)</t>
        </is>
      </c>
      <c r="C1171" s="39">
        <f>IF(Sensitivities!$C$1153&lt;INDEX(i_hsr_lo,1),0,LOOKUP(Sensitivities!$C$1153,i_hsr_lo,i_hsr_fee))</f>
        <v/>
      </c>
    </row>
    <row r="1172">
      <c r="B1172" s="2" t="inlineStr">
        <is>
          <t>Transaction costs (advisers, W&amp;I, HSR)</t>
        </is>
      </c>
      <c r="C1172" s="19">
        <f>i_costs_adv+Sensitivities!$C$1170+Sensitivities!$C$1171</f>
        <v/>
      </c>
    </row>
    <row r="1173">
      <c r="B1173" s="2" t="inlineStr">
        <is>
          <t>Financing fees</t>
        </is>
      </c>
      <c r="C1173" s="19">
        <f>Sensitivities!$C$1167*Sensitivities!$C$1168+i_hold_fee*Sensitivities!$C$1169</f>
        <v/>
      </c>
    </row>
    <row r="1174">
      <c r="B1174" s="2" t="inlineStr">
        <is>
          <t>Commitment fees, signing to closing</t>
        </is>
      </c>
      <c r="C1174" s="19">
        <f>i_commit_fee*(Sensitivities!$C$1168+Sensitivities!$C$1169)*MAX(0,Sensitivities!$C$1142-i_t_sign)</f>
        <v/>
      </c>
    </row>
    <row r="1175">
      <c r="B1175" s="3" t="inlineStr">
        <is>
          <t>Uses</t>
        </is>
      </c>
    </row>
    <row r="1176">
      <c r="B1176" s="2" t="inlineStr">
        <is>
          <t xml:space="preserve">  Equity price</t>
        </is>
      </c>
      <c r="C1176" s="19">
        <f>Sensitivities!$C$1153</f>
        <v/>
      </c>
    </row>
    <row r="1177">
      <c r="B1177" s="2" t="inlineStr">
        <is>
          <t xml:space="preserve">  Ticking fee</t>
        </is>
      </c>
      <c r="C1177" s="19">
        <f>Sensitivities!$C$1156</f>
        <v/>
      </c>
    </row>
    <row r="1178">
      <c r="B1178" s="2" t="inlineStr">
        <is>
          <t xml:space="preserve">  Repayment of existing debt and make-whole</t>
        </is>
      </c>
      <c r="C1178" s="19">
        <f>Sensitivities!$C$1148+Sensitivities!$C$1149</f>
        <v/>
      </c>
    </row>
    <row r="1179">
      <c r="B1179" s="2" t="inlineStr">
        <is>
          <t xml:space="preserve">  Debt-like items settled</t>
        </is>
      </c>
      <c r="C1179" s="19">
        <f>Sensitivities!$C$1150</f>
        <v/>
      </c>
    </row>
    <row r="1180">
      <c r="B1180" s="2" t="inlineStr">
        <is>
          <t xml:space="preserve">  Transaction costs</t>
        </is>
      </c>
      <c r="C1180" s="19">
        <f>Sensitivities!$C$1172</f>
        <v/>
      </c>
    </row>
    <row r="1181">
      <c r="B1181" s="2" t="inlineStr">
        <is>
          <t xml:space="preserve">  Financing fees</t>
        </is>
      </c>
      <c r="C1181" s="19">
        <f>Sensitivities!$C$1173</f>
        <v/>
      </c>
    </row>
    <row r="1182">
      <c r="B1182" s="2" t="inlineStr">
        <is>
          <t xml:space="preserve">  Commitment fees</t>
        </is>
      </c>
      <c r="C1182" s="19">
        <f>Sensitivities!$C$1174</f>
        <v/>
      </c>
    </row>
    <row r="1183">
      <c r="B1183" s="3" t="inlineStr">
        <is>
          <t>Total uses</t>
        </is>
      </c>
      <c r="C1183" s="31">
        <f>SUM(C1176:C1182)</f>
        <v/>
      </c>
    </row>
    <row r="1184">
      <c r="B1184" s="3" t="inlineStr">
        <is>
          <t>Sources</t>
        </is>
      </c>
    </row>
    <row r="1185">
      <c r="B1185" s="2" t="inlineStr">
        <is>
          <t xml:space="preserve">  Opco senior debt</t>
        </is>
      </c>
      <c r="C1185" s="19">
        <f>Sensitivities!$C$1168</f>
        <v/>
      </c>
    </row>
    <row r="1186">
      <c r="B1186" s="2" t="inlineStr">
        <is>
          <t xml:space="preserve">  Holdco debt</t>
        </is>
      </c>
      <c r="C1186" s="19">
        <f>Sensitivities!$C$1169</f>
        <v/>
      </c>
    </row>
    <row r="1187">
      <c r="B1187" s="2" t="inlineStr">
        <is>
          <t xml:space="preserve">  Cash in the company at closing</t>
        </is>
      </c>
      <c r="C1187" s="19">
        <f>Sensitivities!$C$1161</f>
        <v/>
      </c>
    </row>
    <row r="1188">
      <c r="B1188" s="3" t="inlineStr">
        <is>
          <t xml:space="preserve">  Equity from the consortium</t>
        </is>
      </c>
      <c r="C1188" s="31">
        <f>Sensitivities!$C$1183-Sensitivities!$C$1168-Sensitivities!$C$1169-Sensitivities!$C$1161</f>
        <v/>
      </c>
    </row>
    <row r="1189">
      <c r="B1189" s="3" t="inlineStr">
        <is>
          <t>Total sources</t>
        </is>
      </c>
      <c r="C1189" s="31">
        <f>SUM(C1185:C1188)</f>
        <v/>
      </c>
    </row>
    <row r="1191">
      <c r="B1191" s="3" t="inlineStr">
        <is>
          <t>Flows after closing (years in columns D to AI; closing, minority sale and exit in AJ to AL)</t>
        </is>
      </c>
    </row>
    <row r="1192">
      <c r="B1192" s="2" t="inlineStr">
        <is>
          <t>Share of the year owned</t>
        </is>
      </c>
      <c r="D1192" s="24">
        <f>IF(D$3&gt;i_exit_year,0,MIN(1,MAX(0,D$4-Sensitivities!$C$1142)))</f>
        <v/>
      </c>
      <c r="E1192" s="24">
        <f>IF(E$3&gt;i_exit_year,0,MIN(1,MAX(0,E$4-Sensitivities!$C$1142)))</f>
        <v/>
      </c>
      <c r="F1192" s="24">
        <f>IF(F$3&gt;i_exit_year,0,MIN(1,MAX(0,F$4-Sensitivities!$C$1142)))</f>
        <v/>
      </c>
      <c r="G1192" s="24">
        <f>IF(G$3&gt;i_exit_year,0,MIN(1,MAX(0,G$4-Sensitivities!$C$1142)))</f>
        <v/>
      </c>
      <c r="H1192" s="24">
        <f>IF(H$3&gt;i_exit_year,0,MIN(1,MAX(0,H$4-Sensitivities!$C$1142)))</f>
        <v/>
      </c>
      <c r="I1192" s="24">
        <f>IF(I$3&gt;i_exit_year,0,MIN(1,MAX(0,I$4-Sensitivities!$C$1142)))</f>
        <v/>
      </c>
      <c r="J1192" s="24">
        <f>IF(J$3&gt;i_exit_year,0,MIN(1,MAX(0,J$4-Sensitivities!$C$1142)))</f>
        <v/>
      </c>
      <c r="K1192" s="24">
        <f>IF(K$3&gt;i_exit_year,0,MIN(1,MAX(0,K$4-Sensitivities!$C$1142)))</f>
        <v/>
      </c>
      <c r="L1192" s="24">
        <f>IF(L$3&gt;i_exit_year,0,MIN(1,MAX(0,L$4-Sensitivities!$C$1142)))</f>
        <v/>
      </c>
      <c r="M1192" s="24">
        <f>IF(M$3&gt;i_exit_year,0,MIN(1,MAX(0,M$4-Sensitivities!$C$1142)))</f>
        <v/>
      </c>
      <c r="N1192" s="24">
        <f>IF(N$3&gt;i_exit_year,0,MIN(1,MAX(0,N$4-Sensitivities!$C$1142)))</f>
        <v/>
      </c>
      <c r="O1192" s="24">
        <f>IF(O$3&gt;i_exit_year,0,MIN(1,MAX(0,O$4-Sensitivities!$C$1142)))</f>
        <v/>
      </c>
      <c r="P1192" s="24">
        <f>IF(P$3&gt;i_exit_year,0,MIN(1,MAX(0,P$4-Sensitivities!$C$1142)))</f>
        <v/>
      </c>
      <c r="Q1192" s="24">
        <f>IF(Q$3&gt;i_exit_year,0,MIN(1,MAX(0,Q$4-Sensitivities!$C$1142)))</f>
        <v/>
      </c>
      <c r="R1192" s="24">
        <f>IF(R$3&gt;i_exit_year,0,MIN(1,MAX(0,R$4-Sensitivities!$C$1142)))</f>
        <v/>
      </c>
      <c r="S1192" s="24">
        <f>IF(S$3&gt;i_exit_year,0,MIN(1,MAX(0,S$4-Sensitivities!$C$1142)))</f>
        <v/>
      </c>
      <c r="T1192" s="24">
        <f>IF(T$3&gt;i_exit_year,0,MIN(1,MAX(0,T$4-Sensitivities!$C$1142)))</f>
        <v/>
      </c>
      <c r="U1192" s="24">
        <f>IF(U$3&gt;i_exit_year,0,MIN(1,MAX(0,U$4-Sensitivities!$C$1142)))</f>
        <v/>
      </c>
      <c r="V1192" s="24">
        <f>IF(V$3&gt;i_exit_year,0,MIN(1,MAX(0,V$4-Sensitivities!$C$1142)))</f>
        <v/>
      </c>
      <c r="W1192" s="24">
        <f>IF(W$3&gt;i_exit_year,0,MIN(1,MAX(0,W$4-Sensitivities!$C$1142)))</f>
        <v/>
      </c>
      <c r="X1192" s="24">
        <f>IF(X$3&gt;i_exit_year,0,MIN(1,MAX(0,X$4-Sensitivities!$C$1142)))</f>
        <v/>
      </c>
      <c r="Y1192" s="24">
        <f>IF(Y$3&gt;i_exit_year,0,MIN(1,MAX(0,Y$4-Sensitivities!$C$1142)))</f>
        <v/>
      </c>
      <c r="Z1192" s="24">
        <f>IF(Z$3&gt;i_exit_year,0,MIN(1,MAX(0,Z$4-Sensitivities!$C$1142)))</f>
        <v/>
      </c>
      <c r="AA1192" s="24">
        <f>IF(AA$3&gt;i_exit_year,0,MIN(1,MAX(0,AA$4-Sensitivities!$C$1142)))</f>
        <v/>
      </c>
      <c r="AB1192" s="24">
        <f>IF(AB$3&gt;i_exit_year,0,MIN(1,MAX(0,AB$4-Sensitivities!$C$1142)))</f>
        <v/>
      </c>
      <c r="AC1192" s="24">
        <f>IF(AC$3&gt;i_exit_year,0,MIN(1,MAX(0,AC$4-Sensitivities!$C$1142)))</f>
        <v/>
      </c>
      <c r="AD1192" s="24">
        <f>IF(AD$3&gt;i_exit_year,0,MIN(1,MAX(0,AD$4-Sensitivities!$C$1142)))</f>
        <v/>
      </c>
      <c r="AE1192" s="24">
        <f>IF(AE$3&gt;i_exit_year,0,MIN(1,MAX(0,AE$4-Sensitivities!$C$1142)))</f>
        <v/>
      </c>
      <c r="AF1192" s="24">
        <f>IF(AF$3&gt;i_exit_year,0,MIN(1,MAX(0,AF$4-Sensitivities!$C$1142)))</f>
        <v/>
      </c>
      <c r="AG1192" s="24">
        <f>IF(AG$3&gt;i_exit_year,0,MIN(1,MAX(0,AG$4-Sensitivities!$C$1142)))</f>
        <v/>
      </c>
      <c r="AH1192" s="24">
        <f>IF(AH$3&gt;i_exit_year,0,MIN(1,MAX(0,AH$4-Sensitivities!$C$1142)))</f>
        <v/>
      </c>
      <c r="AI1192" s="24">
        <f>IF(AI$3&gt;i_exit_year,0,MIN(1,MAX(0,AI$4-Sensitivities!$C$1142)))</f>
        <v/>
      </c>
    </row>
    <row r="1193">
      <c r="B1193" s="2" t="inlineStr">
        <is>
          <t>Opco rate (refinanced after the tenor)</t>
        </is>
      </c>
      <c r="D1193" s="23">
        <f>IF(D$4&lt;=Sensitivities!$C$1142+i_opco_tenor,Sensitivities!$C$1166,Sensitivities!$C$1166+Sensitivities!$C$1146)</f>
        <v/>
      </c>
      <c r="E1193" s="23">
        <f>IF(E$4&lt;=Sensitivities!$C$1142+i_opco_tenor,Sensitivities!$C$1166,Sensitivities!$C$1166+Sensitivities!$C$1146)</f>
        <v/>
      </c>
      <c r="F1193" s="23">
        <f>IF(F$4&lt;=Sensitivities!$C$1142+i_opco_tenor,Sensitivities!$C$1166,Sensitivities!$C$1166+Sensitivities!$C$1146)</f>
        <v/>
      </c>
      <c r="G1193" s="23">
        <f>IF(G$4&lt;=Sensitivities!$C$1142+i_opco_tenor,Sensitivities!$C$1166,Sensitivities!$C$1166+Sensitivities!$C$1146)</f>
        <v/>
      </c>
      <c r="H1193" s="23">
        <f>IF(H$4&lt;=Sensitivities!$C$1142+i_opco_tenor,Sensitivities!$C$1166,Sensitivities!$C$1166+Sensitivities!$C$1146)</f>
        <v/>
      </c>
      <c r="I1193" s="23">
        <f>IF(I$4&lt;=Sensitivities!$C$1142+i_opco_tenor,Sensitivities!$C$1166,Sensitivities!$C$1166+Sensitivities!$C$1146)</f>
        <v/>
      </c>
      <c r="J1193" s="23">
        <f>IF(J$4&lt;=Sensitivities!$C$1142+i_opco_tenor,Sensitivities!$C$1166,Sensitivities!$C$1166+Sensitivities!$C$1146)</f>
        <v/>
      </c>
      <c r="K1193" s="23">
        <f>IF(K$4&lt;=Sensitivities!$C$1142+i_opco_tenor,Sensitivities!$C$1166,Sensitivities!$C$1166+Sensitivities!$C$1146)</f>
        <v/>
      </c>
      <c r="L1193" s="23">
        <f>IF(L$4&lt;=Sensitivities!$C$1142+i_opco_tenor,Sensitivities!$C$1166,Sensitivities!$C$1166+Sensitivities!$C$1146)</f>
        <v/>
      </c>
      <c r="M1193" s="23">
        <f>IF(M$4&lt;=Sensitivities!$C$1142+i_opco_tenor,Sensitivities!$C$1166,Sensitivities!$C$1166+Sensitivities!$C$1146)</f>
        <v/>
      </c>
      <c r="N1193" s="23">
        <f>IF(N$4&lt;=Sensitivities!$C$1142+i_opco_tenor,Sensitivities!$C$1166,Sensitivities!$C$1166+Sensitivities!$C$1146)</f>
        <v/>
      </c>
      <c r="O1193" s="23">
        <f>IF(O$4&lt;=Sensitivities!$C$1142+i_opco_tenor,Sensitivities!$C$1166,Sensitivities!$C$1166+Sensitivities!$C$1146)</f>
        <v/>
      </c>
      <c r="P1193" s="23">
        <f>IF(P$4&lt;=Sensitivities!$C$1142+i_opco_tenor,Sensitivities!$C$1166,Sensitivities!$C$1166+Sensitivities!$C$1146)</f>
        <v/>
      </c>
      <c r="Q1193" s="23">
        <f>IF(Q$4&lt;=Sensitivities!$C$1142+i_opco_tenor,Sensitivities!$C$1166,Sensitivities!$C$1166+Sensitivities!$C$1146)</f>
        <v/>
      </c>
      <c r="R1193" s="23">
        <f>IF(R$4&lt;=Sensitivities!$C$1142+i_opco_tenor,Sensitivities!$C$1166,Sensitivities!$C$1166+Sensitivities!$C$1146)</f>
        <v/>
      </c>
      <c r="S1193" s="23">
        <f>IF(S$4&lt;=Sensitivities!$C$1142+i_opco_tenor,Sensitivities!$C$1166,Sensitivities!$C$1166+Sensitivities!$C$1146)</f>
        <v/>
      </c>
      <c r="T1193" s="23">
        <f>IF(T$4&lt;=Sensitivities!$C$1142+i_opco_tenor,Sensitivities!$C$1166,Sensitivities!$C$1166+Sensitivities!$C$1146)</f>
        <v/>
      </c>
      <c r="U1193" s="23">
        <f>IF(U$4&lt;=Sensitivities!$C$1142+i_opco_tenor,Sensitivities!$C$1166,Sensitivities!$C$1166+Sensitivities!$C$1146)</f>
        <v/>
      </c>
      <c r="V1193" s="23">
        <f>IF(V$4&lt;=Sensitivities!$C$1142+i_opco_tenor,Sensitivities!$C$1166,Sensitivities!$C$1166+Sensitivities!$C$1146)</f>
        <v/>
      </c>
      <c r="W1193" s="23">
        <f>IF(W$4&lt;=Sensitivities!$C$1142+i_opco_tenor,Sensitivities!$C$1166,Sensitivities!$C$1166+Sensitivities!$C$1146)</f>
        <v/>
      </c>
      <c r="X1193" s="23">
        <f>IF(X$4&lt;=Sensitivities!$C$1142+i_opco_tenor,Sensitivities!$C$1166,Sensitivities!$C$1166+Sensitivities!$C$1146)</f>
        <v/>
      </c>
      <c r="Y1193" s="23">
        <f>IF(Y$4&lt;=Sensitivities!$C$1142+i_opco_tenor,Sensitivities!$C$1166,Sensitivities!$C$1166+Sensitivities!$C$1146)</f>
        <v/>
      </c>
      <c r="Z1193" s="23">
        <f>IF(Z$4&lt;=Sensitivities!$C$1142+i_opco_tenor,Sensitivities!$C$1166,Sensitivities!$C$1166+Sensitivities!$C$1146)</f>
        <v/>
      </c>
      <c r="AA1193" s="23">
        <f>IF(AA$4&lt;=Sensitivities!$C$1142+i_opco_tenor,Sensitivities!$C$1166,Sensitivities!$C$1166+Sensitivities!$C$1146)</f>
        <v/>
      </c>
      <c r="AB1193" s="23">
        <f>IF(AB$4&lt;=Sensitivities!$C$1142+i_opco_tenor,Sensitivities!$C$1166,Sensitivities!$C$1166+Sensitivities!$C$1146)</f>
        <v/>
      </c>
      <c r="AC1193" s="23">
        <f>IF(AC$4&lt;=Sensitivities!$C$1142+i_opco_tenor,Sensitivities!$C$1166,Sensitivities!$C$1166+Sensitivities!$C$1146)</f>
        <v/>
      </c>
      <c r="AD1193" s="23">
        <f>IF(AD$4&lt;=Sensitivities!$C$1142+i_opco_tenor,Sensitivities!$C$1166,Sensitivities!$C$1166+Sensitivities!$C$1146)</f>
        <v/>
      </c>
      <c r="AE1193" s="23">
        <f>IF(AE$4&lt;=Sensitivities!$C$1142+i_opco_tenor,Sensitivities!$C$1166,Sensitivities!$C$1166+Sensitivities!$C$1146)</f>
        <v/>
      </c>
      <c r="AF1193" s="23">
        <f>IF(AF$4&lt;=Sensitivities!$C$1142+i_opco_tenor,Sensitivities!$C$1166,Sensitivities!$C$1166+Sensitivities!$C$1146)</f>
        <v/>
      </c>
      <c r="AG1193" s="23">
        <f>IF(AG$4&lt;=Sensitivities!$C$1142+i_opco_tenor,Sensitivities!$C$1166,Sensitivities!$C$1166+Sensitivities!$C$1146)</f>
        <v/>
      </c>
      <c r="AH1193" s="23">
        <f>IF(AH$4&lt;=Sensitivities!$C$1142+i_opco_tenor,Sensitivities!$C$1166,Sensitivities!$C$1166+Sensitivities!$C$1146)</f>
        <v/>
      </c>
      <c r="AI1193" s="23">
        <f>IF(AI$4&lt;=Sensitivities!$C$1142+i_opco_tenor,Sensitivities!$C$1166,Sensitivities!$C$1166+Sensitivities!$C$1146)</f>
        <v/>
      </c>
    </row>
    <row r="1194">
      <c r="B1194" s="2" t="inlineStr">
        <is>
          <t>Interest (opco and holdco)</t>
        </is>
      </c>
      <c r="D1194" s="19">
        <f>D1193*Sensitivities!$C$1168+i_hold_rate*Sensitivities!$C$1169</f>
        <v/>
      </c>
      <c r="E1194" s="19">
        <f>E1193*Sensitivities!$C$1168+i_hold_rate*Sensitivities!$C$1169</f>
        <v/>
      </c>
      <c r="F1194" s="19">
        <f>F1193*Sensitivities!$C$1168+i_hold_rate*Sensitivities!$C$1169</f>
        <v/>
      </c>
      <c r="G1194" s="19">
        <f>G1193*Sensitivities!$C$1168+i_hold_rate*Sensitivities!$C$1169</f>
        <v/>
      </c>
      <c r="H1194" s="19">
        <f>H1193*Sensitivities!$C$1168+i_hold_rate*Sensitivities!$C$1169</f>
        <v/>
      </c>
      <c r="I1194" s="19">
        <f>I1193*Sensitivities!$C$1168+i_hold_rate*Sensitivities!$C$1169</f>
        <v/>
      </c>
      <c r="J1194" s="19">
        <f>J1193*Sensitivities!$C$1168+i_hold_rate*Sensitivities!$C$1169</f>
        <v/>
      </c>
      <c r="K1194" s="19">
        <f>K1193*Sensitivities!$C$1168+i_hold_rate*Sensitivities!$C$1169</f>
        <v/>
      </c>
      <c r="L1194" s="19">
        <f>L1193*Sensitivities!$C$1168+i_hold_rate*Sensitivities!$C$1169</f>
        <v/>
      </c>
      <c r="M1194" s="19">
        <f>M1193*Sensitivities!$C$1168+i_hold_rate*Sensitivities!$C$1169</f>
        <v/>
      </c>
      <c r="N1194" s="19">
        <f>N1193*Sensitivities!$C$1168+i_hold_rate*Sensitivities!$C$1169</f>
        <v/>
      </c>
      <c r="O1194" s="19">
        <f>O1193*Sensitivities!$C$1168+i_hold_rate*Sensitivities!$C$1169</f>
        <v/>
      </c>
      <c r="P1194" s="19">
        <f>P1193*Sensitivities!$C$1168+i_hold_rate*Sensitivities!$C$1169</f>
        <v/>
      </c>
      <c r="Q1194" s="19">
        <f>Q1193*Sensitivities!$C$1168+i_hold_rate*Sensitivities!$C$1169</f>
        <v/>
      </c>
      <c r="R1194" s="19">
        <f>R1193*Sensitivities!$C$1168+i_hold_rate*Sensitivities!$C$1169</f>
        <v/>
      </c>
      <c r="S1194" s="19">
        <f>S1193*Sensitivities!$C$1168+i_hold_rate*Sensitivities!$C$1169</f>
        <v/>
      </c>
      <c r="T1194" s="19">
        <f>T1193*Sensitivities!$C$1168+i_hold_rate*Sensitivities!$C$1169</f>
        <v/>
      </c>
      <c r="U1194" s="19">
        <f>U1193*Sensitivities!$C$1168+i_hold_rate*Sensitivities!$C$1169</f>
        <v/>
      </c>
      <c r="V1194" s="19">
        <f>V1193*Sensitivities!$C$1168+i_hold_rate*Sensitivities!$C$1169</f>
        <v/>
      </c>
      <c r="W1194" s="19">
        <f>W1193*Sensitivities!$C$1168+i_hold_rate*Sensitivities!$C$1169</f>
        <v/>
      </c>
      <c r="X1194" s="19">
        <f>X1193*Sensitivities!$C$1168+i_hold_rate*Sensitivities!$C$1169</f>
        <v/>
      </c>
      <c r="Y1194" s="19">
        <f>Y1193*Sensitivities!$C$1168+i_hold_rate*Sensitivities!$C$1169</f>
        <v/>
      </c>
      <c r="Z1194" s="19">
        <f>Z1193*Sensitivities!$C$1168+i_hold_rate*Sensitivities!$C$1169</f>
        <v/>
      </c>
      <c r="AA1194" s="19">
        <f>AA1193*Sensitivities!$C$1168+i_hold_rate*Sensitivities!$C$1169</f>
        <v/>
      </c>
      <c r="AB1194" s="19">
        <f>AB1193*Sensitivities!$C$1168+i_hold_rate*Sensitivities!$C$1169</f>
        <v/>
      </c>
      <c r="AC1194" s="19">
        <f>AC1193*Sensitivities!$C$1168+i_hold_rate*Sensitivities!$C$1169</f>
        <v/>
      </c>
      <c r="AD1194" s="19">
        <f>AD1193*Sensitivities!$C$1168+i_hold_rate*Sensitivities!$C$1169</f>
        <v/>
      </c>
      <c r="AE1194" s="19">
        <f>AE1193*Sensitivities!$C$1168+i_hold_rate*Sensitivities!$C$1169</f>
        <v/>
      </c>
      <c r="AF1194" s="19">
        <f>AF1193*Sensitivities!$C$1168+i_hold_rate*Sensitivities!$C$1169</f>
        <v/>
      </c>
      <c r="AG1194" s="19">
        <f>AG1193*Sensitivities!$C$1168+i_hold_rate*Sensitivities!$C$1169</f>
        <v/>
      </c>
      <c r="AH1194" s="19">
        <f>AH1193*Sensitivities!$C$1168+i_hold_rate*Sensitivities!$C$1169</f>
        <v/>
      </c>
      <c r="AI1194" s="19">
        <f>AI1193*Sensitivities!$C$1168+i_hold_rate*Sensitivities!$C$1169</f>
        <v/>
      </c>
    </row>
    <row r="1195">
      <c r="B1195" s="2" t="inlineStr">
        <is>
          <t>Deductible interest (cap on EBITDA)</t>
        </is>
      </c>
      <c r="D1195" s="19">
        <f>MIN(D1194,i_int_cap*Sensitivities!D444)</f>
        <v/>
      </c>
      <c r="E1195" s="19">
        <f>MIN(E1194,i_int_cap*Sensitivities!E444)</f>
        <v/>
      </c>
      <c r="F1195" s="19">
        <f>MIN(F1194,i_int_cap*Sensitivities!F444)</f>
        <v/>
      </c>
      <c r="G1195" s="19">
        <f>MIN(G1194,i_int_cap*Sensitivities!G444)</f>
        <v/>
      </c>
      <c r="H1195" s="19">
        <f>MIN(H1194,i_int_cap*Sensitivities!H444)</f>
        <v/>
      </c>
      <c r="I1195" s="19">
        <f>MIN(I1194,i_int_cap*Sensitivities!I444)</f>
        <v/>
      </c>
      <c r="J1195" s="19">
        <f>MIN(J1194,i_int_cap*Sensitivities!J444)</f>
        <v/>
      </c>
      <c r="K1195" s="19">
        <f>MIN(K1194,i_int_cap*Sensitivities!K444)</f>
        <v/>
      </c>
      <c r="L1195" s="19">
        <f>MIN(L1194,i_int_cap*Sensitivities!L444)</f>
        <v/>
      </c>
      <c r="M1195" s="19">
        <f>MIN(M1194,i_int_cap*Sensitivities!M444)</f>
        <v/>
      </c>
      <c r="N1195" s="19">
        <f>MIN(N1194,i_int_cap*Sensitivities!N444)</f>
        <v/>
      </c>
      <c r="O1195" s="19">
        <f>MIN(O1194,i_int_cap*Sensitivities!O444)</f>
        <v/>
      </c>
      <c r="P1195" s="19">
        <f>MIN(P1194,i_int_cap*Sensitivities!P444)</f>
        <v/>
      </c>
      <c r="Q1195" s="19">
        <f>MIN(Q1194,i_int_cap*Sensitivities!Q444)</f>
        <v/>
      </c>
      <c r="R1195" s="19">
        <f>MIN(R1194,i_int_cap*Sensitivities!R444)</f>
        <v/>
      </c>
      <c r="S1195" s="19">
        <f>MIN(S1194,i_int_cap*Sensitivities!S444)</f>
        <v/>
      </c>
      <c r="T1195" s="19">
        <f>MIN(T1194,i_int_cap*Sensitivities!T444)</f>
        <v/>
      </c>
      <c r="U1195" s="19">
        <f>MIN(U1194,i_int_cap*Sensitivities!U444)</f>
        <v/>
      </c>
      <c r="V1195" s="19">
        <f>MIN(V1194,i_int_cap*Sensitivities!V444)</f>
        <v/>
      </c>
      <c r="W1195" s="19">
        <f>MIN(W1194,i_int_cap*Sensitivities!W444)</f>
        <v/>
      </c>
      <c r="X1195" s="19">
        <f>MIN(X1194,i_int_cap*Sensitivities!X444)</f>
        <v/>
      </c>
      <c r="Y1195" s="19">
        <f>MIN(Y1194,i_int_cap*Sensitivities!Y444)</f>
        <v/>
      </c>
      <c r="Z1195" s="19">
        <f>MIN(Z1194,i_int_cap*Sensitivities!Z444)</f>
        <v/>
      </c>
      <c r="AA1195" s="19">
        <f>MIN(AA1194,i_int_cap*Sensitivities!AA444)</f>
        <v/>
      </c>
      <c r="AB1195" s="19">
        <f>MIN(AB1194,i_int_cap*Sensitivities!AB444)</f>
        <v/>
      </c>
      <c r="AC1195" s="19">
        <f>MIN(AC1194,i_int_cap*Sensitivities!AC444)</f>
        <v/>
      </c>
      <c r="AD1195" s="19">
        <f>MIN(AD1194,i_int_cap*Sensitivities!AD444)</f>
        <v/>
      </c>
      <c r="AE1195" s="19">
        <f>MIN(AE1194,i_int_cap*Sensitivities!AE444)</f>
        <v/>
      </c>
      <c r="AF1195" s="19">
        <f>MIN(AF1194,i_int_cap*Sensitivities!AF444)</f>
        <v/>
      </c>
      <c r="AG1195" s="19">
        <f>MIN(AG1194,i_int_cap*Sensitivities!AG444)</f>
        <v/>
      </c>
      <c r="AH1195" s="19">
        <f>MIN(AH1194,i_int_cap*Sensitivities!AH444)</f>
        <v/>
      </c>
      <c r="AI1195" s="19">
        <f>MIN(AI1194,i_int_cap*Sensitivities!AI444)</f>
        <v/>
      </c>
    </row>
    <row r="1196">
      <c r="B1196" s="2" t="inlineStr">
        <is>
          <t>Cash tax with the debt</t>
        </is>
      </c>
      <c r="D1196" s="19">
        <f>i_tax*MAX(0,Sensitivities!D444-Sensitivities!D447-D1195)</f>
        <v/>
      </c>
      <c r="E1196" s="19">
        <f>i_tax*MAX(0,Sensitivities!E444-Sensitivities!E447-E1195)</f>
        <v/>
      </c>
      <c r="F1196" s="19">
        <f>i_tax*MAX(0,Sensitivities!F444-Sensitivities!F447-F1195)</f>
        <v/>
      </c>
      <c r="G1196" s="19">
        <f>i_tax*MAX(0,Sensitivities!G444-Sensitivities!G447-G1195)</f>
        <v/>
      </c>
      <c r="H1196" s="19">
        <f>i_tax*MAX(0,Sensitivities!H444-Sensitivities!H447-H1195)</f>
        <v/>
      </c>
      <c r="I1196" s="19">
        <f>i_tax*MAX(0,Sensitivities!I444-Sensitivities!I447-I1195)</f>
        <v/>
      </c>
      <c r="J1196" s="19">
        <f>i_tax*MAX(0,Sensitivities!J444-Sensitivities!J447-J1195)</f>
        <v/>
      </c>
      <c r="K1196" s="19">
        <f>i_tax*MAX(0,Sensitivities!K444-Sensitivities!K447-K1195)</f>
        <v/>
      </c>
      <c r="L1196" s="19">
        <f>i_tax*MAX(0,Sensitivities!L444-Sensitivities!L447-L1195)</f>
        <v/>
      </c>
      <c r="M1196" s="19">
        <f>i_tax*MAX(0,Sensitivities!M444-Sensitivities!M447-M1195)</f>
        <v/>
      </c>
      <c r="N1196" s="19">
        <f>i_tax*MAX(0,Sensitivities!N444-Sensitivities!N447-N1195)</f>
        <v/>
      </c>
      <c r="O1196" s="19">
        <f>i_tax*MAX(0,Sensitivities!O444-Sensitivities!O447-O1195)</f>
        <v/>
      </c>
      <c r="P1196" s="19">
        <f>i_tax*MAX(0,Sensitivities!P444-Sensitivities!P447-P1195)</f>
        <v/>
      </c>
      <c r="Q1196" s="19">
        <f>i_tax*MAX(0,Sensitivities!Q444-Sensitivities!Q447-Q1195)</f>
        <v/>
      </c>
      <c r="R1196" s="19">
        <f>i_tax*MAX(0,Sensitivities!R444-Sensitivities!R447-R1195)</f>
        <v/>
      </c>
      <c r="S1196" s="19">
        <f>i_tax*MAX(0,Sensitivities!S444-Sensitivities!S447-S1195)</f>
        <v/>
      </c>
      <c r="T1196" s="19">
        <f>i_tax*MAX(0,Sensitivities!T444-Sensitivities!T447-T1195)</f>
        <v/>
      </c>
      <c r="U1196" s="19">
        <f>i_tax*MAX(0,Sensitivities!U444-Sensitivities!U447-U1195)</f>
        <v/>
      </c>
      <c r="V1196" s="19">
        <f>i_tax*MAX(0,Sensitivities!V444-Sensitivities!V447-V1195)</f>
        <v/>
      </c>
      <c r="W1196" s="19">
        <f>i_tax*MAX(0,Sensitivities!W444-Sensitivities!W447-W1195)</f>
        <v/>
      </c>
      <c r="X1196" s="19">
        <f>i_tax*MAX(0,Sensitivities!X444-Sensitivities!X447-X1195)</f>
        <v/>
      </c>
      <c r="Y1196" s="19">
        <f>i_tax*MAX(0,Sensitivities!Y444-Sensitivities!Y447-Y1195)</f>
        <v/>
      </c>
      <c r="Z1196" s="19">
        <f>i_tax*MAX(0,Sensitivities!Z444-Sensitivities!Z447-Z1195)</f>
        <v/>
      </c>
      <c r="AA1196" s="19">
        <f>i_tax*MAX(0,Sensitivities!AA444-Sensitivities!AA447-AA1195)</f>
        <v/>
      </c>
      <c r="AB1196" s="19">
        <f>i_tax*MAX(0,Sensitivities!AB444-Sensitivities!AB447-AB1195)</f>
        <v/>
      </c>
      <c r="AC1196" s="19">
        <f>i_tax*MAX(0,Sensitivities!AC444-Sensitivities!AC447-AC1195)</f>
        <v/>
      </c>
      <c r="AD1196" s="19">
        <f>i_tax*MAX(0,Sensitivities!AD444-Sensitivities!AD447-AD1195)</f>
        <v/>
      </c>
      <c r="AE1196" s="19">
        <f>i_tax*MAX(0,Sensitivities!AE444-Sensitivities!AE447-AE1195)</f>
        <v/>
      </c>
      <c r="AF1196" s="19">
        <f>i_tax*MAX(0,Sensitivities!AF444-Sensitivities!AF447-AF1195)</f>
        <v/>
      </c>
      <c r="AG1196" s="19">
        <f>i_tax*MAX(0,Sensitivities!AG444-Sensitivities!AG447-AG1195)</f>
        <v/>
      </c>
      <c r="AH1196" s="19">
        <f>i_tax*MAX(0,Sensitivities!AH444-Sensitivities!AH447-AH1195)</f>
        <v/>
      </c>
      <c r="AI1196" s="19">
        <f>i_tax*MAX(0,Sensitivities!AI444-Sensitivities!AI447-AI1195)</f>
        <v/>
      </c>
    </row>
    <row r="1197">
      <c r="B1197" s="3" t="inlineStr">
        <is>
          <t>Cash flow to equity (full year)</t>
        </is>
      </c>
      <c r="D1197" s="31">
        <f>Sensitivities!D444-Sensitivities!D445-Sensitivities!D446-D1196-D1194-Sensitivities!D449</f>
        <v/>
      </c>
      <c r="E1197" s="31">
        <f>Sensitivities!E444-Sensitivities!E445-Sensitivities!E446-E1196-E1194-Sensitivities!E449</f>
        <v/>
      </c>
      <c r="F1197" s="31">
        <f>Sensitivities!F444-Sensitivities!F445-Sensitivities!F446-F1196-F1194-Sensitivities!F449</f>
        <v/>
      </c>
      <c r="G1197" s="31">
        <f>Sensitivities!G444-Sensitivities!G445-Sensitivities!G446-G1196-G1194-Sensitivities!G449</f>
        <v/>
      </c>
      <c r="H1197" s="31">
        <f>Sensitivities!H444-Sensitivities!H445-Sensitivities!H446-H1196-H1194-Sensitivities!H449</f>
        <v/>
      </c>
      <c r="I1197" s="31">
        <f>Sensitivities!I444-Sensitivities!I445-Sensitivities!I446-I1196-I1194-Sensitivities!I449</f>
        <v/>
      </c>
      <c r="J1197" s="31">
        <f>Sensitivities!J444-Sensitivities!J445-Sensitivities!J446-J1196-J1194-Sensitivities!J449</f>
        <v/>
      </c>
      <c r="K1197" s="31">
        <f>Sensitivities!K444-Sensitivities!K445-Sensitivities!K446-K1196-K1194-Sensitivities!K449</f>
        <v/>
      </c>
      <c r="L1197" s="31">
        <f>Sensitivities!L444-Sensitivities!L445-Sensitivities!L446-L1196-L1194-Sensitivities!L449</f>
        <v/>
      </c>
      <c r="M1197" s="31">
        <f>Sensitivities!M444-Sensitivities!M445-Sensitivities!M446-M1196-M1194-Sensitivities!M449</f>
        <v/>
      </c>
      <c r="N1197" s="31">
        <f>Sensitivities!N444-Sensitivities!N445-Sensitivities!N446-N1196-N1194-Sensitivities!N449</f>
        <v/>
      </c>
      <c r="O1197" s="31">
        <f>Sensitivities!O444-Sensitivities!O445-Sensitivities!O446-O1196-O1194-Sensitivities!O449</f>
        <v/>
      </c>
      <c r="P1197" s="31">
        <f>Sensitivities!P444-Sensitivities!P445-Sensitivities!P446-P1196-P1194-Sensitivities!P449</f>
        <v/>
      </c>
      <c r="Q1197" s="31">
        <f>Sensitivities!Q444-Sensitivities!Q445-Sensitivities!Q446-Q1196-Q1194-Sensitivities!Q449</f>
        <v/>
      </c>
      <c r="R1197" s="31">
        <f>Sensitivities!R444-Sensitivities!R445-Sensitivities!R446-R1196-R1194-Sensitivities!R449</f>
        <v/>
      </c>
      <c r="S1197" s="31">
        <f>Sensitivities!S444-Sensitivities!S445-Sensitivities!S446-S1196-S1194-Sensitivities!S449</f>
        <v/>
      </c>
      <c r="T1197" s="31">
        <f>Sensitivities!T444-Sensitivities!T445-Sensitivities!T446-T1196-T1194-Sensitivities!T449</f>
        <v/>
      </c>
      <c r="U1197" s="31">
        <f>Sensitivities!U444-Sensitivities!U445-Sensitivities!U446-U1196-U1194-Sensitivities!U449</f>
        <v/>
      </c>
      <c r="V1197" s="31">
        <f>Sensitivities!V444-Sensitivities!V445-Sensitivities!V446-V1196-V1194-Sensitivities!V449</f>
        <v/>
      </c>
      <c r="W1197" s="31">
        <f>Sensitivities!W444-Sensitivities!W445-Sensitivities!W446-W1196-W1194-Sensitivities!W449</f>
        <v/>
      </c>
      <c r="X1197" s="31">
        <f>Sensitivities!X444-Sensitivities!X445-Sensitivities!X446-X1196-X1194-Sensitivities!X449</f>
        <v/>
      </c>
      <c r="Y1197" s="31">
        <f>Sensitivities!Y444-Sensitivities!Y445-Sensitivities!Y446-Y1196-Y1194-Sensitivities!Y449</f>
        <v/>
      </c>
      <c r="Z1197" s="31">
        <f>Sensitivities!Z444-Sensitivities!Z445-Sensitivities!Z446-Z1196-Z1194-Sensitivities!Z449</f>
        <v/>
      </c>
      <c r="AA1197" s="31">
        <f>Sensitivities!AA444-Sensitivities!AA445-Sensitivities!AA446-AA1196-AA1194-Sensitivities!AA449</f>
        <v/>
      </c>
      <c r="AB1197" s="31">
        <f>Sensitivities!AB444-Sensitivities!AB445-Sensitivities!AB446-AB1196-AB1194-Sensitivities!AB449</f>
        <v/>
      </c>
      <c r="AC1197" s="31">
        <f>Sensitivities!AC444-Sensitivities!AC445-Sensitivities!AC446-AC1196-AC1194-Sensitivities!AC449</f>
        <v/>
      </c>
      <c r="AD1197" s="31">
        <f>Sensitivities!AD444-Sensitivities!AD445-Sensitivities!AD446-AD1196-AD1194-Sensitivities!AD449</f>
        <v/>
      </c>
      <c r="AE1197" s="31">
        <f>Sensitivities!AE444-Sensitivities!AE445-Sensitivities!AE446-AE1196-AE1194-Sensitivities!AE449</f>
        <v/>
      </c>
      <c r="AF1197" s="31">
        <f>Sensitivities!AF444-Sensitivities!AF445-Sensitivities!AF446-AF1196-AF1194-Sensitivities!AF449</f>
        <v/>
      </c>
      <c r="AG1197" s="31">
        <f>Sensitivities!AG444-Sensitivities!AG445-Sensitivities!AG446-AG1196-AG1194-Sensitivities!AG449</f>
        <v/>
      </c>
      <c r="AH1197" s="31">
        <f>Sensitivities!AH444-Sensitivities!AH445-Sensitivities!AH446-AH1196-AH1194-Sensitivities!AH449</f>
        <v/>
      </c>
      <c r="AI1197" s="31">
        <f>Sensitivities!AI444-Sensitivities!AI445-Sensitivities!AI446-AI1196-AI1194-Sensitivities!AI449</f>
        <v/>
      </c>
    </row>
    <row r="1198">
      <c r="B1198" s="2" t="inlineStr">
        <is>
          <t>Exit EV at the end of the exit year (DCF at the exit rate)</t>
        </is>
      </c>
      <c r="C1198" s="19">
        <f>SUMPRODUCT((Sensitivities!$D$3:$AI$3&gt;i_exit_year)*(Sensitivities!$D$3:$AI$3&lt;=i_last)*Sensitivities!$D$450:$AI$450/(1+Sensitivities!$C$1145)^(Sensitivities!$D$3:$AI$3-i_exit_year))+Sensitivities!$AI$450/(Sensitivities!$C$1145-i_g)/(1+Sensitivities!$C$1145)^(i_last-i_exit_year)</f>
        <v/>
      </c>
    </row>
    <row r="1199">
      <c r="B1199" s="2" t="inlineStr">
        <is>
          <t>Debt at exit (bullets)</t>
        </is>
      </c>
      <c r="C1199" s="19">
        <f>Sensitivities!$C$1168+Sensitivities!$C$1169</f>
        <v/>
      </c>
    </row>
    <row r="1200">
      <c r="B1200" s="3" t="inlineStr">
        <is>
          <t>Equity value at exit</t>
        </is>
      </c>
      <c r="C1200" s="31">
        <f>Sensitivities!$C$1198-Sensitivities!$C$1199</f>
        <v/>
      </c>
    </row>
    <row r="1201">
      <c r="B1201" s="2" t="inlineStr">
        <is>
          <t>Minority option: EV at the end of 2031 (minority buyer's rate)</t>
        </is>
      </c>
      <c r="C1201" s="19">
        <f>SUMPRODUCT((Sensitivities!$D$3:$AI$3&gt;i_min_year)*(Sensitivities!$D$3:$AI$3&lt;=i_last)*Sensitivities!$D$450:$AI$450/(1+i_min_r)^(Sensitivities!$D$3:$AI$3-i_min_year))+Sensitivities!$AI$450/(i_min_r-i_g)/(1+i_min_r)^(i_last-i_min_year)</f>
        <v/>
      </c>
    </row>
    <row r="1202">
      <c r="B1202" s="2" t="inlineStr">
        <is>
          <t>Minority option: equity value in 2031</t>
        </is>
      </c>
      <c r="C1202" s="19">
        <f>Sensitivities!$C$1201-Sensitivities!$C$1199</f>
        <v/>
      </c>
    </row>
    <row r="1203">
      <c r="B1203" s="2" t="inlineStr">
        <is>
          <t>Minority option: proceeds of the 49 percent sold</t>
        </is>
      </c>
      <c r="C1203" s="19">
        <f>Sensitivities!$C$1144*i_min_share*Sensitivities!$C$1202*(1-i_min_disc)</f>
        <v/>
      </c>
    </row>
    <row r="1204">
      <c r="B1204" s="4" t="inlineStr">
        <is>
          <t>Time of each flow (years after 31 December 2026)</t>
        </is>
      </c>
      <c r="D1204" s="28">
        <f>D$4</f>
        <v/>
      </c>
      <c r="E1204" s="28">
        <f>E$4</f>
        <v/>
      </c>
      <c r="F1204" s="28">
        <f>F$4</f>
        <v/>
      </c>
      <c r="G1204" s="28">
        <f>G$4</f>
        <v/>
      </c>
      <c r="H1204" s="28">
        <f>H$4</f>
        <v/>
      </c>
      <c r="I1204" s="28">
        <f>I$4</f>
        <v/>
      </c>
      <c r="J1204" s="28">
        <f>J$4</f>
        <v/>
      </c>
      <c r="K1204" s="28">
        <f>K$4</f>
        <v/>
      </c>
      <c r="L1204" s="28">
        <f>L$4</f>
        <v/>
      </c>
      <c r="M1204" s="28">
        <f>M$4</f>
        <v/>
      </c>
      <c r="N1204" s="28">
        <f>N$4</f>
        <v/>
      </c>
      <c r="O1204" s="28">
        <f>O$4</f>
        <v/>
      </c>
      <c r="P1204" s="28">
        <f>P$4</f>
        <v/>
      </c>
      <c r="Q1204" s="28">
        <f>Q$4</f>
        <v/>
      </c>
      <c r="R1204" s="28">
        <f>R$4</f>
        <v/>
      </c>
      <c r="S1204" s="28">
        <f>S$4</f>
        <v/>
      </c>
      <c r="T1204" s="28">
        <f>T$4</f>
        <v/>
      </c>
      <c r="U1204" s="28">
        <f>U$4</f>
        <v/>
      </c>
      <c r="V1204" s="28">
        <f>V$4</f>
        <v/>
      </c>
      <c r="W1204" s="28">
        <f>W$4</f>
        <v/>
      </c>
      <c r="X1204" s="28">
        <f>X$4</f>
        <v/>
      </c>
      <c r="Y1204" s="28">
        <f>Y$4</f>
        <v/>
      </c>
      <c r="Z1204" s="28">
        <f>Z$4</f>
        <v/>
      </c>
      <c r="AA1204" s="28">
        <f>AA$4</f>
        <v/>
      </c>
      <c r="AB1204" s="28">
        <f>AB$4</f>
        <v/>
      </c>
      <c r="AC1204" s="28">
        <f>AC$4</f>
        <v/>
      </c>
      <c r="AD1204" s="28">
        <f>AD$4</f>
        <v/>
      </c>
      <c r="AE1204" s="28">
        <f>AE$4</f>
        <v/>
      </c>
      <c r="AF1204" s="28">
        <f>AF$4</f>
        <v/>
      </c>
      <c r="AG1204" s="28">
        <f>AG$4</f>
        <v/>
      </c>
      <c r="AH1204" s="28">
        <f>AH$4</f>
        <v/>
      </c>
      <c r="AI1204" s="28">
        <f>AI$4</f>
        <v/>
      </c>
      <c r="AJ1204" s="28">
        <f>Sensitivities!$C$1142</f>
        <v/>
      </c>
      <c r="AK1204" s="28">
        <f>i_min_year-i_base_year</f>
        <v/>
      </c>
      <c r="AL1204" s="28">
        <f>i_exit_year-i_base_year</f>
        <v/>
      </c>
    </row>
    <row r="1205">
      <c r="B1205" s="3" t="inlineStr">
        <is>
          <t>Levered flows (equity)</t>
        </is>
      </c>
      <c r="D1205" s="31">
        <f>D1192*D1197*IF(AND(Sensitivities!$C$1144=1,D1204&gt;$AK$1204+1E-9),1-i_min_share,1)</f>
        <v/>
      </c>
      <c r="E1205" s="31">
        <f>E1192*E1197*IF(AND(Sensitivities!$C$1144=1,E1204&gt;$AK$1204+1E-9),1-i_min_share,1)</f>
        <v/>
      </c>
      <c r="F1205" s="31">
        <f>F1192*F1197*IF(AND(Sensitivities!$C$1144=1,F1204&gt;$AK$1204+1E-9),1-i_min_share,1)</f>
        <v/>
      </c>
      <c r="G1205" s="31">
        <f>G1192*G1197*IF(AND(Sensitivities!$C$1144=1,G1204&gt;$AK$1204+1E-9),1-i_min_share,1)</f>
        <v/>
      </c>
      <c r="H1205" s="31">
        <f>H1192*H1197*IF(AND(Sensitivities!$C$1144=1,H1204&gt;$AK$1204+1E-9),1-i_min_share,1)</f>
        <v/>
      </c>
      <c r="I1205" s="31">
        <f>I1192*I1197*IF(AND(Sensitivities!$C$1144=1,I1204&gt;$AK$1204+1E-9),1-i_min_share,1)</f>
        <v/>
      </c>
      <c r="J1205" s="31">
        <f>J1192*J1197*IF(AND(Sensitivities!$C$1144=1,J1204&gt;$AK$1204+1E-9),1-i_min_share,1)</f>
        <v/>
      </c>
      <c r="K1205" s="31">
        <f>K1192*K1197*IF(AND(Sensitivities!$C$1144=1,K1204&gt;$AK$1204+1E-9),1-i_min_share,1)</f>
        <v/>
      </c>
      <c r="L1205" s="31">
        <f>L1192*L1197*IF(AND(Sensitivities!$C$1144=1,L1204&gt;$AK$1204+1E-9),1-i_min_share,1)</f>
        <v/>
      </c>
      <c r="M1205" s="31">
        <f>M1192*M1197*IF(AND(Sensitivities!$C$1144=1,M1204&gt;$AK$1204+1E-9),1-i_min_share,1)</f>
        <v/>
      </c>
      <c r="N1205" s="31">
        <f>N1192*N1197*IF(AND(Sensitivities!$C$1144=1,N1204&gt;$AK$1204+1E-9),1-i_min_share,1)</f>
        <v/>
      </c>
      <c r="O1205" s="31">
        <f>O1192*O1197*IF(AND(Sensitivities!$C$1144=1,O1204&gt;$AK$1204+1E-9),1-i_min_share,1)</f>
        <v/>
      </c>
      <c r="P1205" s="31">
        <f>P1192*P1197*IF(AND(Sensitivities!$C$1144=1,P1204&gt;$AK$1204+1E-9),1-i_min_share,1)</f>
        <v/>
      </c>
      <c r="Q1205" s="31">
        <f>Q1192*Q1197*IF(AND(Sensitivities!$C$1144=1,Q1204&gt;$AK$1204+1E-9),1-i_min_share,1)</f>
        <v/>
      </c>
      <c r="R1205" s="31">
        <f>R1192*R1197*IF(AND(Sensitivities!$C$1144=1,R1204&gt;$AK$1204+1E-9),1-i_min_share,1)</f>
        <v/>
      </c>
      <c r="S1205" s="31">
        <f>S1192*S1197*IF(AND(Sensitivities!$C$1144=1,S1204&gt;$AK$1204+1E-9),1-i_min_share,1)</f>
        <v/>
      </c>
      <c r="T1205" s="31">
        <f>T1192*T1197*IF(AND(Sensitivities!$C$1144=1,T1204&gt;$AK$1204+1E-9),1-i_min_share,1)</f>
        <v/>
      </c>
      <c r="U1205" s="31">
        <f>U1192*U1197*IF(AND(Sensitivities!$C$1144=1,U1204&gt;$AK$1204+1E-9),1-i_min_share,1)</f>
        <v/>
      </c>
      <c r="V1205" s="31">
        <f>V1192*V1197*IF(AND(Sensitivities!$C$1144=1,V1204&gt;$AK$1204+1E-9),1-i_min_share,1)</f>
        <v/>
      </c>
      <c r="W1205" s="31">
        <f>W1192*W1197*IF(AND(Sensitivities!$C$1144=1,W1204&gt;$AK$1204+1E-9),1-i_min_share,1)</f>
        <v/>
      </c>
      <c r="X1205" s="31">
        <f>X1192*X1197*IF(AND(Sensitivities!$C$1144=1,X1204&gt;$AK$1204+1E-9),1-i_min_share,1)</f>
        <v/>
      </c>
      <c r="Y1205" s="31">
        <f>Y1192*Y1197*IF(AND(Sensitivities!$C$1144=1,Y1204&gt;$AK$1204+1E-9),1-i_min_share,1)</f>
        <v/>
      </c>
      <c r="Z1205" s="31">
        <f>Z1192*Z1197*IF(AND(Sensitivities!$C$1144=1,Z1204&gt;$AK$1204+1E-9),1-i_min_share,1)</f>
        <v/>
      </c>
      <c r="AA1205" s="31">
        <f>AA1192*AA1197*IF(AND(Sensitivities!$C$1144=1,AA1204&gt;$AK$1204+1E-9),1-i_min_share,1)</f>
        <v/>
      </c>
      <c r="AB1205" s="31">
        <f>AB1192*AB1197*IF(AND(Sensitivities!$C$1144=1,AB1204&gt;$AK$1204+1E-9),1-i_min_share,1)</f>
        <v/>
      </c>
      <c r="AC1205" s="31">
        <f>AC1192*AC1197*IF(AND(Sensitivities!$C$1144=1,AC1204&gt;$AK$1204+1E-9),1-i_min_share,1)</f>
        <v/>
      </c>
      <c r="AD1205" s="31">
        <f>AD1192*AD1197*IF(AND(Sensitivities!$C$1144=1,AD1204&gt;$AK$1204+1E-9),1-i_min_share,1)</f>
        <v/>
      </c>
      <c r="AE1205" s="31">
        <f>AE1192*AE1197*IF(AND(Sensitivities!$C$1144=1,AE1204&gt;$AK$1204+1E-9),1-i_min_share,1)</f>
        <v/>
      </c>
      <c r="AF1205" s="31">
        <f>AF1192*AF1197*IF(AND(Sensitivities!$C$1144=1,AF1204&gt;$AK$1204+1E-9),1-i_min_share,1)</f>
        <v/>
      </c>
      <c r="AG1205" s="31">
        <f>AG1192*AG1197*IF(AND(Sensitivities!$C$1144=1,AG1204&gt;$AK$1204+1E-9),1-i_min_share,1)</f>
        <v/>
      </c>
      <c r="AH1205" s="31">
        <f>AH1192*AH1197*IF(AND(Sensitivities!$C$1144=1,AH1204&gt;$AK$1204+1E-9),1-i_min_share,1)</f>
        <v/>
      </c>
      <c r="AI1205" s="31">
        <f>AI1192*AI1197*IF(AND(Sensitivities!$C$1144=1,AI1204&gt;$AK$1204+1E-9),1-i_min_share,1)</f>
        <v/>
      </c>
      <c r="AJ1205" s="31">
        <f>-Sensitivities!$C$1188</f>
        <v/>
      </c>
      <c r="AK1205" s="31">
        <f>Sensitivities!$C$1203</f>
        <v/>
      </c>
      <c r="AL1205" s="31">
        <f>Sensitivities!$C$1200*IF(Sensitivities!$C$1144=1,1-i_min_share,1)</f>
        <v/>
      </c>
    </row>
    <row r="1206">
      <c r="B1206" s="3" t="inlineStr">
        <is>
          <t>Unlevered flows (before financing)</t>
        </is>
      </c>
      <c r="D1206" s="31">
        <f>D1192*Sensitivities!D450</f>
        <v/>
      </c>
      <c r="E1206" s="31">
        <f>E1192*Sensitivities!E450</f>
        <v/>
      </c>
      <c r="F1206" s="31">
        <f>F1192*Sensitivities!F450</f>
        <v/>
      </c>
      <c r="G1206" s="31">
        <f>G1192*Sensitivities!G450</f>
        <v/>
      </c>
      <c r="H1206" s="31">
        <f>H1192*Sensitivities!H450</f>
        <v/>
      </c>
      <c r="I1206" s="31">
        <f>I1192*Sensitivities!I450</f>
        <v/>
      </c>
      <c r="J1206" s="31">
        <f>J1192*Sensitivities!J450</f>
        <v/>
      </c>
      <c r="K1206" s="31">
        <f>K1192*Sensitivities!K450</f>
        <v/>
      </c>
      <c r="L1206" s="31">
        <f>L1192*Sensitivities!L450</f>
        <v/>
      </c>
      <c r="M1206" s="31">
        <f>M1192*Sensitivities!M450</f>
        <v/>
      </c>
      <c r="N1206" s="31">
        <f>N1192*Sensitivities!N450</f>
        <v/>
      </c>
      <c r="O1206" s="31">
        <f>O1192*Sensitivities!O450</f>
        <v/>
      </c>
      <c r="P1206" s="31">
        <f>P1192*Sensitivities!P450</f>
        <v/>
      </c>
      <c r="Q1206" s="31">
        <f>Q1192*Sensitivities!Q450</f>
        <v/>
      </c>
      <c r="R1206" s="31">
        <f>R1192*Sensitivities!R450</f>
        <v/>
      </c>
      <c r="S1206" s="31">
        <f>S1192*Sensitivities!S450</f>
        <v/>
      </c>
      <c r="T1206" s="31">
        <f>T1192*Sensitivities!T450</f>
        <v/>
      </c>
      <c r="U1206" s="31">
        <f>U1192*Sensitivities!U450</f>
        <v/>
      </c>
      <c r="V1206" s="31">
        <f>V1192*Sensitivities!V450</f>
        <v/>
      </c>
      <c r="W1206" s="31">
        <f>W1192*Sensitivities!W450</f>
        <v/>
      </c>
      <c r="X1206" s="31">
        <f>X1192*Sensitivities!X450</f>
        <v/>
      </c>
      <c r="Y1206" s="31">
        <f>Y1192*Sensitivities!Y450</f>
        <v/>
      </c>
      <c r="Z1206" s="31">
        <f>Z1192*Sensitivities!Z450</f>
        <v/>
      </c>
      <c r="AA1206" s="31">
        <f>AA1192*Sensitivities!AA450</f>
        <v/>
      </c>
      <c r="AB1206" s="31">
        <f>AB1192*Sensitivities!AB450</f>
        <v/>
      </c>
      <c r="AC1206" s="31">
        <f>AC1192*Sensitivities!AC450</f>
        <v/>
      </c>
      <c r="AD1206" s="31">
        <f>AD1192*Sensitivities!AD450</f>
        <v/>
      </c>
      <c r="AE1206" s="31">
        <f>AE1192*Sensitivities!AE450</f>
        <v/>
      </c>
      <c r="AF1206" s="31">
        <f>AF1192*Sensitivities!AF450</f>
        <v/>
      </c>
      <c r="AG1206" s="31">
        <f>AG1192*Sensitivities!AG450</f>
        <v/>
      </c>
      <c r="AH1206" s="31">
        <f>AH1192*Sensitivities!AH450</f>
        <v/>
      </c>
      <c r="AI1206" s="31">
        <f>AI1192*Sensitivities!AI450</f>
        <v/>
      </c>
      <c r="AJ1206" s="31">
        <f>-(Sensitivities!$C$1183-Sensitivities!$C$1161-Sensitivities!$C$1173)</f>
        <v/>
      </c>
      <c r="AK1206" s="19" t="n">
        <v>0</v>
      </c>
      <c r="AL1206" s="31">
        <f>Sensitivities!$C$1198</f>
        <v/>
      </c>
    </row>
    <row r="1207">
      <c r="B1207" s="4" t="inlineStr">
        <is>
          <t>Levered IRR (Newton steps from 10 percent)</t>
        </is>
      </c>
      <c r="D1207" s="38" t="n">
        <v>0.1</v>
      </c>
      <c r="E1207" s="40">
        <f>D1207-SUMPRODUCT($D$1205:$AL$1205,(1+D1207)^(-$D$1204:$AL$1204))/SUMPRODUCT($D$1205:$AL$1205*(-$D$1204:$AL$1204),(1+D1207)^(-$D$1204:$AL$1204-1))</f>
        <v/>
      </c>
      <c r="F1207" s="40">
        <f>E1207-SUMPRODUCT($D$1205:$AL$1205,(1+E1207)^(-$D$1204:$AL$1204))/SUMPRODUCT($D$1205:$AL$1205*(-$D$1204:$AL$1204),(1+E1207)^(-$D$1204:$AL$1204-1))</f>
        <v/>
      </c>
      <c r="G1207" s="40">
        <f>F1207-SUMPRODUCT($D$1205:$AL$1205,(1+F1207)^(-$D$1204:$AL$1204))/SUMPRODUCT($D$1205:$AL$1205*(-$D$1204:$AL$1204),(1+F1207)^(-$D$1204:$AL$1204-1))</f>
        <v/>
      </c>
      <c r="H1207" s="40">
        <f>G1207-SUMPRODUCT($D$1205:$AL$1205,(1+G1207)^(-$D$1204:$AL$1204))/SUMPRODUCT($D$1205:$AL$1205*(-$D$1204:$AL$1204),(1+G1207)^(-$D$1204:$AL$1204-1))</f>
        <v/>
      </c>
      <c r="I1207" s="40">
        <f>H1207-SUMPRODUCT($D$1205:$AL$1205,(1+H1207)^(-$D$1204:$AL$1204))/SUMPRODUCT($D$1205:$AL$1205*(-$D$1204:$AL$1204),(1+H1207)^(-$D$1204:$AL$1204-1))</f>
        <v/>
      </c>
      <c r="J1207" s="40">
        <f>I1207-SUMPRODUCT($D$1205:$AL$1205,(1+I1207)^(-$D$1204:$AL$1204))/SUMPRODUCT($D$1205:$AL$1205*(-$D$1204:$AL$1204),(1+I1207)^(-$D$1204:$AL$1204-1))</f>
        <v/>
      </c>
      <c r="K1207" s="40">
        <f>J1207-SUMPRODUCT($D$1205:$AL$1205,(1+J1207)^(-$D$1204:$AL$1204))/SUMPRODUCT($D$1205:$AL$1205*(-$D$1204:$AL$1204),(1+J1207)^(-$D$1204:$AL$1204-1))</f>
        <v/>
      </c>
      <c r="L1207" s="40">
        <f>K1207-SUMPRODUCT($D$1205:$AL$1205,(1+K1207)^(-$D$1204:$AL$1204))/SUMPRODUCT($D$1205:$AL$1205*(-$D$1204:$AL$1204),(1+K1207)^(-$D$1204:$AL$1204-1))</f>
        <v/>
      </c>
      <c r="M1207" s="40">
        <f>L1207-SUMPRODUCT($D$1205:$AL$1205,(1+L1207)^(-$D$1204:$AL$1204))/SUMPRODUCT($D$1205:$AL$1205*(-$D$1204:$AL$1204),(1+L1207)^(-$D$1204:$AL$1204-1))</f>
        <v/>
      </c>
      <c r="N1207" s="40">
        <f>M1207-SUMPRODUCT($D$1205:$AL$1205,(1+M1207)^(-$D$1204:$AL$1204))/SUMPRODUCT($D$1205:$AL$1205*(-$D$1204:$AL$1204),(1+M1207)^(-$D$1204:$AL$1204-1))</f>
        <v/>
      </c>
      <c r="O1207" s="40">
        <f>N1207-SUMPRODUCT($D$1205:$AL$1205,(1+N1207)^(-$D$1204:$AL$1204))/SUMPRODUCT($D$1205:$AL$1205*(-$D$1204:$AL$1204),(1+N1207)^(-$D$1204:$AL$1204-1))</f>
        <v/>
      </c>
      <c r="P1207" s="40">
        <f>O1207-SUMPRODUCT($D$1205:$AL$1205,(1+O1207)^(-$D$1204:$AL$1204))/SUMPRODUCT($D$1205:$AL$1205*(-$D$1204:$AL$1204),(1+O1207)^(-$D$1204:$AL$1204-1))</f>
        <v/>
      </c>
      <c r="Q1207" s="40">
        <f>P1207-SUMPRODUCT($D$1205:$AL$1205,(1+P1207)^(-$D$1204:$AL$1204))/SUMPRODUCT($D$1205:$AL$1205*(-$D$1204:$AL$1204),(1+P1207)^(-$D$1204:$AL$1204-1))</f>
        <v/>
      </c>
      <c r="R1207" s="40">
        <f>Q1207-SUMPRODUCT($D$1205:$AL$1205,(1+Q1207)^(-$D$1204:$AL$1204))/SUMPRODUCT($D$1205:$AL$1205*(-$D$1204:$AL$1204),(1+Q1207)^(-$D$1204:$AL$1204-1))</f>
        <v/>
      </c>
    </row>
    <row r="1208">
      <c r="B1208" s="4" t="inlineStr">
        <is>
          <t>Unlevered IRR (Newton steps from 10 percent)</t>
        </is>
      </c>
      <c r="D1208" s="38" t="n">
        <v>0.1</v>
      </c>
      <c r="E1208" s="40">
        <f>D1208-SUMPRODUCT($D$1206:$AL$1206,(1+D1208)^(-$D$1204:$AL$1204))/SUMPRODUCT($D$1206:$AL$1206*(-$D$1204:$AL$1204),(1+D1208)^(-$D$1204:$AL$1204-1))</f>
        <v/>
      </c>
      <c r="F1208" s="40">
        <f>E1208-SUMPRODUCT($D$1206:$AL$1206,(1+E1208)^(-$D$1204:$AL$1204))/SUMPRODUCT($D$1206:$AL$1206*(-$D$1204:$AL$1204),(1+E1208)^(-$D$1204:$AL$1204-1))</f>
        <v/>
      </c>
      <c r="G1208" s="40">
        <f>F1208-SUMPRODUCT($D$1206:$AL$1206,(1+F1208)^(-$D$1204:$AL$1204))/SUMPRODUCT($D$1206:$AL$1206*(-$D$1204:$AL$1204),(1+F1208)^(-$D$1204:$AL$1204-1))</f>
        <v/>
      </c>
      <c r="H1208" s="40">
        <f>G1208-SUMPRODUCT($D$1206:$AL$1206,(1+G1208)^(-$D$1204:$AL$1204))/SUMPRODUCT($D$1206:$AL$1206*(-$D$1204:$AL$1204),(1+G1208)^(-$D$1204:$AL$1204-1))</f>
        <v/>
      </c>
      <c r="I1208" s="40">
        <f>H1208-SUMPRODUCT($D$1206:$AL$1206,(1+H1208)^(-$D$1204:$AL$1204))/SUMPRODUCT($D$1206:$AL$1206*(-$D$1204:$AL$1204),(1+H1208)^(-$D$1204:$AL$1204-1))</f>
        <v/>
      </c>
      <c r="J1208" s="40">
        <f>I1208-SUMPRODUCT($D$1206:$AL$1206,(1+I1208)^(-$D$1204:$AL$1204))/SUMPRODUCT($D$1206:$AL$1206*(-$D$1204:$AL$1204),(1+I1208)^(-$D$1204:$AL$1204-1))</f>
        <v/>
      </c>
      <c r="K1208" s="40">
        <f>J1208-SUMPRODUCT($D$1206:$AL$1206,(1+J1208)^(-$D$1204:$AL$1204))/SUMPRODUCT($D$1206:$AL$1206*(-$D$1204:$AL$1204),(1+J1208)^(-$D$1204:$AL$1204-1))</f>
        <v/>
      </c>
      <c r="L1208" s="40">
        <f>K1208-SUMPRODUCT($D$1206:$AL$1206,(1+K1208)^(-$D$1204:$AL$1204))/SUMPRODUCT($D$1206:$AL$1206*(-$D$1204:$AL$1204),(1+K1208)^(-$D$1204:$AL$1204-1))</f>
        <v/>
      </c>
      <c r="M1208" s="40">
        <f>L1208-SUMPRODUCT($D$1206:$AL$1206,(1+L1208)^(-$D$1204:$AL$1204))/SUMPRODUCT($D$1206:$AL$1206*(-$D$1204:$AL$1204),(1+L1208)^(-$D$1204:$AL$1204-1))</f>
        <v/>
      </c>
      <c r="N1208" s="40">
        <f>M1208-SUMPRODUCT($D$1206:$AL$1206,(1+M1208)^(-$D$1204:$AL$1204))/SUMPRODUCT($D$1206:$AL$1206*(-$D$1204:$AL$1204),(1+M1208)^(-$D$1204:$AL$1204-1))</f>
        <v/>
      </c>
      <c r="O1208" s="40">
        <f>N1208-SUMPRODUCT($D$1206:$AL$1206,(1+N1208)^(-$D$1204:$AL$1204))/SUMPRODUCT($D$1206:$AL$1206*(-$D$1204:$AL$1204),(1+N1208)^(-$D$1204:$AL$1204-1))</f>
        <v/>
      </c>
      <c r="P1208" s="40">
        <f>O1208-SUMPRODUCT($D$1206:$AL$1206,(1+O1208)^(-$D$1204:$AL$1204))/SUMPRODUCT($D$1206:$AL$1206*(-$D$1204:$AL$1204),(1+O1208)^(-$D$1204:$AL$1204-1))</f>
        <v/>
      </c>
      <c r="Q1208" s="40">
        <f>P1208-SUMPRODUCT($D$1206:$AL$1206,(1+P1208)^(-$D$1204:$AL$1204))/SUMPRODUCT($D$1206:$AL$1206*(-$D$1204:$AL$1204),(1+P1208)^(-$D$1204:$AL$1204-1))</f>
        <v/>
      </c>
      <c r="R1208" s="40">
        <f>Q1208-SUMPRODUCT($D$1206:$AL$1206,(1+Q1208)^(-$D$1204:$AL$1204))/SUMPRODUCT($D$1206:$AL$1206*(-$D$1204:$AL$1204),(1+Q1208)^(-$D$1204:$AL$1204-1))</f>
        <v/>
      </c>
    </row>
    <row r="1209">
      <c r="B1209" s="3" t="inlineStr">
        <is>
          <t>Levered IRR (equity)</t>
        </is>
      </c>
      <c r="C1209" s="33">
        <f>R1207</f>
        <v/>
      </c>
    </row>
    <row r="1210">
      <c r="B1210" s="3" t="inlineStr">
        <is>
          <t>Unlevered IRR</t>
        </is>
      </c>
      <c r="C1210" s="33">
        <f>R1208</f>
        <v/>
      </c>
    </row>
    <row r="1211">
      <c r="B1211" s="2" t="inlineStr">
        <is>
          <t>Check: levered NPV at the levered IRR</t>
        </is>
      </c>
      <c r="C1211" s="41">
        <f>SUMPRODUCT($D$1205:$AL$1205,(1+Sensitivities!$C$1209)^(-$D$1204:$AL$1204))</f>
        <v/>
      </c>
    </row>
    <row r="1212">
      <c r="B1212" s="2" t="inlineStr">
        <is>
          <t>Check: unlevered NPV at the unlevered IRR</t>
        </is>
      </c>
      <c r="C1212" s="41">
        <f>SUMPRODUCT($D$1206:$AL$1206,(1+Sensitivities!$C$1210)^(-$D$1204:$AL$1204))</f>
        <v/>
      </c>
    </row>
    <row r="1213">
      <c r="B1213" s="2" t="inlineStr">
        <is>
          <t>Money multiple (cash in over cash out)</t>
        </is>
      </c>
      <c r="C1213" s="37">
        <f>SUMIF($D$1205:$AL$1205,"&gt;0")/-SUMIF($D$1205:$AL$1205,"&lt;0")</f>
        <v/>
      </c>
    </row>
    <row r="1214">
      <c r="B1214" s="2" t="inlineStr">
        <is>
          <t>Present value at the target IRR of the flows after closing</t>
        </is>
      </c>
      <c r="C1214" s="19">
        <f>SUMPRODUCT($D$1205:$AL$1205,(1+i_hurdle)^(-$D$1204:$AL$1204))+Sensitivities!$C$1188*(1+i_hurdle)^(-Sensitivities!$C$1142)</f>
        <v/>
      </c>
    </row>
    <row r="1215">
      <c r="B1215" s="2" t="inlineStr">
        <is>
          <t>Equity cheque that gives exactly the target IRR</t>
        </is>
      </c>
      <c r="C1215" s="19">
        <f>Sensitivities!$C$1214*(1+i_hurdle)^Sensitivities!$C$1142</f>
        <v/>
      </c>
    </row>
    <row r="1216">
      <c r="B1216" s="2" t="inlineStr">
        <is>
          <t>EV less equity price (fixed bridge items)</t>
        </is>
      </c>
      <c r="C1216" s="19">
        <f>Sensitivities!$C$1147-Sensitivities!$C$1153</f>
        <v/>
      </c>
    </row>
    <row r="1217">
      <c r="B1217" s="2" t="inlineStr">
        <is>
          <t>Equity cheque items that do not move with the price</t>
        </is>
      </c>
      <c r="C1217" s="19">
        <f>Sensitivities!$C$1178+Sensitivities!$C$1150+i_costs_adv+Sensitivities!$C$1173+Sensitivities!$C$1174-Sensitivities!$C$1168-Sensitivities!$C$1169-Sensitivities!$C$1161</f>
        <v/>
      </c>
    </row>
    <row r="1218">
      <c r="B1218" s="2" t="inlineStr">
        <is>
          <t>Walk-away EV, first pass (HSR fee at the bid)</t>
        </is>
      </c>
      <c r="C1218" s="19">
        <f>(Sensitivities!$C$1215-Sensitivities!$C$1217-Sensitivities!$C$1171+Sensitivities!$C$1216*(1+i_ticking*Sensitivities!$C$1142))/(1+i_ticking*Sensitivities!$C$1142+i_wi_limit_pct*i_wi_rol*(1+i_wi_ipt))</f>
        <v/>
      </c>
    </row>
    <row r="1219">
      <c r="B1219" s="3" t="inlineStr">
        <is>
          <t>Walk-away EV (highest EV at the target IRR)</t>
        </is>
      </c>
      <c r="C1219" s="31">
        <f>(Sensitivities!$C$1215-Sensitivities!$C$1217-IF(Sensitivities!$C$1218-Sensitivities!$C$1216&lt;INDEX(i_hsr_lo,1),0,LOOKUP(Sensitivities!$C$1218-Sensitivities!$C$1216,i_hsr_lo,i_hsr_fee))+Sensitivities!$C$1216*(1+i_ticking*Sensitivities!$C$1142))/(1+i_ticking*Sensitivities!$C$1142+i_wi_limit_pct*i_wi_rol*(1+i_wi_ipt))</f>
        <v/>
      </c>
    </row>
    <row r="1222">
      <c r="B1222" s="5" t="inlineStr">
        <is>
          <t>Deal: recontracting 5 percent below the base market rates</t>
        </is>
      </c>
    </row>
    <row r="1223">
      <c r="B1223" s="4" t="inlineStr">
        <is>
          <t>Enterprise value at 31 December 2026</t>
        </is>
      </c>
      <c r="C1223" s="29">
        <f>i_bid_ev</f>
        <v/>
      </c>
    </row>
    <row r="1224">
      <c r="B1224" s="4" t="inlineStr">
        <is>
          <t>Closing (years after 31 December 2026)</t>
        </is>
      </c>
      <c r="C1224" s="28">
        <f>Inputs!$F$242</f>
        <v/>
      </c>
    </row>
    <row r="1225">
      <c r="B1225" s="4" t="inlineStr">
        <is>
          <t>Staple financing (1) or own debt (0)</t>
        </is>
      </c>
      <c r="C1225" s="26">
        <f>0</f>
        <v/>
      </c>
    </row>
    <row r="1226">
      <c r="B1226" s="4" t="inlineStr">
        <is>
          <t>Minority sale in 2031 (1) or full exit (0)</t>
        </is>
      </c>
      <c r="C1226" s="26">
        <f>0</f>
        <v/>
      </c>
    </row>
    <row r="1227">
      <c r="B1227" s="4" t="inlineStr">
        <is>
          <t>Exit discount rate</t>
        </is>
      </c>
      <c r="C1227" s="38">
        <f>Inputs!$E$242</f>
        <v/>
      </c>
    </row>
    <row r="1228">
      <c r="B1228" s="4" t="inlineStr">
        <is>
          <t>Change in the opco rate at refinancing</t>
        </is>
      </c>
      <c r="C1228" s="38">
        <f>Inputs!$D$242</f>
        <v/>
      </c>
    </row>
    <row r="1229">
      <c r="B1229" s="2" t="inlineStr">
        <is>
          <t>Enterprise value</t>
        </is>
      </c>
      <c r="C1229" s="19">
        <f>Sensitivities!$C$1223</f>
        <v/>
      </c>
    </row>
    <row r="1230">
      <c r="B1230" s="2" t="inlineStr">
        <is>
          <t>less existing financial debt (term loan and notes)</t>
        </is>
      </c>
      <c r="C1230" s="19">
        <f>i_old_tl+i_old_notes</f>
        <v/>
      </c>
    </row>
    <row r="1231">
      <c r="B1231" s="2" t="inlineStr">
        <is>
          <t>less make-whole on the notes</t>
        </is>
      </c>
      <c r="C1231" s="19">
        <f>i_make_whole</f>
        <v/>
      </c>
    </row>
    <row r="1232">
      <c r="B1232" s="2" t="inlineStr">
        <is>
          <t>less debt-like items (pension, accrued capex, 2026 tax)</t>
        </is>
      </c>
      <c r="C1232" s="19">
        <f>i_pension+i_def_capex+i_acc_tax</f>
        <v/>
      </c>
    </row>
    <row r="1233">
      <c r="B1233" s="2" t="inlineStr">
        <is>
          <t>plus cash at the locked box date</t>
        </is>
      </c>
      <c r="C1233" s="19">
        <f>i_lb_cash</f>
        <v/>
      </c>
    </row>
    <row r="1234">
      <c r="B1234" s="2" t="inlineStr">
        <is>
          <t>less permitted leakage</t>
        </is>
      </c>
      <c r="C1234" s="19">
        <f>i_permitted_leak</f>
        <v/>
      </c>
    </row>
    <row r="1235">
      <c r="B1235" s="3" t="inlineStr">
        <is>
          <t>Equity price (shares and shareholder loan)</t>
        </is>
      </c>
      <c r="C1235" s="31">
        <f>Sensitivities!$C$1229-Sensitivities!$C$1230-Sensitivities!$C$1231-Sensitivities!$C$1232+Sensitivities!$C$1233-Sensitivities!$C$1234</f>
        <v/>
      </c>
    </row>
    <row r="1236">
      <c r="B1236" s="2" t="inlineStr">
        <is>
          <t xml:space="preserve">  of which shareholder loan at face value</t>
        </is>
      </c>
      <c r="C1236" s="19">
        <f>i_shl</f>
        <v/>
      </c>
    </row>
    <row r="1237">
      <c r="B1237" s="2" t="inlineStr">
        <is>
          <t xml:space="preserve">  of which shares</t>
        </is>
      </c>
      <c r="C1237" s="19">
        <f>Sensitivities!$C$1235-Sensitivities!$C$1236</f>
        <v/>
      </c>
    </row>
    <row r="1238">
      <c r="B1238" s="2" t="inlineStr">
        <is>
          <t>Ticking fee to closing</t>
        </is>
      </c>
      <c r="C1238" s="19">
        <f>Sensitivities!$C$1235*i_ticking*Sensitivities!$C$1224</f>
        <v/>
      </c>
    </row>
    <row r="1239">
      <c r="B1239" s="2" t="inlineStr">
        <is>
          <t>Share of the year before closing (box period)</t>
        </is>
      </c>
      <c r="D1239" s="24">
        <f>IF(D$4&lt;1,0,MAX(0,MIN(1,Sensitivities!$C$1224-(D$4-1))))</f>
        <v/>
      </c>
      <c r="E1239" s="24">
        <f>IF(E$4&lt;1,0,MAX(0,MIN(1,Sensitivities!$C$1224-(E$4-1))))</f>
        <v/>
      </c>
      <c r="F1239" s="24">
        <f>IF(F$4&lt;1,0,MAX(0,MIN(1,Sensitivities!$C$1224-(F$4-1))))</f>
        <v/>
      </c>
      <c r="G1239" s="24">
        <f>IF(G$4&lt;1,0,MAX(0,MIN(1,Sensitivities!$C$1224-(G$4-1))))</f>
        <v/>
      </c>
      <c r="H1239" s="24">
        <f>IF(H$4&lt;1,0,MAX(0,MIN(1,Sensitivities!$C$1224-(H$4-1))))</f>
        <v/>
      </c>
      <c r="I1239" s="24">
        <f>IF(I$4&lt;1,0,MAX(0,MIN(1,Sensitivities!$C$1224-(I$4-1))))</f>
        <v/>
      </c>
      <c r="J1239" s="24">
        <f>IF(J$4&lt;1,0,MAX(0,MIN(1,Sensitivities!$C$1224-(J$4-1))))</f>
        <v/>
      </c>
      <c r="K1239" s="24">
        <f>IF(K$4&lt;1,0,MAX(0,MIN(1,Sensitivities!$C$1224-(K$4-1))))</f>
        <v/>
      </c>
      <c r="L1239" s="24">
        <f>IF(L$4&lt;1,0,MAX(0,MIN(1,Sensitivities!$C$1224-(L$4-1))))</f>
        <v/>
      </c>
      <c r="M1239" s="24">
        <f>IF(M$4&lt;1,0,MAX(0,MIN(1,Sensitivities!$C$1224-(M$4-1))))</f>
        <v/>
      </c>
      <c r="N1239" s="24">
        <f>IF(N$4&lt;1,0,MAX(0,MIN(1,Sensitivities!$C$1224-(N$4-1))))</f>
        <v/>
      </c>
      <c r="O1239" s="24">
        <f>IF(O$4&lt;1,0,MAX(0,MIN(1,Sensitivities!$C$1224-(O$4-1))))</f>
        <v/>
      </c>
      <c r="P1239" s="24">
        <f>IF(P$4&lt;1,0,MAX(0,MIN(1,Sensitivities!$C$1224-(P$4-1))))</f>
        <v/>
      </c>
      <c r="Q1239" s="24">
        <f>IF(Q$4&lt;1,0,MAX(0,MIN(1,Sensitivities!$C$1224-(Q$4-1))))</f>
        <v/>
      </c>
      <c r="R1239" s="24">
        <f>IF(R$4&lt;1,0,MAX(0,MIN(1,Sensitivities!$C$1224-(R$4-1))))</f>
        <v/>
      </c>
      <c r="S1239" s="24">
        <f>IF(S$4&lt;1,0,MAX(0,MIN(1,Sensitivities!$C$1224-(S$4-1))))</f>
        <v/>
      </c>
      <c r="T1239" s="24">
        <f>IF(T$4&lt;1,0,MAX(0,MIN(1,Sensitivities!$C$1224-(T$4-1))))</f>
        <v/>
      </c>
      <c r="U1239" s="24">
        <f>IF(U$4&lt;1,0,MAX(0,MIN(1,Sensitivities!$C$1224-(U$4-1))))</f>
        <v/>
      </c>
      <c r="V1239" s="24">
        <f>IF(V$4&lt;1,0,MAX(0,MIN(1,Sensitivities!$C$1224-(V$4-1))))</f>
        <v/>
      </c>
      <c r="W1239" s="24">
        <f>IF(W$4&lt;1,0,MAX(0,MIN(1,Sensitivities!$C$1224-(W$4-1))))</f>
        <v/>
      </c>
      <c r="X1239" s="24">
        <f>IF(X$4&lt;1,0,MAX(0,MIN(1,Sensitivities!$C$1224-(X$4-1))))</f>
        <v/>
      </c>
      <c r="Y1239" s="24">
        <f>IF(Y$4&lt;1,0,MAX(0,MIN(1,Sensitivities!$C$1224-(Y$4-1))))</f>
        <v/>
      </c>
      <c r="Z1239" s="24">
        <f>IF(Z$4&lt;1,0,MAX(0,MIN(1,Sensitivities!$C$1224-(Z$4-1))))</f>
        <v/>
      </c>
      <c r="AA1239" s="24">
        <f>IF(AA$4&lt;1,0,MAX(0,MIN(1,Sensitivities!$C$1224-(AA$4-1))))</f>
        <v/>
      </c>
      <c r="AB1239" s="24">
        <f>IF(AB$4&lt;1,0,MAX(0,MIN(1,Sensitivities!$C$1224-(AB$4-1))))</f>
        <v/>
      </c>
      <c r="AC1239" s="24">
        <f>IF(AC$4&lt;1,0,MAX(0,MIN(1,Sensitivities!$C$1224-(AC$4-1))))</f>
        <v/>
      </c>
      <c r="AD1239" s="24">
        <f>IF(AD$4&lt;1,0,MAX(0,MIN(1,Sensitivities!$C$1224-(AD$4-1))))</f>
        <v/>
      </c>
      <c r="AE1239" s="24">
        <f>IF(AE$4&lt;1,0,MAX(0,MIN(1,Sensitivities!$C$1224-(AE$4-1))))</f>
        <v/>
      </c>
      <c r="AF1239" s="24">
        <f>IF(AF$4&lt;1,0,MAX(0,MIN(1,Sensitivities!$C$1224-(AF$4-1))))</f>
        <v/>
      </c>
      <c r="AG1239" s="24">
        <f>IF(AG$4&lt;1,0,MAX(0,MIN(1,Sensitivities!$C$1224-(AG$4-1))))</f>
        <v/>
      </c>
      <c r="AH1239" s="24">
        <f>IF(AH$4&lt;1,0,MAX(0,MIN(1,Sensitivities!$C$1224-(AH$4-1))))</f>
        <v/>
      </c>
      <c r="AI1239" s="24">
        <f>IF(AI$4&lt;1,0,MAX(0,MIN(1,Sensitivities!$C$1224-(AI$4-1))))</f>
        <v/>
      </c>
    </row>
    <row r="1240">
      <c r="B1240" s="2" t="inlineStr">
        <is>
          <t>Box cash: free cash flow less interest on the old debt</t>
        </is>
      </c>
      <c r="D1240" s="19">
        <f>D1239*(Sensitivities!D558-i_old_rate*(i_old_tl+i_old_notes))</f>
        <v/>
      </c>
      <c r="E1240" s="19">
        <f>E1239*(Sensitivities!E558-i_old_rate*(i_old_tl+i_old_notes))</f>
        <v/>
      </c>
      <c r="F1240" s="19">
        <f>F1239*(Sensitivities!F558-i_old_rate*(i_old_tl+i_old_notes))</f>
        <v/>
      </c>
      <c r="G1240" s="19">
        <f>G1239*(Sensitivities!G558-i_old_rate*(i_old_tl+i_old_notes))</f>
        <v/>
      </c>
      <c r="H1240" s="19">
        <f>H1239*(Sensitivities!H558-i_old_rate*(i_old_tl+i_old_notes))</f>
        <v/>
      </c>
      <c r="I1240" s="19">
        <f>I1239*(Sensitivities!I558-i_old_rate*(i_old_tl+i_old_notes))</f>
        <v/>
      </c>
      <c r="J1240" s="19">
        <f>J1239*(Sensitivities!J558-i_old_rate*(i_old_tl+i_old_notes))</f>
        <v/>
      </c>
      <c r="K1240" s="19">
        <f>K1239*(Sensitivities!K558-i_old_rate*(i_old_tl+i_old_notes))</f>
        <v/>
      </c>
      <c r="L1240" s="19">
        <f>L1239*(Sensitivities!L558-i_old_rate*(i_old_tl+i_old_notes))</f>
        <v/>
      </c>
      <c r="M1240" s="19">
        <f>M1239*(Sensitivities!M558-i_old_rate*(i_old_tl+i_old_notes))</f>
        <v/>
      </c>
      <c r="N1240" s="19">
        <f>N1239*(Sensitivities!N558-i_old_rate*(i_old_tl+i_old_notes))</f>
        <v/>
      </c>
      <c r="O1240" s="19">
        <f>O1239*(Sensitivities!O558-i_old_rate*(i_old_tl+i_old_notes))</f>
        <v/>
      </c>
      <c r="P1240" s="19">
        <f>P1239*(Sensitivities!P558-i_old_rate*(i_old_tl+i_old_notes))</f>
        <v/>
      </c>
      <c r="Q1240" s="19">
        <f>Q1239*(Sensitivities!Q558-i_old_rate*(i_old_tl+i_old_notes))</f>
        <v/>
      </c>
      <c r="R1240" s="19">
        <f>R1239*(Sensitivities!R558-i_old_rate*(i_old_tl+i_old_notes))</f>
        <v/>
      </c>
      <c r="S1240" s="19">
        <f>S1239*(Sensitivities!S558-i_old_rate*(i_old_tl+i_old_notes))</f>
        <v/>
      </c>
      <c r="T1240" s="19">
        <f>T1239*(Sensitivities!T558-i_old_rate*(i_old_tl+i_old_notes))</f>
        <v/>
      </c>
      <c r="U1240" s="19">
        <f>U1239*(Sensitivities!U558-i_old_rate*(i_old_tl+i_old_notes))</f>
        <v/>
      </c>
      <c r="V1240" s="19">
        <f>V1239*(Sensitivities!V558-i_old_rate*(i_old_tl+i_old_notes))</f>
        <v/>
      </c>
      <c r="W1240" s="19">
        <f>W1239*(Sensitivities!W558-i_old_rate*(i_old_tl+i_old_notes))</f>
        <v/>
      </c>
      <c r="X1240" s="19">
        <f>X1239*(Sensitivities!X558-i_old_rate*(i_old_tl+i_old_notes))</f>
        <v/>
      </c>
      <c r="Y1240" s="19">
        <f>Y1239*(Sensitivities!Y558-i_old_rate*(i_old_tl+i_old_notes))</f>
        <v/>
      </c>
      <c r="Z1240" s="19">
        <f>Z1239*(Sensitivities!Z558-i_old_rate*(i_old_tl+i_old_notes))</f>
        <v/>
      </c>
      <c r="AA1240" s="19">
        <f>AA1239*(Sensitivities!AA558-i_old_rate*(i_old_tl+i_old_notes))</f>
        <v/>
      </c>
      <c r="AB1240" s="19">
        <f>AB1239*(Sensitivities!AB558-i_old_rate*(i_old_tl+i_old_notes))</f>
        <v/>
      </c>
      <c r="AC1240" s="19">
        <f>AC1239*(Sensitivities!AC558-i_old_rate*(i_old_tl+i_old_notes))</f>
        <v/>
      </c>
      <c r="AD1240" s="19">
        <f>AD1239*(Sensitivities!AD558-i_old_rate*(i_old_tl+i_old_notes))</f>
        <v/>
      </c>
      <c r="AE1240" s="19">
        <f>AE1239*(Sensitivities!AE558-i_old_rate*(i_old_tl+i_old_notes))</f>
        <v/>
      </c>
      <c r="AF1240" s="19">
        <f>AF1239*(Sensitivities!AF558-i_old_rate*(i_old_tl+i_old_notes))</f>
        <v/>
      </c>
      <c r="AG1240" s="19">
        <f>AG1239*(Sensitivities!AG558-i_old_rate*(i_old_tl+i_old_notes))</f>
        <v/>
      </c>
      <c r="AH1240" s="19">
        <f>AH1239*(Sensitivities!AH558-i_old_rate*(i_old_tl+i_old_notes))</f>
        <v/>
      </c>
      <c r="AI1240" s="19">
        <f>AI1239*(Sensitivities!AI558-i_old_rate*(i_old_tl+i_old_notes))</f>
        <v/>
      </c>
    </row>
    <row r="1241">
      <c r="B1241" s="2" t="inlineStr">
        <is>
          <t>Box cash generated from 1 January 2027 to closing</t>
        </is>
      </c>
      <c r="C1241" s="19">
        <f>SUM(Sensitivities!D1240:AI1240)</f>
        <v/>
      </c>
    </row>
    <row r="1242">
      <c r="B1242" s="2" t="inlineStr">
        <is>
          <t>Cash in the company at closing</t>
        </is>
      </c>
      <c r="C1242" s="19">
        <f>Sensitivities!$C$1233-Sensitivities!$C$1234+Sensitivities!$C$1241</f>
        <v/>
      </c>
    </row>
    <row r="1243">
      <c r="B1243" s="2" t="inlineStr">
        <is>
          <t>Cash used at closing (above operating cash)</t>
        </is>
      </c>
      <c r="C1243" s="19">
        <f>Sensitivities!$C$1242-i_min_cash</f>
        <v/>
      </c>
    </row>
    <row r="1245">
      <c r="B1245" s="3" t="inlineStr">
        <is>
          <t>Sources and uses at closing</t>
        </is>
      </c>
    </row>
    <row r="1246">
      <c r="B1246" s="2" t="inlineStr">
        <is>
          <t>EBITDA 2026 (sizing basis)</t>
        </is>
      </c>
      <c r="C1246" s="19">
        <f>Sensitivities!$D$552</f>
        <v/>
      </c>
    </row>
    <row r="1247">
      <c r="B1247" s="2" t="inlineStr">
        <is>
          <t>Opco multiple of 2026 EBITDA</t>
        </is>
      </c>
      <c r="C1247" s="37">
        <f>IF(Sensitivities!$C$1225=1,i_staple_x,i_opco_x)</f>
        <v/>
      </c>
    </row>
    <row r="1248">
      <c r="B1248" s="2" t="inlineStr">
        <is>
          <t>Opco rate</t>
        </is>
      </c>
      <c r="C1248" s="23">
        <f>IF(Sensitivities!$C$1225=1,i_staple_rate,i_opco_rate)</f>
        <v/>
      </c>
    </row>
    <row r="1249">
      <c r="B1249" s="2" t="inlineStr">
        <is>
          <t>Opco fees</t>
        </is>
      </c>
      <c r="C1249" s="23">
        <f>IF(Sensitivities!$C$1225=1,i_staple_fee,i_opco_fee)</f>
        <v/>
      </c>
    </row>
    <row r="1250">
      <c r="B1250" s="2" t="inlineStr">
        <is>
          <t>Opco senior debt (whole $ million)</t>
        </is>
      </c>
      <c r="C1250" s="19">
        <f>ROUND(Sensitivities!$C$1247*Sensitivities!$C$1246,0)</f>
        <v/>
      </c>
    </row>
    <row r="1251">
      <c r="B1251" s="2" t="inlineStr">
        <is>
          <t>Holdco debt (whole $ million)</t>
        </is>
      </c>
      <c r="C1251" s="19">
        <f>ROUND(i_hold_x*Sensitivities!$C$1246,0)</f>
        <v/>
      </c>
    </row>
    <row r="1252">
      <c r="B1252" s="2" t="inlineStr">
        <is>
          <t>W&amp;I premium with insurance premium tax</t>
        </is>
      </c>
      <c r="C1252" s="35">
        <f>i_wi_limit_pct*Sensitivities!$C$1229*i_wi_rol*(1+i_wi_ipt)</f>
        <v/>
      </c>
    </row>
    <row r="1253">
      <c r="B1253" s="2" t="inlineStr">
        <is>
          <t>HSR filing fee (on the equity price)</t>
        </is>
      </c>
      <c r="C1253" s="39">
        <f>IF(Sensitivities!$C$1235&lt;INDEX(i_hsr_lo,1),0,LOOKUP(Sensitivities!$C$1235,i_hsr_lo,i_hsr_fee))</f>
        <v/>
      </c>
    </row>
    <row r="1254">
      <c r="B1254" s="2" t="inlineStr">
        <is>
          <t>Transaction costs (advisers, W&amp;I, HSR)</t>
        </is>
      </c>
      <c r="C1254" s="19">
        <f>i_costs_adv+Sensitivities!$C$1252+Sensitivities!$C$1253</f>
        <v/>
      </c>
    </row>
    <row r="1255">
      <c r="B1255" s="2" t="inlineStr">
        <is>
          <t>Financing fees</t>
        </is>
      </c>
      <c r="C1255" s="19">
        <f>Sensitivities!$C$1249*Sensitivities!$C$1250+i_hold_fee*Sensitivities!$C$1251</f>
        <v/>
      </c>
    </row>
    <row r="1256">
      <c r="B1256" s="2" t="inlineStr">
        <is>
          <t>Commitment fees, signing to closing</t>
        </is>
      </c>
      <c r="C1256" s="19">
        <f>i_commit_fee*(Sensitivities!$C$1250+Sensitivities!$C$1251)*MAX(0,Sensitivities!$C$1224-i_t_sign)</f>
        <v/>
      </c>
    </row>
    <row r="1257">
      <c r="B1257" s="3" t="inlineStr">
        <is>
          <t>Uses</t>
        </is>
      </c>
    </row>
    <row r="1258">
      <c r="B1258" s="2" t="inlineStr">
        <is>
          <t xml:space="preserve">  Equity price</t>
        </is>
      </c>
      <c r="C1258" s="19">
        <f>Sensitivities!$C$1235</f>
        <v/>
      </c>
    </row>
    <row r="1259">
      <c r="B1259" s="2" t="inlineStr">
        <is>
          <t xml:space="preserve">  Ticking fee</t>
        </is>
      </c>
      <c r="C1259" s="19">
        <f>Sensitivities!$C$1238</f>
        <v/>
      </c>
    </row>
    <row r="1260">
      <c r="B1260" s="2" t="inlineStr">
        <is>
          <t xml:space="preserve">  Repayment of existing debt and make-whole</t>
        </is>
      </c>
      <c r="C1260" s="19">
        <f>Sensitivities!$C$1230+Sensitivities!$C$1231</f>
        <v/>
      </c>
    </row>
    <row r="1261">
      <c r="B1261" s="2" t="inlineStr">
        <is>
          <t xml:space="preserve">  Debt-like items settled</t>
        </is>
      </c>
      <c r="C1261" s="19">
        <f>Sensitivities!$C$1232</f>
        <v/>
      </c>
    </row>
    <row r="1262">
      <c r="B1262" s="2" t="inlineStr">
        <is>
          <t xml:space="preserve">  Transaction costs</t>
        </is>
      </c>
      <c r="C1262" s="19">
        <f>Sensitivities!$C$1254</f>
        <v/>
      </c>
    </row>
    <row r="1263">
      <c r="B1263" s="2" t="inlineStr">
        <is>
          <t xml:space="preserve">  Financing fees</t>
        </is>
      </c>
      <c r="C1263" s="19">
        <f>Sensitivities!$C$1255</f>
        <v/>
      </c>
    </row>
    <row r="1264">
      <c r="B1264" s="2" t="inlineStr">
        <is>
          <t xml:space="preserve">  Commitment fees</t>
        </is>
      </c>
      <c r="C1264" s="19">
        <f>Sensitivities!$C$1256</f>
        <v/>
      </c>
    </row>
    <row r="1265">
      <c r="B1265" s="3" t="inlineStr">
        <is>
          <t>Total uses</t>
        </is>
      </c>
      <c r="C1265" s="31">
        <f>SUM(C1258:C1264)</f>
        <v/>
      </c>
    </row>
    <row r="1266">
      <c r="B1266" s="3" t="inlineStr">
        <is>
          <t>Sources</t>
        </is>
      </c>
    </row>
    <row r="1267">
      <c r="B1267" s="2" t="inlineStr">
        <is>
          <t xml:space="preserve">  Opco senior debt</t>
        </is>
      </c>
      <c r="C1267" s="19">
        <f>Sensitivities!$C$1250</f>
        <v/>
      </c>
    </row>
    <row r="1268">
      <c r="B1268" s="2" t="inlineStr">
        <is>
          <t xml:space="preserve">  Holdco debt</t>
        </is>
      </c>
      <c r="C1268" s="19">
        <f>Sensitivities!$C$1251</f>
        <v/>
      </c>
    </row>
    <row r="1269">
      <c r="B1269" s="2" t="inlineStr">
        <is>
          <t xml:space="preserve">  Cash in the company at closing</t>
        </is>
      </c>
      <c r="C1269" s="19">
        <f>Sensitivities!$C$1243</f>
        <v/>
      </c>
    </row>
    <row r="1270">
      <c r="B1270" s="3" t="inlineStr">
        <is>
          <t xml:space="preserve">  Equity from the consortium</t>
        </is>
      </c>
      <c r="C1270" s="31">
        <f>Sensitivities!$C$1265-Sensitivities!$C$1250-Sensitivities!$C$1251-Sensitivities!$C$1243</f>
        <v/>
      </c>
    </row>
    <row r="1271">
      <c r="B1271" s="3" t="inlineStr">
        <is>
          <t>Total sources</t>
        </is>
      </c>
      <c r="C1271" s="31">
        <f>SUM(C1267:C1270)</f>
        <v/>
      </c>
    </row>
    <row r="1273">
      <c r="B1273" s="3" t="inlineStr">
        <is>
          <t>Flows after closing (years in columns D to AI; closing, minority sale and exit in AJ to AL)</t>
        </is>
      </c>
    </row>
    <row r="1274">
      <c r="B1274" s="2" t="inlineStr">
        <is>
          <t>Share of the year owned</t>
        </is>
      </c>
      <c r="D1274" s="24">
        <f>IF(D$3&gt;i_exit_year,0,MIN(1,MAX(0,D$4-Sensitivities!$C$1224)))</f>
        <v/>
      </c>
      <c r="E1274" s="24">
        <f>IF(E$3&gt;i_exit_year,0,MIN(1,MAX(0,E$4-Sensitivities!$C$1224)))</f>
        <v/>
      </c>
      <c r="F1274" s="24">
        <f>IF(F$3&gt;i_exit_year,0,MIN(1,MAX(0,F$4-Sensitivities!$C$1224)))</f>
        <v/>
      </c>
      <c r="G1274" s="24">
        <f>IF(G$3&gt;i_exit_year,0,MIN(1,MAX(0,G$4-Sensitivities!$C$1224)))</f>
        <v/>
      </c>
      <c r="H1274" s="24">
        <f>IF(H$3&gt;i_exit_year,0,MIN(1,MAX(0,H$4-Sensitivities!$C$1224)))</f>
        <v/>
      </c>
      <c r="I1274" s="24">
        <f>IF(I$3&gt;i_exit_year,0,MIN(1,MAX(0,I$4-Sensitivities!$C$1224)))</f>
        <v/>
      </c>
      <c r="J1274" s="24">
        <f>IF(J$3&gt;i_exit_year,0,MIN(1,MAX(0,J$4-Sensitivities!$C$1224)))</f>
        <v/>
      </c>
      <c r="K1274" s="24">
        <f>IF(K$3&gt;i_exit_year,0,MIN(1,MAX(0,K$4-Sensitivities!$C$1224)))</f>
        <v/>
      </c>
      <c r="L1274" s="24">
        <f>IF(L$3&gt;i_exit_year,0,MIN(1,MAX(0,L$4-Sensitivities!$C$1224)))</f>
        <v/>
      </c>
      <c r="M1274" s="24">
        <f>IF(M$3&gt;i_exit_year,0,MIN(1,MAX(0,M$4-Sensitivities!$C$1224)))</f>
        <v/>
      </c>
      <c r="N1274" s="24">
        <f>IF(N$3&gt;i_exit_year,0,MIN(1,MAX(0,N$4-Sensitivities!$C$1224)))</f>
        <v/>
      </c>
      <c r="O1274" s="24">
        <f>IF(O$3&gt;i_exit_year,0,MIN(1,MAX(0,O$4-Sensitivities!$C$1224)))</f>
        <v/>
      </c>
      <c r="P1274" s="24">
        <f>IF(P$3&gt;i_exit_year,0,MIN(1,MAX(0,P$4-Sensitivities!$C$1224)))</f>
        <v/>
      </c>
      <c r="Q1274" s="24">
        <f>IF(Q$3&gt;i_exit_year,0,MIN(1,MAX(0,Q$4-Sensitivities!$C$1224)))</f>
        <v/>
      </c>
      <c r="R1274" s="24">
        <f>IF(R$3&gt;i_exit_year,0,MIN(1,MAX(0,R$4-Sensitivities!$C$1224)))</f>
        <v/>
      </c>
      <c r="S1274" s="24">
        <f>IF(S$3&gt;i_exit_year,0,MIN(1,MAX(0,S$4-Sensitivities!$C$1224)))</f>
        <v/>
      </c>
      <c r="T1274" s="24">
        <f>IF(T$3&gt;i_exit_year,0,MIN(1,MAX(0,T$4-Sensitivities!$C$1224)))</f>
        <v/>
      </c>
      <c r="U1274" s="24">
        <f>IF(U$3&gt;i_exit_year,0,MIN(1,MAX(0,U$4-Sensitivities!$C$1224)))</f>
        <v/>
      </c>
      <c r="V1274" s="24">
        <f>IF(V$3&gt;i_exit_year,0,MIN(1,MAX(0,V$4-Sensitivities!$C$1224)))</f>
        <v/>
      </c>
      <c r="W1274" s="24">
        <f>IF(W$3&gt;i_exit_year,0,MIN(1,MAX(0,W$4-Sensitivities!$C$1224)))</f>
        <v/>
      </c>
      <c r="X1274" s="24">
        <f>IF(X$3&gt;i_exit_year,0,MIN(1,MAX(0,X$4-Sensitivities!$C$1224)))</f>
        <v/>
      </c>
      <c r="Y1274" s="24">
        <f>IF(Y$3&gt;i_exit_year,0,MIN(1,MAX(0,Y$4-Sensitivities!$C$1224)))</f>
        <v/>
      </c>
      <c r="Z1274" s="24">
        <f>IF(Z$3&gt;i_exit_year,0,MIN(1,MAX(0,Z$4-Sensitivities!$C$1224)))</f>
        <v/>
      </c>
      <c r="AA1274" s="24">
        <f>IF(AA$3&gt;i_exit_year,0,MIN(1,MAX(0,AA$4-Sensitivities!$C$1224)))</f>
        <v/>
      </c>
      <c r="AB1274" s="24">
        <f>IF(AB$3&gt;i_exit_year,0,MIN(1,MAX(0,AB$4-Sensitivities!$C$1224)))</f>
        <v/>
      </c>
      <c r="AC1274" s="24">
        <f>IF(AC$3&gt;i_exit_year,0,MIN(1,MAX(0,AC$4-Sensitivities!$C$1224)))</f>
        <v/>
      </c>
      <c r="AD1274" s="24">
        <f>IF(AD$3&gt;i_exit_year,0,MIN(1,MAX(0,AD$4-Sensitivities!$C$1224)))</f>
        <v/>
      </c>
      <c r="AE1274" s="24">
        <f>IF(AE$3&gt;i_exit_year,0,MIN(1,MAX(0,AE$4-Sensitivities!$C$1224)))</f>
        <v/>
      </c>
      <c r="AF1274" s="24">
        <f>IF(AF$3&gt;i_exit_year,0,MIN(1,MAX(0,AF$4-Sensitivities!$C$1224)))</f>
        <v/>
      </c>
      <c r="AG1274" s="24">
        <f>IF(AG$3&gt;i_exit_year,0,MIN(1,MAX(0,AG$4-Sensitivities!$C$1224)))</f>
        <v/>
      </c>
      <c r="AH1274" s="24">
        <f>IF(AH$3&gt;i_exit_year,0,MIN(1,MAX(0,AH$4-Sensitivities!$C$1224)))</f>
        <v/>
      </c>
      <c r="AI1274" s="24">
        <f>IF(AI$3&gt;i_exit_year,0,MIN(1,MAX(0,AI$4-Sensitivities!$C$1224)))</f>
        <v/>
      </c>
    </row>
    <row r="1275">
      <c r="B1275" s="2" t="inlineStr">
        <is>
          <t>Opco rate (refinanced after the tenor)</t>
        </is>
      </c>
      <c r="D1275" s="23">
        <f>IF(D$4&lt;=Sensitivities!$C$1224+i_opco_tenor,Sensitivities!$C$1248,Sensitivities!$C$1248+Sensitivities!$C$1228)</f>
        <v/>
      </c>
      <c r="E1275" s="23">
        <f>IF(E$4&lt;=Sensitivities!$C$1224+i_opco_tenor,Sensitivities!$C$1248,Sensitivities!$C$1248+Sensitivities!$C$1228)</f>
        <v/>
      </c>
      <c r="F1275" s="23">
        <f>IF(F$4&lt;=Sensitivities!$C$1224+i_opco_tenor,Sensitivities!$C$1248,Sensitivities!$C$1248+Sensitivities!$C$1228)</f>
        <v/>
      </c>
      <c r="G1275" s="23">
        <f>IF(G$4&lt;=Sensitivities!$C$1224+i_opco_tenor,Sensitivities!$C$1248,Sensitivities!$C$1248+Sensitivities!$C$1228)</f>
        <v/>
      </c>
      <c r="H1275" s="23">
        <f>IF(H$4&lt;=Sensitivities!$C$1224+i_opco_tenor,Sensitivities!$C$1248,Sensitivities!$C$1248+Sensitivities!$C$1228)</f>
        <v/>
      </c>
      <c r="I1275" s="23">
        <f>IF(I$4&lt;=Sensitivities!$C$1224+i_opco_tenor,Sensitivities!$C$1248,Sensitivities!$C$1248+Sensitivities!$C$1228)</f>
        <v/>
      </c>
      <c r="J1275" s="23">
        <f>IF(J$4&lt;=Sensitivities!$C$1224+i_opco_tenor,Sensitivities!$C$1248,Sensitivities!$C$1248+Sensitivities!$C$1228)</f>
        <v/>
      </c>
      <c r="K1275" s="23">
        <f>IF(K$4&lt;=Sensitivities!$C$1224+i_opco_tenor,Sensitivities!$C$1248,Sensitivities!$C$1248+Sensitivities!$C$1228)</f>
        <v/>
      </c>
      <c r="L1275" s="23">
        <f>IF(L$4&lt;=Sensitivities!$C$1224+i_opco_tenor,Sensitivities!$C$1248,Sensitivities!$C$1248+Sensitivities!$C$1228)</f>
        <v/>
      </c>
      <c r="M1275" s="23">
        <f>IF(M$4&lt;=Sensitivities!$C$1224+i_opco_tenor,Sensitivities!$C$1248,Sensitivities!$C$1248+Sensitivities!$C$1228)</f>
        <v/>
      </c>
      <c r="N1275" s="23">
        <f>IF(N$4&lt;=Sensitivities!$C$1224+i_opco_tenor,Sensitivities!$C$1248,Sensitivities!$C$1248+Sensitivities!$C$1228)</f>
        <v/>
      </c>
      <c r="O1275" s="23">
        <f>IF(O$4&lt;=Sensitivities!$C$1224+i_opco_tenor,Sensitivities!$C$1248,Sensitivities!$C$1248+Sensitivities!$C$1228)</f>
        <v/>
      </c>
      <c r="P1275" s="23">
        <f>IF(P$4&lt;=Sensitivities!$C$1224+i_opco_tenor,Sensitivities!$C$1248,Sensitivities!$C$1248+Sensitivities!$C$1228)</f>
        <v/>
      </c>
      <c r="Q1275" s="23">
        <f>IF(Q$4&lt;=Sensitivities!$C$1224+i_opco_tenor,Sensitivities!$C$1248,Sensitivities!$C$1248+Sensitivities!$C$1228)</f>
        <v/>
      </c>
      <c r="R1275" s="23">
        <f>IF(R$4&lt;=Sensitivities!$C$1224+i_opco_tenor,Sensitivities!$C$1248,Sensitivities!$C$1248+Sensitivities!$C$1228)</f>
        <v/>
      </c>
      <c r="S1275" s="23">
        <f>IF(S$4&lt;=Sensitivities!$C$1224+i_opco_tenor,Sensitivities!$C$1248,Sensitivities!$C$1248+Sensitivities!$C$1228)</f>
        <v/>
      </c>
      <c r="T1275" s="23">
        <f>IF(T$4&lt;=Sensitivities!$C$1224+i_opco_tenor,Sensitivities!$C$1248,Sensitivities!$C$1248+Sensitivities!$C$1228)</f>
        <v/>
      </c>
      <c r="U1275" s="23">
        <f>IF(U$4&lt;=Sensitivities!$C$1224+i_opco_tenor,Sensitivities!$C$1248,Sensitivities!$C$1248+Sensitivities!$C$1228)</f>
        <v/>
      </c>
      <c r="V1275" s="23">
        <f>IF(V$4&lt;=Sensitivities!$C$1224+i_opco_tenor,Sensitivities!$C$1248,Sensitivities!$C$1248+Sensitivities!$C$1228)</f>
        <v/>
      </c>
      <c r="W1275" s="23">
        <f>IF(W$4&lt;=Sensitivities!$C$1224+i_opco_tenor,Sensitivities!$C$1248,Sensitivities!$C$1248+Sensitivities!$C$1228)</f>
        <v/>
      </c>
      <c r="X1275" s="23">
        <f>IF(X$4&lt;=Sensitivities!$C$1224+i_opco_tenor,Sensitivities!$C$1248,Sensitivities!$C$1248+Sensitivities!$C$1228)</f>
        <v/>
      </c>
      <c r="Y1275" s="23">
        <f>IF(Y$4&lt;=Sensitivities!$C$1224+i_opco_tenor,Sensitivities!$C$1248,Sensitivities!$C$1248+Sensitivities!$C$1228)</f>
        <v/>
      </c>
      <c r="Z1275" s="23">
        <f>IF(Z$4&lt;=Sensitivities!$C$1224+i_opco_tenor,Sensitivities!$C$1248,Sensitivities!$C$1248+Sensitivities!$C$1228)</f>
        <v/>
      </c>
      <c r="AA1275" s="23">
        <f>IF(AA$4&lt;=Sensitivities!$C$1224+i_opco_tenor,Sensitivities!$C$1248,Sensitivities!$C$1248+Sensitivities!$C$1228)</f>
        <v/>
      </c>
      <c r="AB1275" s="23">
        <f>IF(AB$4&lt;=Sensitivities!$C$1224+i_opco_tenor,Sensitivities!$C$1248,Sensitivities!$C$1248+Sensitivities!$C$1228)</f>
        <v/>
      </c>
      <c r="AC1275" s="23">
        <f>IF(AC$4&lt;=Sensitivities!$C$1224+i_opco_tenor,Sensitivities!$C$1248,Sensitivities!$C$1248+Sensitivities!$C$1228)</f>
        <v/>
      </c>
      <c r="AD1275" s="23">
        <f>IF(AD$4&lt;=Sensitivities!$C$1224+i_opco_tenor,Sensitivities!$C$1248,Sensitivities!$C$1248+Sensitivities!$C$1228)</f>
        <v/>
      </c>
      <c r="AE1275" s="23">
        <f>IF(AE$4&lt;=Sensitivities!$C$1224+i_opco_tenor,Sensitivities!$C$1248,Sensitivities!$C$1248+Sensitivities!$C$1228)</f>
        <v/>
      </c>
      <c r="AF1275" s="23">
        <f>IF(AF$4&lt;=Sensitivities!$C$1224+i_opco_tenor,Sensitivities!$C$1248,Sensitivities!$C$1248+Sensitivities!$C$1228)</f>
        <v/>
      </c>
      <c r="AG1275" s="23">
        <f>IF(AG$4&lt;=Sensitivities!$C$1224+i_opco_tenor,Sensitivities!$C$1248,Sensitivities!$C$1248+Sensitivities!$C$1228)</f>
        <v/>
      </c>
      <c r="AH1275" s="23">
        <f>IF(AH$4&lt;=Sensitivities!$C$1224+i_opco_tenor,Sensitivities!$C$1248,Sensitivities!$C$1248+Sensitivities!$C$1228)</f>
        <v/>
      </c>
      <c r="AI1275" s="23">
        <f>IF(AI$4&lt;=Sensitivities!$C$1224+i_opco_tenor,Sensitivities!$C$1248,Sensitivities!$C$1248+Sensitivities!$C$1228)</f>
        <v/>
      </c>
    </row>
    <row r="1276">
      <c r="B1276" s="2" t="inlineStr">
        <is>
          <t>Interest (opco and holdco)</t>
        </is>
      </c>
      <c r="D1276" s="19">
        <f>D1275*Sensitivities!$C$1250+i_hold_rate*Sensitivities!$C$1251</f>
        <v/>
      </c>
      <c r="E1276" s="19">
        <f>E1275*Sensitivities!$C$1250+i_hold_rate*Sensitivities!$C$1251</f>
        <v/>
      </c>
      <c r="F1276" s="19">
        <f>F1275*Sensitivities!$C$1250+i_hold_rate*Sensitivities!$C$1251</f>
        <v/>
      </c>
      <c r="G1276" s="19">
        <f>G1275*Sensitivities!$C$1250+i_hold_rate*Sensitivities!$C$1251</f>
        <v/>
      </c>
      <c r="H1276" s="19">
        <f>H1275*Sensitivities!$C$1250+i_hold_rate*Sensitivities!$C$1251</f>
        <v/>
      </c>
      <c r="I1276" s="19">
        <f>I1275*Sensitivities!$C$1250+i_hold_rate*Sensitivities!$C$1251</f>
        <v/>
      </c>
      <c r="J1276" s="19">
        <f>J1275*Sensitivities!$C$1250+i_hold_rate*Sensitivities!$C$1251</f>
        <v/>
      </c>
      <c r="K1276" s="19">
        <f>K1275*Sensitivities!$C$1250+i_hold_rate*Sensitivities!$C$1251</f>
        <v/>
      </c>
      <c r="L1276" s="19">
        <f>L1275*Sensitivities!$C$1250+i_hold_rate*Sensitivities!$C$1251</f>
        <v/>
      </c>
      <c r="M1276" s="19">
        <f>M1275*Sensitivities!$C$1250+i_hold_rate*Sensitivities!$C$1251</f>
        <v/>
      </c>
      <c r="N1276" s="19">
        <f>N1275*Sensitivities!$C$1250+i_hold_rate*Sensitivities!$C$1251</f>
        <v/>
      </c>
      <c r="O1276" s="19">
        <f>O1275*Sensitivities!$C$1250+i_hold_rate*Sensitivities!$C$1251</f>
        <v/>
      </c>
      <c r="P1276" s="19">
        <f>P1275*Sensitivities!$C$1250+i_hold_rate*Sensitivities!$C$1251</f>
        <v/>
      </c>
      <c r="Q1276" s="19">
        <f>Q1275*Sensitivities!$C$1250+i_hold_rate*Sensitivities!$C$1251</f>
        <v/>
      </c>
      <c r="R1276" s="19">
        <f>R1275*Sensitivities!$C$1250+i_hold_rate*Sensitivities!$C$1251</f>
        <v/>
      </c>
      <c r="S1276" s="19">
        <f>S1275*Sensitivities!$C$1250+i_hold_rate*Sensitivities!$C$1251</f>
        <v/>
      </c>
      <c r="T1276" s="19">
        <f>T1275*Sensitivities!$C$1250+i_hold_rate*Sensitivities!$C$1251</f>
        <v/>
      </c>
      <c r="U1276" s="19">
        <f>U1275*Sensitivities!$C$1250+i_hold_rate*Sensitivities!$C$1251</f>
        <v/>
      </c>
      <c r="V1276" s="19">
        <f>V1275*Sensitivities!$C$1250+i_hold_rate*Sensitivities!$C$1251</f>
        <v/>
      </c>
      <c r="W1276" s="19">
        <f>W1275*Sensitivities!$C$1250+i_hold_rate*Sensitivities!$C$1251</f>
        <v/>
      </c>
      <c r="X1276" s="19">
        <f>X1275*Sensitivities!$C$1250+i_hold_rate*Sensitivities!$C$1251</f>
        <v/>
      </c>
      <c r="Y1276" s="19">
        <f>Y1275*Sensitivities!$C$1250+i_hold_rate*Sensitivities!$C$1251</f>
        <v/>
      </c>
      <c r="Z1276" s="19">
        <f>Z1275*Sensitivities!$C$1250+i_hold_rate*Sensitivities!$C$1251</f>
        <v/>
      </c>
      <c r="AA1276" s="19">
        <f>AA1275*Sensitivities!$C$1250+i_hold_rate*Sensitivities!$C$1251</f>
        <v/>
      </c>
      <c r="AB1276" s="19">
        <f>AB1275*Sensitivities!$C$1250+i_hold_rate*Sensitivities!$C$1251</f>
        <v/>
      </c>
      <c r="AC1276" s="19">
        <f>AC1275*Sensitivities!$C$1250+i_hold_rate*Sensitivities!$C$1251</f>
        <v/>
      </c>
      <c r="AD1276" s="19">
        <f>AD1275*Sensitivities!$C$1250+i_hold_rate*Sensitivities!$C$1251</f>
        <v/>
      </c>
      <c r="AE1276" s="19">
        <f>AE1275*Sensitivities!$C$1250+i_hold_rate*Sensitivities!$C$1251</f>
        <v/>
      </c>
      <c r="AF1276" s="19">
        <f>AF1275*Sensitivities!$C$1250+i_hold_rate*Sensitivities!$C$1251</f>
        <v/>
      </c>
      <c r="AG1276" s="19">
        <f>AG1275*Sensitivities!$C$1250+i_hold_rate*Sensitivities!$C$1251</f>
        <v/>
      </c>
      <c r="AH1276" s="19">
        <f>AH1275*Sensitivities!$C$1250+i_hold_rate*Sensitivities!$C$1251</f>
        <v/>
      </c>
      <c r="AI1276" s="19">
        <f>AI1275*Sensitivities!$C$1250+i_hold_rate*Sensitivities!$C$1251</f>
        <v/>
      </c>
    </row>
    <row r="1277">
      <c r="B1277" s="2" t="inlineStr">
        <is>
          <t>Deductible interest (cap on EBITDA)</t>
        </is>
      </c>
      <c r="D1277" s="19">
        <f>MIN(D1276,i_int_cap*Sensitivities!D552)</f>
        <v/>
      </c>
      <c r="E1277" s="19">
        <f>MIN(E1276,i_int_cap*Sensitivities!E552)</f>
        <v/>
      </c>
      <c r="F1277" s="19">
        <f>MIN(F1276,i_int_cap*Sensitivities!F552)</f>
        <v/>
      </c>
      <c r="G1277" s="19">
        <f>MIN(G1276,i_int_cap*Sensitivities!G552)</f>
        <v/>
      </c>
      <c r="H1277" s="19">
        <f>MIN(H1276,i_int_cap*Sensitivities!H552)</f>
        <v/>
      </c>
      <c r="I1277" s="19">
        <f>MIN(I1276,i_int_cap*Sensitivities!I552)</f>
        <v/>
      </c>
      <c r="J1277" s="19">
        <f>MIN(J1276,i_int_cap*Sensitivities!J552)</f>
        <v/>
      </c>
      <c r="K1277" s="19">
        <f>MIN(K1276,i_int_cap*Sensitivities!K552)</f>
        <v/>
      </c>
      <c r="L1277" s="19">
        <f>MIN(L1276,i_int_cap*Sensitivities!L552)</f>
        <v/>
      </c>
      <c r="M1277" s="19">
        <f>MIN(M1276,i_int_cap*Sensitivities!M552)</f>
        <v/>
      </c>
      <c r="N1277" s="19">
        <f>MIN(N1276,i_int_cap*Sensitivities!N552)</f>
        <v/>
      </c>
      <c r="O1277" s="19">
        <f>MIN(O1276,i_int_cap*Sensitivities!O552)</f>
        <v/>
      </c>
      <c r="P1277" s="19">
        <f>MIN(P1276,i_int_cap*Sensitivities!P552)</f>
        <v/>
      </c>
      <c r="Q1277" s="19">
        <f>MIN(Q1276,i_int_cap*Sensitivities!Q552)</f>
        <v/>
      </c>
      <c r="R1277" s="19">
        <f>MIN(R1276,i_int_cap*Sensitivities!R552)</f>
        <v/>
      </c>
      <c r="S1277" s="19">
        <f>MIN(S1276,i_int_cap*Sensitivities!S552)</f>
        <v/>
      </c>
      <c r="T1277" s="19">
        <f>MIN(T1276,i_int_cap*Sensitivities!T552)</f>
        <v/>
      </c>
      <c r="U1277" s="19">
        <f>MIN(U1276,i_int_cap*Sensitivities!U552)</f>
        <v/>
      </c>
      <c r="V1277" s="19">
        <f>MIN(V1276,i_int_cap*Sensitivities!V552)</f>
        <v/>
      </c>
      <c r="W1277" s="19">
        <f>MIN(W1276,i_int_cap*Sensitivities!W552)</f>
        <v/>
      </c>
      <c r="X1277" s="19">
        <f>MIN(X1276,i_int_cap*Sensitivities!X552)</f>
        <v/>
      </c>
      <c r="Y1277" s="19">
        <f>MIN(Y1276,i_int_cap*Sensitivities!Y552)</f>
        <v/>
      </c>
      <c r="Z1277" s="19">
        <f>MIN(Z1276,i_int_cap*Sensitivities!Z552)</f>
        <v/>
      </c>
      <c r="AA1277" s="19">
        <f>MIN(AA1276,i_int_cap*Sensitivities!AA552)</f>
        <v/>
      </c>
      <c r="AB1277" s="19">
        <f>MIN(AB1276,i_int_cap*Sensitivities!AB552)</f>
        <v/>
      </c>
      <c r="AC1277" s="19">
        <f>MIN(AC1276,i_int_cap*Sensitivities!AC552)</f>
        <v/>
      </c>
      <c r="AD1277" s="19">
        <f>MIN(AD1276,i_int_cap*Sensitivities!AD552)</f>
        <v/>
      </c>
      <c r="AE1277" s="19">
        <f>MIN(AE1276,i_int_cap*Sensitivities!AE552)</f>
        <v/>
      </c>
      <c r="AF1277" s="19">
        <f>MIN(AF1276,i_int_cap*Sensitivities!AF552)</f>
        <v/>
      </c>
      <c r="AG1277" s="19">
        <f>MIN(AG1276,i_int_cap*Sensitivities!AG552)</f>
        <v/>
      </c>
      <c r="AH1277" s="19">
        <f>MIN(AH1276,i_int_cap*Sensitivities!AH552)</f>
        <v/>
      </c>
      <c r="AI1277" s="19">
        <f>MIN(AI1276,i_int_cap*Sensitivities!AI552)</f>
        <v/>
      </c>
    </row>
    <row r="1278">
      <c r="B1278" s="2" t="inlineStr">
        <is>
          <t>Cash tax with the debt</t>
        </is>
      </c>
      <c r="D1278" s="19">
        <f>i_tax*MAX(0,Sensitivities!D552-Sensitivities!D555-D1277)</f>
        <v/>
      </c>
      <c r="E1278" s="19">
        <f>i_tax*MAX(0,Sensitivities!E552-Sensitivities!E555-E1277)</f>
        <v/>
      </c>
      <c r="F1278" s="19">
        <f>i_tax*MAX(0,Sensitivities!F552-Sensitivities!F555-F1277)</f>
        <v/>
      </c>
      <c r="G1278" s="19">
        <f>i_tax*MAX(0,Sensitivities!G552-Sensitivities!G555-G1277)</f>
        <v/>
      </c>
      <c r="H1278" s="19">
        <f>i_tax*MAX(0,Sensitivities!H552-Sensitivities!H555-H1277)</f>
        <v/>
      </c>
      <c r="I1278" s="19">
        <f>i_tax*MAX(0,Sensitivities!I552-Sensitivities!I555-I1277)</f>
        <v/>
      </c>
      <c r="J1278" s="19">
        <f>i_tax*MAX(0,Sensitivities!J552-Sensitivities!J555-J1277)</f>
        <v/>
      </c>
      <c r="K1278" s="19">
        <f>i_tax*MAX(0,Sensitivities!K552-Sensitivities!K555-K1277)</f>
        <v/>
      </c>
      <c r="L1278" s="19">
        <f>i_tax*MAX(0,Sensitivities!L552-Sensitivities!L555-L1277)</f>
        <v/>
      </c>
      <c r="M1278" s="19">
        <f>i_tax*MAX(0,Sensitivities!M552-Sensitivities!M555-M1277)</f>
        <v/>
      </c>
      <c r="N1278" s="19">
        <f>i_tax*MAX(0,Sensitivities!N552-Sensitivities!N555-N1277)</f>
        <v/>
      </c>
      <c r="O1278" s="19">
        <f>i_tax*MAX(0,Sensitivities!O552-Sensitivities!O555-O1277)</f>
        <v/>
      </c>
      <c r="P1278" s="19">
        <f>i_tax*MAX(0,Sensitivities!P552-Sensitivities!P555-P1277)</f>
        <v/>
      </c>
      <c r="Q1278" s="19">
        <f>i_tax*MAX(0,Sensitivities!Q552-Sensitivities!Q555-Q1277)</f>
        <v/>
      </c>
      <c r="R1278" s="19">
        <f>i_tax*MAX(0,Sensitivities!R552-Sensitivities!R555-R1277)</f>
        <v/>
      </c>
      <c r="S1278" s="19">
        <f>i_tax*MAX(0,Sensitivities!S552-Sensitivities!S555-S1277)</f>
        <v/>
      </c>
      <c r="T1278" s="19">
        <f>i_tax*MAX(0,Sensitivities!T552-Sensitivities!T555-T1277)</f>
        <v/>
      </c>
      <c r="U1278" s="19">
        <f>i_tax*MAX(0,Sensitivities!U552-Sensitivities!U555-U1277)</f>
        <v/>
      </c>
      <c r="V1278" s="19">
        <f>i_tax*MAX(0,Sensitivities!V552-Sensitivities!V555-V1277)</f>
        <v/>
      </c>
      <c r="W1278" s="19">
        <f>i_tax*MAX(0,Sensitivities!W552-Sensitivities!W555-W1277)</f>
        <v/>
      </c>
      <c r="X1278" s="19">
        <f>i_tax*MAX(0,Sensitivities!X552-Sensitivities!X555-X1277)</f>
        <v/>
      </c>
      <c r="Y1278" s="19">
        <f>i_tax*MAX(0,Sensitivities!Y552-Sensitivities!Y555-Y1277)</f>
        <v/>
      </c>
      <c r="Z1278" s="19">
        <f>i_tax*MAX(0,Sensitivities!Z552-Sensitivities!Z555-Z1277)</f>
        <v/>
      </c>
      <c r="AA1278" s="19">
        <f>i_tax*MAX(0,Sensitivities!AA552-Sensitivities!AA555-AA1277)</f>
        <v/>
      </c>
      <c r="AB1278" s="19">
        <f>i_tax*MAX(0,Sensitivities!AB552-Sensitivities!AB555-AB1277)</f>
        <v/>
      </c>
      <c r="AC1278" s="19">
        <f>i_tax*MAX(0,Sensitivities!AC552-Sensitivities!AC555-AC1277)</f>
        <v/>
      </c>
      <c r="AD1278" s="19">
        <f>i_tax*MAX(0,Sensitivities!AD552-Sensitivities!AD555-AD1277)</f>
        <v/>
      </c>
      <c r="AE1278" s="19">
        <f>i_tax*MAX(0,Sensitivities!AE552-Sensitivities!AE555-AE1277)</f>
        <v/>
      </c>
      <c r="AF1278" s="19">
        <f>i_tax*MAX(0,Sensitivities!AF552-Sensitivities!AF555-AF1277)</f>
        <v/>
      </c>
      <c r="AG1278" s="19">
        <f>i_tax*MAX(0,Sensitivities!AG552-Sensitivities!AG555-AG1277)</f>
        <v/>
      </c>
      <c r="AH1278" s="19">
        <f>i_tax*MAX(0,Sensitivities!AH552-Sensitivities!AH555-AH1277)</f>
        <v/>
      </c>
      <c r="AI1278" s="19">
        <f>i_tax*MAX(0,Sensitivities!AI552-Sensitivities!AI555-AI1277)</f>
        <v/>
      </c>
    </row>
    <row r="1279">
      <c r="B1279" s="3" t="inlineStr">
        <is>
          <t>Cash flow to equity (full year)</t>
        </is>
      </c>
      <c r="D1279" s="31">
        <f>Sensitivities!D552-Sensitivities!D553-Sensitivities!D554-D1278-D1276-Sensitivities!D557</f>
        <v/>
      </c>
      <c r="E1279" s="31">
        <f>Sensitivities!E552-Sensitivities!E553-Sensitivities!E554-E1278-E1276-Sensitivities!E557</f>
        <v/>
      </c>
      <c r="F1279" s="31">
        <f>Sensitivities!F552-Sensitivities!F553-Sensitivities!F554-F1278-F1276-Sensitivities!F557</f>
        <v/>
      </c>
      <c r="G1279" s="31">
        <f>Sensitivities!G552-Sensitivities!G553-Sensitivities!G554-G1278-G1276-Sensitivities!G557</f>
        <v/>
      </c>
      <c r="H1279" s="31">
        <f>Sensitivities!H552-Sensitivities!H553-Sensitivities!H554-H1278-H1276-Sensitivities!H557</f>
        <v/>
      </c>
      <c r="I1279" s="31">
        <f>Sensitivities!I552-Sensitivities!I553-Sensitivities!I554-I1278-I1276-Sensitivities!I557</f>
        <v/>
      </c>
      <c r="J1279" s="31">
        <f>Sensitivities!J552-Sensitivities!J553-Sensitivities!J554-J1278-J1276-Sensitivities!J557</f>
        <v/>
      </c>
      <c r="K1279" s="31">
        <f>Sensitivities!K552-Sensitivities!K553-Sensitivities!K554-K1278-K1276-Sensitivities!K557</f>
        <v/>
      </c>
      <c r="L1279" s="31">
        <f>Sensitivities!L552-Sensitivities!L553-Sensitivities!L554-L1278-L1276-Sensitivities!L557</f>
        <v/>
      </c>
      <c r="M1279" s="31">
        <f>Sensitivities!M552-Sensitivities!M553-Sensitivities!M554-M1278-M1276-Sensitivities!M557</f>
        <v/>
      </c>
      <c r="N1279" s="31">
        <f>Sensitivities!N552-Sensitivities!N553-Sensitivities!N554-N1278-N1276-Sensitivities!N557</f>
        <v/>
      </c>
      <c r="O1279" s="31">
        <f>Sensitivities!O552-Sensitivities!O553-Sensitivities!O554-O1278-O1276-Sensitivities!O557</f>
        <v/>
      </c>
      <c r="P1279" s="31">
        <f>Sensitivities!P552-Sensitivities!P553-Sensitivities!P554-P1278-P1276-Sensitivities!P557</f>
        <v/>
      </c>
      <c r="Q1279" s="31">
        <f>Sensitivities!Q552-Sensitivities!Q553-Sensitivities!Q554-Q1278-Q1276-Sensitivities!Q557</f>
        <v/>
      </c>
      <c r="R1279" s="31">
        <f>Sensitivities!R552-Sensitivities!R553-Sensitivities!R554-R1278-R1276-Sensitivities!R557</f>
        <v/>
      </c>
      <c r="S1279" s="31">
        <f>Sensitivities!S552-Sensitivities!S553-Sensitivities!S554-S1278-S1276-Sensitivities!S557</f>
        <v/>
      </c>
      <c r="T1279" s="31">
        <f>Sensitivities!T552-Sensitivities!T553-Sensitivities!T554-T1278-T1276-Sensitivities!T557</f>
        <v/>
      </c>
      <c r="U1279" s="31">
        <f>Sensitivities!U552-Sensitivities!U553-Sensitivities!U554-U1278-U1276-Sensitivities!U557</f>
        <v/>
      </c>
      <c r="V1279" s="31">
        <f>Sensitivities!V552-Sensitivities!V553-Sensitivities!V554-V1278-V1276-Sensitivities!V557</f>
        <v/>
      </c>
      <c r="W1279" s="31">
        <f>Sensitivities!W552-Sensitivities!W553-Sensitivities!W554-W1278-W1276-Sensitivities!W557</f>
        <v/>
      </c>
      <c r="X1279" s="31">
        <f>Sensitivities!X552-Sensitivities!X553-Sensitivities!X554-X1278-X1276-Sensitivities!X557</f>
        <v/>
      </c>
      <c r="Y1279" s="31">
        <f>Sensitivities!Y552-Sensitivities!Y553-Sensitivities!Y554-Y1278-Y1276-Sensitivities!Y557</f>
        <v/>
      </c>
      <c r="Z1279" s="31">
        <f>Sensitivities!Z552-Sensitivities!Z553-Sensitivities!Z554-Z1278-Z1276-Sensitivities!Z557</f>
        <v/>
      </c>
      <c r="AA1279" s="31">
        <f>Sensitivities!AA552-Sensitivities!AA553-Sensitivities!AA554-AA1278-AA1276-Sensitivities!AA557</f>
        <v/>
      </c>
      <c r="AB1279" s="31">
        <f>Sensitivities!AB552-Sensitivities!AB553-Sensitivities!AB554-AB1278-AB1276-Sensitivities!AB557</f>
        <v/>
      </c>
      <c r="AC1279" s="31">
        <f>Sensitivities!AC552-Sensitivities!AC553-Sensitivities!AC554-AC1278-AC1276-Sensitivities!AC557</f>
        <v/>
      </c>
      <c r="AD1279" s="31">
        <f>Sensitivities!AD552-Sensitivities!AD553-Sensitivities!AD554-AD1278-AD1276-Sensitivities!AD557</f>
        <v/>
      </c>
      <c r="AE1279" s="31">
        <f>Sensitivities!AE552-Sensitivities!AE553-Sensitivities!AE554-AE1278-AE1276-Sensitivities!AE557</f>
        <v/>
      </c>
      <c r="AF1279" s="31">
        <f>Sensitivities!AF552-Sensitivities!AF553-Sensitivities!AF554-AF1278-AF1276-Sensitivities!AF557</f>
        <v/>
      </c>
      <c r="AG1279" s="31">
        <f>Sensitivities!AG552-Sensitivities!AG553-Sensitivities!AG554-AG1278-AG1276-Sensitivities!AG557</f>
        <v/>
      </c>
      <c r="AH1279" s="31">
        <f>Sensitivities!AH552-Sensitivities!AH553-Sensitivities!AH554-AH1278-AH1276-Sensitivities!AH557</f>
        <v/>
      </c>
      <c r="AI1279" s="31">
        <f>Sensitivities!AI552-Sensitivities!AI553-Sensitivities!AI554-AI1278-AI1276-Sensitivities!AI557</f>
        <v/>
      </c>
    </row>
    <row r="1280">
      <c r="B1280" s="2" t="inlineStr">
        <is>
          <t>Exit EV at the end of the exit year (DCF at the exit rate)</t>
        </is>
      </c>
      <c r="C1280" s="19">
        <f>SUMPRODUCT((Sensitivities!$D$3:$AI$3&gt;i_exit_year)*(Sensitivities!$D$3:$AI$3&lt;=i_last)*Sensitivities!$D$558:$AI$558/(1+Sensitivities!$C$1227)^(Sensitivities!$D$3:$AI$3-i_exit_year))+Sensitivities!$AI$558/(Sensitivities!$C$1227-i_g)/(1+Sensitivities!$C$1227)^(i_last-i_exit_year)</f>
        <v/>
      </c>
    </row>
    <row r="1281">
      <c r="B1281" s="2" t="inlineStr">
        <is>
          <t>Debt at exit (bullets)</t>
        </is>
      </c>
      <c r="C1281" s="19">
        <f>Sensitivities!$C$1250+Sensitivities!$C$1251</f>
        <v/>
      </c>
    </row>
    <row r="1282">
      <c r="B1282" s="3" t="inlineStr">
        <is>
          <t>Equity value at exit</t>
        </is>
      </c>
      <c r="C1282" s="31">
        <f>Sensitivities!$C$1280-Sensitivities!$C$1281</f>
        <v/>
      </c>
    </row>
    <row r="1283">
      <c r="B1283" s="2" t="inlineStr">
        <is>
          <t>Minority option: EV at the end of 2031 (minority buyer's rate)</t>
        </is>
      </c>
      <c r="C1283" s="19">
        <f>SUMPRODUCT((Sensitivities!$D$3:$AI$3&gt;i_min_year)*(Sensitivities!$D$3:$AI$3&lt;=i_last)*Sensitivities!$D$558:$AI$558/(1+i_min_r)^(Sensitivities!$D$3:$AI$3-i_min_year))+Sensitivities!$AI$558/(i_min_r-i_g)/(1+i_min_r)^(i_last-i_min_year)</f>
        <v/>
      </c>
    </row>
    <row r="1284">
      <c r="B1284" s="2" t="inlineStr">
        <is>
          <t>Minority option: equity value in 2031</t>
        </is>
      </c>
      <c r="C1284" s="19">
        <f>Sensitivities!$C$1283-Sensitivities!$C$1281</f>
        <v/>
      </c>
    </row>
    <row r="1285">
      <c r="B1285" s="2" t="inlineStr">
        <is>
          <t>Minority option: proceeds of the 49 percent sold</t>
        </is>
      </c>
      <c r="C1285" s="19">
        <f>Sensitivities!$C$1226*i_min_share*Sensitivities!$C$1284*(1-i_min_disc)</f>
        <v/>
      </c>
    </row>
    <row r="1286">
      <c r="B1286" s="4" t="inlineStr">
        <is>
          <t>Time of each flow (years after 31 December 2026)</t>
        </is>
      </c>
      <c r="D1286" s="28">
        <f>D$4</f>
        <v/>
      </c>
      <c r="E1286" s="28">
        <f>E$4</f>
        <v/>
      </c>
      <c r="F1286" s="28">
        <f>F$4</f>
        <v/>
      </c>
      <c r="G1286" s="28">
        <f>G$4</f>
        <v/>
      </c>
      <c r="H1286" s="28">
        <f>H$4</f>
        <v/>
      </c>
      <c r="I1286" s="28">
        <f>I$4</f>
        <v/>
      </c>
      <c r="J1286" s="28">
        <f>J$4</f>
        <v/>
      </c>
      <c r="K1286" s="28">
        <f>K$4</f>
        <v/>
      </c>
      <c r="L1286" s="28">
        <f>L$4</f>
        <v/>
      </c>
      <c r="M1286" s="28">
        <f>M$4</f>
        <v/>
      </c>
      <c r="N1286" s="28">
        <f>N$4</f>
        <v/>
      </c>
      <c r="O1286" s="28">
        <f>O$4</f>
        <v/>
      </c>
      <c r="P1286" s="28">
        <f>P$4</f>
        <v/>
      </c>
      <c r="Q1286" s="28">
        <f>Q$4</f>
        <v/>
      </c>
      <c r="R1286" s="28">
        <f>R$4</f>
        <v/>
      </c>
      <c r="S1286" s="28">
        <f>S$4</f>
        <v/>
      </c>
      <c r="T1286" s="28">
        <f>T$4</f>
        <v/>
      </c>
      <c r="U1286" s="28">
        <f>U$4</f>
        <v/>
      </c>
      <c r="V1286" s="28">
        <f>V$4</f>
        <v/>
      </c>
      <c r="W1286" s="28">
        <f>W$4</f>
        <v/>
      </c>
      <c r="X1286" s="28">
        <f>X$4</f>
        <v/>
      </c>
      <c r="Y1286" s="28">
        <f>Y$4</f>
        <v/>
      </c>
      <c r="Z1286" s="28">
        <f>Z$4</f>
        <v/>
      </c>
      <c r="AA1286" s="28">
        <f>AA$4</f>
        <v/>
      </c>
      <c r="AB1286" s="28">
        <f>AB$4</f>
        <v/>
      </c>
      <c r="AC1286" s="28">
        <f>AC$4</f>
        <v/>
      </c>
      <c r="AD1286" s="28">
        <f>AD$4</f>
        <v/>
      </c>
      <c r="AE1286" s="28">
        <f>AE$4</f>
        <v/>
      </c>
      <c r="AF1286" s="28">
        <f>AF$4</f>
        <v/>
      </c>
      <c r="AG1286" s="28">
        <f>AG$4</f>
        <v/>
      </c>
      <c r="AH1286" s="28">
        <f>AH$4</f>
        <v/>
      </c>
      <c r="AI1286" s="28">
        <f>AI$4</f>
        <v/>
      </c>
      <c r="AJ1286" s="28">
        <f>Sensitivities!$C$1224</f>
        <v/>
      </c>
      <c r="AK1286" s="28">
        <f>i_min_year-i_base_year</f>
        <v/>
      </c>
      <c r="AL1286" s="28">
        <f>i_exit_year-i_base_year</f>
        <v/>
      </c>
    </row>
    <row r="1287">
      <c r="B1287" s="3" t="inlineStr">
        <is>
          <t>Levered flows (equity)</t>
        </is>
      </c>
      <c r="D1287" s="31">
        <f>D1274*D1279*IF(AND(Sensitivities!$C$1226=1,D1286&gt;$AK$1286+1E-9),1-i_min_share,1)</f>
        <v/>
      </c>
      <c r="E1287" s="31">
        <f>E1274*E1279*IF(AND(Sensitivities!$C$1226=1,E1286&gt;$AK$1286+1E-9),1-i_min_share,1)</f>
        <v/>
      </c>
      <c r="F1287" s="31">
        <f>F1274*F1279*IF(AND(Sensitivities!$C$1226=1,F1286&gt;$AK$1286+1E-9),1-i_min_share,1)</f>
        <v/>
      </c>
      <c r="G1287" s="31">
        <f>G1274*G1279*IF(AND(Sensitivities!$C$1226=1,G1286&gt;$AK$1286+1E-9),1-i_min_share,1)</f>
        <v/>
      </c>
      <c r="H1287" s="31">
        <f>H1274*H1279*IF(AND(Sensitivities!$C$1226=1,H1286&gt;$AK$1286+1E-9),1-i_min_share,1)</f>
        <v/>
      </c>
      <c r="I1287" s="31">
        <f>I1274*I1279*IF(AND(Sensitivities!$C$1226=1,I1286&gt;$AK$1286+1E-9),1-i_min_share,1)</f>
        <v/>
      </c>
      <c r="J1287" s="31">
        <f>J1274*J1279*IF(AND(Sensitivities!$C$1226=1,J1286&gt;$AK$1286+1E-9),1-i_min_share,1)</f>
        <v/>
      </c>
      <c r="K1287" s="31">
        <f>K1274*K1279*IF(AND(Sensitivities!$C$1226=1,K1286&gt;$AK$1286+1E-9),1-i_min_share,1)</f>
        <v/>
      </c>
      <c r="L1287" s="31">
        <f>L1274*L1279*IF(AND(Sensitivities!$C$1226=1,L1286&gt;$AK$1286+1E-9),1-i_min_share,1)</f>
        <v/>
      </c>
      <c r="M1287" s="31">
        <f>M1274*M1279*IF(AND(Sensitivities!$C$1226=1,M1286&gt;$AK$1286+1E-9),1-i_min_share,1)</f>
        <v/>
      </c>
      <c r="N1287" s="31">
        <f>N1274*N1279*IF(AND(Sensitivities!$C$1226=1,N1286&gt;$AK$1286+1E-9),1-i_min_share,1)</f>
        <v/>
      </c>
      <c r="O1287" s="31">
        <f>O1274*O1279*IF(AND(Sensitivities!$C$1226=1,O1286&gt;$AK$1286+1E-9),1-i_min_share,1)</f>
        <v/>
      </c>
      <c r="P1287" s="31">
        <f>P1274*P1279*IF(AND(Sensitivities!$C$1226=1,P1286&gt;$AK$1286+1E-9),1-i_min_share,1)</f>
        <v/>
      </c>
      <c r="Q1287" s="31">
        <f>Q1274*Q1279*IF(AND(Sensitivities!$C$1226=1,Q1286&gt;$AK$1286+1E-9),1-i_min_share,1)</f>
        <v/>
      </c>
      <c r="R1287" s="31">
        <f>R1274*R1279*IF(AND(Sensitivities!$C$1226=1,R1286&gt;$AK$1286+1E-9),1-i_min_share,1)</f>
        <v/>
      </c>
      <c r="S1287" s="31">
        <f>S1274*S1279*IF(AND(Sensitivities!$C$1226=1,S1286&gt;$AK$1286+1E-9),1-i_min_share,1)</f>
        <v/>
      </c>
      <c r="T1287" s="31">
        <f>T1274*T1279*IF(AND(Sensitivities!$C$1226=1,T1286&gt;$AK$1286+1E-9),1-i_min_share,1)</f>
        <v/>
      </c>
      <c r="U1287" s="31">
        <f>U1274*U1279*IF(AND(Sensitivities!$C$1226=1,U1286&gt;$AK$1286+1E-9),1-i_min_share,1)</f>
        <v/>
      </c>
      <c r="V1287" s="31">
        <f>V1274*V1279*IF(AND(Sensitivities!$C$1226=1,V1286&gt;$AK$1286+1E-9),1-i_min_share,1)</f>
        <v/>
      </c>
      <c r="W1287" s="31">
        <f>W1274*W1279*IF(AND(Sensitivities!$C$1226=1,W1286&gt;$AK$1286+1E-9),1-i_min_share,1)</f>
        <v/>
      </c>
      <c r="X1287" s="31">
        <f>X1274*X1279*IF(AND(Sensitivities!$C$1226=1,X1286&gt;$AK$1286+1E-9),1-i_min_share,1)</f>
        <v/>
      </c>
      <c r="Y1287" s="31">
        <f>Y1274*Y1279*IF(AND(Sensitivities!$C$1226=1,Y1286&gt;$AK$1286+1E-9),1-i_min_share,1)</f>
        <v/>
      </c>
      <c r="Z1287" s="31">
        <f>Z1274*Z1279*IF(AND(Sensitivities!$C$1226=1,Z1286&gt;$AK$1286+1E-9),1-i_min_share,1)</f>
        <v/>
      </c>
      <c r="AA1287" s="31">
        <f>AA1274*AA1279*IF(AND(Sensitivities!$C$1226=1,AA1286&gt;$AK$1286+1E-9),1-i_min_share,1)</f>
        <v/>
      </c>
      <c r="AB1287" s="31">
        <f>AB1274*AB1279*IF(AND(Sensitivities!$C$1226=1,AB1286&gt;$AK$1286+1E-9),1-i_min_share,1)</f>
        <v/>
      </c>
      <c r="AC1287" s="31">
        <f>AC1274*AC1279*IF(AND(Sensitivities!$C$1226=1,AC1286&gt;$AK$1286+1E-9),1-i_min_share,1)</f>
        <v/>
      </c>
      <c r="AD1287" s="31">
        <f>AD1274*AD1279*IF(AND(Sensitivities!$C$1226=1,AD1286&gt;$AK$1286+1E-9),1-i_min_share,1)</f>
        <v/>
      </c>
      <c r="AE1287" s="31">
        <f>AE1274*AE1279*IF(AND(Sensitivities!$C$1226=1,AE1286&gt;$AK$1286+1E-9),1-i_min_share,1)</f>
        <v/>
      </c>
      <c r="AF1287" s="31">
        <f>AF1274*AF1279*IF(AND(Sensitivities!$C$1226=1,AF1286&gt;$AK$1286+1E-9),1-i_min_share,1)</f>
        <v/>
      </c>
      <c r="AG1287" s="31">
        <f>AG1274*AG1279*IF(AND(Sensitivities!$C$1226=1,AG1286&gt;$AK$1286+1E-9),1-i_min_share,1)</f>
        <v/>
      </c>
      <c r="AH1287" s="31">
        <f>AH1274*AH1279*IF(AND(Sensitivities!$C$1226=1,AH1286&gt;$AK$1286+1E-9),1-i_min_share,1)</f>
        <v/>
      </c>
      <c r="AI1287" s="31">
        <f>AI1274*AI1279*IF(AND(Sensitivities!$C$1226=1,AI1286&gt;$AK$1286+1E-9),1-i_min_share,1)</f>
        <v/>
      </c>
      <c r="AJ1287" s="31">
        <f>-Sensitivities!$C$1270</f>
        <v/>
      </c>
      <c r="AK1287" s="31">
        <f>Sensitivities!$C$1285</f>
        <v/>
      </c>
      <c r="AL1287" s="31">
        <f>Sensitivities!$C$1282*IF(Sensitivities!$C$1226=1,1-i_min_share,1)</f>
        <v/>
      </c>
    </row>
    <row r="1288">
      <c r="B1288" s="3" t="inlineStr">
        <is>
          <t>Unlevered flows (before financing)</t>
        </is>
      </c>
      <c r="D1288" s="31">
        <f>D1274*Sensitivities!D558</f>
        <v/>
      </c>
      <c r="E1288" s="31">
        <f>E1274*Sensitivities!E558</f>
        <v/>
      </c>
      <c r="F1288" s="31">
        <f>F1274*Sensitivities!F558</f>
        <v/>
      </c>
      <c r="G1288" s="31">
        <f>G1274*Sensitivities!G558</f>
        <v/>
      </c>
      <c r="H1288" s="31">
        <f>H1274*Sensitivities!H558</f>
        <v/>
      </c>
      <c r="I1288" s="31">
        <f>I1274*Sensitivities!I558</f>
        <v/>
      </c>
      <c r="J1288" s="31">
        <f>J1274*Sensitivities!J558</f>
        <v/>
      </c>
      <c r="K1288" s="31">
        <f>K1274*Sensitivities!K558</f>
        <v/>
      </c>
      <c r="L1288" s="31">
        <f>L1274*Sensitivities!L558</f>
        <v/>
      </c>
      <c r="M1288" s="31">
        <f>M1274*Sensitivities!M558</f>
        <v/>
      </c>
      <c r="N1288" s="31">
        <f>N1274*Sensitivities!N558</f>
        <v/>
      </c>
      <c r="O1288" s="31">
        <f>O1274*Sensitivities!O558</f>
        <v/>
      </c>
      <c r="P1288" s="31">
        <f>P1274*Sensitivities!P558</f>
        <v/>
      </c>
      <c r="Q1288" s="31">
        <f>Q1274*Sensitivities!Q558</f>
        <v/>
      </c>
      <c r="R1288" s="31">
        <f>R1274*Sensitivities!R558</f>
        <v/>
      </c>
      <c r="S1288" s="31">
        <f>S1274*Sensitivities!S558</f>
        <v/>
      </c>
      <c r="T1288" s="31">
        <f>T1274*Sensitivities!T558</f>
        <v/>
      </c>
      <c r="U1288" s="31">
        <f>U1274*Sensitivities!U558</f>
        <v/>
      </c>
      <c r="V1288" s="31">
        <f>V1274*Sensitivities!V558</f>
        <v/>
      </c>
      <c r="W1288" s="31">
        <f>W1274*Sensitivities!W558</f>
        <v/>
      </c>
      <c r="X1288" s="31">
        <f>X1274*Sensitivities!X558</f>
        <v/>
      </c>
      <c r="Y1288" s="31">
        <f>Y1274*Sensitivities!Y558</f>
        <v/>
      </c>
      <c r="Z1288" s="31">
        <f>Z1274*Sensitivities!Z558</f>
        <v/>
      </c>
      <c r="AA1288" s="31">
        <f>AA1274*Sensitivities!AA558</f>
        <v/>
      </c>
      <c r="AB1288" s="31">
        <f>AB1274*Sensitivities!AB558</f>
        <v/>
      </c>
      <c r="AC1288" s="31">
        <f>AC1274*Sensitivities!AC558</f>
        <v/>
      </c>
      <c r="AD1288" s="31">
        <f>AD1274*Sensitivities!AD558</f>
        <v/>
      </c>
      <c r="AE1288" s="31">
        <f>AE1274*Sensitivities!AE558</f>
        <v/>
      </c>
      <c r="AF1288" s="31">
        <f>AF1274*Sensitivities!AF558</f>
        <v/>
      </c>
      <c r="AG1288" s="31">
        <f>AG1274*Sensitivities!AG558</f>
        <v/>
      </c>
      <c r="AH1288" s="31">
        <f>AH1274*Sensitivities!AH558</f>
        <v/>
      </c>
      <c r="AI1288" s="31">
        <f>AI1274*Sensitivities!AI558</f>
        <v/>
      </c>
      <c r="AJ1288" s="31">
        <f>-(Sensitivities!$C$1265-Sensitivities!$C$1243-Sensitivities!$C$1255)</f>
        <v/>
      </c>
      <c r="AK1288" s="19" t="n">
        <v>0</v>
      </c>
      <c r="AL1288" s="31">
        <f>Sensitivities!$C$1280</f>
        <v/>
      </c>
    </row>
    <row r="1289">
      <c r="B1289" s="4" t="inlineStr">
        <is>
          <t>Levered IRR (Newton steps from 10 percent)</t>
        </is>
      </c>
      <c r="D1289" s="38" t="n">
        <v>0.1</v>
      </c>
      <c r="E1289" s="40">
        <f>D1289-SUMPRODUCT($D$1287:$AL$1287,(1+D1289)^(-$D$1286:$AL$1286))/SUMPRODUCT($D$1287:$AL$1287*(-$D$1286:$AL$1286),(1+D1289)^(-$D$1286:$AL$1286-1))</f>
        <v/>
      </c>
      <c r="F1289" s="40">
        <f>E1289-SUMPRODUCT($D$1287:$AL$1287,(1+E1289)^(-$D$1286:$AL$1286))/SUMPRODUCT($D$1287:$AL$1287*(-$D$1286:$AL$1286),(1+E1289)^(-$D$1286:$AL$1286-1))</f>
        <v/>
      </c>
      <c r="G1289" s="40">
        <f>F1289-SUMPRODUCT($D$1287:$AL$1287,(1+F1289)^(-$D$1286:$AL$1286))/SUMPRODUCT($D$1287:$AL$1287*(-$D$1286:$AL$1286),(1+F1289)^(-$D$1286:$AL$1286-1))</f>
        <v/>
      </c>
      <c r="H1289" s="40">
        <f>G1289-SUMPRODUCT($D$1287:$AL$1287,(1+G1289)^(-$D$1286:$AL$1286))/SUMPRODUCT($D$1287:$AL$1287*(-$D$1286:$AL$1286),(1+G1289)^(-$D$1286:$AL$1286-1))</f>
        <v/>
      </c>
      <c r="I1289" s="40">
        <f>H1289-SUMPRODUCT($D$1287:$AL$1287,(1+H1289)^(-$D$1286:$AL$1286))/SUMPRODUCT($D$1287:$AL$1287*(-$D$1286:$AL$1286),(1+H1289)^(-$D$1286:$AL$1286-1))</f>
        <v/>
      </c>
      <c r="J1289" s="40">
        <f>I1289-SUMPRODUCT($D$1287:$AL$1287,(1+I1289)^(-$D$1286:$AL$1286))/SUMPRODUCT($D$1287:$AL$1287*(-$D$1286:$AL$1286),(1+I1289)^(-$D$1286:$AL$1286-1))</f>
        <v/>
      </c>
      <c r="K1289" s="40">
        <f>J1289-SUMPRODUCT($D$1287:$AL$1287,(1+J1289)^(-$D$1286:$AL$1286))/SUMPRODUCT($D$1287:$AL$1287*(-$D$1286:$AL$1286),(1+J1289)^(-$D$1286:$AL$1286-1))</f>
        <v/>
      </c>
      <c r="L1289" s="40">
        <f>K1289-SUMPRODUCT($D$1287:$AL$1287,(1+K1289)^(-$D$1286:$AL$1286))/SUMPRODUCT($D$1287:$AL$1287*(-$D$1286:$AL$1286),(1+K1289)^(-$D$1286:$AL$1286-1))</f>
        <v/>
      </c>
      <c r="M1289" s="40">
        <f>L1289-SUMPRODUCT($D$1287:$AL$1287,(1+L1289)^(-$D$1286:$AL$1286))/SUMPRODUCT($D$1287:$AL$1287*(-$D$1286:$AL$1286),(1+L1289)^(-$D$1286:$AL$1286-1))</f>
        <v/>
      </c>
      <c r="N1289" s="40">
        <f>M1289-SUMPRODUCT($D$1287:$AL$1287,(1+M1289)^(-$D$1286:$AL$1286))/SUMPRODUCT($D$1287:$AL$1287*(-$D$1286:$AL$1286),(1+M1289)^(-$D$1286:$AL$1286-1))</f>
        <v/>
      </c>
      <c r="O1289" s="40">
        <f>N1289-SUMPRODUCT($D$1287:$AL$1287,(1+N1289)^(-$D$1286:$AL$1286))/SUMPRODUCT($D$1287:$AL$1287*(-$D$1286:$AL$1286),(1+N1289)^(-$D$1286:$AL$1286-1))</f>
        <v/>
      </c>
      <c r="P1289" s="40">
        <f>O1289-SUMPRODUCT($D$1287:$AL$1287,(1+O1289)^(-$D$1286:$AL$1286))/SUMPRODUCT($D$1287:$AL$1287*(-$D$1286:$AL$1286),(1+O1289)^(-$D$1286:$AL$1286-1))</f>
        <v/>
      </c>
      <c r="Q1289" s="40">
        <f>P1289-SUMPRODUCT($D$1287:$AL$1287,(1+P1289)^(-$D$1286:$AL$1286))/SUMPRODUCT($D$1287:$AL$1287*(-$D$1286:$AL$1286),(1+P1289)^(-$D$1286:$AL$1286-1))</f>
        <v/>
      </c>
      <c r="R1289" s="40">
        <f>Q1289-SUMPRODUCT($D$1287:$AL$1287,(1+Q1289)^(-$D$1286:$AL$1286))/SUMPRODUCT($D$1287:$AL$1287*(-$D$1286:$AL$1286),(1+Q1289)^(-$D$1286:$AL$1286-1))</f>
        <v/>
      </c>
    </row>
    <row r="1290">
      <c r="B1290" s="4" t="inlineStr">
        <is>
          <t>Unlevered IRR (Newton steps from 10 percent)</t>
        </is>
      </c>
      <c r="D1290" s="38" t="n">
        <v>0.1</v>
      </c>
      <c r="E1290" s="40">
        <f>D1290-SUMPRODUCT($D$1288:$AL$1288,(1+D1290)^(-$D$1286:$AL$1286))/SUMPRODUCT($D$1288:$AL$1288*(-$D$1286:$AL$1286),(1+D1290)^(-$D$1286:$AL$1286-1))</f>
        <v/>
      </c>
      <c r="F1290" s="40">
        <f>E1290-SUMPRODUCT($D$1288:$AL$1288,(1+E1290)^(-$D$1286:$AL$1286))/SUMPRODUCT($D$1288:$AL$1288*(-$D$1286:$AL$1286),(1+E1290)^(-$D$1286:$AL$1286-1))</f>
        <v/>
      </c>
      <c r="G1290" s="40">
        <f>F1290-SUMPRODUCT($D$1288:$AL$1288,(1+F1290)^(-$D$1286:$AL$1286))/SUMPRODUCT($D$1288:$AL$1288*(-$D$1286:$AL$1286),(1+F1290)^(-$D$1286:$AL$1286-1))</f>
        <v/>
      </c>
      <c r="H1290" s="40">
        <f>G1290-SUMPRODUCT($D$1288:$AL$1288,(1+G1290)^(-$D$1286:$AL$1286))/SUMPRODUCT($D$1288:$AL$1288*(-$D$1286:$AL$1286),(1+G1290)^(-$D$1286:$AL$1286-1))</f>
        <v/>
      </c>
      <c r="I1290" s="40">
        <f>H1290-SUMPRODUCT($D$1288:$AL$1288,(1+H1290)^(-$D$1286:$AL$1286))/SUMPRODUCT($D$1288:$AL$1288*(-$D$1286:$AL$1286),(1+H1290)^(-$D$1286:$AL$1286-1))</f>
        <v/>
      </c>
      <c r="J1290" s="40">
        <f>I1290-SUMPRODUCT($D$1288:$AL$1288,(1+I1290)^(-$D$1286:$AL$1286))/SUMPRODUCT($D$1288:$AL$1288*(-$D$1286:$AL$1286),(1+I1290)^(-$D$1286:$AL$1286-1))</f>
        <v/>
      </c>
      <c r="K1290" s="40">
        <f>J1290-SUMPRODUCT($D$1288:$AL$1288,(1+J1290)^(-$D$1286:$AL$1286))/SUMPRODUCT($D$1288:$AL$1288*(-$D$1286:$AL$1286),(1+J1290)^(-$D$1286:$AL$1286-1))</f>
        <v/>
      </c>
      <c r="L1290" s="40">
        <f>K1290-SUMPRODUCT($D$1288:$AL$1288,(1+K1290)^(-$D$1286:$AL$1286))/SUMPRODUCT($D$1288:$AL$1288*(-$D$1286:$AL$1286),(1+K1290)^(-$D$1286:$AL$1286-1))</f>
        <v/>
      </c>
      <c r="M1290" s="40">
        <f>L1290-SUMPRODUCT($D$1288:$AL$1288,(1+L1290)^(-$D$1286:$AL$1286))/SUMPRODUCT($D$1288:$AL$1288*(-$D$1286:$AL$1286),(1+L1290)^(-$D$1286:$AL$1286-1))</f>
        <v/>
      </c>
      <c r="N1290" s="40">
        <f>M1290-SUMPRODUCT($D$1288:$AL$1288,(1+M1290)^(-$D$1286:$AL$1286))/SUMPRODUCT($D$1288:$AL$1288*(-$D$1286:$AL$1286),(1+M1290)^(-$D$1286:$AL$1286-1))</f>
        <v/>
      </c>
      <c r="O1290" s="40">
        <f>N1290-SUMPRODUCT($D$1288:$AL$1288,(1+N1290)^(-$D$1286:$AL$1286))/SUMPRODUCT($D$1288:$AL$1288*(-$D$1286:$AL$1286),(1+N1290)^(-$D$1286:$AL$1286-1))</f>
        <v/>
      </c>
      <c r="P1290" s="40">
        <f>O1290-SUMPRODUCT($D$1288:$AL$1288,(1+O1290)^(-$D$1286:$AL$1286))/SUMPRODUCT($D$1288:$AL$1288*(-$D$1286:$AL$1286),(1+O1290)^(-$D$1286:$AL$1286-1))</f>
        <v/>
      </c>
      <c r="Q1290" s="40">
        <f>P1290-SUMPRODUCT($D$1288:$AL$1288,(1+P1290)^(-$D$1286:$AL$1286))/SUMPRODUCT($D$1288:$AL$1288*(-$D$1286:$AL$1286),(1+P1290)^(-$D$1286:$AL$1286-1))</f>
        <v/>
      </c>
      <c r="R1290" s="40">
        <f>Q1290-SUMPRODUCT($D$1288:$AL$1288,(1+Q1290)^(-$D$1286:$AL$1286))/SUMPRODUCT($D$1288:$AL$1288*(-$D$1286:$AL$1286),(1+Q1290)^(-$D$1286:$AL$1286-1))</f>
        <v/>
      </c>
    </row>
    <row r="1291">
      <c r="B1291" s="3" t="inlineStr">
        <is>
          <t>Levered IRR (equity)</t>
        </is>
      </c>
      <c r="C1291" s="33">
        <f>R1289</f>
        <v/>
      </c>
    </row>
    <row r="1292">
      <c r="B1292" s="3" t="inlineStr">
        <is>
          <t>Unlevered IRR</t>
        </is>
      </c>
      <c r="C1292" s="33">
        <f>R1290</f>
        <v/>
      </c>
    </row>
    <row r="1293">
      <c r="B1293" s="2" t="inlineStr">
        <is>
          <t>Check: levered NPV at the levered IRR</t>
        </is>
      </c>
      <c r="C1293" s="41">
        <f>SUMPRODUCT($D$1287:$AL$1287,(1+Sensitivities!$C$1291)^(-$D$1286:$AL$1286))</f>
        <v/>
      </c>
    </row>
    <row r="1294">
      <c r="B1294" s="2" t="inlineStr">
        <is>
          <t>Check: unlevered NPV at the unlevered IRR</t>
        </is>
      </c>
      <c r="C1294" s="41">
        <f>SUMPRODUCT($D$1288:$AL$1288,(1+Sensitivities!$C$1292)^(-$D$1286:$AL$1286))</f>
        <v/>
      </c>
    </row>
    <row r="1295">
      <c r="B1295" s="2" t="inlineStr">
        <is>
          <t>Money multiple (cash in over cash out)</t>
        </is>
      </c>
      <c r="C1295" s="37">
        <f>SUMIF($D$1287:$AL$1287,"&gt;0")/-SUMIF($D$1287:$AL$1287,"&lt;0")</f>
        <v/>
      </c>
    </row>
    <row r="1296">
      <c r="B1296" s="2" t="inlineStr">
        <is>
          <t>Present value at the target IRR of the flows after closing</t>
        </is>
      </c>
      <c r="C1296" s="19">
        <f>SUMPRODUCT($D$1287:$AL$1287,(1+i_hurdle)^(-$D$1286:$AL$1286))+Sensitivities!$C$1270*(1+i_hurdle)^(-Sensitivities!$C$1224)</f>
        <v/>
      </c>
    </row>
    <row r="1297">
      <c r="B1297" s="2" t="inlineStr">
        <is>
          <t>Equity cheque that gives exactly the target IRR</t>
        </is>
      </c>
      <c r="C1297" s="19">
        <f>Sensitivities!$C$1296*(1+i_hurdle)^Sensitivities!$C$1224</f>
        <v/>
      </c>
    </row>
    <row r="1298">
      <c r="B1298" s="2" t="inlineStr">
        <is>
          <t>EV less equity price (fixed bridge items)</t>
        </is>
      </c>
      <c r="C1298" s="19">
        <f>Sensitivities!$C$1229-Sensitivities!$C$1235</f>
        <v/>
      </c>
    </row>
    <row r="1299">
      <c r="B1299" s="2" t="inlineStr">
        <is>
          <t>Equity cheque items that do not move with the price</t>
        </is>
      </c>
      <c r="C1299" s="19">
        <f>Sensitivities!$C$1260+Sensitivities!$C$1232+i_costs_adv+Sensitivities!$C$1255+Sensitivities!$C$1256-Sensitivities!$C$1250-Sensitivities!$C$1251-Sensitivities!$C$1243</f>
        <v/>
      </c>
    </row>
    <row r="1300">
      <c r="B1300" s="2" t="inlineStr">
        <is>
          <t>Walk-away EV, first pass (HSR fee at the bid)</t>
        </is>
      </c>
      <c r="C1300" s="19">
        <f>(Sensitivities!$C$1297-Sensitivities!$C$1299-Sensitivities!$C$1253+Sensitivities!$C$1298*(1+i_ticking*Sensitivities!$C$1224))/(1+i_ticking*Sensitivities!$C$1224+i_wi_limit_pct*i_wi_rol*(1+i_wi_ipt))</f>
        <v/>
      </c>
    </row>
    <row r="1301">
      <c r="B1301" s="3" t="inlineStr">
        <is>
          <t>Walk-away EV (highest EV at the target IRR)</t>
        </is>
      </c>
      <c r="C1301" s="31">
        <f>(Sensitivities!$C$1297-Sensitivities!$C$1299-IF(Sensitivities!$C$1300-Sensitivities!$C$1298&lt;INDEX(i_hsr_lo,1),0,LOOKUP(Sensitivities!$C$1300-Sensitivities!$C$1298,i_hsr_lo,i_hsr_fee))+Sensitivities!$C$1298*(1+i_ticking*Sensitivities!$C$1224))/(1+i_ticking*Sensitivities!$C$1224+i_wi_limit_pct*i_wi_rol*(1+i_wi_ipt))</f>
        <v/>
      </c>
    </row>
    <row r="1304">
      <c r="B1304" s="5" t="inlineStr">
        <is>
          <t>Deal: Westerhaven concession renewed to 2081 at an 8 percent fee</t>
        </is>
      </c>
    </row>
    <row r="1305">
      <c r="B1305" s="4" t="inlineStr">
        <is>
          <t>Enterprise value at 31 December 2026</t>
        </is>
      </c>
      <c r="C1305" s="29">
        <f>i_bid_ev</f>
        <v/>
      </c>
    </row>
    <row r="1306">
      <c r="B1306" s="4" t="inlineStr">
        <is>
          <t>Closing (years after 31 December 2026)</t>
        </is>
      </c>
      <c r="C1306" s="28">
        <f>Inputs!$F$243</f>
        <v/>
      </c>
    </row>
    <row r="1307">
      <c r="B1307" s="4" t="inlineStr">
        <is>
          <t>Staple financing (1) or own debt (0)</t>
        </is>
      </c>
      <c r="C1307" s="26">
        <f>0</f>
        <v/>
      </c>
    </row>
    <row r="1308">
      <c r="B1308" s="4" t="inlineStr">
        <is>
          <t>Minority sale in 2031 (1) or full exit (0)</t>
        </is>
      </c>
      <c r="C1308" s="26">
        <f>0</f>
        <v/>
      </c>
    </row>
    <row r="1309">
      <c r="B1309" s="4" t="inlineStr">
        <is>
          <t>Exit discount rate</t>
        </is>
      </c>
      <c r="C1309" s="38">
        <f>Inputs!$E$243</f>
        <v/>
      </c>
    </row>
    <row r="1310">
      <c r="B1310" s="4" t="inlineStr">
        <is>
          <t>Change in the opco rate at refinancing</t>
        </is>
      </c>
      <c r="C1310" s="38">
        <f>Inputs!$D$243</f>
        <v/>
      </c>
    </row>
    <row r="1311">
      <c r="B1311" s="2" t="inlineStr">
        <is>
          <t>Enterprise value</t>
        </is>
      </c>
      <c r="C1311" s="19">
        <f>Sensitivities!$C$1305</f>
        <v/>
      </c>
    </row>
    <row r="1312">
      <c r="B1312" s="2" t="inlineStr">
        <is>
          <t>less existing financial debt (term loan and notes)</t>
        </is>
      </c>
      <c r="C1312" s="19">
        <f>i_old_tl+i_old_notes</f>
        <v/>
      </c>
    </row>
    <row r="1313">
      <c r="B1313" s="2" t="inlineStr">
        <is>
          <t>less make-whole on the notes</t>
        </is>
      </c>
      <c r="C1313" s="19">
        <f>i_make_whole</f>
        <v/>
      </c>
    </row>
    <row r="1314">
      <c r="B1314" s="2" t="inlineStr">
        <is>
          <t>less debt-like items (pension, accrued capex, 2026 tax)</t>
        </is>
      </c>
      <c r="C1314" s="19">
        <f>i_pension+i_def_capex+i_acc_tax</f>
        <v/>
      </c>
    </row>
    <row r="1315">
      <c r="B1315" s="2" t="inlineStr">
        <is>
          <t>plus cash at the locked box date</t>
        </is>
      </c>
      <c r="C1315" s="19">
        <f>i_lb_cash</f>
        <v/>
      </c>
    </row>
    <row r="1316">
      <c r="B1316" s="2" t="inlineStr">
        <is>
          <t>less permitted leakage</t>
        </is>
      </c>
      <c r="C1316" s="19">
        <f>i_permitted_leak</f>
        <v/>
      </c>
    </row>
    <row r="1317">
      <c r="B1317" s="3" t="inlineStr">
        <is>
          <t>Equity price (shares and shareholder loan)</t>
        </is>
      </c>
      <c r="C1317" s="31">
        <f>Sensitivities!$C$1311-Sensitivities!$C$1312-Sensitivities!$C$1313-Sensitivities!$C$1314+Sensitivities!$C$1315-Sensitivities!$C$1316</f>
        <v/>
      </c>
    </row>
    <row r="1318">
      <c r="B1318" s="2" t="inlineStr">
        <is>
          <t xml:space="preserve">  of which shareholder loan at face value</t>
        </is>
      </c>
      <c r="C1318" s="19">
        <f>i_shl</f>
        <v/>
      </c>
    </row>
    <row r="1319">
      <c r="B1319" s="2" t="inlineStr">
        <is>
          <t xml:space="preserve">  of which shares</t>
        </is>
      </c>
      <c r="C1319" s="19">
        <f>Sensitivities!$C$1317-Sensitivities!$C$1318</f>
        <v/>
      </c>
    </row>
    <row r="1320">
      <c r="B1320" s="2" t="inlineStr">
        <is>
          <t>Ticking fee to closing</t>
        </is>
      </c>
      <c r="C1320" s="19">
        <f>Sensitivities!$C$1317*i_ticking*Sensitivities!$C$1306</f>
        <v/>
      </c>
    </row>
    <row r="1321">
      <c r="B1321" s="2" t="inlineStr">
        <is>
          <t>Share of the year before closing (box period)</t>
        </is>
      </c>
      <c r="D1321" s="24">
        <f>IF(D$4&lt;1,0,MAX(0,MIN(1,Sensitivities!$C$1306-(D$4-1))))</f>
        <v/>
      </c>
      <c r="E1321" s="24">
        <f>IF(E$4&lt;1,0,MAX(0,MIN(1,Sensitivities!$C$1306-(E$4-1))))</f>
        <v/>
      </c>
      <c r="F1321" s="24">
        <f>IF(F$4&lt;1,0,MAX(0,MIN(1,Sensitivities!$C$1306-(F$4-1))))</f>
        <v/>
      </c>
      <c r="G1321" s="24">
        <f>IF(G$4&lt;1,0,MAX(0,MIN(1,Sensitivities!$C$1306-(G$4-1))))</f>
        <v/>
      </c>
      <c r="H1321" s="24">
        <f>IF(H$4&lt;1,0,MAX(0,MIN(1,Sensitivities!$C$1306-(H$4-1))))</f>
        <v/>
      </c>
      <c r="I1321" s="24">
        <f>IF(I$4&lt;1,0,MAX(0,MIN(1,Sensitivities!$C$1306-(I$4-1))))</f>
        <v/>
      </c>
      <c r="J1321" s="24">
        <f>IF(J$4&lt;1,0,MAX(0,MIN(1,Sensitivities!$C$1306-(J$4-1))))</f>
        <v/>
      </c>
      <c r="K1321" s="24">
        <f>IF(K$4&lt;1,0,MAX(0,MIN(1,Sensitivities!$C$1306-(K$4-1))))</f>
        <v/>
      </c>
      <c r="L1321" s="24">
        <f>IF(L$4&lt;1,0,MAX(0,MIN(1,Sensitivities!$C$1306-(L$4-1))))</f>
        <v/>
      </c>
      <c r="M1321" s="24">
        <f>IF(M$4&lt;1,0,MAX(0,MIN(1,Sensitivities!$C$1306-(M$4-1))))</f>
        <v/>
      </c>
      <c r="N1321" s="24">
        <f>IF(N$4&lt;1,0,MAX(0,MIN(1,Sensitivities!$C$1306-(N$4-1))))</f>
        <v/>
      </c>
      <c r="O1321" s="24">
        <f>IF(O$4&lt;1,0,MAX(0,MIN(1,Sensitivities!$C$1306-(O$4-1))))</f>
        <v/>
      </c>
      <c r="P1321" s="24">
        <f>IF(P$4&lt;1,0,MAX(0,MIN(1,Sensitivities!$C$1306-(P$4-1))))</f>
        <v/>
      </c>
      <c r="Q1321" s="24">
        <f>IF(Q$4&lt;1,0,MAX(0,MIN(1,Sensitivities!$C$1306-(Q$4-1))))</f>
        <v/>
      </c>
      <c r="R1321" s="24">
        <f>IF(R$4&lt;1,0,MAX(0,MIN(1,Sensitivities!$C$1306-(R$4-1))))</f>
        <v/>
      </c>
      <c r="S1321" s="24">
        <f>IF(S$4&lt;1,0,MAX(0,MIN(1,Sensitivities!$C$1306-(S$4-1))))</f>
        <v/>
      </c>
      <c r="T1321" s="24">
        <f>IF(T$4&lt;1,0,MAX(0,MIN(1,Sensitivities!$C$1306-(T$4-1))))</f>
        <v/>
      </c>
      <c r="U1321" s="24">
        <f>IF(U$4&lt;1,0,MAX(0,MIN(1,Sensitivities!$C$1306-(U$4-1))))</f>
        <v/>
      </c>
      <c r="V1321" s="24">
        <f>IF(V$4&lt;1,0,MAX(0,MIN(1,Sensitivities!$C$1306-(V$4-1))))</f>
        <v/>
      </c>
      <c r="W1321" s="24">
        <f>IF(W$4&lt;1,0,MAX(0,MIN(1,Sensitivities!$C$1306-(W$4-1))))</f>
        <v/>
      </c>
      <c r="X1321" s="24">
        <f>IF(X$4&lt;1,0,MAX(0,MIN(1,Sensitivities!$C$1306-(X$4-1))))</f>
        <v/>
      </c>
      <c r="Y1321" s="24">
        <f>IF(Y$4&lt;1,0,MAX(0,MIN(1,Sensitivities!$C$1306-(Y$4-1))))</f>
        <v/>
      </c>
      <c r="Z1321" s="24">
        <f>IF(Z$4&lt;1,0,MAX(0,MIN(1,Sensitivities!$C$1306-(Z$4-1))))</f>
        <v/>
      </c>
      <c r="AA1321" s="24">
        <f>IF(AA$4&lt;1,0,MAX(0,MIN(1,Sensitivities!$C$1306-(AA$4-1))))</f>
        <v/>
      </c>
      <c r="AB1321" s="24">
        <f>IF(AB$4&lt;1,0,MAX(0,MIN(1,Sensitivities!$C$1306-(AB$4-1))))</f>
        <v/>
      </c>
      <c r="AC1321" s="24">
        <f>IF(AC$4&lt;1,0,MAX(0,MIN(1,Sensitivities!$C$1306-(AC$4-1))))</f>
        <v/>
      </c>
      <c r="AD1321" s="24">
        <f>IF(AD$4&lt;1,0,MAX(0,MIN(1,Sensitivities!$C$1306-(AD$4-1))))</f>
        <v/>
      </c>
      <c r="AE1321" s="24">
        <f>IF(AE$4&lt;1,0,MAX(0,MIN(1,Sensitivities!$C$1306-(AE$4-1))))</f>
        <v/>
      </c>
      <c r="AF1321" s="24">
        <f>IF(AF$4&lt;1,0,MAX(0,MIN(1,Sensitivities!$C$1306-(AF$4-1))))</f>
        <v/>
      </c>
      <c r="AG1321" s="24">
        <f>IF(AG$4&lt;1,0,MAX(0,MIN(1,Sensitivities!$C$1306-(AG$4-1))))</f>
        <v/>
      </c>
      <c r="AH1321" s="24">
        <f>IF(AH$4&lt;1,0,MAX(0,MIN(1,Sensitivities!$C$1306-(AH$4-1))))</f>
        <v/>
      </c>
      <c r="AI1321" s="24">
        <f>IF(AI$4&lt;1,0,MAX(0,MIN(1,Sensitivities!$C$1306-(AI$4-1))))</f>
        <v/>
      </c>
    </row>
    <row r="1322">
      <c r="B1322" s="2" t="inlineStr">
        <is>
          <t>Box cash: free cash flow less interest on the old debt</t>
        </is>
      </c>
      <c r="D1322" s="19">
        <f>D1321*(DCF!D245-i_old_rate*(i_old_tl+i_old_notes))</f>
        <v/>
      </c>
      <c r="E1322" s="19">
        <f>E1321*(DCF!E245-i_old_rate*(i_old_tl+i_old_notes))</f>
        <v/>
      </c>
      <c r="F1322" s="19">
        <f>F1321*(DCF!F245-i_old_rate*(i_old_tl+i_old_notes))</f>
        <v/>
      </c>
      <c r="G1322" s="19">
        <f>G1321*(DCF!G245-i_old_rate*(i_old_tl+i_old_notes))</f>
        <v/>
      </c>
      <c r="H1322" s="19">
        <f>H1321*(DCF!H245-i_old_rate*(i_old_tl+i_old_notes))</f>
        <v/>
      </c>
      <c r="I1322" s="19">
        <f>I1321*(DCF!I245-i_old_rate*(i_old_tl+i_old_notes))</f>
        <v/>
      </c>
      <c r="J1322" s="19">
        <f>J1321*(DCF!J245-i_old_rate*(i_old_tl+i_old_notes))</f>
        <v/>
      </c>
      <c r="K1322" s="19">
        <f>K1321*(DCF!K245-i_old_rate*(i_old_tl+i_old_notes))</f>
        <v/>
      </c>
      <c r="L1322" s="19">
        <f>L1321*(DCF!L245-i_old_rate*(i_old_tl+i_old_notes))</f>
        <v/>
      </c>
      <c r="M1322" s="19">
        <f>M1321*(DCF!M245-i_old_rate*(i_old_tl+i_old_notes))</f>
        <v/>
      </c>
      <c r="N1322" s="19">
        <f>N1321*(DCF!N245-i_old_rate*(i_old_tl+i_old_notes))</f>
        <v/>
      </c>
      <c r="O1322" s="19">
        <f>O1321*(DCF!O245-i_old_rate*(i_old_tl+i_old_notes))</f>
        <v/>
      </c>
      <c r="P1322" s="19">
        <f>P1321*(DCF!P245-i_old_rate*(i_old_tl+i_old_notes))</f>
        <v/>
      </c>
      <c r="Q1322" s="19">
        <f>Q1321*(DCF!Q245-i_old_rate*(i_old_tl+i_old_notes))</f>
        <v/>
      </c>
      <c r="R1322" s="19">
        <f>R1321*(DCF!R245-i_old_rate*(i_old_tl+i_old_notes))</f>
        <v/>
      </c>
      <c r="S1322" s="19">
        <f>S1321*(DCF!S245-i_old_rate*(i_old_tl+i_old_notes))</f>
        <v/>
      </c>
      <c r="T1322" s="19">
        <f>T1321*(DCF!T245-i_old_rate*(i_old_tl+i_old_notes))</f>
        <v/>
      </c>
      <c r="U1322" s="19">
        <f>U1321*(DCF!U245-i_old_rate*(i_old_tl+i_old_notes))</f>
        <v/>
      </c>
      <c r="V1322" s="19">
        <f>V1321*(DCF!V245-i_old_rate*(i_old_tl+i_old_notes))</f>
        <v/>
      </c>
      <c r="W1322" s="19">
        <f>W1321*(DCF!W245-i_old_rate*(i_old_tl+i_old_notes))</f>
        <v/>
      </c>
      <c r="X1322" s="19">
        <f>X1321*(DCF!X245-i_old_rate*(i_old_tl+i_old_notes))</f>
        <v/>
      </c>
      <c r="Y1322" s="19">
        <f>Y1321*(DCF!Y245-i_old_rate*(i_old_tl+i_old_notes))</f>
        <v/>
      </c>
      <c r="Z1322" s="19">
        <f>Z1321*(DCF!Z245-i_old_rate*(i_old_tl+i_old_notes))</f>
        <v/>
      </c>
      <c r="AA1322" s="19">
        <f>AA1321*(DCF!AA245-i_old_rate*(i_old_tl+i_old_notes))</f>
        <v/>
      </c>
      <c r="AB1322" s="19">
        <f>AB1321*(DCF!AB245-i_old_rate*(i_old_tl+i_old_notes))</f>
        <v/>
      </c>
      <c r="AC1322" s="19">
        <f>AC1321*(DCF!AC245-i_old_rate*(i_old_tl+i_old_notes))</f>
        <v/>
      </c>
      <c r="AD1322" s="19">
        <f>AD1321*(DCF!AD245-i_old_rate*(i_old_tl+i_old_notes))</f>
        <v/>
      </c>
      <c r="AE1322" s="19">
        <f>AE1321*(DCF!AE245-i_old_rate*(i_old_tl+i_old_notes))</f>
        <v/>
      </c>
      <c r="AF1322" s="19">
        <f>AF1321*(DCF!AF245-i_old_rate*(i_old_tl+i_old_notes))</f>
        <v/>
      </c>
      <c r="AG1322" s="19">
        <f>AG1321*(DCF!AG245-i_old_rate*(i_old_tl+i_old_notes))</f>
        <v/>
      </c>
      <c r="AH1322" s="19">
        <f>AH1321*(DCF!AH245-i_old_rate*(i_old_tl+i_old_notes))</f>
        <v/>
      </c>
      <c r="AI1322" s="19">
        <f>AI1321*(DCF!AI245-i_old_rate*(i_old_tl+i_old_notes))</f>
        <v/>
      </c>
    </row>
    <row r="1323">
      <c r="B1323" s="2" t="inlineStr">
        <is>
          <t>Box cash generated from 1 January 2027 to closing</t>
        </is>
      </c>
      <c r="C1323" s="19">
        <f>SUM(Sensitivities!D1322:AI1322)</f>
        <v/>
      </c>
    </row>
    <row r="1324">
      <c r="B1324" s="2" t="inlineStr">
        <is>
          <t>Cash in the company at closing</t>
        </is>
      </c>
      <c r="C1324" s="19">
        <f>Sensitivities!$C$1315-Sensitivities!$C$1316+Sensitivities!$C$1323</f>
        <v/>
      </c>
    </row>
    <row r="1325">
      <c r="B1325" s="2" t="inlineStr">
        <is>
          <t>Cash used at closing (above operating cash)</t>
        </is>
      </c>
      <c r="C1325" s="19">
        <f>Sensitivities!$C$1324-i_min_cash</f>
        <v/>
      </c>
    </row>
    <row r="1327">
      <c r="B1327" s="3" t="inlineStr">
        <is>
          <t>Sources and uses at closing</t>
        </is>
      </c>
    </row>
    <row r="1328">
      <c r="B1328" s="2" t="inlineStr">
        <is>
          <t>EBITDA 2026 (sizing basis)</t>
        </is>
      </c>
      <c r="C1328" s="19">
        <f>DCF!$D$239</f>
        <v/>
      </c>
    </row>
    <row r="1329">
      <c r="B1329" s="2" t="inlineStr">
        <is>
          <t>Opco multiple of 2026 EBITDA</t>
        </is>
      </c>
      <c r="C1329" s="37">
        <f>IF(Sensitivities!$C$1307=1,i_staple_x,i_opco_x)</f>
        <v/>
      </c>
    </row>
    <row r="1330">
      <c r="B1330" s="2" t="inlineStr">
        <is>
          <t>Opco rate</t>
        </is>
      </c>
      <c r="C1330" s="23">
        <f>IF(Sensitivities!$C$1307=1,i_staple_rate,i_opco_rate)</f>
        <v/>
      </c>
    </row>
    <row r="1331">
      <c r="B1331" s="2" t="inlineStr">
        <is>
          <t>Opco fees</t>
        </is>
      </c>
      <c r="C1331" s="23">
        <f>IF(Sensitivities!$C$1307=1,i_staple_fee,i_opco_fee)</f>
        <v/>
      </c>
    </row>
    <row r="1332">
      <c r="B1332" s="2" t="inlineStr">
        <is>
          <t>Opco senior debt (whole $ million)</t>
        </is>
      </c>
      <c r="C1332" s="19">
        <f>ROUND(Sensitivities!$C$1329*Sensitivities!$C$1328,0)</f>
        <v/>
      </c>
    </row>
    <row r="1333">
      <c r="B1333" s="2" t="inlineStr">
        <is>
          <t>Holdco debt (whole $ million)</t>
        </is>
      </c>
      <c r="C1333" s="19">
        <f>ROUND(i_hold_x*Sensitivities!$C$1328,0)</f>
        <v/>
      </c>
    </row>
    <row r="1334">
      <c r="B1334" s="2" t="inlineStr">
        <is>
          <t>W&amp;I premium with insurance premium tax</t>
        </is>
      </c>
      <c r="C1334" s="35">
        <f>i_wi_limit_pct*Sensitivities!$C$1311*i_wi_rol*(1+i_wi_ipt)</f>
        <v/>
      </c>
    </row>
    <row r="1335">
      <c r="B1335" s="2" t="inlineStr">
        <is>
          <t>HSR filing fee (on the equity price)</t>
        </is>
      </c>
      <c r="C1335" s="39">
        <f>IF(Sensitivities!$C$1317&lt;INDEX(i_hsr_lo,1),0,LOOKUP(Sensitivities!$C$1317,i_hsr_lo,i_hsr_fee))</f>
        <v/>
      </c>
    </row>
    <row r="1336">
      <c r="B1336" s="2" t="inlineStr">
        <is>
          <t>Transaction costs (advisers, W&amp;I, HSR)</t>
        </is>
      </c>
      <c r="C1336" s="19">
        <f>i_costs_adv+Sensitivities!$C$1334+Sensitivities!$C$1335</f>
        <v/>
      </c>
    </row>
    <row r="1337">
      <c r="B1337" s="2" t="inlineStr">
        <is>
          <t>Financing fees</t>
        </is>
      </c>
      <c r="C1337" s="19">
        <f>Sensitivities!$C$1331*Sensitivities!$C$1332+i_hold_fee*Sensitivities!$C$1333</f>
        <v/>
      </c>
    </row>
    <row r="1338">
      <c r="B1338" s="2" t="inlineStr">
        <is>
          <t>Commitment fees, signing to closing</t>
        </is>
      </c>
      <c r="C1338" s="19">
        <f>i_commit_fee*(Sensitivities!$C$1332+Sensitivities!$C$1333)*MAX(0,Sensitivities!$C$1306-i_t_sign)</f>
        <v/>
      </c>
    </row>
    <row r="1339">
      <c r="B1339" s="3" t="inlineStr">
        <is>
          <t>Uses</t>
        </is>
      </c>
    </row>
    <row r="1340">
      <c r="B1340" s="2" t="inlineStr">
        <is>
          <t xml:space="preserve">  Equity price</t>
        </is>
      </c>
      <c r="C1340" s="19">
        <f>Sensitivities!$C$1317</f>
        <v/>
      </c>
    </row>
    <row r="1341">
      <c r="B1341" s="2" t="inlineStr">
        <is>
          <t xml:space="preserve">  Ticking fee</t>
        </is>
      </c>
      <c r="C1341" s="19">
        <f>Sensitivities!$C$1320</f>
        <v/>
      </c>
    </row>
    <row r="1342">
      <c r="B1342" s="2" t="inlineStr">
        <is>
          <t xml:space="preserve">  Repayment of existing debt and make-whole</t>
        </is>
      </c>
      <c r="C1342" s="19">
        <f>Sensitivities!$C$1312+Sensitivities!$C$1313</f>
        <v/>
      </c>
    </row>
    <row r="1343">
      <c r="B1343" s="2" t="inlineStr">
        <is>
          <t xml:space="preserve">  Debt-like items settled</t>
        </is>
      </c>
      <c r="C1343" s="19">
        <f>Sensitivities!$C$1314</f>
        <v/>
      </c>
    </row>
    <row r="1344">
      <c r="B1344" s="2" t="inlineStr">
        <is>
          <t xml:space="preserve">  Transaction costs</t>
        </is>
      </c>
      <c r="C1344" s="19">
        <f>Sensitivities!$C$1336</f>
        <v/>
      </c>
    </row>
    <row r="1345">
      <c r="B1345" s="2" t="inlineStr">
        <is>
          <t xml:space="preserve">  Financing fees</t>
        </is>
      </c>
      <c r="C1345" s="19">
        <f>Sensitivities!$C$1337</f>
        <v/>
      </c>
    </row>
    <row r="1346">
      <c r="B1346" s="2" t="inlineStr">
        <is>
          <t xml:space="preserve">  Commitment fees</t>
        </is>
      </c>
      <c r="C1346" s="19">
        <f>Sensitivities!$C$1338</f>
        <v/>
      </c>
    </row>
    <row r="1347">
      <c r="B1347" s="3" t="inlineStr">
        <is>
          <t>Total uses</t>
        </is>
      </c>
      <c r="C1347" s="31">
        <f>SUM(C1340:C1346)</f>
        <v/>
      </c>
    </row>
    <row r="1348">
      <c r="B1348" s="3" t="inlineStr">
        <is>
          <t>Sources</t>
        </is>
      </c>
    </row>
    <row r="1349">
      <c r="B1349" s="2" t="inlineStr">
        <is>
          <t xml:space="preserve">  Opco senior debt</t>
        </is>
      </c>
      <c r="C1349" s="19">
        <f>Sensitivities!$C$1332</f>
        <v/>
      </c>
    </row>
    <row r="1350">
      <c r="B1350" s="2" t="inlineStr">
        <is>
          <t xml:space="preserve">  Holdco debt</t>
        </is>
      </c>
      <c r="C1350" s="19">
        <f>Sensitivities!$C$1333</f>
        <v/>
      </c>
    </row>
    <row r="1351">
      <c r="B1351" s="2" t="inlineStr">
        <is>
          <t xml:space="preserve">  Cash in the company at closing</t>
        </is>
      </c>
      <c r="C1351" s="19">
        <f>Sensitivities!$C$1325</f>
        <v/>
      </c>
    </row>
    <row r="1352">
      <c r="B1352" s="3" t="inlineStr">
        <is>
          <t xml:space="preserve">  Equity from the consortium</t>
        </is>
      </c>
      <c r="C1352" s="31">
        <f>Sensitivities!$C$1347-Sensitivities!$C$1332-Sensitivities!$C$1333-Sensitivities!$C$1325</f>
        <v/>
      </c>
    </row>
    <row r="1353">
      <c r="B1353" s="3" t="inlineStr">
        <is>
          <t>Total sources</t>
        </is>
      </c>
      <c r="C1353" s="31">
        <f>SUM(C1349:C1352)</f>
        <v/>
      </c>
    </row>
    <row r="1355">
      <c r="B1355" s="3" t="inlineStr">
        <is>
          <t>Flows after closing (years in columns D to AI; closing, minority sale and exit in AJ to AL)</t>
        </is>
      </c>
    </row>
    <row r="1356">
      <c r="B1356" s="2" t="inlineStr">
        <is>
          <t>Share of the year owned</t>
        </is>
      </c>
      <c r="D1356" s="24">
        <f>IF(D$3&gt;i_exit_year,0,MIN(1,MAX(0,D$4-Sensitivities!$C$1306)))</f>
        <v/>
      </c>
      <c r="E1356" s="24">
        <f>IF(E$3&gt;i_exit_year,0,MIN(1,MAX(0,E$4-Sensitivities!$C$1306)))</f>
        <v/>
      </c>
      <c r="F1356" s="24">
        <f>IF(F$3&gt;i_exit_year,0,MIN(1,MAX(0,F$4-Sensitivities!$C$1306)))</f>
        <v/>
      </c>
      <c r="G1356" s="24">
        <f>IF(G$3&gt;i_exit_year,0,MIN(1,MAX(0,G$4-Sensitivities!$C$1306)))</f>
        <v/>
      </c>
      <c r="H1356" s="24">
        <f>IF(H$3&gt;i_exit_year,0,MIN(1,MAX(0,H$4-Sensitivities!$C$1306)))</f>
        <v/>
      </c>
      <c r="I1356" s="24">
        <f>IF(I$3&gt;i_exit_year,0,MIN(1,MAX(0,I$4-Sensitivities!$C$1306)))</f>
        <v/>
      </c>
      <c r="J1356" s="24">
        <f>IF(J$3&gt;i_exit_year,0,MIN(1,MAX(0,J$4-Sensitivities!$C$1306)))</f>
        <v/>
      </c>
      <c r="K1356" s="24">
        <f>IF(K$3&gt;i_exit_year,0,MIN(1,MAX(0,K$4-Sensitivities!$C$1306)))</f>
        <v/>
      </c>
      <c r="L1356" s="24">
        <f>IF(L$3&gt;i_exit_year,0,MIN(1,MAX(0,L$4-Sensitivities!$C$1306)))</f>
        <v/>
      </c>
      <c r="M1356" s="24">
        <f>IF(M$3&gt;i_exit_year,0,MIN(1,MAX(0,M$4-Sensitivities!$C$1306)))</f>
        <v/>
      </c>
      <c r="N1356" s="24">
        <f>IF(N$3&gt;i_exit_year,0,MIN(1,MAX(0,N$4-Sensitivities!$C$1306)))</f>
        <v/>
      </c>
      <c r="O1356" s="24">
        <f>IF(O$3&gt;i_exit_year,0,MIN(1,MAX(0,O$4-Sensitivities!$C$1306)))</f>
        <v/>
      </c>
      <c r="P1356" s="24">
        <f>IF(P$3&gt;i_exit_year,0,MIN(1,MAX(0,P$4-Sensitivities!$C$1306)))</f>
        <v/>
      </c>
      <c r="Q1356" s="24">
        <f>IF(Q$3&gt;i_exit_year,0,MIN(1,MAX(0,Q$4-Sensitivities!$C$1306)))</f>
        <v/>
      </c>
      <c r="R1356" s="24">
        <f>IF(R$3&gt;i_exit_year,0,MIN(1,MAX(0,R$4-Sensitivities!$C$1306)))</f>
        <v/>
      </c>
      <c r="S1356" s="24">
        <f>IF(S$3&gt;i_exit_year,0,MIN(1,MAX(0,S$4-Sensitivities!$C$1306)))</f>
        <v/>
      </c>
      <c r="T1356" s="24">
        <f>IF(T$3&gt;i_exit_year,0,MIN(1,MAX(0,T$4-Sensitivities!$C$1306)))</f>
        <v/>
      </c>
      <c r="U1356" s="24">
        <f>IF(U$3&gt;i_exit_year,0,MIN(1,MAX(0,U$4-Sensitivities!$C$1306)))</f>
        <v/>
      </c>
      <c r="V1356" s="24">
        <f>IF(V$3&gt;i_exit_year,0,MIN(1,MAX(0,V$4-Sensitivities!$C$1306)))</f>
        <v/>
      </c>
      <c r="W1356" s="24">
        <f>IF(W$3&gt;i_exit_year,0,MIN(1,MAX(0,W$4-Sensitivities!$C$1306)))</f>
        <v/>
      </c>
      <c r="X1356" s="24">
        <f>IF(X$3&gt;i_exit_year,0,MIN(1,MAX(0,X$4-Sensitivities!$C$1306)))</f>
        <v/>
      </c>
      <c r="Y1356" s="24">
        <f>IF(Y$3&gt;i_exit_year,0,MIN(1,MAX(0,Y$4-Sensitivities!$C$1306)))</f>
        <v/>
      </c>
      <c r="Z1356" s="24">
        <f>IF(Z$3&gt;i_exit_year,0,MIN(1,MAX(0,Z$4-Sensitivities!$C$1306)))</f>
        <v/>
      </c>
      <c r="AA1356" s="24">
        <f>IF(AA$3&gt;i_exit_year,0,MIN(1,MAX(0,AA$4-Sensitivities!$C$1306)))</f>
        <v/>
      </c>
      <c r="AB1356" s="24">
        <f>IF(AB$3&gt;i_exit_year,0,MIN(1,MAX(0,AB$4-Sensitivities!$C$1306)))</f>
        <v/>
      </c>
      <c r="AC1356" s="24">
        <f>IF(AC$3&gt;i_exit_year,0,MIN(1,MAX(0,AC$4-Sensitivities!$C$1306)))</f>
        <v/>
      </c>
      <c r="AD1356" s="24">
        <f>IF(AD$3&gt;i_exit_year,0,MIN(1,MAX(0,AD$4-Sensitivities!$C$1306)))</f>
        <v/>
      </c>
      <c r="AE1356" s="24">
        <f>IF(AE$3&gt;i_exit_year,0,MIN(1,MAX(0,AE$4-Sensitivities!$C$1306)))</f>
        <v/>
      </c>
      <c r="AF1356" s="24">
        <f>IF(AF$3&gt;i_exit_year,0,MIN(1,MAX(0,AF$4-Sensitivities!$C$1306)))</f>
        <v/>
      </c>
      <c r="AG1356" s="24">
        <f>IF(AG$3&gt;i_exit_year,0,MIN(1,MAX(0,AG$4-Sensitivities!$C$1306)))</f>
        <v/>
      </c>
      <c r="AH1356" s="24">
        <f>IF(AH$3&gt;i_exit_year,0,MIN(1,MAX(0,AH$4-Sensitivities!$C$1306)))</f>
        <v/>
      </c>
      <c r="AI1356" s="24">
        <f>IF(AI$3&gt;i_exit_year,0,MIN(1,MAX(0,AI$4-Sensitivities!$C$1306)))</f>
        <v/>
      </c>
    </row>
    <row r="1357">
      <c r="B1357" s="2" t="inlineStr">
        <is>
          <t>Opco rate (refinanced after the tenor)</t>
        </is>
      </c>
      <c r="D1357" s="23">
        <f>IF(D$4&lt;=Sensitivities!$C$1306+i_opco_tenor,Sensitivities!$C$1330,Sensitivities!$C$1330+Sensitivities!$C$1310)</f>
        <v/>
      </c>
      <c r="E1357" s="23">
        <f>IF(E$4&lt;=Sensitivities!$C$1306+i_opco_tenor,Sensitivities!$C$1330,Sensitivities!$C$1330+Sensitivities!$C$1310)</f>
        <v/>
      </c>
      <c r="F1357" s="23">
        <f>IF(F$4&lt;=Sensitivities!$C$1306+i_opco_tenor,Sensitivities!$C$1330,Sensitivities!$C$1330+Sensitivities!$C$1310)</f>
        <v/>
      </c>
      <c r="G1357" s="23">
        <f>IF(G$4&lt;=Sensitivities!$C$1306+i_opco_tenor,Sensitivities!$C$1330,Sensitivities!$C$1330+Sensitivities!$C$1310)</f>
        <v/>
      </c>
      <c r="H1357" s="23">
        <f>IF(H$4&lt;=Sensitivities!$C$1306+i_opco_tenor,Sensitivities!$C$1330,Sensitivities!$C$1330+Sensitivities!$C$1310)</f>
        <v/>
      </c>
      <c r="I1357" s="23">
        <f>IF(I$4&lt;=Sensitivities!$C$1306+i_opco_tenor,Sensitivities!$C$1330,Sensitivities!$C$1330+Sensitivities!$C$1310)</f>
        <v/>
      </c>
      <c r="J1357" s="23">
        <f>IF(J$4&lt;=Sensitivities!$C$1306+i_opco_tenor,Sensitivities!$C$1330,Sensitivities!$C$1330+Sensitivities!$C$1310)</f>
        <v/>
      </c>
      <c r="K1357" s="23">
        <f>IF(K$4&lt;=Sensitivities!$C$1306+i_opco_tenor,Sensitivities!$C$1330,Sensitivities!$C$1330+Sensitivities!$C$1310)</f>
        <v/>
      </c>
      <c r="L1357" s="23">
        <f>IF(L$4&lt;=Sensitivities!$C$1306+i_opco_tenor,Sensitivities!$C$1330,Sensitivities!$C$1330+Sensitivities!$C$1310)</f>
        <v/>
      </c>
      <c r="M1357" s="23">
        <f>IF(M$4&lt;=Sensitivities!$C$1306+i_opco_tenor,Sensitivities!$C$1330,Sensitivities!$C$1330+Sensitivities!$C$1310)</f>
        <v/>
      </c>
      <c r="N1357" s="23">
        <f>IF(N$4&lt;=Sensitivities!$C$1306+i_opco_tenor,Sensitivities!$C$1330,Sensitivities!$C$1330+Sensitivities!$C$1310)</f>
        <v/>
      </c>
      <c r="O1357" s="23">
        <f>IF(O$4&lt;=Sensitivities!$C$1306+i_opco_tenor,Sensitivities!$C$1330,Sensitivities!$C$1330+Sensitivities!$C$1310)</f>
        <v/>
      </c>
      <c r="P1357" s="23">
        <f>IF(P$4&lt;=Sensitivities!$C$1306+i_opco_tenor,Sensitivities!$C$1330,Sensitivities!$C$1330+Sensitivities!$C$1310)</f>
        <v/>
      </c>
      <c r="Q1357" s="23">
        <f>IF(Q$4&lt;=Sensitivities!$C$1306+i_opco_tenor,Sensitivities!$C$1330,Sensitivities!$C$1330+Sensitivities!$C$1310)</f>
        <v/>
      </c>
      <c r="R1357" s="23">
        <f>IF(R$4&lt;=Sensitivities!$C$1306+i_opco_tenor,Sensitivities!$C$1330,Sensitivities!$C$1330+Sensitivities!$C$1310)</f>
        <v/>
      </c>
      <c r="S1357" s="23">
        <f>IF(S$4&lt;=Sensitivities!$C$1306+i_opco_tenor,Sensitivities!$C$1330,Sensitivities!$C$1330+Sensitivities!$C$1310)</f>
        <v/>
      </c>
      <c r="T1357" s="23">
        <f>IF(T$4&lt;=Sensitivities!$C$1306+i_opco_tenor,Sensitivities!$C$1330,Sensitivities!$C$1330+Sensitivities!$C$1310)</f>
        <v/>
      </c>
      <c r="U1357" s="23">
        <f>IF(U$4&lt;=Sensitivities!$C$1306+i_opco_tenor,Sensitivities!$C$1330,Sensitivities!$C$1330+Sensitivities!$C$1310)</f>
        <v/>
      </c>
      <c r="V1357" s="23">
        <f>IF(V$4&lt;=Sensitivities!$C$1306+i_opco_tenor,Sensitivities!$C$1330,Sensitivities!$C$1330+Sensitivities!$C$1310)</f>
        <v/>
      </c>
      <c r="W1357" s="23">
        <f>IF(W$4&lt;=Sensitivities!$C$1306+i_opco_tenor,Sensitivities!$C$1330,Sensitivities!$C$1330+Sensitivities!$C$1310)</f>
        <v/>
      </c>
      <c r="X1357" s="23">
        <f>IF(X$4&lt;=Sensitivities!$C$1306+i_opco_tenor,Sensitivities!$C$1330,Sensitivities!$C$1330+Sensitivities!$C$1310)</f>
        <v/>
      </c>
      <c r="Y1357" s="23">
        <f>IF(Y$4&lt;=Sensitivities!$C$1306+i_opco_tenor,Sensitivities!$C$1330,Sensitivities!$C$1330+Sensitivities!$C$1310)</f>
        <v/>
      </c>
      <c r="Z1357" s="23">
        <f>IF(Z$4&lt;=Sensitivities!$C$1306+i_opco_tenor,Sensitivities!$C$1330,Sensitivities!$C$1330+Sensitivities!$C$1310)</f>
        <v/>
      </c>
      <c r="AA1357" s="23">
        <f>IF(AA$4&lt;=Sensitivities!$C$1306+i_opco_tenor,Sensitivities!$C$1330,Sensitivities!$C$1330+Sensitivities!$C$1310)</f>
        <v/>
      </c>
      <c r="AB1357" s="23">
        <f>IF(AB$4&lt;=Sensitivities!$C$1306+i_opco_tenor,Sensitivities!$C$1330,Sensitivities!$C$1330+Sensitivities!$C$1310)</f>
        <v/>
      </c>
      <c r="AC1357" s="23">
        <f>IF(AC$4&lt;=Sensitivities!$C$1306+i_opco_tenor,Sensitivities!$C$1330,Sensitivities!$C$1330+Sensitivities!$C$1310)</f>
        <v/>
      </c>
      <c r="AD1357" s="23">
        <f>IF(AD$4&lt;=Sensitivities!$C$1306+i_opco_tenor,Sensitivities!$C$1330,Sensitivities!$C$1330+Sensitivities!$C$1310)</f>
        <v/>
      </c>
      <c r="AE1357" s="23">
        <f>IF(AE$4&lt;=Sensitivities!$C$1306+i_opco_tenor,Sensitivities!$C$1330,Sensitivities!$C$1330+Sensitivities!$C$1310)</f>
        <v/>
      </c>
      <c r="AF1357" s="23">
        <f>IF(AF$4&lt;=Sensitivities!$C$1306+i_opco_tenor,Sensitivities!$C$1330,Sensitivities!$C$1330+Sensitivities!$C$1310)</f>
        <v/>
      </c>
      <c r="AG1357" s="23">
        <f>IF(AG$4&lt;=Sensitivities!$C$1306+i_opco_tenor,Sensitivities!$C$1330,Sensitivities!$C$1330+Sensitivities!$C$1310)</f>
        <v/>
      </c>
      <c r="AH1357" s="23">
        <f>IF(AH$4&lt;=Sensitivities!$C$1306+i_opco_tenor,Sensitivities!$C$1330,Sensitivities!$C$1330+Sensitivities!$C$1310)</f>
        <v/>
      </c>
      <c r="AI1357" s="23">
        <f>IF(AI$4&lt;=Sensitivities!$C$1306+i_opco_tenor,Sensitivities!$C$1330,Sensitivities!$C$1330+Sensitivities!$C$1310)</f>
        <v/>
      </c>
    </row>
    <row r="1358">
      <c r="B1358" s="2" t="inlineStr">
        <is>
          <t>Interest (opco and holdco)</t>
        </is>
      </c>
      <c r="D1358" s="19">
        <f>D1357*Sensitivities!$C$1332+i_hold_rate*Sensitivities!$C$1333</f>
        <v/>
      </c>
      <c r="E1358" s="19">
        <f>E1357*Sensitivities!$C$1332+i_hold_rate*Sensitivities!$C$1333</f>
        <v/>
      </c>
      <c r="F1358" s="19">
        <f>F1357*Sensitivities!$C$1332+i_hold_rate*Sensitivities!$C$1333</f>
        <v/>
      </c>
      <c r="G1358" s="19">
        <f>G1357*Sensitivities!$C$1332+i_hold_rate*Sensitivities!$C$1333</f>
        <v/>
      </c>
      <c r="H1358" s="19">
        <f>H1357*Sensitivities!$C$1332+i_hold_rate*Sensitivities!$C$1333</f>
        <v/>
      </c>
      <c r="I1358" s="19">
        <f>I1357*Sensitivities!$C$1332+i_hold_rate*Sensitivities!$C$1333</f>
        <v/>
      </c>
      <c r="J1358" s="19">
        <f>J1357*Sensitivities!$C$1332+i_hold_rate*Sensitivities!$C$1333</f>
        <v/>
      </c>
      <c r="K1358" s="19">
        <f>K1357*Sensitivities!$C$1332+i_hold_rate*Sensitivities!$C$1333</f>
        <v/>
      </c>
      <c r="L1358" s="19">
        <f>L1357*Sensitivities!$C$1332+i_hold_rate*Sensitivities!$C$1333</f>
        <v/>
      </c>
      <c r="M1358" s="19">
        <f>M1357*Sensitivities!$C$1332+i_hold_rate*Sensitivities!$C$1333</f>
        <v/>
      </c>
      <c r="N1358" s="19">
        <f>N1357*Sensitivities!$C$1332+i_hold_rate*Sensitivities!$C$1333</f>
        <v/>
      </c>
      <c r="O1358" s="19">
        <f>O1357*Sensitivities!$C$1332+i_hold_rate*Sensitivities!$C$1333</f>
        <v/>
      </c>
      <c r="P1358" s="19">
        <f>P1357*Sensitivities!$C$1332+i_hold_rate*Sensitivities!$C$1333</f>
        <v/>
      </c>
      <c r="Q1358" s="19">
        <f>Q1357*Sensitivities!$C$1332+i_hold_rate*Sensitivities!$C$1333</f>
        <v/>
      </c>
      <c r="R1358" s="19">
        <f>R1357*Sensitivities!$C$1332+i_hold_rate*Sensitivities!$C$1333</f>
        <v/>
      </c>
      <c r="S1358" s="19">
        <f>S1357*Sensitivities!$C$1332+i_hold_rate*Sensitivities!$C$1333</f>
        <v/>
      </c>
      <c r="T1358" s="19">
        <f>T1357*Sensitivities!$C$1332+i_hold_rate*Sensitivities!$C$1333</f>
        <v/>
      </c>
      <c r="U1358" s="19">
        <f>U1357*Sensitivities!$C$1332+i_hold_rate*Sensitivities!$C$1333</f>
        <v/>
      </c>
      <c r="V1358" s="19">
        <f>V1357*Sensitivities!$C$1332+i_hold_rate*Sensitivities!$C$1333</f>
        <v/>
      </c>
      <c r="W1358" s="19">
        <f>W1357*Sensitivities!$C$1332+i_hold_rate*Sensitivities!$C$1333</f>
        <v/>
      </c>
      <c r="X1358" s="19">
        <f>X1357*Sensitivities!$C$1332+i_hold_rate*Sensitivities!$C$1333</f>
        <v/>
      </c>
      <c r="Y1358" s="19">
        <f>Y1357*Sensitivities!$C$1332+i_hold_rate*Sensitivities!$C$1333</f>
        <v/>
      </c>
      <c r="Z1358" s="19">
        <f>Z1357*Sensitivities!$C$1332+i_hold_rate*Sensitivities!$C$1333</f>
        <v/>
      </c>
      <c r="AA1358" s="19">
        <f>AA1357*Sensitivities!$C$1332+i_hold_rate*Sensitivities!$C$1333</f>
        <v/>
      </c>
      <c r="AB1358" s="19">
        <f>AB1357*Sensitivities!$C$1332+i_hold_rate*Sensitivities!$C$1333</f>
        <v/>
      </c>
      <c r="AC1358" s="19">
        <f>AC1357*Sensitivities!$C$1332+i_hold_rate*Sensitivities!$C$1333</f>
        <v/>
      </c>
      <c r="AD1358" s="19">
        <f>AD1357*Sensitivities!$C$1332+i_hold_rate*Sensitivities!$C$1333</f>
        <v/>
      </c>
      <c r="AE1358" s="19">
        <f>AE1357*Sensitivities!$C$1332+i_hold_rate*Sensitivities!$C$1333</f>
        <v/>
      </c>
      <c r="AF1358" s="19">
        <f>AF1357*Sensitivities!$C$1332+i_hold_rate*Sensitivities!$C$1333</f>
        <v/>
      </c>
      <c r="AG1358" s="19">
        <f>AG1357*Sensitivities!$C$1332+i_hold_rate*Sensitivities!$C$1333</f>
        <v/>
      </c>
      <c r="AH1358" s="19">
        <f>AH1357*Sensitivities!$C$1332+i_hold_rate*Sensitivities!$C$1333</f>
        <v/>
      </c>
      <c r="AI1358" s="19">
        <f>AI1357*Sensitivities!$C$1332+i_hold_rate*Sensitivities!$C$1333</f>
        <v/>
      </c>
    </row>
    <row r="1359">
      <c r="B1359" s="2" t="inlineStr">
        <is>
          <t>Deductible interest (cap on EBITDA)</t>
        </is>
      </c>
      <c r="D1359" s="19">
        <f>MIN(D1358,i_int_cap*DCF!D239)</f>
        <v/>
      </c>
      <c r="E1359" s="19">
        <f>MIN(E1358,i_int_cap*DCF!E239)</f>
        <v/>
      </c>
      <c r="F1359" s="19">
        <f>MIN(F1358,i_int_cap*DCF!F239)</f>
        <v/>
      </c>
      <c r="G1359" s="19">
        <f>MIN(G1358,i_int_cap*DCF!G239)</f>
        <v/>
      </c>
      <c r="H1359" s="19">
        <f>MIN(H1358,i_int_cap*DCF!H239)</f>
        <v/>
      </c>
      <c r="I1359" s="19">
        <f>MIN(I1358,i_int_cap*DCF!I239)</f>
        <v/>
      </c>
      <c r="J1359" s="19">
        <f>MIN(J1358,i_int_cap*DCF!J239)</f>
        <v/>
      </c>
      <c r="K1359" s="19">
        <f>MIN(K1358,i_int_cap*DCF!K239)</f>
        <v/>
      </c>
      <c r="L1359" s="19">
        <f>MIN(L1358,i_int_cap*DCF!L239)</f>
        <v/>
      </c>
      <c r="M1359" s="19">
        <f>MIN(M1358,i_int_cap*DCF!M239)</f>
        <v/>
      </c>
      <c r="N1359" s="19">
        <f>MIN(N1358,i_int_cap*DCF!N239)</f>
        <v/>
      </c>
      <c r="O1359" s="19">
        <f>MIN(O1358,i_int_cap*DCF!O239)</f>
        <v/>
      </c>
      <c r="P1359" s="19">
        <f>MIN(P1358,i_int_cap*DCF!P239)</f>
        <v/>
      </c>
      <c r="Q1359" s="19">
        <f>MIN(Q1358,i_int_cap*DCF!Q239)</f>
        <v/>
      </c>
      <c r="R1359" s="19">
        <f>MIN(R1358,i_int_cap*DCF!R239)</f>
        <v/>
      </c>
      <c r="S1359" s="19">
        <f>MIN(S1358,i_int_cap*DCF!S239)</f>
        <v/>
      </c>
      <c r="T1359" s="19">
        <f>MIN(T1358,i_int_cap*DCF!T239)</f>
        <v/>
      </c>
      <c r="U1359" s="19">
        <f>MIN(U1358,i_int_cap*DCF!U239)</f>
        <v/>
      </c>
      <c r="V1359" s="19">
        <f>MIN(V1358,i_int_cap*DCF!V239)</f>
        <v/>
      </c>
      <c r="W1359" s="19">
        <f>MIN(W1358,i_int_cap*DCF!W239)</f>
        <v/>
      </c>
      <c r="X1359" s="19">
        <f>MIN(X1358,i_int_cap*DCF!X239)</f>
        <v/>
      </c>
      <c r="Y1359" s="19">
        <f>MIN(Y1358,i_int_cap*DCF!Y239)</f>
        <v/>
      </c>
      <c r="Z1359" s="19">
        <f>MIN(Z1358,i_int_cap*DCF!Z239)</f>
        <v/>
      </c>
      <c r="AA1359" s="19">
        <f>MIN(AA1358,i_int_cap*DCF!AA239)</f>
        <v/>
      </c>
      <c r="AB1359" s="19">
        <f>MIN(AB1358,i_int_cap*DCF!AB239)</f>
        <v/>
      </c>
      <c r="AC1359" s="19">
        <f>MIN(AC1358,i_int_cap*DCF!AC239)</f>
        <v/>
      </c>
      <c r="AD1359" s="19">
        <f>MIN(AD1358,i_int_cap*DCF!AD239)</f>
        <v/>
      </c>
      <c r="AE1359" s="19">
        <f>MIN(AE1358,i_int_cap*DCF!AE239)</f>
        <v/>
      </c>
      <c r="AF1359" s="19">
        <f>MIN(AF1358,i_int_cap*DCF!AF239)</f>
        <v/>
      </c>
      <c r="AG1359" s="19">
        <f>MIN(AG1358,i_int_cap*DCF!AG239)</f>
        <v/>
      </c>
      <c r="AH1359" s="19">
        <f>MIN(AH1358,i_int_cap*DCF!AH239)</f>
        <v/>
      </c>
      <c r="AI1359" s="19">
        <f>MIN(AI1358,i_int_cap*DCF!AI239)</f>
        <v/>
      </c>
    </row>
    <row r="1360">
      <c r="B1360" s="2" t="inlineStr">
        <is>
          <t>Cash tax with the debt</t>
        </is>
      </c>
      <c r="D1360" s="19">
        <f>i_tax*MAX(0,DCF!D239-DCF!D242-D1359)</f>
        <v/>
      </c>
      <c r="E1360" s="19">
        <f>i_tax*MAX(0,DCF!E239-DCF!E242-E1359)</f>
        <v/>
      </c>
      <c r="F1360" s="19">
        <f>i_tax*MAX(0,DCF!F239-DCF!F242-F1359)</f>
        <v/>
      </c>
      <c r="G1360" s="19">
        <f>i_tax*MAX(0,DCF!G239-DCF!G242-G1359)</f>
        <v/>
      </c>
      <c r="H1360" s="19">
        <f>i_tax*MAX(0,DCF!H239-DCF!H242-H1359)</f>
        <v/>
      </c>
      <c r="I1360" s="19">
        <f>i_tax*MAX(0,DCF!I239-DCF!I242-I1359)</f>
        <v/>
      </c>
      <c r="J1360" s="19">
        <f>i_tax*MAX(0,DCF!J239-DCF!J242-J1359)</f>
        <v/>
      </c>
      <c r="K1360" s="19">
        <f>i_tax*MAX(0,DCF!K239-DCF!K242-K1359)</f>
        <v/>
      </c>
      <c r="L1360" s="19">
        <f>i_tax*MAX(0,DCF!L239-DCF!L242-L1359)</f>
        <v/>
      </c>
      <c r="M1360" s="19">
        <f>i_tax*MAX(0,DCF!M239-DCF!M242-M1359)</f>
        <v/>
      </c>
      <c r="N1360" s="19">
        <f>i_tax*MAX(0,DCF!N239-DCF!N242-N1359)</f>
        <v/>
      </c>
      <c r="O1360" s="19">
        <f>i_tax*MAX(0,DCF!O239-DCF!O242-O1359)</f>
        <v/>
      </c>
      <c r="P1360" s="19">
        <f>i_tax*MAX(0,DCF!P239-DCF!P242-P1359)</f>
        <v/>
      </c>
      <c r="Q1360" s="19">
        <f>i_tax*MAX(0,DCF!Q239-DCF!Q242-Q1359)</f>
        <v/>
      </c>
      <c r="R1360" s="19">
        <f>i_tax*MAX(0,DCF!R239-DCF!R242-R1359)</f>
        <v/>
      </c>
      <c r="S1360" s="19">
        <f>i_tax*MAX(0,DCF!S239-DCF!S242-S1359)</f>
        <v/>
      </c>
      <c r="T1360" s="19">
        <f>i_tax*MAX(0,DCF!T239-DCF!T242-T1359)</f>
        <v/>
      </c>
      <c r="U1360" s="19">
        <f>i_tax*MAX(0,DCF!U239-DCF!U242-U1359)</f>
        <v/>
      </c>
      <c r="V1360" s="19">
        <f>i_tax*MAX(0,DCF!V239-DCF!V242-V1359)</f>
        <v/>
      </c>
      <c r="W1360" s="19">
        <f>i_tax*MAX(0,DCF!W239-DCF!W242-W1359)</f>
        <v/>
      </c>
      <c r="X1360" s="19">
        <f>i_tax*MAX(0,DCF!X239-DCF!X242-X1359)</f>
        <v/>
      </c>
      <c r="Y1360" s="19">
        <f>i_tax*MAX(0,DCF!Y239-DCF!Y242-Y1359)</f>
        <v/>
      </c>
      <c r="Z1360" s="19">
        <f>i_tax*MAX(0,DCF!Z239-DCF!Z242-Z1359)</f>
        <v/>
      </c>
      <c r="AA1360" s="19">
        <f>i_tax*MAX(0,DCF!AA239-DCF!AA242-AA1359)</f>
        <v/>
      </c>
      <c r="AB1360" s="19">
        <f>i_tax*MAX(0,DCF!AB239-DCF!AB242-AB1359)</f>
        <v/>
      </c>
      <c r="AC1360" s="19">
        <f>i_tax*MAX(0,DCF!AC239-DCF!AC242-AC1359)</f>
        <v/>
      </c>
      <c r="AD1360" s="19">
        <f>i_tax*MAX(0,DCF!AD239-DCF!AD242-AD1359)</f>
        <v/>
      </c>
      <c r="AE1360" s="19">
        <f>i_tax*MAX(0,DCF!AE239-DCF!AE242-AE1359)</f>
        <v/>
      </c>
      <c r="AF1360" s="19">
        <f>i_tax*MAX(0,DCF!AF239-DCF!AF242-AF1359)</f>
        <v/>
      </c>
      <c r="AG1360" s="19">
        <f>i_tax*MAX(0,DCF!AG239-DCF!AG242-AG1359)</f>
        <v/>
      </c>
      <c r="AH1360" s="19">
        <f>i_tax*MAX(0,DCF!AH239-DCF!AH242-AH1359)</f>
        <v/>
      </c>
      <c r="AI1360" s="19">
        <f>i_tax*MAX(0,DCF!AI239-DCF!AI242-AI1359)</f>
        <v/>
      </c>
    </row>
    <row r="1361">
      <c r="B1361" s="3" t="inlineStr">
        <is>
          <t>Cash flow to equity (full year)</t>
        </is>
      </c>
      <c r="D1361" s="31">
        <f>DCF!D239-DCF!D240-DCF!D241-D1360-D1358-DCF!D244</f>
        <v/>
      </c>
      <c r="E1361" s="31">
        <f>DCF!E239-DCF!E240-DCF!E241-E1360-E1358-DCF!E244</f>
        <v/>
      </c>
      <c r="F1361" s="31">
        <f>DCF!F239-DCF!F240-DCF!F241-F1360-F1358-DCF!F244</f>
        <v/>
      </c>
      <c r="G1361" s="31">
        <f>DCF!G239-DCF!G240-DCF!G241-G1360-G1358-DCF!G244</f>
        <v/>
      </c>
      <c r="H1361" s="31">
        <f>DCF!H239-DCF!H240-DCF!H241-H1360-H1358-DCF!H244</f>
        <v/>
      </c>
      <c r="I1361" s="31">
        <f>DCF!I239-DCF!I240-DCF!I241-I1360-I1358-DCF!I244</f>
        <v/>
      </c>
      <c r="J1361" s="31">
        <f>DCF!J239-DCF!J240-DCF!J241-J1360-J1358-DCF!J244</f>
        <v/>
      </c>
      <c r="K1361" s="31">
        <f>DCF!K239-DCF!K240-DCF!K241-K1360-K1358-DCF!K244</f>
        <v/>
      </c>
      <c r="L1361" s="31">
        <f>DCF!L239-DCF!L240-DCF!L241-L1360-L1358-DCF!L244</f>
        <v/>
      </c>
      <c r="M1361" s="31">
        <f>DCF!M239-DCF!M240-DCF!M241-M1360-M1358-DCF!M244</f>
        <v/>
      </c>
      <c r="N1361" s="31">
        <f>DCF!N239-DCF!N240-DCF!N241-N1360-N1358-DCF!N244</f>
        <v/>
      </c>
      <c r="O1361" s="31">
        <f>DCF!O239-DCF!O240-DCF!O241-O1360-O1358-DCF!O244</f>
        <v/>
      </c>
      <c r="P1361" s="31">
        <f>DCF!P239-DCF!P240-DCF!P241-P1360-P1358-DCF!P244</f>
        <v/>
      </c>
      <c r="Q1361" s="31">
        <f>DCF!Q239-DCF!Q240-DCF!Q241-Q1360-Q1358-DCF!Q244</f>
        <v/>
      </c>
      <c r="R1361" s="31">
        <f>DCF!R239-DCF!R240-DCF!R241-R1360-R1358-DCF!R244</f>
        <v/>
      </c>
      <c r="S1361" s="31">
        <f>DCF!S239-DCF!S240-DCF!S241-S1360-S1358-DCF!S244</f>
        <v/>
      </c>
      <c r="T1361" s="31">
        <f>DCF!T239-DCF!T240-DCF!T241-T1360-T1358-DCF!T244</f>
        <v/>
      </c>
      <c r="U1361" s="31">
        <f>DCF!U239-DCF!U240-DCF!U241-U1360-U1358-DCF!U244</f>
        <v/>
      </c>
      <c r="V1361" s="31">
        <f>DCF!V239-DCF!V240-DCF!V241-V1360-V1358-DCF!V244</f>
        <v/>
      </c>
      <c r="W1361" s="31">
        <f>DCF!W239-DCF!W240-DCF!W241-W1360-W1358-DCF!W244</f>
        <v/>
      </c>
      <c r="X1361" s="31">
        <f>DCF!X239-DCF!X240-DCF!X241-X1360-X1358-DCF!X244</f>
        <v/>
      </c>
      <c r="Y1361" s="31">
        <f>DCF!Y239-DCF!Y240-DCF!Y241-Y1360-Y1358-DCF!Y244</f>
        <v/>
      </c>
      <c r="Z1361" s="31">
        <f>DCF!Z239-DCF!Z240-DCF!Z241-Z1360-Z1358-DCF!Z244</f>
        <v/>
      </c>
      <c r="AA1361" s="31">
        <f>DCF!AA239-DCF!AA240-DCF!AA241-AA1360-AA1358-DCF!AA244</f>
        <v/>
      </c>
      <c r="AB1361" s="31">
        <f>DCF!AB239-DCF!AB240-DCF!AB241-AB1360-AB1358-DCF!AB244</f>
        <v/>
      </c>
      <c r="AC1361" s="31">
        <f>DCF!AC239-DCF!AC240-DCF!AC241-AC1360-AC1358-DCF!AC244</f>
        <v/>
      </c>
      <c r="AD1361" s="31">
        <f>DCF!AD239-DCF!AD240-DCF!AD241-AD1360-AD1358-DCF!AD244</f>
        <v/>
      </c>
      <c r="AE1361" s="31">
        <f>DCF!AE239-DCF!AE240-DCF!AE241-AE1360-AE1358-DCF!AE244</f>
        <v/>
      </c>
      <c r="AF1361" s="31">
        <f>DCF!AF239-DCF!AF240-DCF!AF241-AF1360-AF1358-DCF!AF244</f>
        <v/>
      </c>
      <c r="AG1361" s="31">
        <f>DCF!AG239-DCF!AG240-DCF!AG241-AG1360-AG1358-DCF!AG244</f>
        <v/>
      </c>
      <c r="AH1361" s="31">
        <f>DCF!AH239-DCF!AH240-DCF!AH241-AH1360-AH1358-DCF!AH244</f>
        <v/>
      </c>
      <c r="AI1361" s="31">
        <f>DCF!AI239-DCF!AI240-DCF!AI241-AI1360-AI1358-DCF!AI244</f>
        <v/>
      </c>
    </row>
    <row r="1362">
      <c r="B1362" s="2" t="inlineStr">
        <is>
          <t>Exit EV at the end of the exit year (DCF at the exit rate)</t>
        </is>
      </c>
      <c r="C1362" s="19">
        <f>SUMPRODUCT((Sensitivities!$D$3:$AI$3&gt;i_exit_year)*(Sensitivities!$D$3:$AI$3&lt;=i_last)*DCF!$D$245:$AI$245/(1+Sensitivities!$C$1309)^(Sensitivities!$D$3:$AI$3-i_exit_year))+DCF!$AI$245/(Sensitivities!$C$1309-i_g)/(1+Sensitivities!$C$1309)^(i_last-i_exit_year)</f>
        <v/>
      </c>
    </row>
    <row r="1363">
      <c r="B1363" s="2" t="inlineStr">
        <is>
          <t>Debt at exit (bullets)</t>
        </is>
      </c>
      <c r="C1363" s="19">
        <f>Sensitivities!$C$1332+Sensitivities!$C$1333</f>
        <v/>
      </c>
    </row>
    <row r="1364">
      <c r="B1364" s="3" t="inlineStr">
        <is>
          <t>Equity value at exit</t>
        </is>
      </c>
      <c r="C1364" s="31">
        <f>Sensitivities!$C$1362-Sensitivities!$C$1363</f>
        <v/>
      </c>
    </row>
    <row r="1365">
      <c r="B1365" s="2" t="inlineStr">
        <is>
          <t>Minority option: EV at the end of 2031 (minority buyer's rate)</t>
        </is>
      </c>
      <c r="C1365" s="19">
        <f>SUMPRODUCT((Sensitivities!$D$3:$AI$3&gt;i_min_year)*(Sensitivities!$D$3:$AI$3&lt;=i_last)*DCF!$D$245:$AI$245/(1+i_min_r)^(Sensitivities!$D$3:$AI$3-i_min_year))+DCF!$AI$245/(i_min_r-i_g)/(1+i_min_r)^(i_last-i_min_year)</f>
        <v/>
      </c>
    </row>
    <row r="1366">
      <c r="B1366" s="2" t="inlineStr">
        <is>
          <t>Minority option: equity value in 2031</t>
        </is>
      </c>
      <c r="C1366" s="19">
        <f>Sensitivities!$C$1365-Sensitivities!$C$1363</f>
        <v/>
      </c>
    </row>
    <row r="1367">
      <c r="B1367" s="2" t="inlineStr">
        <is>
          <t>Minority option: proceeds of the 49 percent sold</t>
        </is>
      </c>
      <c r="C1367" s="19">
        <f>Sensitivities!$C$1308*i_min_share*Sensitivities!$C$1366*(1-i_min_disc)</f>
        <v/>
      </c>
    </row>
    <row r="1368">
      <c r="B1368" s="4" t="inlineStr">
        <is>
          <t>Time of each flow (years after 31 December 2026)</t>
        </is>
      </c>
      <c r="D1368" s="28">
        <f>D$4</f>
        <v/>
      </c>
      <c r="E1368" s="28">
        <f>E$4</f>
        <v/>
      </c>
      <c r="F1368" s="28">
        <f>F$4</f>
        <v/>
      </c>
      <c r="G1368" s="28">
        <f>G$4</f>
        <v/>
      </c>
      <c r="H1368" s="28">
        <f>H$4</f>
        <v/>
      </c>
      <c r="I1368" s="28">
        <f>I$4</f>
        <v/>
      </c>
      <c r="J1368" s="28">
        <f>J$4</f>
        <v/>
      </c>
      <c r="K1368" s="28">
        <f>K$4</f>
        <v/>
      </c>
      <c r="L1368" s="28">
        <f>L$4</f>
        <v/>
      </c>
      <c r="M1368" s="28">
        <f>M$4</f>
        <v/>
      </c>
      <c r="N1368" s="28">
        <f>N$4</f>
        <v/>
      </c>
      <c r="O1368" s="28">
        <f>O$4</f>
        <v/>
      </c>
      <c r="P1368" s="28">
        <f>P$4</f>
        <v/>
      </c>
      <c r="Q1368" s="28">
        <f>Q$4</f>
        <v/>
      </c>
      <c r="R1368" s="28">
        <f>R$4</f>
        <v/>
      </c>
      <c r="S1368" s="28">
        <f>S$4</f>
        <v/>
      </c>
      <c r="T1368" s="28">
        <f>T$4</f>
        <v/>
      </c>
      <c r="U1368" s="28">
        <f>U$4</f>
        <v/>
      </c>
      <c r="V1368" s="28">
        <f>V$4</f>
        <v/>
      </c>
      <c r="W1368" s="28">
        <f>W$4</f>
        <v/>
      </c>
      <c r="X1368" s="28">
        <f>X$4</f>
        <v/>
      </c>
      <c r="Y1368" s="28">
        <f>Y$4</f>
        <v/>
      </c>
      <c r="Z1368" s="28">
        <f>Z$4</f>
        <v/>
      </c>
      <c r="AA1368" s="28">
        <f>AA$4</f>
        <v/>
      </c>
      <c r="AB1368" s="28">
        <f>AB$4</f>
        <v/>
      </c>
      <c r="AC1368" s="28">
        <f>AC$4</f>
        <v/>
      </c>
      <c r="AD1368" s="28">
        <f>AD$4</f>
        <v/>
      </c>
      <c r="AE1368" s="28">
        <f>AE$4</f>
        <v/>
      </c>
      <c r="AF1368" s="28">
        <f>AF$4</f>
        <v/>
      </c>
      <c r="AG1368" s="28">
        <f>AG$4</f>
        <v/>
      </c>
      <c r="AH1368" s="28">
        <f>AH$4</f>
        <v/>
      </c>
      <c r="AI1368" s="28">
        <f>AI$4</f>
        <v/>
      </c>
      <c r="AJ1368" s="28">
        <f>Sensitivities!$C$1306</f>
        <v/>
      </c>
      <c r="AK1368" s="28">
        <f>i_min_year-i_base_year</f>
        <v/>
      </c>
      <c r="AL1368" s="28">
        <f>i_exit_year-i_base_year</f>
        <v/>
      </c>
    </row>
    <row r="1369">
      <c r="B1369" s="3" t="inlineStr">
        <is>
          <t>Levered flows (equity)</t>
        </is>
      </c>
      <c r="D1369" s="31">
        <f>D1356*D1361*IF(AND(Sensitivities!$C$1308=1,D1368&gt;$AK$1368+1E-9),1-i_min_share,1)</f>
        <v/>
      </c>
      <c r="E1369" s="31">
        <f>E1356*E1361*IF(AND(Sensitivities!$C$1308=1,E1368&gt;$AK$1368+1E-9),1-i_min_share,1)</f>
        <v/>
      </c>
      <c r="F1369" s="31">
        <f>F1356*F1361*IF(AND(Sensitivities!$C$1308=1,F1368&gt;$AK$1368+1E-9),1-i_min_share,1)</f>
        <v/>
      </c>
      <c r="G1369" s="31">
        <f>G1356*G1361*IF(AND(Sensitivities!$C$1308=1,G1368&gt;$AK$1368+1E-9),1-i_min_share,1)</f>
        <v/>
      </c>
      <c r="H1369" s="31">
        <f>H1356*H1361*IF(AND(Sensitivities!$C$1308=1,H1368&gt;$AK$1368+1E-9),1-i_min_share,1)</f>
        <v/>
      </c>
      <c r="I1369" s="31">
        <f>I1356*I1361*IF(AND(Sensitivities!$C$1308=1,I1368&gt;$AK$1368+1E-9),1-i_min_share,1)</f>
        <v/>
      </c>
      <c r="J1369" s="31">
        <f>J1356*J1361*IF(AND(Sensitivities!$C$1308=1,J1368&gt;$AK$1368+1E-9),1-i_min_share,1)</f>
        <v/>
      </c>
      <c r="K1369" s="31">
        <f>K1356*K1361*IF(AND(Sensitivities!$C$1308=1,K1368&gt;$AK$1368+1E-9),1-i_min_share,1)</f>
        <v/>
      </c>
      <c r="L1369" s="31">
        <f>L1356*L1361*IF(AND(Sensitivities!$C$1308=1,L1368&gt;$AK$1368+1E-9),1-i_min_share,1)</f>
        <v/>
      </c>
      <c r="M1369" s="31">
        <f>M1356*M1361*IF(AND(Sensitivities!$C$1308=1,M1368&gt;$AK$1368+1E-9),1-i_min_share,1)</f>
        <v/>
      </c>
      <c r="N1369" s="31">
        <f>N1356*N1361*IF(AND(Sensitivities!$C$1308=1,N1368&gt;$AK$1368+1E-9),1-i_min_share,1)</f>
        <v/>
      </c>
      <c r="O1369" s="31">
        <f>O1356*O1361*IF(AND(Sensitivities!$C$1308=1,O1368&gt;$AK$1368+1E-9),1-i_min_share,1)</f>
        <v/>
      </c>
      <c r="P1369" s="31">
        <f>P1356*P1361*IF(AND(Sensitivities!$C$1308=1,P1368&gt;$AK$1368+1E-9),1-i_min_share,1)</f>
        <v/>
      </c>
      <c r="Q1369" s="31">
        <f>Q1356*Q1361*IF(AND(Sensitivities!$C$1308=1,Q1368&gt;$AK$1368+1E-9),1-i_min_share,1)</f>
        <v/>
      </c>
      <c r="R1369" s="31">
        <f>R1356*R1361*IF(AND(Sensitivities!$C$1308=1,R1368&gt;$AK$1368+1E-9),1-i_min_share,1)</f>
        <v/>
      </c>
      <c r="S1369" s="31">
        <f>S1356*S1361*IF(AND(Sensitivities!$C$1308=1,S1368&gt;$AK$1368+1E-9),1-i_min_share,1)</f>
        <v/>
      </c>
      <c r="T1369" s="31">
        <f>T1356*T1361*IF(AND(Sensitivities!$C$1308=1,T1368&gt;$AK$1368+1E-9),1-i_min_share,1)</f>
        <v/>
      </c>
      <c r="U1369" s="31">
        <f>U1356*U1361*IF(AND(Sensitivities!$C$1308=1,U1368&gt;$AK$1368+1E-9),1-i_min_share,1)</f>
        <v/>
      </c>
      <c r="V1369" s="31">
        <f>V1356*V1361*IF(AND(Sensitivities!$C$1308=1,V1368&gt;$AK$1368+1E-9),1-i_min_share,1)</f>
        <v/>
      </c>
      <c r="W1369" s="31">
        <f>W1356*W1361*IF(AND(Sensitivities!$C$1308=1,W1368&gt;$AK$1368+1E-9),1-i_min_share,1)</f>
        <v/>
      </c>
      <c r="X1369" s="31">
        <f>X1356*X1361*IF(AND(Sensitivities!$C$1308=1,X1368&gt;$AK$1368+1E-9),1-i_min_share,1)</f>
        <v/>
      </c>
      <c r="Y1369" s="31">
        <f>Y1356*Y1361*IF(AND(Sensitivities!$C$1308=1,Y1368&gt;$AK$1368+1E-9),1-i_min_share,1)</f>
        <v/>
      </c>
      <c r="Z1369" s="31">
        <f>Z1356*Z1361*IF(AND(Sensitivities!$C$1308=1,Z1368&gt;$AK$1368+1E-9),1-i_min_share,1)</f>
        <v/>
      </c>
      <c r="AA1369" s="31">
        <f>AA1356*AA1361*IF(AND(Sensitivities!$C$1308=1,AA1368&gt;$AK$1368+1E-9),1-i_min_share,1)</f>
        <v/>
      </c>
      <c r="AB1369" s="31">
        <f>AB1356*AB1361*IF(AND(Sensitivities!$C$1308=1,AB1368&gt;$AK$1368+1E-9),1-i_min_share,1)</f>
        <v/>
      </c>
      <c r="AC1369" s="31">
        <f>AC1356*AC1361*IF(AND(Sensitivities!$C$1308=1,AC1368&gt;$AK$1368+1E-9),1-i_min_share,1)</f>
        <v/>
      </c>
      <c r="AD1369" s="31">
        <f>AD1356*AD1361*IF(AND(Sensitivities!$C$1308=1,AD1368&gt;$AK$1368+1E-9),1-i_min_share,1)</f>
        <v/>
      </c>
      <c r="AE1369" s="31">
        <f>AE1356*AE1361*IF(AND(Sensitivities!$C$1308=1,AE1368&gt;$AK$1368+1E-9),1-i_min_share,1)</f>
        <v/>
      </c>
      <c r="AF1369" s="31">
        <f>AF1356*AF1361*IF(AND(Sensitivities!$C$1308=1,AF1368&gt;$AK$1368+1E-9),1-i_min_share,1)</f>
        <v/>
      </c>
      <c r="AG1369" s="31">
        <f>AG1356*AG1361*IF(AND(Sensitivities!$C$1308=1,AG1368&gt;$AK$1368+1E-9),1-i_min_share,1)</f>
        <v/>
      </c>
      <c r="AH1369" s="31">
        <f>AH1356*AH1361*IF(AND(Sensitivities!$C$1308=1,AH1368&gt;$AK$1368+1E-9),1-i_min_share,1)</f>
        <v/>
      </c>
      <c r="AI1369" s="31">
        <f>AI1356*AI1361*IF(AND(Sensitivities!$C$1308=1,AI1368&gt;$AK$1368+1E-9),1-i_min_share,1)</f>
        <v/>
      </c>
      <c r="AJ1369" s="31">
        <f>-Sensitivities!$C$1352</f>
        <v/>
      </c>
      <c r="AK1369" s="31">
        <f>Sensitivities!$C$1367</f>
        <v/>
      </c>
      <c r="AL1369" s="31">
        <f>Sensitivities!$C$1364*IF(Sensitivities!$C$1308=1,1-i_min_share,1)</f>
        <v/>
      </c>
    </row>
    <row r="1370">
      <c r="B1370" s="3" t="inlineStr">
        <is>
          <t>Unlevered flows (before financing)</t>
        </is>
      </c>
      <c r="D1370" s="31">
        <f>D1356*DCF!D245</f>
        <v/>
      </c>
      <c r="E1370" s="31">
        <f>E1356*DCF!E245</f>
        <v/>
      </c>
      <c r="F1370" s="31">
        <f>F1356*DCF!F245</f>
        <v/>
      </c>
      <c r="G1370" s="31">
        <f>G1356*DCF!G245</f>
        <v/>
      </c>
      <c r="H1370" s="31">
        <f>H1356*DCF!H245</f>
        <v/>
      </c>
      <c r="I1370" s="31">
        <f>I1356*DCF!I245</f>
        <v/>
      </c>
      <c r="J1370" s="31">
        <f>J1356*DCF!J245</f>
        <v/>
      </c>
      <c r="K1370" s="31">
        <f>K1356*DCF!K245</f>
        <v/>
      </c>
      <c r="L1370" s="31">
        <f>L1356*DCF!L245</f>
        <v/>
      </c>
      <c r="M1370" s="31">
        <f>M1356*DCF!M245</f>
        <v/>
      </c>
      <c r="N1370" s="31">
        <f>N1356*DCF!N245</f>
        <v/>
      </c>
      <c r="O1370" s="31">
        <f>O1356*DCF!O245</f>
        <v/>
      </c>
      <c r="P1370" s="31">
        <f>P1356*DCF!P245</f>
        <v/>
      </c>
      <c r="Q1370" s="31">
        <f>Q1356*DCF!Q245</f>
        <v/>
      </c>
      <c r="R1370" s="31">
        <f>R1356*DCF!R245</f>
        <v/>
      </c>
      <c r="S1370" s="31">
        <f>S1356*DCF!S245</f>
        <v/>
      </c>
      <c r="T1370" s="31">
        <f>T1356*DCF!T245</f>
        <v/>
      </c>
      <c r="U1370" s="31">
        <f>U1356*DCF!U245</f>
        <v/>
      </c>
      <c r="V1370" s="31">
        <f>V1356*DCF!V245</f>
        <v/>
      </c>
      <c r="W1370" s="31">
        <f>W1356*DCF!W245</f>
        <v/>
      </c>
      <c r="X1370" s="31">
        <f>X1356*DCF!X245</f>
        <v/>
      </c>
      <c r="Y1370" s="31">
        <f>Y1356*DCF!Y245</f>
        <v/>
      </c>
      <c r="Z1370" s="31">
        <f>Z1356*DCF!Z245</f>
        <v/>
      </c>
      <c r="AA1370" s="31">
        <f>AA1356*DCF!AA245</f>
        <v/>
      </c>
      <c r="AB1370" s="31">
        <f>AB1356*DCF!AB245</f>
        <v/>
      </c>
      <c r="AC1370" s="31">
        <f>AC1356*DCF!AC245</f>
        <v/>
      </c>
      <c r="AD1370" s="31">
        <f>AD1356*DCF!AD245</f>
        <v/>
      </c>
      <c r="AE1370" s="31">
        <f>AE1356*DCF!AE245</f>
        <v/>
      </c>
      <c r="AF1370" s="31">
        <f>AF1356*DCF!AF245</f>
        <v/>
      </c>
      <c r="AG1370" s="31">
        <f>AG1356*DCF!AG245</f>
        <v/>
      </c>
      <c r="AH1370" s="31">
        <f>AH1356*DCF!AH245</f>
        <v/>
      </c>
      <c r="AI1370" s="31">
        <f>AI1356*DCF!AI245</f>
        <v/>
      </c>
      <c r="AJ1370" s="31">
        <f>-(Sensitivities!$C$1347-Sensitivities!$C$1325-Sensitivities!$C$1337)</f>
        <v/>
      </c>
      <c r="AK1370" s="19" t="n">
        <v>0</v>
      </c>
      <c r="AL1370" s="31">
        <f>Sensitivities!$C$1362</f>
        <v/>
      </c>
    </row>
    <row r="1371">
      <c r="B1371" s="4" t="inlineStr">
        <is>
          <t>Levered IRR (Newton steps from 10 percent)</t>
        </is>
      </c>
      <c r="D1371" s="38" t="n">
        <v>0.1</v>
      </c>
      <c r="E1371" s="40">
        <f>D1371-SUMPRODUCT($D$1369:$AL$1369,(1+D1371)^(-$D$1368:$AL$1368))/SUMPRODUCT($D$1369:$AL$1369*(-$D$1368:$AL$1368),(1+D1371)^(-$D$1368:$AL$1368-1))</f>
        <v/>
      </c>
      <c r="F1371" s="40">
        <f>E1371-SUMPRODUCT($D$1369:$AL$1369,(1+E1371)^(-$D$1368:$AL$1368))/SUMPRODUCT($D$1369:$AL$1369*(-$D$1368:$AL$1368),(1+E1371)^(-$D$1368:$AL$1368-1))</f>
        <v/>
      </c>
      <c r="G1371" s="40">
        <f>F1371-SUMPRODUCT($D$1369:$AL$1369,(1+F1371)^(-$D$1368:$AL$1368))/SUMPRODUCT($D$1369:$AL$1369*(-$D$1368:$AL$1368),(1+F1371)^(-$D$1368:$AL$1368-1))</f>
        <v/>
      </c>
      <c r="H1371" s="40">
        <f>G1371-SUMPRODUCT($D$1369:$AL$1369,(1+G1371)^(-$D$1368:$AL$1368))/SUMPRODUCT($D$1369:$AL$1369*(-$D$1368:$AL$1368),(1+G1371)^(-$D$1368:$AL$1368-1))</f>
        <v/>
      </c>
      <c r="I1371" s="40">
        <f>H1371-SUMPRODUCT($D$1369:$AL$1369,(1+H1371)^(-$D$1368:$AL$1368))/SUMPRODUCT($D$1369:$AL$1369*(-$D$1368:$AL$1368),(1+H1371)^(-$D$1368:$AL$1368-1))</f>
        <v/>
      </c>
      <c r="J1371" s="40">
        <f>I1371-SUMPRODUCT($D$1369:$AL$1369,(1+I1371)^(-$D$1368:$AL$1368))/SUMPRODUCT($D$1369:$AL$1369*(-$D$1368:$AL$1368),(1+I1371)^(-$D$1368:$AL$1368-1))</f>
        <v/>
      </c>
      <c r="K1371" s="40">
        <f>J1371-SUMPRODUCT($D$1369:$AL$1369,(1+J1371)^(-$D$1368:$AL$1368))/SUMPRODUCT($D$1369:$AL$1369*(-$D$1368:$AL$1368),(1+J1371)^(-$D$1368:$AL$1368-1))</f>
        <v/>
      </c>
      <c r="L1371" s="40">
        <f>K1371-SUMPRODUCT($D$1369:$AL$1369,(1+K1371)^(-$D$1368:$AL$1368))/SUMPRODUCT($D$1369:$AL$1369*(-$D$1368:$AL$1368),(1+K1371)^(-$D$1368:$AL$1368-1))</f>
        <v/>
      </c>
      <c r="M1371" s="40">
        <f>L1371-SUMPRODUCT($D$1369:$AL$1369,(1+L1371)^(-$D$1368:$AL$1368))/SUMPRODUCT($D$1369:$AL$1369*(-$D$1368:$AL$1368),(1+L1371)^(-$D$1368:$AL$1368-1))</f>
        <v/>
      </c>
      <c r="N1371" s="40">
        <f>M1371-SUMPRODUCT($D$1369:$AL$1369,(1+M1371)^(-$D$1368:$AL$1368))/SUMPRODUCT($D$1369:$AL$1369*(-$D$1368:$AL$1368),(1+M1371)^(-$D$1368:$AL$1368-1))</f>
        <v/>
      </c>
      <c r="O1371" s="40">
        <f>N1371-SUMPRODUCT($D$1369:$AL$1369,(1+N1371)^(-$D$1368:$AL$1368))/SUMPRODUCT($D$1369:$AL$1369*(-$D$1368:$AL$1368),(1+N1371)^(-$D$1368:$AL$1368-1))</f>
        <v/>
      </c>
      <c r="P1371" s="40">
        <f>O1371-SUMPRODUCT($D$1369:$AL$1369,(1+O1371)^(-$D$1368:$AL$1368))/SUMPRODUCT($D$1369:$AL$1369*(-$D$1368:$AL$1368),(1+O1371)^(-$D$1368:$AL$1368-1))</f>
        <v/>
      </c>
      <c r="Q1371" s="40">
        <f>P1371-SUMPRODUCT($D$1369:$AL$1369,(1+P1371)^(-$D$1368:$AL$1368))/SUMPRODUCT($D$1369:$AL$1369*(-$D$1368:$AL$1368),(1+P1371)^(-$D$1368:$AL$1368-1))</f>
        <v/>
      </c>
      <c r="R1371" s="40">
        <f>Q1371-SUMPRODUCT($D$1369:$AL$1369,(1+Q1371)^(-$D$1368:$AL$1368))/SUMPRODUCT($D$1369:$AL$1369*(-$D$1368:$AL$1368),(1+Q1371)^(-$D$1368:$AL$1368-1))</f>
        <v/>
      </c>
    </row>
    <row r="1372">
      <c r="B1372" s="4" t="inlineStr">
        <is>
          <t>Unlevered IRR (Newton steps from 10 percent)</t>
        </is>
      </c>
      <c r="D1372" s="38" t="n">
        <v>0.1</v>
      </c>
      <c r="E1372" s="40">
        <f>D1372-SUMPRODUCT($D$1370:$AL$1370,(1+D1372)^(-$D$1368:$AL$1368))/SUMPRODUCT($D$1370:$AL$1370*(-$D$1368:$AL$1368),(1+D1372)^(-$D$1368:$AL$1368-1))</f>
        <v/>
      </c>
      <c r="F1372" s="40">
        <f>E1372-SUMPRODUCT($D$1370:$AL$1370,(1+E1372)^(-$D$1368:$AL$1368))/SUMPRODUCT($D$1370:$AL$1370*(-$D$1368:$AL$1368),(1+E1372)^(-$D$1368:$AL$1368-1))</f>
        <v/>
      </c>
      <c r="G1372" s="40">
        <f>F1372-SUMPRODUCT($D$1370:$AL$1370,(1+F1372)^(-$D$1368:$AL$1368))/SUMPRODUCT($D$1370:$AL$1370*(-$D$1368:$AL$1368),(1+F1372)^(-$D$1368:$AL$1368-1))</f>
        <v/>
      </c>
      <c r="H1372" s="40">
        <f>G1372-SUMPRODUCT($D$1370:$AL$1370,(1+G1372)^(-$D$1368:$AL$1368))/SUMPRODUCT($D$1370:$AL$1370*(-$D$1368:$AL$1368),(1+G1372)^(-$D$1368:$AL$1368-1))</f>
        <v/>
      </c>
      <c r="I1372" s="40">
        <f>H1372-SUMPRODUCT($D$1370:$AL$1370,(1+H1372)^(-$D$1368:$AL$1368))/SUMPRODUCT($D$1370:$AL$1370*(-$D$1368:$AL$1368),(1+H1372)^(-$D$1368:$AL$1368-1))</f>
        <v/>
      </c>
      <c r="J1372" s="40">
        <f>I1372-SUMPRODUCT($D$1370:$AL$1370,(1+I1372)^(-$D$1368:$AL$1368))/SUMPRODUCT($D$1370:$AL$1370*(-$D$1368:$AL$1368),(1+I1372)^(-$D$1368:$AL$1368-1))</f>
        <v/>
      </c>
      <c r="K1372" s="40">
        <f>J1372-SUMPRODUCT($D$1370:$AL$1370,(1+J1372)^(-$D$1368:$AL$1368))/SUMPRODUCT($D$1370:$AL$1370*(-$D$1368:$AL$1368),(1+J1372)^(-$D$1368:$AL$1368-1))</f>
        <v/>
      </c>
      <c r="L1372" s="40">
        <f>K1372-SUMPRODUCT($D$1370:$AL$1370,(1+K1372)^(-$D$1368:$AL$1368))/SUMPRODUCT($D$1370:$AL$1370*(-$D$1368:$AL$1368),(1+K1372)^(-$D$1368:$AL$1368-1))</f>
        <v/>
      </c>
      <c r="M1372" s="40">
        <f>L1372-SUMPRODUCT($D$1370:$AL$1370,(1+L1372)^(-$D$1368:$AL$1368))/SUMPRODUCT($D$1370:$AL$1370*(-$D$1368:$AL$1368),(1+L1372)^(-$D$1368:$AL$1368-1))</f>
        <v/>
      </c>
      <c r="N1372" s="40">
        <f>M1372-SUMPRODUCT($D$1370:$AL$1370,(1+M1372)^(-$D$1368:$AL$1368))/SUMPRODUCT($D$1370:$AL$1370*(-$D$1368:$AL$1368),(1+M1372)^(-$D$1368:$AL$1368-1))</f>
        <v/>
      </c>
      <c r="O1372" s="40">
        <f>N1372-SUMPRODUCT($D$1370:$AL$1370,(1+N1372)^(-$D$1368:$AL$1368))/SUMPRODUCT($D$1370:$AL$1370*(-$D$1368:$AL$1368),(1+N1372)^(-$D$1368:$AL$1368-1))</f>
        <v/>
      </c>
      <c r="P1372" s="40">
        <f>O1372-SUMPRODUCT($D$1370:$AL$1370,(1+O1372)^(-$D$1368:$AL$1368))/SUMPRODUCT($D$1370:$AL$1370*(-$D$1368:$AL$1368),(1+O1372)^(-$D$1368:$AL$1368-1))</f>
        <v/>
      </c>
      <c r="Q1372" s="40">
        <f>P1372-SUMPRODUCT($D$1370:$AL$1370,(1+P1372)^(-$D$1368:$AL$1368))/SUMPRODUCT($D$1370:$AL$1370*(-$D$1368:$AL$1368),(1+P1372)^(-$D$1368:$AL$1368-1))</f>
        <v/>
      </c>
      <c r="R1372" s="40">
        <f>Q1372-SUMPRODUCT($D$1370:$AL$1370,(1+Q1372)^(-$D$1368:$AL$1368))/SUMPRODUCT($D$1370:$AL$1370*(-$D$1368:$AL$1368),(1+Q1372)^(-$D$1368:$AL$1368-1))</f>
        <v/>
      </c>
    </row>
    <row r="1373">
      <c r="B1373" s="3" t="inlineStr">
        <is>
          <t>Levered IRR (equity)</t>
        </is>
      </c>
      <c r="C1373" s="33">
        <f>R1371</f>
        <v/>
      </c>
    </row>
    <row r="1374">
      <c r="B1374" s="3" t="inlineStr">
        <is>
          <t>Unlevered IRR</t>
        </is>
      </c>
      <c r="C1374" s="33">
        <f>R1372</f>
        <v/>
      </c>
    </row>
    <row r="1375">
      <c r="B1375" s="2" t="inlineStr">
        <is>
          <t>Check: levered NPV at the levered IRR</t>
        </is>
      </c>
      <c r="C1375" s="41">
        <f>SUMPRODUCT($D$1369:$AL$1369,(1+Sensitivities!$C$1373)^(-$D$1368:$AL$1368))</f>
        <v/>
      </c>
    </row>
    <row r="1376">
      <c r="B1376" s="2" t="inlineStr">
        <is>
          <t>Check: unlevered NPV at the unlevered IRR</t>
        </is>
      </c>
      <c r="C1376" s="41">
        <f>SUMPRODUCT($D$1370:$AL$1370,(1+Sensitivities!$C$1374)^(-$D$1368:$AL$1368))</f>
        <v/>
      </c>
    </row>
    <row r="1377">
      <c r="B1377" s="2" t="inlineStr">
        <is>
          <t>Money multiple (cash in over cash out)</t>
        </is>
      </c>
      <c r="C1377" s="37">
        <f>SUMIF($D$1369:$AL$1369,"&gt;0")/-SUMIF($D$1369:$AL$1369,"&lt;0")</f>
        <v/>
      </c>
    </row>
    <row r="1378">
      <c r="B1378" s="2" t="inlineStr">
        <is>
          <t>Present value at the target IRR of the flows after closing</t>
        </is>
      </c>
      <c r="C1378" s="19">
        <f>SUMPRODUCT($D$1369:$AL$1369,(1+i_hurdle)^(-$D$1368:$AL$1368))+Sensitivities!$C$1352*(1+i_hurdle)^(-Sensitivities!$C$1306)</f>
        <v/>
      </c>
    </row>
    <row r="1379">
      <c r="B1379" s="2" t="inlineStr">
        <is>
          <t>Equity cheque that gives exactly the target IRR</t>
        </is>
      </c>
      <c r="C1379" s="19">
        <f>Sensitivities!$C$1378*(1+i_hurdle)^Sensitivities!$C$1306</f>
        <v/>
      </c>
    </row>
    <row r="1380">
      <c r="B1380" s="2" t="inlineStr">
        <is>
          <t>EV less equity price (fixed bridge items)</t>
        </is>
      </c>
      <c r="C1380" s="19">
        <f>Sensitivities!$C$1311-Sensitivities!$C$1317</f>
        <v/>
      </c>
    </row>
    <row r="1381">
      <c r="B1381" s="2" t="inlineStr">
        <is>
          <t>Equity cheque items that do not move with the price</t>
        </is>
      </c>
      <c r="C1381" s="19">
        <f>Sensitivities!$C$1342+Sensitivities!$C$1314+i_costs_adv+Sensitivities!$C$1337+Sensitivities!$C$1338-Sensitivities!$C$1332-Sensitivities!$C$1333-Sensitivities!$C$1325</f>
        <v/>
      </c>
    </row>
    <row r="1382">
      <c r="B1382" s="2" t="inlineStr">
        <is>
          <t>Walk-away EV, first pass (HSR fee at the bid)</t>
        </is>
      </c>
      <c r="C1382" s="19">
        <f>(Sensitivities!$C$1379-Sensitivities!$C$1381-Sensitivities!$C$1335+Sensitivities!$C$1380*(1+i_ticking*Sensitivities!$C$1306))/(1+i_ticking*Sensitivities!$C$1306+i_wi_limit_pct*i_wi_rol*(1+i_wi_ipt))</f>
        <v/>
      </c>
    </row>
    <row r="1383">
      <c r="B1383" s="3" t="inlineStr">
        <is>
          <t>Walk-away EV (highest EV at the target IRR)</t>
        </is>
      </c>
      <c r="C1383" s="31">
        <f>(Sensitivities!$C$1379-Sensitivities!$C$1381-IF(Sensitivities!$C$1382-Sensitivities!$C$1380&lt;INDEX(i_hsr_lo,1),0,LOOKUP(Sensitivities!$C$1382-Sensitivities!$C$1380,i_hsr_lo,i_hsr_fee))+Sensitivities!$C$1380*(1+i_ticking*Sensitivities!$C$1306))/(1+i_ticking*Sensitivities!$C$1306+i_wi_limit_pct*i_wi_rol*(1+i_wi_ipt))</f>
        <v/>
      </c>
    </row>
    <row r="1386">
      <c r="B1386" s="5" t="inlineStr">
        <is>
          <t>Deal: closing slips to 31 March 2028</t>
        </is>
      </c>
    </row>
    <row r="1387">
      <c r="B1387" s="4" t="inlineStr">
        <is>
          <t>Enterprise value at 31 December 2026</t>
        </is>
      </c>
      <c r="C1387" s="29">
        <f>i_bid_ev</f>
        <v/>
      </c>
    </row>
    <row r="1388">
      <c r="B1388" s="4" t="inlineStr">
        <is>
          <t>Closing (years after 31 December 2026)</t>
        </is>
      </c>
      <c r="C1388" s="28">
        <f>Inputs!$F$244</f>
        <v/>
      </c>
    </row>
    <row r="1389">
      <c r="B1389" s="4" t="inlineStr">
        <is>
          <t>Staple financing (1) or own debt (0)</t>
        </is>
      </c>
      <c r="C1389" s="26">
        <f>0</f>
        <v/>
      </c>
    </row>
    <row r="1390">
      <c r="B1390" s="4" t="inlineStr">
        <is>
          <t>Minority sale in 2031 (1) or full exit (0)</t>
        </is>
      </c>
      <c r="C1390" s="26">
        <f>0</f>
        <v/>
      </c>
    </row>
    <row r="1391">
      <c r="B1391" s="4" t="inlineStr">
        <is>
          <t>Exit discount rate</t>
        </is>
      </c>
      <c r="C1391" s="38">
        <f>Inputs!$E$244</f>
        <v/>
      </c>
    </row>
    <row r="1392">
      <c r="B1392" s="4" t="inlineStr">
        <is>
          <t>Change in the opco rate at refinancing</t>
        </is>
      </c>
      <c r="C1392" s="38">
        <f>Inputs!$D$244</f>
        <v/>
      </c>
    </row>
    <row r="1393">
      <c r="B1393" s="2" t="inlineStr">
        <is>
          <t>Enterprise value</t>
        </is>
      </c>
      <c r="C1393" s="19">
        <f>Sensitivities!$C$1387</f>
        <v/>
      </c>
    </row>
    <row r="1394">
      <c r="B1394" s="2" t="inlineStr">
        <is>
          <t>less existing financial debt (term loan and notes)</t>
        </is>
      </c>
      <c r="C1394" s="19">
        <f>i_old_tl+i_old_notes</f>
        <v/>
      </c>
    </row>
    <row r="1395">
      <c r="B1395" s="2" t="inlineStr">
        <is>
          <t>less make-whole on the notes</t>
        </is>
      </c>
      <c r="C1395" s="19">
        <f>i_make_whole</f>
        <v/>
      </c>
    </row>
    <row r="1396">
      <c r="B1396" s="2" t="inlineStr">
        <is>
          <t>less debt-like items (pension, accrued capex, 2026 tax)</t>
        </is>
      </c>
      <c r="C1396" s="19">
        <f>i_pension+i_def_capex+i_acc_tax</f>
        <v/>
      </c>
    </row>
    <row r="1397">
      <c r="B1397" s="2" t="inlineStr">
        <is>
          <t>plus cash at the locked box date</t>
        </is>
      </c>
      <c r="C1397" s="19">
        <f>i_lb_cash</f>
        <v/>
      </c>
    </row>
    <row r="1398">
      <c r="B1398" s="2" t="inlineStr">
        <is>
          <t>less permitted leakage</t>
        </is>
      </c>
      <c r="C1398" s="19">
        <f>i_permitted_leak</f>
        <v/>
      </c>
    </row>
    <row r="1399">
      <c r="B1399" s="3" t="inlineStr">
        <is>
          <t>Equity price (shares and shareholder loan)</t>
        </is>
      </c>
      <c r="C1399" s="31">
        <f>Sensitivities!$C$1393-Sensitivities!$C$1394-Sensitivities!$C$1395-Sensitivities!$C$1396+Sensitivities!$C$1397-Sensitivities!$C$1398</f>
        <v/>
      </c>
    </row>
    <row r="1400">
      <c r="B1400" s="2" t="inlineStr">
        <is>
          <t xml:space="preserve">  of which shareholder loan at face value</t>
        </is>
      </c>
      <c r="C1400" s="19">
        <f>i_shl</f>
        <v/>
      </c>
    </row>
    <row r="1401">
      <c r="B1401" s="2" t="inlineStr">
        <is>
          <t xml:space="preserve">  of which shares</t>
        </is>
      </c>
      <c r="C1401" s="19">
        <f>Sensitivities!$C$1399-Sensitivities!$C$1400</f>
        <v/>
      </c>
    </row>
    <row r="1402">
      <c r="B1402" s="2" t="inlineStr">
        <is>
          <t>Ticking fee to closing</t>
        </is>
      </c>
      <c r="C1402" s="19">
        <f>Sensitivities!$C$1399*i_ticking*Sensitivities!$C$1388</f>
        <v/>
      </c>
    </row>
    <row r="1403">
      <c r="B1403" s="2" t="inlineStr">
        <is>
          <t>Share of the year before closing (box period)</t>
        </is>
      </c>
      <c r="D1403" s="24">
        <f>IF(D$4&lt;1,0,MAX(0,MIN(1,Sensitivities!$C$1388-(D$4-1))))</f>
        <v/>
      </c>
      <c r="E1403" s="24">
        <f>IF(E$4&lt;1,0,MAX(0,MIN(1,Sensitivities!$C$1388-(E$4-1))))</f>
        <v/>
      </c>
      <c r="F1403" s="24">
        <f>IF(F$4&lt;1,0,MAX(0,MIN(1,Sensitivities!$C$1388-(F$4-1))))</f>
        <v/>
      </c>
      <c r="G1403" s="24">
        <f>IF(G$4&lt;1,0,MAX(0,MIN(1,Sensitivities!$C$1388-(G$4-1))))</f>
        <v/>
      </c>
      <c r="H1403" s="24">
        <f>IF(H$4&lt;1,0,MAX(0,MIN(1,Sensitivities!$C$1388-(H$4-1))))</f>
        <v/>
      </c>
      <c r="I1403" s="24">
        <f>IF(I$4&lt;1,0,MAX(0,MIN(1,Sensitivities!$C$1388-(I$4-1))))</f>
        <v/>
      </c>
      <c r="J1403" s="24">
        <f>IF(J$4&lt;1,0,MAX(0,MIN(1,Sensitivities!$C$1388-(J$4-1))))</f>
        <v/>
      </c>
      <c r="K1403" s="24">
        <f>IF(K$4&lt;1,0,MAX(0,MIN(1,Sensitivities!$C$1388-(K$4-1))))</f>
        <v/>
      </c>
      <c r="L1403" s="24">
        <f>IF(L$4&lt;1,0,MAX(0,MIN(1,Sensitivities!$C$1388-(L$4-1))))</f>
        <v/>
      </c>
      <c r="M1403" s="24">
        <f>IF(M$4&lt;1,0,MAX(0,MIN(1,Sensitivities!$C$1388-(M$4-1))))</f>
        <v/>
      </c>
      <c r="N1403" s="24">
        <f>IF(N$4&lt;1,0,MAX(0,MIN(1,Sensitivities!$C$1388-(N$4-1))))</f>
        <v/>
      </c>
      <c r="O1403" s="24">
        <f>IF(O$4&lt;1,0,MAX(0,MIN(1,Sensitivities!$C$1388-(O$4-1))))</f>
        <v/>
      </c>
      <c r="P1403" s="24">
        <f>IF(P$4&lt;1,0,MAX(0,MIN(1,Sensitivities!$C$1388-(P$4-1))))</f>
        <v/>
      </c>
      <c r="Q1403" s="24">
        <f>IF(Q$4&lt;1,0,MAX(0,MIN(1,Sensitivities!$C$1388-(Q$4-1))))</f>
        <v/>
      </c>
      <c r="R1403" s="24">
        <f>IF(R$4&lt;1,0,MAX(0,MIN(1,Sensitivities!$C$1388-(R$4-1))))</f>
        <v/>
      </c>
      <c r="S1403" s="24">
        <f>IF(S$4&lt;1,0,MAX(0,MIN(1,Sensitivities!$C$1388-(S$4-1))))</f>
        <v/>
      </c>
      <c r="T1403" s="24">
        <f>IF(T$4&lt;1,0,MAX(0,MIN(1,Sensitivities!$C$1388-(T$4-1))))</f>
        <v/>
      </c>
      <c r="U1403" s="24">
        <f>IF(U$4&lt;1,0,MAX(0,MIN(1,Sensitivities!$C$1388-(U$4-1))))</f>
        <v/>
      </c>
      <c r="V1403" s="24">
        <f>IF(V$4&lt;1,0,MAX(0,MIN(1,Sensitivities!$C$1388-(V$4-1))))</f>
        <v/>
      </c>
      <c r="W1403" s="24">
        <f>IF(W$4&lt;1,0,MAX(0,MIN(1,Sensitivities!$C$1388-(W$4-1))))</f>
        <v/>
      </c>
      <c r="X1403" s="24">
        <f>IF(X$4&lt;1,0,MAX(0,MIN(1,Sensitivities!$C$1388-(X$4-1))))</f>
        <v/>
      </c>
      <c r="Y1403" s="24">
        <f>IF(Y$4&lt;1,0,MAX(0,MIN(1,Sensitivities!$C$1388-(Y$4-1))))</f>
        <v/>
      </c>
      <c r="Z1403" s="24">
        <f>IF(Z$4&lt;1,0,MAX(0,MIN(1,Sensitivities!$C$1388-(Z$4-1))))</f>
        <v/>
      </c>
      <c r="AA1403" s="24">
        <f>IF(AA$4&lt;1,0,MAX(0,MIN(1,Sensitivities!$C$1388-(AA$4-1))))</f>
        <v/>
      </c>
      <c r="AB1403" s="24">
        <f>IF(AB$4&lt;1,0,MAX(0,MIN(1,Sensitivities!$C$1388-(AB$4-1))))</f>
        <v/>
      </c>
      <c r="AC1403" s="24">
        <f>IF(AC$4&lt;1,0,MAX(0,MIN(1,Sensitivities!$C$1388-(AC$4-1))))</f>
        <v/>
      </c>
      <c r="AD1403" s="24">
        <f>IF(AD$4&lt;1,0,MAX(0,MIN(1,Sensitivities!$C$1388-(AD$4-1))))</f>
        <v/>
      </c>
      <c r="AE1403" s="24">
        <f>IF(AE$4&lt;1,0,MAX(0,MIN(1,Sensitivities!$C$1388-(AE$4-1))))</f>
        <v/>
      </c>
      <c r="AF1403" s="24">
        <f>IF(AF$4&lt;1,0,MAX(0,MIN(1,Sensitivities!$C$1388-(AF$4-1))))</f>
        <v/>
      </c>
      <c r="AG1403" s="24">
        <f>IF(AG$4&lt;1,0,MAX(0,MIN(1,Sensitivities!$C$1388-(AG$4-1))))</f>
        <v/>
      </c>
      <c r="AH1403" s="24">
        <f>IF(AH$4&lt;1,0,MAX(0,MIN(1,Sensitivities!$C$1388-(AH$4-1))))</f>
        <v/>
      </c>
      <c r="AI1403" s="24">
        <f>IF(AI$4&lt;1,0,MAX(0,MIN(1,Sensitivities!$C$1388-(AI$4-1))))</f>
        <v/>
      </c>
    </row>
    <row r="1404">
      <c r="B1404" s="2" t="inlineStr">
        <is>
          <t>Box cash: free cash flow less interest on the old debt</t>
        </is>
      </c>
      <c r="D1404" s="19">
        <f>D1403*(Diligence!D145-i_old_rate*(i_old_tl+i_old_notes))</f>
        <v/>
      </c>
      <c r="E1404" s="19">
        <f>E1403*(Diligence!E145-i_old_rate*(i_old_tl+i_old_notes))</f>
        <v/>
      </c>
      <c r="F1404" s="19">
        <f>F1403*(Diligence!F145-i_old_rate*(i_old_tl+i_old_notes))</f>
        <v/>
      </c>
      <c r="G1404" s="19">
        <f>G1403*(Diligence!G145-i_old_rate*(i_old_tl+i_old_notes))</f>
        <v/>
      </c>
      <c r="H1404" s="19">
        <f>H1403*(Diligence!H145-i_old_rate*(i_old_tl+i_old_notes))</f>
        <v/>
      </c>
      <c r="I1404" s="19">
        <f>I1403*(Diligence!I145-i_old_rate*(i_old_tl+i_old_notes))</f>
        <v/>
      </c>
      <c r="J1404" s="19">
        <f>J1403*(Diligence!J145-i_old_rate*(i_old_tl+i_old_notes))</f>
        <v/>
      </c>
      <c r="K1404" s="19">
        <f>K1403*(Diligence!K145-i_old_rate*(i_old_tl+i_old_notes))</f>
        <v/>
      </c>
      <c r="L1404" s="19">
        <f>L1403*(Diligence!L145-i_old_rate*(i_old_tl+i_old_notes))</f>
        <v/>
      </c>
      <c r="M1404" s="19">
        <f>M1403*(Diligence!M145-i_old_rate*(i_old_tl+i_old_notes))</f>
        <v/>
      </c>
      <c r="N1404" s="19">
        <f>N1403*(Diligence!N145-i_old_rate*(i_old_tl+i_old_notes))</f>
        <v/>
      </c>
      <c r="O1404" s="19">
        <f>O1403*(Diligence!O145-i_old_rate*(i_old_tl+i_old_notes))</f>
        <v/>
      </c>
      <c r="P1404" s="19">
        <f>P1403*(Diligence!P145-i_old_rate*(i_old_tl+i_old_notes))</f>
        <v/>
      </c>
      <c r="Q1404" s="19">
        <f>Q1403*(Diligence!Q145-i_old_rate*(i_old_tl+i_old_notes))</f>
        <v/>
      </c>
      <c r="R1404" s="19">
        <f>R1403*(Diligence!R145-i_old_rate*(i_old_tl+i_old_notes))</f>
        <v/>
      </c>
      <c r="S1404" s="19">
        <f>S1403*(Diligence!S145-i_old_rate*(i_old_tl+i_old_notes))</f>
        <v/>
      </c>
      <c r="T1404" s="19">
        <f>T1403*(Diligence!T145-i_old_rate*(i_old_tl+i_old_notes))</f>
        <v/>
      </c>
      <c r="U1404" s="19">
        <f>U1403*(Diligence!U145-i_old_rate*(i_old_tl+i_old_notes))</f>
        <v/>
      </c>
      <c r="V1404" s="19">
        <f>V1403*(Diligence!V145-i_old_rate*(i_old_tl+i_old_notes))</f>
        <v/>
      </c>
      <c r="W1404" s="19">
        <f>W1403*(Diligence!W145-i_old_rate*(i_old_tl+i_old_notes))</f>
        <v/>
      </c>
      <c r="X1404" s="19">
        <f>X1403*(Diligence!X145-i_old_rate*(i_old_tl+i_old_notes))</f>
        <v/>
      </c>
      <c r="Y1404" s="19">
        <f>Y1403*(Diligence!Y145-i_old_rate*(i_old_tl+i_old_notes))</f>
        <v/>
      </c>
      <c r="Z1404" s="19">
        <f>Z1403*(Diligence!Z145-i_old_rate*(i_old_tl+i_old_notes))</f>
        <v/>
      </c>
      <c r="AA1404" s="19">
        <f>AA1403*(Diligence!AA145-i_old_rate*(i_old_tl+i_old_notes))</f>
        <v/>
      </c>
      <c r="AB1404" s="19">
        <f>AB1403*(Diligence!AB145-i_old_rate*(i_old_tl+i_old_notes))</f>
        <v/>
      </c>
      <c r="AC1404" s="19">
        <f>AC1403*(Diligence!AC145-i_old_rate*(i_old_tl+i_old_notes))</f>
        <v/>
      </c>
      <c r="AD1404" s="19">
        <f>AD1403*(Diligence!AD145-i_old_rate*(i_old_tl+i_old_notes))</f>
        <v/>
      </c>
      <c r="AE1404" s="19">
        <f>AE1403*(Diligence!AE145-i_old_rate*(i_old_tl+i_old_notes))</f>
        <v/>
      </c>
      <c r="AF1404" s="19">
        <f>AF1403*(Diligence!AF145-i_old_rate*(i_old_tl+i_old_notes))</f>
        <v/>
      </c>
      <c r="AG1404" s="19">
        <f>AG1403*(Diligence!AG145-i_old_rate*(i_old_tl+i_old_notes))</f>
        <v/>
      </c>
      <c r="AH1404" s="19">
        <f>AH1403*(Diligence!AH145-i_old_rate*(i_old_tl+i_old_notes))</f>
        <v/>
      </c>
      <c r="AI1404" s="19">
        <f>AI1403*(Diligence!AI145-i_old_rate*(i_old_tl+i_old_notes))</f>
        <v/>
      </c>
    </row>
    <row r="1405">
      <c r="B1405" s="2" t="inlineStr">
        <is>
          <t>Box cash generated from 1 January 2027 to closing</t>
        </is>
      </c>
      <c r="C1405" s="19">
        <f>SUM(Sensitivities!D1404:AI1404)</f>
        <v/>
      </c>
    </row>
    <row r="1406">
      <c r="B1406" s="2" t="inlineStr">
        <is>
          <t>Cash in the company at closing</t>
        </is>
      </c>
      <c r="C1406" s="19">
        <f>Sensitivities!$C$1397-Sensitivities!$C$1398+Sensitivities!$C$1405</f>
        <v/>
      </c>
    </row>
    <row r="1407">
      <c r="B1407" s="2" t="inlineStr">
        <is>
          <t>Cash used at closing (above operating cash)</t>
        </is>
      </c>
      <c r="C1407" s="19">
        <f>Sensitivities!$C$1406-i_min_cash</f>
        <v/>
      </c>
    </row>
    <row r="1409">
      <c r="B1409" s="3" t="inlineStr">
        <is>
          <t>Sources and uses at closing</t>
        </is>
      </c>
    </row>
    <row r="1410">
      <c r="B1410" s="2" t="inlineStr">
        <is>
          <t>EBITDA 2026 (sizing basis)</t>
        </is>
      </c>
      <c r="C1410" s="19">
        <f>Diligence!$D$139</f>
        <v/>
      </c>
    </row>
    <row r="1411">
      <c r="B1411" s="2" t="inlineStr">
        <is>
          <t>Opco multiple of 2026 EBITDA</t>
        </is>
      </c>
      <c r="C1411" s="37">
        <f>IF(Sensitivities!$C$1389=1,i_staple_x,i_opco_x)</f>
        <v/>
      </c>
    </row>
    <row r="1412">
      <c r="B1412" s="2" t="inlineStr">
        <is>
          <t>Opco rate</t>
        </is>
      </c>
      <c r="C1412" s="23">
        <f>IF(Sensitivities!$C$1389=1,i_staple_rate,i_opco_rate)</f>
        <v/>
      </c>
    </row>
    <row r="1413">
      <c r="B1413" s="2" t="inlineStr">
        <is>
          <t>Opco fees</t>
        </is>
      </c>
      <c r="C1413" s="23">
        <f>IF(Sensitivities!$C$1389=1,i_staple_fee,i_opco_fee)</f>
        <v/>
      </c>
    </row>
    <row r="1414">
      <c r="B1414" s="2" t="inlineStr">
        <is>
          <t>Opco senior debt (whole $ million)</t>
        </is>
      </c>
      <c r="C1414" s="19">
        <f>ROUND(Sensitivities!$C$1411*Sensitivities!$C$1410,0)</f>
        <v/>
      </c>
    </row>
    <row r="1415">
      <c r="B1415" s="2" t="inlineStr">
        <is>
          <t>Holdco debt (whole $ million)</t>
        </is>
      </c>
      <c r="C1415" s="19">
        <f>ROUND(i_hold_x*Sensitivities!$C$1410,0)</f>
        <v/>
      </c>
    </row>
    <row r="1416">
      <c r="B1416" s="2" t="inlineStr">
        <is>
          <t>W&amp;I premium with insurance premium tax</t>
        </is>
      </c>
      <c r="C1416" s="35">
        <f>i_wi_limit_pct*Sensitivities!$C$1393*i_wi_rol*(1+i_wi_ipt)</f>
        <v/>
      </c>
    </row>
    <row r="1417">
      <c r="B1417" s="2" t="inlineStr">
        <is>
          <t>HSR filing fee (on the equity price)</t>
        </is>
      </c>
      <c r="C1417" s="39">
        <f>IF(Sensitivities!$C$1399&lt;INDEX(i_hsr_lo,1),0,LOOKUP(Sensitivities!$C$1399,i_hsr_lo,i_hsr_fee))</f>
        <v/>
      </c>
    </row>
    <row r="1418">
      <c r="B1418" s="2" t="inlineStr">
        <is>
          <t>Transaction costs (advisers, W&amp;I, HSR)</t>
        </is>
      </c>
      <c r="C1418" s="19">
        <f>i_costs_adv+Sensitivities!$C$1416+Sensitivities!$C$1417</f>
        <v/>
      </c>
    </row>
    <row r="1419">
      <c r="B1419" s="2" t="inlineStr">
        <is>
          <t>Financing fees</t>
        </is>
      </c>
      <c r="C1419" s="19">
        <f>Sensitivities!$C$1413*Sensitivities!$C$1414+i_hold_fee*Sensitivities!$C$1415</f>
        <v/>
      </c>
    </row>
    <row r="1420">
      <c r="B1420" s="2" t="inlineStr">
        <is>
          <t>Commitment fees, signing to closing</t>
        </is>
      </c>
      <c r="C1420" s="19">
        <f>i_commit_fee*(Sensitivities!$C$1414+Sensitivities!$C$1415)*MAX(0,Sensitivities!$C$1388-i_t_sign)</f>
        <v/>
      </c>
    </row>
    <row r="1421">
      <c r="B1421" s="3" t="inlineStr">
        <is>
          <t>Uses</t>
        </is>
      </c>
    </row>
    <row r="1422">
      <c r="B1422" s="2" t="inlineStr">
        <is>
          <t xml:space="preserve">  Equity price</t>
        </is>
      </c>
      <c r="C1422" s="19">
        <f>Sensitivities!$C$1399</f>
        <v/>
      </c>
    </row>
    <row r="1423">
      <c r="B1423" s="2" t="inlineStr">
        <is>
          <t xml:space="preserve">  Ticking fee</t>
        </is>
      </c>
      <c r="C1423" s="19">
        <f>Sensitivities!$C$1402</f>
        <v/>
      </c>
    </row>
    <row r="1424">
      <c r="B1424" s="2" t="inlineStr">
        <is>
          <t xml:space="preserve">  Repayment of existing debt and make-whole</t>
        </is>
      </c>
      <c r="C1424" s="19">
        <f>Sensitivities!$C$1394+Sensitivities!$C$1395</f>
        <v/>
      </c>
    </row>
    <row r="1425">
      <c r="B1425" s="2" t="inlineStr">
        <is>
          <t xml:space="preserve">  Debt-like items settled</t>
        </is>
      </c>
      <c r="C1425" s="19">
        <f>Sensitivities!$C$1396</f>
        <v/>
      </c>
    </row>
    <row r="1426">
      <c r="B1426" s="2" t="inlineStr">
        <is>
          <t xml:space="preserve">  Transaction costs</t>
        </is>
      </c>
      <c r="C1426" s="19">
        <f>Sensitivities!$C$1418</f>
        <v/>
      </c>
    </row>
    <row r="1427">
      <c r="B1427" s="2" t="inlineStr">
        <is>
          <t xml:space="preserve">  Financing fees</t>
        </is>
      </c>
      <c r="C1427" s="19">
        <f>Sensitivities!$C$1419</f>
        <v/>
      </c>
    </row>
    <row r="1428">
      <c r="B1428" s="2" t="inlineStr">
        <is>
          <t xml:space="preserve">  Commitment fees</t>
        </is>
      </c>
      <c r="C1428" s="19">
        <f>Sensitivities!$C$1420</f>
        <v/>
      </c>
    </row>
    <row r="1429">
      <c r="B1429" s="3" t="inlineStr">
        <is>
          <t>Total uses</t>
        </is>
      </c>
      <c r="C1429" s="31">
        <f>SUM(C1422:C1428)</f>
        <v/>
      </c>
    </row>
    <row r="1430">
      <c r="B1430" s="3" t="inlineStr">
        <is>
          <t>Sources</t>
        </is>
      </c>
    </row>
    <row r="1431">
      <c r="B1431" s="2" t="inlineStr">
        <is>
          <t xml:space="preserve">  Opco senior debt</t>
        </is>
      </c>
      <c r="C1431" s="19">
        <f>Sensitivities!$C$1414</f>
        <v/>
      </c>
    </row>
    <row r="1432">
      <c r="B1432" s="2" t="inlineStr">
        <is>
          <t xml:space="preserve">  Holdco debt</t>
        </is>
      </c>
      <c r="C1432" s="19">
        <f>Sensitivities!$C$1415</f>
        <v/>
      </c>
    </row>
    <row r="1433">
      <c r="B1433" s="2" t="inlineStr">
        <is>
          <t xml:space="preserve">  Cash in the company at closing</t>
        </is>
      </c>
      <c r="C1433" s="19">
        <f>Sensitivities!$C$1407</f>
        <v/>
      </c>
    </row>
    <row r="1434">
      <c r="B1434" s="3" t="inlineStr">
        <is>
          <t xml:space="preserve">  Equity from the consortium</t>
        </is>
      </c>
      <c r="C1434" s="31">
        <f>Sensitivities!$C$1429-Sensitivities!$C$1414-Sensitivities!$C$1415-Sensitivities!$C$1407</f>
        <v/>
      </c>
    </row>
    <row r="1435">
      <c r="B1435" s="3" t="inlineStr">
        <is>
          <t>Total sources</t>
        </is>
      </c>
      <c r="C1435" s="31">
        <f>SUM(C1431:C1434)</f>
        <v/>
      </c>
    </row>
    <row r="1437">
      <c r="B1437" s="3" t="inlineStr">
        <is>
          <t>Flows after closing (years in columns D to AI; closing, minority sale and exit in AJ to AL)</t>
        </is>
      </c>
    </row>
    <row r="1438">
      <c r="B1438" s="2" t="inlineStr">
        <is>
          <t>Share of the year owned</t>
        </is>
      </c>
      <c r="D1438" s="24">
        <f>IF(D$3&gt;i_exit_year,0,MIN(1,MAX(0,D$4-Sensitivities!$C$1388)))</f>
        <v/>
      </c>
      <c r="E1438" s="24">
        <f>IF(E$3&gt;i_exit_year,0,MIN(1,MAX(0,E$4-Sensitivities!$C$1388)))</f>
        <v/>
      </c>
      <c r="F1438" s="24">
        <f>IF(F$3&gt;i_exit_year,0,MIN(1,MAX(0,F$4-Sensitivities!$C$1388)))</f>
        <v/>
      </c>
      <c r="G1438" s="24">
        <f>IF(G$3&gt;i_exit_year,0,MIN(1,MAX(0,G$4-Sensitivities!$C$1388)))</f>
        <v/>
      </c>
      <c r="H1438" s="24">
        <f>IF(H$3&gt;i_exit_year,0,MIN(1,MAX(0,H$4-Sensitivities!$C$1388)))</f>
        <v/>
      </c>
      <c r="I1438" s="24">
        <f>IF(I$3&gt;i_exit_year,0,MIN(1,MAX(0,I$4-Sensitivities!$C$1388)))</f>
        <v/>
      </c>
      <c r="J1438" s="24">
        <f>IF(J$3&gt;i_exit_year,0,MIN(1,MAX(0,J$4-Sensitivities!$C$1388)))</f>
        <v/>
      </c>
      <c r="K1438" s="24">
        <f>IF(K$3&gt;i_exit_year,0,MIN(1,MAX(0,K$4-Sensitivities!$C$1388)))</f>
        <v/>
      </c>
      <c r="L1438" s="24">
        <f>IF(L$3&gt;i_exit_year,0,MIN(1,MAX(0,L$4-Sensitivities!$C$1388)))</f>
        <v/>
      </c>
      <c r="M1438" s="24">
        <f>IF(M$3&gt;i_exit_year,0,MIN(1,MAX(0,M$4-Sensitivities!$C$1388)))</f>
        <v/>
      </c>
      <c r="N1438" s="24">
        <f>IF(N$3&gt;i_exit_year,0,MIN(1,MAX(0,N$4-Sensitivities!$C$1388)))</f>
        <v/>
      </c>
      <c r="O1438" s="24">
        <f>IF(O$3&gt;i_exit_year,0,MIN(1,MAX(0,O$4-Sensitivities!$C$1388)))</f>
        <v/>
      </c>
      <c r="P1438" s="24">
        <f>IF(P$3&gt;i_exit_year,0,MIN(1,MAX(0,P$4-Sensitivities!$C$1388)))</f>
        <v/>
      </c>
      <c r="Q1438" s="24">
        <f>IF(Q$3&gt;i_exit_year,0,MIN(1,MAX(0,Q$4-Sensitivities!$C$1388)))</f>
        <v/>
      </c>
      <c r="R1438" s="24">
        <f>IF(R$3&gt;i_exit_year,0,MIN(1,MAX(0,R$4-Sensitivities!$C$1388)))</f>
        <v/>
      </c>
      <c r="S1438" s="24">
        <f>IF(S$3&gt;i_exit_year,0,MIN(1,MAX(0,S$4-Sensitivities!$C$1388)))</f>
        <v/>
      </c>
      <c r="T1438" s="24">
        <f>IF(T$3&gt;i_exit_year,0,MIN(1,MAX(0,T$4-Sensitivities!$C$1388)))</f>
        <v/>
      </c>
      <c r="U1438" s="24">
        <f>IF(U$3&gt;i_exit_year,0,MIN(1,MAX(0,U$4-Sensitivities!$C$1388)))</f>
        <v/>
      </c>
      <c r="V1438" s="24">
        <f>IF(V$3&gt;i_exit_year,0,MIN(1,MAX(0,V$4-Sensitivities!$C$1388)))</f>
        <v/>
      </c>
      <c r="W1438" s="24">
        <f>IF(W$3&gt;i_exit_year,0,MIN(1,MAX(0,W$4-Sensitivities!$C$1388)))</f>
        <v/>
      </c>
      <c r="X1438" s="24">
        <f>IF(X$3&gt;i_exit_year,0,MIN(1,MAX(0,X$4-Sensitivities!$C$1388)))</f>
        <v/>
      </c>
      <c r="Y1438" s="24">
        <f>IF(Y$3&gt;i_exit_year,0,MIN(1,MAX(0,Y$4-Sensitivities!$C$1388)))</f>
        <v/>
      </c>
      <c r="Z1438" s="24">
        <f>IF(Z$3&gt;i_exit_year,0,MIN(1,MAX(0,Z$4-Sensitivities!$C$1388)))</f>
        <v/>
      </c>
      <c r="AA1438" s="24">
        <f>IF(AA$3&gt;i_exit_year,0,MIN(1,MAX(0,AA$4-Sensitivities!$C$1388)))</f>
        <v/>
      </c>
      <c r="AB1438" s="24">
        <f>IF(AB$3&gt;i_exit_year,0,MIN(1,MAX(0,AB$4-Sensitivities!$C$1388)))</f>
        <v/>
      </c>
      <c r="AC1438" s="24">
        <f>IF(AC$3&gt;i_exit_year,0,MIN(1,MAX(0,AC$4-Sensitivities!$C$1388)))</f>
        <v/>
      </c>
      <c r="AD1438" s="24">
        <f>IF(AD$3&gt;i_exit_year,0,MIN(1,MAX(0,AD$4-Sensitivities!$C$1388)))</f>
        <v/>
      </c>
      <c r="AE1438" s="24">
        <f>IF(AE$3&gt;i_exit_year,0,MIN(1,MAX(0,AE$4-Sensitivities!$C$1388)))</f>
        <v/>
      </c>
      <c r="AF1438" s="24">
        <f>IF(AF$3&gt;i_exit_year,0,MIN(1,MAX(0,AF$4-Sensitivities!$C$1388)))</f>
        <v/>
      </c>
      <c r="AG1438" s="24">
        <f>IF(AG$3&gt;i_exit_year,0,MIN(1,MAX(0,AG$4-Sensitivities!$C$1388)))</f>
        <v/>
      </c>
      <c r="AH1438" s="24">
        <f>IF(AH$3&gt;i_exit_year,0,MIN(1,MAX(0,AH$4-Sensitivities!$C$1388)))</f>
        <v/>
      </c>
      <c r="AI1438" s="24">
        <f>IF(AI$3&gt;i_exit_year,0,MIN(1,MAX(0,AI$4-Sensitivities!$C$1388)))</f>
        <v/>
      </c>
    </row>
    <row r="1439">
      <c r="B1439" s="2" t="inlineStr">
        <is>
          <t>Opco rate (refinanced after the tenor)</t>
        </is>
      </c>
      <c r="D1439" s="23">
        <f>IF(D$4&lt;=Sensitivities!$C$1388+i_opco_tenor,Sensitivities!$C$1412,Sensitivities!$C$1412+Sensitivities!$C$1392)</f>
        <v/>
      </c>
      <c r="E1439" s="23">
        <f>IF(E$4&lt;=Sensitivities!$C$1388+i_opco_tenor,Sensitivities!$C$1412,Sensitivities!$C$1412+Sensitivities!$C$1392)</f>
        <v/>
      </c>
      <c r="F1439" s="23">
        <f>IF(F$4&lt;=Sensitivities!$C$1388+i_opco_tenor,Sensitivities!$C$1412,Sensitivities!$C$1412+Sensitivities!$C$1392)</f>
        <v/>
      </c>
      <c r="G1439" s="23">
        <f>IF(G$4&lt;=Sensitivities!$C$1388+i_opco_tenor,Sensitivities!$C$1412,Sensitivities!$C$1412+Sensitivities!$C$1392)</f>
        <v/>
      </c>
      <c r="H1439" s="23">
        <f>IF(H$4&lt;=Sensitivities!$C$1388+i_opco_tenor,Sensitivities!$C$1412,Sensitivities!$C$1412+Sensitivities!$C$1392)</f>
        <v/>
      </c>
      <c r="I1439" s="23">
        <f>IF(I$4&lt;=Sensitivities!$C$1388+i_opco_tenor,Sensitivities!$C$1412,Sensitivities!$C$1412+Sensitivities!$C$1392)</f>
        <v/>
      </c>
      <c r="J1439" s="23">
        <f>IF(J$4&lt;=Sensitivities!$C$1388+i_opco_tenor,Sensitivities!$C$1412,Sensitivities!$C$1412+Sensitivities!$C$1392)</f>
        <v/>
      </c>
      <c r="K1439" s="23">
        <f>IF(K$4&lt;=Sensitivities!$C$1388+i_opco_tenor,Sensitivities!$C$1412,Sensitivities!$C$1412+Sensitivities!$C$1392)</f>
        <v/>
      </c>
      <c r="L1439" s="23">
        <f>IF(L$4&lt;=Sensitivities!$C$1388+i_opco_tenor,Sensitivities!$C$1412,Sensitivities!$C$1412+Sensitivities!$C$1392)</f>
        <v/>
      </c>
      <c r="M1439" s="23">
        <f>IF(M$4&lt;=Sensitivities!$C$1388+i_opco_tenor,Sensitivities!$C$1412,Sensitivities!$C$1412+Sensitivities!$C$1392)</f>
        <v/>
      </c>
      <c r="N1439" s="23">
        <f>IF(N$4&lt;=Sensitivities!$C$1388+i_opco_tenor,Sensitivities!$C$1412,Sensitivities!$C$1412+Sensitivities!$C$1392)</f>
        <v/>
      </c>
      <c r="O1439" s="23">
        <f>IF(O$4&lt;=Sensitivities!$C$1388+i_opco_tenor,Sensitivities!$C$1412,Sensitivities!$C$1412+Sensitivities!$C$1392)</f>
        <v/>
      </c>
      <c r="P1439" s="23">
        <f>IF(P$4&lt;=Sensitivities!$C$1388+i_opco_tenor,Sensitivities!$C$1412,Sensitivities!$C$1412+Sensitivities!$C$1392)</f>
        <v/>
      </c>
      <c r="Q1439" s="23">
        <f>IF(Q$4&lt;=Sensitivities!$C$1388+i_opco_tenor,Sensitivities!$C$1412,Sensitivities!$C$1412+Sensitivities!$C$1392)</f>
        <v/>
      </c>
      <c r="R1439" s="23">
        <f>IF(R$4&lt;=Sensitivities!$C$1388+i_opco_tenor,Sensitivities!$C$1412,Sensitivities!$C$1412+Sensitivities!$C$1392)</f>
        <v/>
      </c>
      <c r="S1439" s="23">
        <f>IF(S$4&lt;=Sensitivities!$C$1388+i_opco_tenor,Sensitivities!$C$1412,Sensitivities!$C$1412+Sensitivities!$C$1392)</f>
        <v/>
      </c>
      <c r="T1439" s="23">
        <f>IF(T$4&lt;=Sensitivities!$C$1388+i_opco_tenor,Sensitivities!$C$1412,Sensitivities!$C$1412+Sensitivities!$C$1392)</f>
        <v/>
      </c>
      <c r="U1439" s="23">
        <f>IF(U$4&lt;=Sensitivities!$C$1388+i_opco_tenor,Sensitivities!$C$1412,Sensitivities!$C$1412+Sensitivities!$C$1392)</f>
        <v/>
      </c>
      <c r="V1439" s="23">
        <f>IF(V$4&lt;=Sensitivities!$C$1388+i_opco_tenor,Sensitivities!$C$1412,Sensitivities!$C$1412+Sensitivities!$C$1392)</f>
        <v/>
      </c>
      <c r="W1439" s="23">
        <f>IF(W$4&lt;=Sensitivities!$C$1388+i_opco_tenor,Sensitivities!$C$1412,Sensitivities!$C$1412+Sensitivities!$C$1392)</f>
        <v/>
      </c>
      <c r="X1439" s="23">
        <f>IF(X$4&lt;=Sensitivities!$C$1388+i_opco_tenor,Sensitivities!$C$1412,Sensitivities!$C$1412+Sensitivities!$C$1392)</f>
        <v/>
      </c>
      <c r="Y1439" s="23">
        <f>IF(Y$4&lt;=Sensitivities!$C$1388+i_opco_tenor,Sensitivities!$C$1412,Sensitivities!$C$1412+Sensitivities!$C$1392)</f>
        <v/>
      </c>
      <c r="Z1439" s="23">
        <f>IF(Z$4&lt;=Sensitivities!$C$1388+i_opco_tenor,Sensitivities!$C$1412,Sensitivities!$C$1412+Sensitivities!$C$1392)</f>
        <v/>
      </c>
      <c r="AA1439" s="23">
        <f>IF(AA$4&lt;=Sensitivities!$C$1388+i_opco_tenor,Sensitivities!$C$1412,Sensitivities!$C$1412+Sensitivities!$C$1392)</f>
        <v/>
      </c>
      <c r="AB1439" s="23">
        <f>IF(AB$4&lt;=Sensitivities!$C$1388+i_opco_tenor,Sensitivities!$C$1412,Sensitivities!$C$1412+Sensitivities!$C$1392)</f>
        <v/>
      </c>
      <c r="AC1439" s="23">
        <f>IF(AC$4&lt;=Sensitivities!$C$1388+i_opco_tenor,Sensitivities!$C$1412,Sensitivities!$C$1412+Sensitivities!$C$1392)</f>
        <v/>
      </c>
      <c r="AD1439" s="23">
        <f>IF(AD$4&lt;=Sensitivities!$C$1388+i_opco_tenor,Sensitivities!$C$1412,Sensitivities!$C$1412+Sensitivities!$C$1392)</f>
        <v/>
      </c>
      <c r="AE1439" s="23">
        <f>IF(AE$4&lt;=Sensitivities!$C$1388+i_opco_tenor,Sensitivities!$C$1412,Sensitivities!$C$1412+Sensitivities!$C$1392)</f>
        <v/>
      </c>
      <c r="AF1439" s="23">
        <f>IF(AF$4&lt;=Sensitivities!$C$1388+i_opco_tenor,Sensitivities!$C$1412,Sensitivities!$C$1412+Sensitivities!$C$1392)</f>
        <v/>
      </c>
      <c r="AG1439" s="23">
        <f>IF(AG$4&lt;=Sensitivities!$C$1388+i_opco_tenor,Sensitivities!$C$1412,Sensitivities!$C$1412+Sensitivities!$C$1392)</f>
        <v/>
      </c>
      <c r="AH1439" s="23">
        <f>IF(AH$4&lt;=Sensitivities!$C$1388+i_opco_tenor,Sensitivities!$C$1412,Sensitivities!$C$1412+Sensitivities!$C$1392)</f>
        <v/>
      </c>
      <c r="AI1439" s="23">
        <f>IF(AI$4&lt;=Sensitivities!$C$1388+i_opco_tenor,Sensitivities!$C$1412,Sensitivities!$C$1412+Sensitivities!$C$1392)</f>
        <v/>
      </c>
    </row>
    <row r="1440">
      <c r="B1440" s="2" t="inlineStr">
        <is>
          <t>Interest (opco and holdco)</t>
        </is>
      </c>
      <c r="D1440" s="19">
        <f>D1439*Sensitivities!$C$1414+i_hold_rate*Sensitivities!$C$1415</f>
        <v/>
      </c>
      <c r="E1440" s="19">
        <f>E1439*Sensitivities!$C$1414+i_hold_rate*Sensitivities!$C$1415</f>
        <v/>
      </c>
      <c r="F1440" s="19">
        <f>F1439*Sensitivities!$C$1414+i_hold_rate*Sensitivities!$C$1415</f>
        <v/>
      </c>
      <c r="G1440" s="19">
        <f>G1439*Sensitivities!$C$1414+i_hold_rate*Sensitivities!$C$1415</f>
        <v/>
      </c>
      <c r="H1440" s="19">
        <f>H1439*Sensitivities!$C$1414+i_hold_rate*Sensitivities!$C$1415</f>
        <v/>
      </c>
      <c r="I1440" s="19">
        <f>I1439*Sensitivities!$C$1414+i_hold_rate*Sensitivities!$C$1415</f>
        <v/>
      </c>
      <c r="J1440" s="19">
        <f>J1439*Sensitivities!$C$1414+i_hold_rate*Sensitivities!$C$1415</f>
        <v/>
      </c>
      <c r="K1440" s="19">
        <f>K1439*Sensitivities!$C$1414+i_hold_rate*Sensitivities!$C$1415</f>
        <v/>
      </c>
      <c r="L1440" s="19">
        <f>L1439*Sensitivities!$C$1414+i_hold_rate*Sensitivities!$C$1415</f>
        <v/>
      </c>
      <c r="M1440" s="19">
        <f>M1439*Sensitivities!$C$1414+i_hold_rate*Sensitivities!$C$1415</f>
        <v/>
      </c>
      <c r="N1440" s="19">
        <f>N1439*Sensitivities!$C$1414+i_hold_rate*Sensitivities!$C$1415</f>
        <v/>
      </c>
      <c r="O1440" s="19">
        <f>O1439*Sensitivities!$C$1414+i_hold_rate*Sensitivities!$C$1415</f>
        <v/>
      </c>
      <c r="P1440" s="19">
        <f>P1439*Sensitivities!$C$1414+i_hold_rate*Sensitivities!$C$1415</f>
        <v/>
      </c>
      <c r="Q1440" s="19">
        <f>Q1439*Sensitivities!$C$1414+i_hold_rate*Sensitivities!$C$1415</f>
        <v/>
      </c>
      <c r="R1440" s="19">
        <f>R1439*Sensitivities!$C$1414+i_hold_rate*Sensitivities!$C$1415</f>
        <v/>
      </c>
      <c r="S1440" s="19">
        <f>S1439*Sensitivities!$C$1414+i_hold_rate*Sensitivities!$C$1415</f>
        <v/>
      </c>
      <c r="T1440" s="19">
        <f>T1439*Sensitivities!$C$1414+i_hold_rate*Sensitivities!$C$1415</f>
        <v/>
      </c>
      <c r="U1440" s="19">
        <f>U1439*Sensitivities!$C$1414+i_hold_rate*Sensitivities!$C$1415</f>
        <v/>
      </c>
      <c r="V1440" s="19">
        <f>V1439*Sensitivities!$C$1414+i_hold_rate*Sensitivities!$C$1415</f>
        <v/>
      </c>
      <c r="W1440" s="19">
        <f>W1439*Sensitivities!$C$1414+i_hold_rate*Sensitivities!$C$1415</f>
        <v/>
      </c>
      <c r="X1440" s="19">
        <f>X1439*Sensitivities!$C$1414+i_hold_rate*Sensitivities!$C$1415</f>
        <v/>
      </c>
      <c r="Y1440" s="19">
        <f>Y1439*Sensitivities!$C$1414+i_hold_rate*Sensitivities!$C$1415</f>
        <v/>
      </c>
      <c r="Z1440" s="19">
        <f>Z1439*Sensitivities!$C$1414+i_hold_rate*Sensitivities!$C$1415</f>
        <v/>
      </c>
      <c r="AA1440" s="19">
        <f>AA1439*Sensitivities!$C$1414+i_hold_rate*Sensitivities!$C$1415</f>
        <v/>
      </c>
      <c r="AB1440" s="19">
        <f>AB1439*Sensitivities!$C$1414+i_hold_rate*Sensitivities!$C$1415</f>
        <v/>
      </c>
      <c r="AC1440" s="19">
        <f>AC1439*Sensitivities!$C$1414+i_hold_rate*Sensitivities!$C$1415</f>
        <v/>
      </c>
      <c r="AD1440" s="19">
        <f>AD1439*Sensitivities!$C$1414+i_hold_rate*Sensitivities!$C$1415</f>
        <v/>
      </c>
      <c r="AE1440" s="19">
        <f>AE1439*Sensitivities!$C$1414+i_hold_rate*Sensitivities!$C$1415</f>
        <v/>
      </c>
      <c r="AF1440" s="19">
        <f>AF1439*Sensitivities!$C$1414+i_hold_rate*Sensitivities!$C$1415</f>
        <v/>
      </c>
      <c r="AG1440" s="19">
        <f>AG1439*Sensitivities!$C$1414+i_hold_rate*Sensitivities!$C$1415</f>
        <v/>
      </c>
      <c r="AH1440" s="19">
        <f>AH1439*Sensitivities!$C$1414+i_hold_rate*Sensitivities!$C$1415</f>
        <v/>
      </c>
      <c r="AI1440" s="19">
        <f>AI1439*Sensitivities!$C$1414+i_hold_rate*Sensitivities!$C$1415</f>
        <v/>
      </c>
    </row>
    <row r="1441">
      <c r="B1441" s="2" t="inlineStr">
        <is>
          <t>Deductible interest (cap on EBITDA)</t>
        </is>
      </c>
      <c r="D1441" s="19">
        <f>MIN(D1440,i_int_cap*Diligence!D139)</f>
        <v/>
      </c>
      <c r="E1441" s="19">
        <f>MIN(E1440,i_int_cap*Diligence!E139)</f>
        <v/>
      </c>
      <c r="F1441" s="19">
        <f>MIN(F1440,i_int_cap*Diligence!F139)</f>
        <v/>
      </c>
      <c r="G1441" s="19">
        <f>MIN(G1440,i_int_cap*Diligence!G139)</f>
        <v/>
      </c>
      <c r="H1441" s="19">
        <f>MIN(H1440,i_int_cap*Diligence!H139)</f>
        <v/>
      </c>
      <c r="I1441" s="19">
        <f>MIN(I1440,i_int_cap*Diligence!I139)</f>
        <v/>
      </c>
      <c r="J1441" s="19">
        <f>MIN(J1440,i_int_cap*Diligence!J139)</f>
        <v/>
      </c>
      <c r="K1441" s="19">
        <f>MIN(K1440,i_int_cap*Diligence!K139)</f>
        <v/>
      </c>
      <c r="L1441" s="19">
        <f>MIN(L1440,i_int_cap*Diligence!L139)</f>
        <v/>
      </c>
      <c r="M1441" s="19">
        <f>MIN(M1440,i_int_cap*Diligence!M139)</f>
        <v/>
      </c>
      <c r="N1441" s="19">
        <f>MIN(N1440,i_int_cap*Diligence!N139)</f>
        <v/>
      </c>
      <c r="O1441" s="19">
        <f>MIN(O1440,i_int_cap*Diligence!O139)</f>
        <v/>
      </c>
      <c r="P1441" s="19">
        <f>MIN(P1440,i_int_cap*Diligence!P139)</f>
        <v/>
      </c>
      <c r="Q1441" s="19">
        <f>MIN(Q1440,i_int_cap*Diligence!Q139)</f>
        <v/>
      </c>
      <c r="R1441" s="19">
        <f>MIN(R1440,i_int_cap*Diligence!R139)</f>
        <v/>
      </c>
      <c r="S1441" s="19">
        <f>MIN(S1440,i_int_cap*Diligence!S139)</f>
        <v/>
      </c>
      <c r="T1441" s="19">
        <f>MIN(T1440,i_int_cap*Diligence!T139)</f>
        <v/>
      </c>
      <c r="U1441" s="19">
        <f>MIN(U1440,i_int_cap*Diligence!U139)</f>
        <v/>
      </c>
      <c r="V1441" s="19">
        <f>MIN(V1440,i_int_cap*Diligence!V139)</f>
        <v/>
      </c>
      <c r="W1441" s="19">
        <f>MIN(W1440,i_int_cap*Diligence!W139)</f>
        <v/>
      </c>
      <c r="X1441" s="19">
        <f>MIN(X1440,i_int_cap*Diligence!X139)</f>
        <v/>
      </c>
      <c r="Y1441" s="19">
        <f>MIN(Y1440,i_int_cap*Diligence!Y139)</f>
        <v/>
      </c>
      <c r="Z1441" s="19">
        <f>MIN(Z1440,i_int_cap*Diligence!Z139)</f>
        <v/>
      </c>
      <c r="AA1441" s="19">
        <f>MIN(AA1440,i_int_cap*Diligence!AA139)</f>
        <v/>
      </c>
      <c r="AB1441" s="19">
        <f>MIN(AB1440,i_int_cap*Diligence!AB139)</f>
        <v/>
      </c>
      <c r="AC1441" s="19">
        <f>MIN(AC1440,i_int_cap*Diligence!AC139)</f>
        <v/>
      </c>
      <c r="AD1441" s="19">
        <f>MIN(AD1440,i_int_cap*Diligence!AD139)</f>
        <v/>
      </c>
      <c r="AE1441" s="19">
        <f>MIN(AE1440,i_int_cap*Diligence!AE139)</f>
        <v/>
      </c>
      <c r="AF1441" s="19">
        <f>MIN(AF1440,i_int_cap*Diligence!AF139)</f>
        <v/>
      </c>
      <c r="AG1441" s="19">
        <f>MIN(AG1440,i_int_cap*Diligence!AG139)</f>
        <v/>
      </c>
      <c r="AH1441" s="19">
        <f>MIN(AH1440,i_int_cap*Diligence!AH139)</f>
        <v/>
      </c>
      <c r="AI1441" s="19">
        <f>MIN(AI1440,i_int_cap*Diligence!AI139)</f>
        <v/>
      </c>
    </row>
    <row r="1442">
      <c r="B1442" s="2" t="inlineStr">
        <is>
          <t>Cash tax with the debt</t>
        </is>
      </c>
      <c r="D1442" s="19">
        <f>i_tax*MAX(0,Diligence!D139-Diligence!D142-D1441)</f>
        <v/>
      </c>
      <c r="E1442" s="19">
        <f>i_tax*MAX(0,Diligence!E139-Diligence!E142-E1441)</f>
        <v/>
      </c>
      <c r="F1442" s="19">
        <f>i_tax*MAX(0,Diligence!F139-Diligence!F142-F1441)</f>
        <v/>
      </c>
      <c r="G1442" s="19">
        <f>i_tax*MAX(0,Diligence!G139-Diligence!G142-G1441)</f>
        <v/>
      </c>
      <c r="H1442" s="19">
        <f>i_tax*MAX(0,Diligence!H139-Diligence!H142-H1441)</f>
        <v/>
      </c>
      <c r="I1442" s="19">
        <f>i_tax*MAX(0,Diligence!I139-Diligence!I142-I1441)</f>
        <v/>
      </c>
      <c r="J1442" s="19">
        <f>i_tax*MAX(0,Diligence!J139-Diligence!J142-J1441)</f>
        <v/>
      </c>
      <c r="K1442" s="19">
        <f>i_tax*MAX(0,Diligence!K139-Diligence!K142-K1441)</f>
        <v/>
      </c>
      <c r="L1442" s="19">
        <f>i_tax*MAX(0,Diligence!L139-Diligence!L142-L1441)</f>
        <v/>
      </c>
      <c r="M1442" s="19">
        <f>i_tax*MAX(0,Diligence!M139-Diligence!M142-M1441)</f>
        <v/>
      </c>
      <c r="N1442" s="19">
        <f>i_tax*MAX(0,Diligence!N139-Diligence!N142-N1441)</f>
        <v/>
      </c>
      <c r="O1442" s="19">
        <f>i_tax*MAX(0,Diligence!O139-Diligence!O142-O1441)</f>
        <v/>
      </c>
      <c r="P1442" s="19">
        <f>i_tax*MAX(0,Diligence!P139-Diligence!P142-P1441)</f>
        <v/>
      </c>
      <c r="Q1442" s="19">
        <f>i_tax*MAX(0,Diligence!Q139-Diligence!Q142-Q1441)</f>
        <v/>
      </c>
      <c r="R1442" s="19">
        <f>i_tax*MAX(0,Diligence!R139-Diligence!R142-R1441)</f>
        <v/>
      </c>
      <c r="S1442" s="19">
        <f>i_tax*MAX(0,Diligence!S139-Diligence!S142-S1441)</f>
        <v/>
      </c>
      <c r="T1442" s="19">
        <f>i_tax*MAX(0,Diligence!T139-Diligence!T142-T1441)</f>
        <v/>
      </c>
      <c r="U1442" s="19">
        <f>i_tax*MAX(0,Diligence!U139-Diligence!U142-U1441)</f>
        <v/>
      </c>
      <c r="V1442" s="19">
        <f>i_tax*MAX(0,Diligence!V139-Diligence!V142-V1441)</f>
        <v/>
      </c>
      <c r="W1442" s="19">
        <f>i_tax*MAX(0,Diligence!W139-Diligence!W142-W1441)</f>
        <v/>
      </c>
      <c r="X1442" s="19">
        <f>i_tax*MAX(0,Diligence!X139-Diligence!X142-X1441)</f>
        <v/>
      </c>
      <c r="Y1442" s="19">
        <f>i_tax*MAX(0,Diligence!Y139-Diligence!Y142-Y1441)</f>
        <v/>
      </c>
      <c r="Z1442" s="19">
        <f>i_tax*MAX(0,Diligence!Z139-Diligence!Z142-Z1441)</f>
        <v/>
      </c>
      <c r="AA1442" s="19">
        <f>i_tax*MAX(0,Diligence!AA139-Diligence!AA142-AA1441)</f>
        <v/>
      </c>
      <c r="AB1442" s="19">
        <f>i_tax*MAX(0,Diligence!AB139-Diligence!AB142-AB1441)</f>
        <v/>
      </c>
      <c r="AC1442" s="19">
        <f>i_tax*MAX(0,Diligence!AC139-Diligence!AC142-AC1441)</f>
        <v/>
      </c>
      <c r="AD1442" s="19">
        <f>i_tax*MAX(0,Diligence!AD139-Diligence!AD142-AD1441)</f>
        <v/>
      </c>
      <c r="AE1442" s="19">
        <f>i_tax*MAX(0,Diligence!AE139-Diligence!AE142-AE1441)</f>
        <v/>
      </c>
      <c r="AF1442" s="19">
        <f>i_tax*MAX(0,Diligence!AF139-Diligence!AF142-AF1441)</f>
        <v/>
      </c>
      <c r="AG1442" s="19">
        <f>i_tax*MAX(0,Diligence!AG139-Diligence!AG142-AG1441)</f>
        <v/>
      </c>
      <c r="AH1442" s="19">
        <f>i_tax*MAX(0,Diligence!AH139-Diligence!AH142-AH1441)</f>
        <v/>
      </c>
      <c r="AI1442" s="19">
        <f>i_tax*MAX(0,Diligence!AI139-Diligence!AI142-AI1441)</f>
        <v/>
      </c>
    </row>
    <row r="1443">
      <c r="B1443" s="3" t="inlineStr">
        <is>
          <t>Cash flow to equity (full year)</t>
        </is>
      </c>
      <c r="D1443" s="31">
        <f>Diligence!D139-Diligence!D140-Diligence!D141-D1442-D1440-Diligence!D144</f>
        <v/>
      </c>
      <c r="E1443" s="31">
        <f>Diligence!E139-Diligence!E140-Diligence!E141-E1442-E1440-Diligence!E144</f>
        <v/>
      </c>
      <c r="F1443" s="31">
        <f>Diligence!F139-Diligence!F140-Diligence!F141-F1442-F1440-Diligence!F144</f>
        <v/>
      </c>
      <c r="G1443" s="31">
        <f>Diligence!G139-Diligence!G140-Diligence!G141-G1442-G1440-Diligence!G144</f>
        <v/>
      </c>
      <c r="H1443" s="31">
        <f>Diligence!H139-Diligence!H140-Diligence!H141-H1442-H1440-Diligence!H144</f>
        <v/>
      </c>
      <c r="I1443" s="31">
        <f>Diligence!I139-Diligence!I140-Diligence!I141-I1442-I1440-Diligence!I144</f>
        <v/>
      </c>
      <c r="J1443" s="31">
        <f>Diligence!J139-Diligence!J140-Diligence!J141-J1442-J1440-Diligence!J144</f>
        <v/>
      </c>
      <c r="K1443" s="31">
        <f>Diligence!K139-Diligence!K140-Diligence!K141-K1442-K1440-Diligence!K144</f>
        <v/>
      </c>
      <c r="L1443" s="31">
        <f>Diligence!L139-Diligence!L140-Diligence!L141-L1442-L1440-Diligence!L144</f>
        <v/>
      </c>
      <c r="M1443" s="31">
        <f>Diligence!M139-Diligence!M140-Diligence!M141-M1442-M1440-Diligence!M144</f>
        <v/>
      </c>
      <c r="N1443" s="31">
        <f>Diligence!N139-Diligence!N140-Diligence!N141-N1442-N1440-Diligence!N144</f>
        <v/>
      </c>
      <c r="O1443" s="31">
        <f>Diligence!O139-Diligence!O140-Diligence!O141-O1442-O1440-Diligence!O144</f>
        <v/>
      </c>
      <c r="P1443" s="31">
        <f>Diligence!P139-Diligence!P140-Diligence!P141-P1442-P1440-Diligence!P144</f>
        <v/>
      </c>
      <c r="Q1443" s="31">
        <f>Diligence!Q139-Diligence!Q140-Diligence!Q141-Q1442-Q1440-Diligence!Q144</f>
        <v/>
      </c>
      <c r="R1443" s="31">
        <f>Diligence!R139-Diligence!R140-Diligence!R141-R1442-R1440-Diligence!R144</f>
        <v/>
      </c>
      <c r="S1443" s="31">
        <f>Diligence!S139-Diligence!S140-Diligence!S141-S1442-S1440-Diligence!S144</f>
        <v/>
      </c>
      <c r="T1443" s="31">
        <f>Diligence!T139-Diligence!T140-Diligence!T141-T1442-T1440-Diligence!T144</f>
        <v/>
      </c>
      <c r="U1443" s="31">
        <f>Diligence!U139-Diligence!U140-Diligence!U141-U1442-U1440-Diligence!U144</f>
        <v/>
      </c>
      <c r="V1443" s="31">
        <f>Diligence!V139-Diligence!V140-Diligence!V141-V1442-V1440-Diligence!V144</f>
        <v/>
      </c>
      <c r="W1443" s="31">
        <f>Diligence!W139-Diligence!W140-Diligence!W141-W1442-W1440-Diligence!W144</f>
        <v/>
      </c>
      <c r="X1443" s="31">
        <f>Diligence!X139-Diligence!X140-Diligence!X141-X1442-X1440-Diligence!X144</f>
        <v/>
      </c>
      <c r="Y1443" s="31">
        <f>Diligence!Y139-Diligence!Y140-Diligence!Y141-Y1442-Y1440-Diligence!Y144</f>
        <v/>
      </c>
      <c r="Z1443" s="31">
        <f>Diligence!Z139-Diligence!Z140-Diligence!Z141-Z1442-Z1440-Diligence!Z144</f>
        <v/>
      </c>
      <c r="AA1443" s="31">
        <f>Diligence!AA139-Diligence!AA140-Diligence!AA141-AA1442-AA1440-Diligence!AA144</f>
        <v/>
      </c>
      <c r="AB1443" s="31">
        <f>Diligence!AB139-Diligence!AB140-Diligence!AB141-AB1442-AB1440-Diligence!AB144</f>
        <v/>
      </c>
      <c r="AC1443" s="31">
        <f>Diligence!AC139-Diligence!AC140-Diligence!AC141-AC1442-AC1440-Diligence!AC144</f>
        <v/>
      </c>
      <c r="AD1443" s="31">
        <f>Diligence!AD139-Diligence!AD140-Diligence!AD141-AD1442-AD1440-Diligence!AD144</f>
        <v/>
      </c>
      <c r="AE1443" s="31">
        <f>Diligence!AE139-Diligence!AE140-Diligence!AE141-AE1442-AE1440-Diligence!AE144</f>
        <v/>
      </c>
      <c r="AF1443" s="31">
        <f>Diligence!AF139-Diligence!AF140-Diligence!AF141-AF1442-AF1440-Diligence!AF144</f>
        <v/>
      </c>
      <c r="AG1443" s="31">
        <f>Diligence!AG139-Diligence!AG140-Diligence!AG141-AG1442-AG1440-Diligence!AG144</f>
        <v/>
      </c>
      <c r="AH1443" s="31">
        <f>Diligence!AH139-Diligence!AH140-Diligence!AH141-AH1442-AH1440-Diligence!AH144</f>
        <v/>
      </c>
      <c r="AI1443" s="31">
        <f>Diligence!AI139-Diligence!AI140-Diligence!AI141-AI1442-AI1440-Diligence!AI144</f>
        <v/>
      </c>
    </row>
    <row r="1444">
      <c r="B1444" s="2" t="inlineStr">
        <is>
          <t>Exit EV at the end of the exit year (DCF at the exit rate)</t>
        </is>
      </c>
      <c r="C1444" s="19">
        <f>SUMPRODUCT((Sensitivities!$D$3:$AI$3&gt;i_exit_year)*(Sensitivities!$D$3:$AI$3&lt;=i_last)*Diligence!$D$145:$AI$145/(1+Sensitivities!$C$1391)^(Sensitivities!$D$3:$AI$3-i_exit_year))+Diligence!$AI$145/(Sensitivities!$C$1391-i_g)/(1+Sensitivities!$C$1391)^(i_last-i_exit_year)</f>
        <v/>
      </c>
    </row>
    <row r="1445">
      <c r="B1445" s="2" t="inlineStr">
        <is>
          <t>Debt at exit (bullets)</t>
        </is>
      </c>
      <c r="C1445" s="19">
        <f>Sensitivities!$C$1414+Sensitivities!$C$1415</f>
        <v/>
      </c>
    </row>
    <row r="1446">
      <c r="B1446" s="3" t="inlineStr">
        <is>
          <t>Equity value at exit</t>
        </is>
      </c>
      <c r="C1446" s="31">
        <f>Sensitivities!$C$1444-Sensitivities!$C$1445</f>
        <v/>
      </c>
    </row>
    <row r="1447">
      <c r="B1447" s="2" t="inlineStr">
        <is>
          <t>Minority option: EV at the end of 2031 (minority buyer's rate)</t>
        </is>
      </c>
      <c r="C1447" s="19">
        <f>SUMPRODUCT((Sensitivities!$D$3:$AI$3&gt;i_min_year)*(Sensitivities!$D$3:$AI$3&lt;=i_last)*Diligence!$D$145:$AI$145/(1+i_min_r)^(Sensitivities!$D$3:$AI$3-i_min_year))+Diligence!$AI$145/(i_min_r-i_g)/(1+i_min_r)^(i_last-i_min_year)</f>
        <v/>
      </c>
    </row>
    <row r="1448">
      <c r="B1448" s="2" t="inlineStr">
        <is>
          <t>Minority option: equity value in 2031</t>
        </is>
      </c>
      <c r="C1448" s="19">
        <f>Sensitivities!$C$1447-Sensitivities!$C$1445</f>
        <v/>
      </c>
    </row>
    <row r="1449">
      <c r="B1449" s="2" t="inlineStr">
        <is>
          <t>Minority option: proceeds of the 49 percent sold</t>
        </is>
      </c>
      <c r="C1449" s="19">
        <f>Sensitivities!$C$1390*i_min_share*Sensitivities!$C$1448*(1-i_min_disc)</f>
        <v/>
      </c>
    </row>
    <row r="1450">
      <c r="B1450" s="4" t="inlineStr">
        <is>
          <t>Time of each flow (years after 31 December 2026)</t>
        </is>
      </c>
      <c r="D1450" s="28">
        <f>D$4</f>
        <v/>
      </c>
      <c r="E1450" s="28">
        <f>E$4</f>
        <v/>
      </c>
      <c r="F1450" s="28">
        <f>F$4</f>
        <v/>
      </c>
      <c r="G1450" s="28">
        <f>G$4</f>
        <v/>
      </c>
      <c r="H1450" s="28">
        <f>H$4</f>
        <v/>
      </c>
      <c r="I1450" s="28">
        <f>I$4</f>
        <v/>
      </c>
      <c r="J1450" s="28">
        <f>J$4</f>
        <v/>
      </c>
      <c r="K1450" s="28">
        <f>K$4</f>
        <v/>
      </c>
      <c r="L1450" s="28">
        <f>L$4</f>
        <v/>
      </c>
      <c r="M1450" s="28">
        <f>M$4</f>
        <v/>
      </c>
      <c r="N1450" s="28">
        <f>N$4</f>
        <v/>
      </c>
      <c r="O1450" s="28">
        <f>O$4</f>
        <v/>
      </c>
      <c r="P1450" s="28">
        <f>P$4</f>
        <v/>
      </c>
      <c r="Q1450" s="28">
        <f>Q$4</f>
        <v/>
      </c>
      <c r="R1450" s="28">
        <f>R$4</f>
        <v/>
      </c>
      <c r="S1450" s="28">
        <f>S$4</f>
        <v/>
      </c>
      <c r="T1450" s="28">
        <f>T$4</f>
        <v/>
      </c>
      <c r="U1450" s="28">
        <f>U$4</f>
        <v/>
      </c>
      <c r="V1450" s="28">
        <f>V$4</f>
        <v/>
      </c>
      <c r="W1450" s="28">
        <f>W$4</f>
        <v/>
      </c>
      <c r="X1450" s="28">
        <f>X$4</f>
        <v/>
      </c>
      <c r="Y1450" s="28">
        <f>Y$4</f>
        <v/>
      </c>
      <c r="Z1450" s="28">
        <f>Z$4</f>
        <v/>
      </c>
      <c r="AA1450" s="28">
        <f>AA$4</f>
        <v/>
      </c>
      <c r="AB1450" s="28">
        <f>AB$4</f>
        <v/>
      </c>
      <c r="AC1450" s="28">
        <f>AC$4</f>
        <v/>
      </c>
      <c r="AD1450" s="28">
        <f>AD$4</f>
        <v/>
      </c>
      <c r="AE1450" s="28">
        <f>AE$4</f>
        <v/>
      </c>
      <c r="AF1450" s="28">
        <f>AF$4</f>
        <v/>
      </c>
      <c r="AG1450" s="28">
        <f>AG$4</f>
        <v/>
      </c>
      <c r="AH1450" s="28">
        <f>AH$4</f>
        <v/>
      </c>
      <c r="AI1450" s="28">
        <f>AI$4</f>
        <v/>
      </c>
      <c r="AJ1450" s="28">
        <f>Sensitivities!$C$1388</f>
        <v/>
      </c>
      <c r="AK1450" s="28">
        <f>i_min_year-i_base_year</f>
        <v/>
      </c>
      <c r="AL1450" s="28">
        <f>i_exit_year-i_base_year</f>
        <v/>
      </c>
    </row>
    <row r="1451">
      <c r="B1451" s="3" t="inlineStr">
        <is>
          <t>Levered flows (equity)</t>
        </is>
      </c>
      <c r="D1451" s="31">
        <f>D1438*D1443*IF(AND(Sensitivities!$C$1390=1,D1450&gt;$AK$1450+1E-9),1-i_min_share,1)</f>
        <v/>
      </c>
      <c r="E1451" s="31">
        <f>E1438*E1443*IF(AND(Sensitivities!$C$1390=1,E1450&gt;$AK$1450+1E-9),1-i_min_share,1)</f>
        <v/>
      </c>
      <c r="F1451" s="31">
        <f>F1438*F1443*IF(AND(Sensitivities!$C$1390=1,F1450&gt;$AK$1450+1E-9),1-i_min_share,1)</f>
        <v/>
      </c>
      <c r="G1451" s="31">
        <f>G1438*G1443*IF(AND(Sensitivities!$C$1390=1,G1450&gt;$AK$1450+1E-9),1-i_min_share,1)</f>
        <v/>
      </c>
      <c r="H1451" s="31">
        <f>H1438*H1443*IF(AND(Sensitivities!$C$1390=1,H1450&gt;$AK$1450+1E-9),1-i_min_share,1)</f>
        <v/>
      </c>
      <c r="I1451" s="31">
        <f>I1438*I1443*IF(AND(Sensitivities!$C$1390=1,I1450&gt;$AK$1450+1E-9),1-i_min_share,1)</f>
        <v/>
      </c>
      <c r="J1451" s="31">
        <f>J1438*J1443*IF(AND(Sensitivities!$C$1390=1,J1450&gt;$AK$1450+1E-9),1-i_min_share,1)</f>
        <v/>
      </c>
      <c r="K1451" s="31">
        <f>K1438*K1443*IF(AND(Sensitivities!$C$1390=1,K1450&gt;$AK$1450+1E-9),1-i_min_share,1)</f>
        <v/>
      </c>
      <c r="L1451" s="31">
        <f>L1438*L1443*IF(AND(Sensitivities!$C$1390=1,L1450&gt;$AK$1450+1E-9),1-i_min_share,1)</f>
        <v/>
      </c>
      <c r="M1451" s="31">
        <f>M1438*M1443*IF(AND(Sensitivities!$C$1390=1,M1450&gt;$AK$1450+1E-9),1-i_min_share,1)</f>
        <v/>
      </c>
      <c r="N1451" s="31">
        <f>N1438*N1443*IF(AND(Sensitivities!$C$1390=1,N1450&gt;$AK$1450+1E-9),1-i_min_share,1)</f>
        <v/>
      </c>
      <c r="O1451" s="31">
        <f>O1438*O1443*IF(AND(Sensitivities!$C$1390=1,O1450&gt;$AK$1450+1E-9),1-i_min_share,1)</f>
        <v/>
      </c>
      <c r="P1451" s="31">
        <f>P1438*P1443*IF(AND(Sensitivities!$C$1390=1,P1450&gt;$AK$1450+1E-9),1-i_min_share,1)</f>
        <v/>
      </c>
      <c r="Q1451" s="31">
        <f>Q1438*Q1443*IF(AND(Sensitivities!$C$1390=1,Q1450&gt;$AK$1450+1E-9),1-i_min_share,1)</f>
        <v/>
      </c>
      <c r="R1451" s="31">
        <f>R1438*R1443*IF(AND(Sensitivities!$C$1390=1,R1450&gt;$AK$1450+1E-9),1-i_min_share,1)</f>
        <v/>
      </c>
      <c r="S1451" s="31">
        <f>S1438*S1443*IF(AND(Sensitivities!$C$1390=1,S1450&gt;$AK$1450+1E-9),1-i_min_share,1)</f>
        <v/>
      </c>
      <c r="T1451" s="31">
        <f>T1438*T1443*IF(AND(Sensitivities!$C$1390=1,T1450&gt;$AK$1450+1E-9),1-i_min_share,1)</f>
        <v/>
      </c>
      <c r="U1451" s="31">
        <f>U1438*U1443*IF(AND(Sensitivities!$C$1390=1,U1450&gt;$AK$1450+1E-9),1-i_min_share,1)</f>
        <v/>
      </c>
      <c r="V1451" s="31">
        <f>V1438*V1443*IF(AND(Sensitivities!$C$1390=1,V1450&gt;$AK$1450+1E-9),1-i_min_share,1)</f>
        <v/>
      </c>
      <c r="W1451" s="31">
        <f>W1438*W1443*IF(AND(Sensitivities!$C$1390=1,W1450&gt;$AK$1450+1E-9),1-i_min_share,1)</f>
        <v/>
      </c>
      <c r="X1451" s="31">
        <f>X1438*X1443*IF(AND(Sensitivities!$C$1390=1,X1450&gt;$AK$1450+1E-9),1-i_min_share,1)</f>
        <v/>
      </c>
      <c r="Y1451" s="31">
        <f>Y1438*Y1443*IF(AND(Sensitivities!$C$1390=1,Y1450&gt;$AK$1450+1E-9),1-i_min_share,1)</f>
        <v/>
      </c>
      <c r="Z1451" s="31">
        <f>Z1438*Z1443*IF(AND(Sensitivities!$C$1390=1,Z1450&gt;$AK$1450+1E-9),1-i_min_share,1)</f>
        <v/>
      </c>
      <c r="AA1451" s="31">
        <f>AA1438*AA1443*IF(AND(Sensitivities!$C$1390=1,AA1450&gt;$AK$1450+1E-9),1-i_min_share,1)</f>
        <v/>
      </c>
      <c r="AB1451" s="31">
        <f>AB1438*AB1443*IF(AND(Sensitivities!$C$1390=1,AB1450&gt;$AK$1450+1E-9),1-i_min_share,1)</f>
        <v/>
      </c>
      <c r="AC1451" s="31">
        <f>AC1438*AC1443*IF(AND(Sensitivities!$C$1390=1,AC1450&gt;$AK$1450+1E-9),1-i_min_share,1)</f>
        <v/>
      </c>
      <c r="AD1451" s="31">
        <f>AD1438*AD1443*IF(AND(Sensitivities!$C$1390=1,AD1450&gt;$AK$1450+1E-9),1-i_min_share,1)</f>
        <v/>
      </c>
      <c r="AE1451" s="31">
        <f>AE1438*AE1443*IF(AND(Sensitivities!$C$1390=1,AE1450&gt;$AK$1450+1E-9),1-i_min_share,1)</f>
        <v/>
      </c>
      <c r="AF1451" s="31">
        <f>AF1438*AF1443*IF(AND(Sensitivities!$C$1390=1,AF1450&gt;$AK$1450+1E-9),1-i_min_share,1)</f>
        <v/>
      </c>
      <c r="AG1451" s="31">
        <f>AG1438*AG1443*IF(AND(Sensitivities!$C$1390=1,AG1450&gt;$AK$1450+1E-9),1-i_min_share,1)</f>
        <v/>
      </c>
      <c r="AH1451" s="31">
        <f>AH1438*AH1443*IF(AND(Sensitivities!$C$1390=1,AH1450&gt;$AK$1450+1E-9),1-i_min_share,1)</f>
        <v/>
      </c>
      <c r="AI1451" s="31">
        <f>AI1438*AI1443*IF(AND(Sensitivities!$C$1390=1,AI1450&gt;$AK$1450+1E-9),1-i_min_share,1)</f>
        <v/>
      </c>
      <c r="AJ1451" s="31">
        <f>-Sensitivities!$C$1434</f>
        <v/>
      </c>
      <c r="AK1451" s="31">
        <f>Sensitivities!$C$1449</f>
        <v/>
      </c>
      <c r="AL1451" s="31">
        <f>Sensitivities!$C$1446*IF(Sensitivities!$C$1390=1,1-i_min_share,1)</f>
        <v/>
      </c>
    </row>
    <row r="1452">
      <c r="B1452" s="3" t="inlineStr">
        <is>
          <t>Unlevered flows (before financing)</t>
        </is>
      </c>
      <c r="D1452" s="31">
        <f>D1438*Diligence!D145</f>
        <v/>
      </c>
      <c r="E1452" s="31">
        <f>E1438*Diligence!E145</f>
        <v/>
      </c>
      <c r="F1452" s="31">
        <f>F1438*Diligence!F145</f>
        <v/>
      </c>
      <c r="G1452" s="31">
        <f>G1438*Diligence!G145</f>
        <v/>
      </c>
      <c r="H1452" s="31">
        <f>H1438*Diligence!H145</f>
        <v/>
      </c>
      <c r="I1452" s="31">
        <f>I1438*Diligence!I145</f>
        <v/>
      </c>
      <c r="J1452" s="31">
        <f>J1438*Diligence!J145</f>
        <v/>
      </c>
      <c r="K1452" s="31">
        <f>K1438*Diligence!K145</f>
        <v/>
      </c>
      <c r="L1452" s="31">
        <f>L1438*Diligence!L145</f>
        <v/>
      </c>
      <c r="M1452" s="31">
        <f>M1438*Diligence!M145</f>
        <v/>
      </c>
      <c r="N1452" s="31">
        <f>N1438*Diligence!N145</f>
        <v/>
      </c>
      <c r="O1452" s="31">
        <f>O1438*Diligence!O145</f>
        <v/>
      </c>
      <c r="P1452" s="31">
        <f>P1438*Diligence!P145</f>
        <v/>
      </c>
      <c r="Q1452" s="31">
        <f>Q1438*Diligence!Q145</f>
        <v/>
      </c>
      <c r="R1452" s="31">
        <f>R1438*Diligence!R145</f>
        <v/>
      </c>
      <c r="S1452" s="31">
        <f>S1438*Diligence!S145</f>
        <v/>
      </c>
      <c r="T1452" s="31">
        <f>T1438*Diligence!T145</f>
        <v/>
      </c>
      <c r="U1452" s="31">
        <f>U1438*Diligence!U145</f>
        <v/>
      </c>
      <c r="V1452" s="31">
        <f>V1438*Diligence!V145</f>
        <v/>
      </c>
      <c r="W1452" s="31">
        <f>W1438*Diligence!W145</f>
        <v/>
      </c>
      <c r="X1452" s="31">
        <f>X1438*Diligence!X145</f>
        <v/>
      </c>
      <c r="Y1452" s="31">
        <f>Y1438*Diligence!Y145</f>
        <v/>
      </c>
      <c r="Z1452" s="31">
        <f>Z1438*Diligence!Z145</f>
        <v/>
      </c>
      <c r="AA1452" s="31">
        <f>AA1438*Diligence!AA145</f>
        <v/>
      </c>
      <c r="AB1452" s="31">
        <f>AB1438*Diligence!AB145</f>
        <v/>
      </c>
      <c r="AC1452" s="31">
        <f>AC1438*Diligence!AC145</f>
        <v/>
      </c>
      <c r="AD1452" s="31">
        <f>AD1438*Diligence!AD145</f>
        <v/>
      </c>
      <c r="AE1452" s="31">
        <f>AE1438*Diligence!AE145</f>
        <v/>
      </c>
      <c r="AF1452" s="31">
        <f>AF1438*Diligence!AF145</f>
        <v/>
      </c>
      <c r="AG1452" s="31">
        <f>AG1438*Diligence!AG145</f>
        <v/>
      </c>
      <c r="AH1452" s="31">
        <f>AH1438*Diligence!AH145</f>
        <v/>
      </c>
      <c r="AI1452" s="31">
        <f>AI1438*Diligence!AI145</f>
        <v/>
      </c>
      <c r="AJ1452" s="31">
        <f>-(Sensitivities!$C$1429-Sensitivities!$C$1407-Sensitivities!$C$1419)</f>
        <v/>
      </c>
      <c r="AK1452" s="19" t="n">
        <v>0</v>
      </c>
      <c r="AL1452" s="31">
        <f>Sensitivities!$C$1444</f>
        <v/>
      </c>
    </row>
    <row r="1453">
      <c r="B1453" s="4" t="inlineStr">
        <is>
          <t>Levered IRR (Newton steps from 10 percent)</t>
        </is>
      </c>
      <c r="D1453" s="38" t="n">
        <v>0.1</v>
      </c>
      <c r="E1453" s="40">
        <f>D1453-SUMPRODUCT($D$1451:$AL$1451,(1+D1453)^(-$D$1450:$AL$1450))/SUMPRODUCT($D$1451:$AL$1451*(-$D$1450:$AL$1450),(1+D1453)^(-$D$1450:$AL$1450-1))</f>
        <v/>
      </c>
      <c r="F1453" s="40">
        <f>E1453-SUMPRODUCT($D$1451:$AL$1451,(1+E1453)^(-$D$1450:$AL$1450))/SUMPRODUCT($D$1451:$AL$1451*(-$D$1450:$AL$1450),(1+E1453)^(-$D$1450:$AL$1450-1))</f>
        <v/>
      </c>
      <c r="G1453" s="40">
        <f>F1453-SUMPRODUCT($D$1451:$AL$1451,(1+F1453)^(-$D$1450:$AL$1450))/SUMPRODUCT($D$1451:$AL$1451*(-$D$1450:$AL$1450),(1+F1453)^(-$D$1450:$AL$1450-1))</f>
        <v/>
      </c>
      <c r="H1453" s="40">
        <f>G1453-SUMPRODUCT($D$1451:$AL$1451,(1+G1453)^(-$D$1450:$AL$1450))/SUMPRODUCT($D$1451:$AL$1451*(-$D$1450:$AL$1450),(1+G1453)^(-$D$1450:$AL$1450-1))</f>
        <v/>
      </c>
      <c r="I1453" s="40">
        <f>H1453-SUMPRODUCT($D$1451:$AL$1451,(1+H1453)^(-$D$1450:$AL$1450))/SUMPRODUCT($D$1451:$AL$1451*(-$D$1450:$AL$1450),(1+H1453)^(-$D$1450:$AL$1450-1))</f>
        <v/>
      </c>
      <c r="J1453" s="40">
        <f>I1453-SUMPRODUCT($D$1451:$AL$1451,(1+I1453)^(-$D$1450:$AL$1450))/SUMPRODUCT($D$1451:$AL$1451*(-$D$1450:$AL$1450),(1+I1453)^(-$D$1450:$AL$1450-1))</f>
        <v/>
      </c>
      <c r="K1453" s="40">
        <f>J1453-SUMPRODUCT($D$1451:$AL$1451,(1+J1453)^(-$D$1450:$AL$1450))/SUMPRODUCT($D$1451:$AL$1451*(-$D$1450:$AL$1450),(1+J1453)^(-$D$1450:$AL$1450-1))</f>
        <v/>
      </c>
      <c r="L1453" s="40">
        <f>K1453-SUMPRODUCT($D$1451:$AL$1451,(1+K1453)^(-$D$1450:$AL$1450))/SUMPRODUCT($D$1451:$AL$1451*(-$D$1450:$AL$1450),(1+K1453)^(-$D$1450:$AL$1450-1))</f>
        <v/>
      </c>
      <c r="M1453" s="40">
        <f>L1453-SUMPRODUCT($D$1451:$AL$1451,(1+L1453)^(-$D$1450:$AL$1450))/SUMPRODUCT($D$1451:$AL$1451*(-$D$1450:$AL$1450),(1+L1453)^(-$D$1450:$AL$1450-1))</f>
        <v/>
      </c>
      <c r="N1453" s="40">
        <f>M1453-SUMPRODUCT($D$1451:$AL$1451,(1+M1453)^(-$D$1450:$AL$1450))/SUMPRODUCT($D$1451:$AL$1451*(-$D$1450:$AL$1450),(1+M1453)^(-$D$1450:$AL$1450-1))</f>
        <v/>
      </c>
      <c r="O1453" s="40">
        <f>N1453-SUMPRODUCT($D$1451:$AL$1451,(1+N1453)^(-$D$1450:$AL$1450))/SUMPRODUCT($D$1451:$AL$1451*(-$D$1450:$AL$1450),(1+N1453)^(-$D$1450:$AL$1450-1))</f>
        <v/>
      </c>
      <c r="P1453" s="40">
        <f>O1453-SUMPRODUCT($D$1451:$AL$1451,(1+O1453)^(-$D$1450:$AL$1450))/SUMPRODUCT($D$1451:$AL$1451*(-$D$1450:$AL$1450),(1+O1453)^(-$D$1450:$AL$1450-1))</f>
        <v/>
      </c>
      <c r="Q1453" s="40">
        <f>P1453-SUMPRODUCT($D$1451:$AL$1451,(1+P1453)^(-$D$1450:$AL$1450))/SUMPRODUCT($D$1451:$AL$1451*(-$D$1450:$AL$1450),(1+P1453)^(-$D$1450:$AL$1450-1))</f>
        <v/>
      </c>
      <c r="R1453" s="40">
        <f>Q1453-SUMPRODUCT($D$1451:$AL$1451,(1+Q1453)^(-$D$1450:$AL$1450))/SUMPRODUCT($D$1451:$AL$1451*(-$D$1450:$AL$1450),(1+Q1453)^(-$D$1450:$AL$1450-1))</f>
        <v/>
      </c>
    </row>
    <row r="1454">
      <c r="B1454" s="4" t="inlineStr">
        <is>
          <t>Unlevered IRR (Newton steps from 10 percent)</t>
        </is>
      </c>
      <c r="D1454" s="38" t="n">
        <v>0.1</v>
      </c>
      <c r="E1454" s="40">
        <f>D1454-SUMPRODUCT($D$1452:$AL$1452,(1+D1454)^(-$D$1450:$AL$1450))/SUMPRODUCT($D$1452:$AL$1452*(-$D$1450:$AL$1450),(1+D1454)^(-$D$1450:$AL$1450-1))</f>
        <v/>
      </c>
      <c r="F1454" s="40">
        <f>E1454-SUMPRODUCT($D$1452:$AL$1452,(1+E1454)^(-$D$1450:$AL$1450))/SUMPRODUCT($D$1452:$AL$1452*(-$D$1450:$AL$1450),(1+E1454)^(-$D$1450:$AL$1450-1))</f>
        <v/>
      </c>
      <c r="G1454" s="40">
        <f>F1454-SUMPRODUCT($D$1452:$AL$1452,(1+F1454)^(-$D$1450:$AL$1450))/SUMPRODUCT($D$1452:$AL$1452*(-$D$1450:$AL$1450),(1+F1454)^(-$D$1450:$AL$1450-1))</f>
        <v/>
      </c>
      <c r="H1454" s="40">
        <f>G1454-SUMPRODUCT($D$1452:$AL$1452,(1+G1454)^(-$D$1450:$AL$1450))/SUMPRODUCT($D$1452:$AL$1452*(-$D$1450:$AL$1450),(1+G1454)^(-$D$1450:$AL$1450-1))</f>
        <v/>
      </c>
      <c r="I1454" s="40">
        <f>H1454-SUMPRODUCT($D$1452:$AL$1452,(1+H1454)^(-$D$1450:$AL$1450))/SUMPRODUCT($D$1452:$AL$1452*(-$D$1450:$AL$1450),(1+H1454)^(-$D$1450:$AL$1450-1))</f>
        <v/>
      </c>
      <c r="J1454" s="40">
        <f>I1454-SUMPRODUCT($D$1452:$AL$1452,(1+I1454)^(-$D$1450:$AL$1450))/SUMPRODUCT($D$1452:$AL$1452*(-$D$1450:$AL$1450),(1+I1454)^(-$D$1450:$AL$1450-1))</f>
        <v/>
      </c>
      <c r="K1454" s="40">
        <f>J1454-SUMPRODUCT($D$1452:$AL$1452,(1+J1454)^(-$D$1450:$AL$1450))/SUMPRODUCT($D$1452:$AL$1452*(-$D$1450:$AL$1450),(1+J1454)^(-$D$1450:$AL$1450-1))</f>
        <v/>
      </c>
      <c r="L1454" s="40">
        <f>K1454-SUMPRODUCT($D$1452:$AL$1452,(1+K1454)^(-$D$1450:$AL$1450))/SUMPRODUCT($D$1452:$AL$1452*(-$D$1450:$AL$1450),(1+K1454)^(-$D$1450:$AL$1450-1))</f>
        <v/>
      </c>
      <c r="M1454" s="40">
        <f>L1454-SUMPRODUCT($D$1452:$AL$1452,(1+L1454)^(-$D$1450:$AL$1450))/SUMPRODUCT($D$1452:$AL$1452*(-$D$1450:$AL$1450),(1+L1454)^(-$D$1450:$AL$1450-1))</f>
        <v/>
      </c>
      <c r="N1454" s="40">
        <f>M1454-SUMPRODUCT($D$1452:$AL$1452,(1+M1454)^(-$D$1450:$AL$1450))/SUMPRODUCT($D$1452:$AL$1452*(-$D$1450:$AL$1450),(1+M1454)^(-$D$1450:$AL$1450-1))</f>
        <v/>
      </c>
      <c r="O1454" s="40">
        <f>N1454-SUMPRODUCT($D$1452:$AL$1452,(1+N1454)^(-$D$1450:$AL$1450))/SUMPRODUCT($D$1452:$AL$1452*(-$D$1450:$AL$1450),(1+N1454)^(-$D$1450:$AL$1450-1))</f>
        <v/>
      </c>
      <c r="P1454" s="40">
        <f>O1454-SUMPRODUCT($D$1452:$AL$1452,(1+O1454)^(-$D$1450:$AL$1450))/SUMPRODUCT($D$1452:$AL$1452*(-$D$1450:$AL$1450),(1+O1454)^(-$D$1450:$AL$1450-1))</f>
        <v/>
      </c>
      <c r="Q1454" s="40">
        <f>P1454-SUMPRODUCT($D$1452:$AL$1452,(1+P1454)^(-$D$1450:$AL$1450))/SUMPRODUCT($D$1452:$AL$1452*(-$D$1450:$AL$1450),(1+P1454)^(-$D$1450:$AL$1450-1))</f>
        <v/>
      </c>
      <c r="R1454" s="40">
        <f>Q1454-SUMPRODUCT($D$1452:$AL$1452,(1+Q1454)^(-$D$1450:$AL$1450))/SUMPRODUCT($D$1452:$AL$1452*(-$D$1450:$AL$1450),(1+Q1454)^(-$D$1450:$AL$1450-1))</f>
        <v/>
      </c>
    </row>
    <row r="1455">
      <c r="B1455" s="3" t="inlineStr">
        <is>
          <t>Levered IRR (equity)</t>
        </is>
      </c>
      <c r="C1455" s="33">
        <f>R1453</f>
        <v/>
      </c>
    </row>
    <row r="1456">
      <c r="B1456" s="3" t="inlineStr">
        <is>
          <t>Unlevered IRR</t>
        </is>
      </c>
      <c r="C1456" s="33">
        <f>R1454</f>
        <v/>
      </c>
    </row>
    <row r="1457">
      <c r="B1457" s="2" t="inlineStr">
        <is>
          <t>Check: levered NPV at the levered IRR</t>
        </is>
      </c>
      <c r="C1457" s="41">
        <f>SUMPRODUCT($D$1451:$AL$1451,(1+Sensitivities!$C$1455)^(-$D$1450:$AL$1450))</f>
        <v/>
      </c>
    </row>
    <row r="1458">
      <c r="B1458" s="2" t="inlineStr">
        <is>
          <t>Check: unlevered NPV at the unlevered IRR</t>
        </is>
      </c>
      <c r="C1458" s="41">
        <f>SUMPRODUCT($D$1452:$AL$1452,(1+Sensitivities!$C$1456)^(-$D$1450:$AL$1450))</f>
        <v/>
      </c>
    </row>
    <row r="1459">
      <c r="B1459" s="2" t="inlineStr">
        <is>
          <t>Money multiple (cash in over cash out)</t>
        </is>
      </c>
      <c r="C1459" s="37">
        <f>SUMIF($D$1451:$AL$1451,"&gt;0")/-SUMIF($D$1451:$AL$1451,"&lt;0")</f>
        <v/>
      </c>
    </row>
    <row r="1460">
      <c r="B1460" s="2" t="inlineStr">
        <is>
          <t>Present value at the target IRR of the flows after closing</t>
        </is>
      </c>
      <c r="C1460" s="19">
        <f>SUMPRODUCT($D$1451:$AL$1451,(1+i_hurdle)^(-$D$1450:$AL$1450))+Sensitivities!$C$1434*(1+i_hurdle)^(-Sensitivities!$C$1388)</f>
        <v/>
      </c>
    </row>
    <row r="1461">
      <c r="B1461" s="2" t="inlineStr">
        <is>
          <t>Equity cheque that gives exactly the target IRR</t>
        </is>
      </c>
      <c r="C1461" s="19">
        <f>Sensitivities!$C$1460*(1+i_hurdle)^Sensitivities!$C$1388</f>
        <v/>
      </c>
    </row>
    <row r="1462">
      <c r="B1462" s="2" t="inlineStr">
        <is>
          <t>EV less equity price (fixed bridge items)</t>
        </is>
      </c>
      <c r="C1462" s="19">
        <f>Sensitivities!$C$1393-Sensitivities!$C$1399</f>
        <v/>
      </c>
    </row>
    <row r="1463">
      <c r="B1463" s="2" t="inlineStr">
        <is>
          <t>Equity cheque items that do not move with the price</t>
        </is>
      </c>
      <c r="C1463" s="19">
        <f>Sensitivities!$C$1424+Sensitivities!$C$1396+i_costs_adv+Sensitivities!$C$1419+Sensitivities!$C$1420-Sensitivities!$C$1414-Sensitivities!$C$1415-Sensitivities!$C$1407</f>
        <v/>
      </c>
    </row>
    <row r="1464">
      <c r="B1464" s="2" t="inlineStr">
        <is>
          <t>Walk-away EV, first pass (HSR fee at the bid)</t>
        </is>
      </c>
      <c r="C1464" s="19">
        <f>(Sensitivities!$C$1461-Sensitivities!$C$1463-Sensitivities!$C$1417+Sensitivities!$C$1462*(1+i_ticking*Sensitivities!$C$1388))/(1+i_ticking*Sensitivities!$C$1388+i_wi_limit_pct*i_wi_rol*(1+i_wi_ipt))</f>
        <v/>
      </c>
    </row>
    <row r="1465">
      <c r="B1465" s="3" t="inlineStr">
        <is>
          <t>Walk-away EV (highest EV at the target IRR)</t>
        </is>
      </c>
      <c r="C1465" s="31">
        <f>(Sensitivities!$C$1461-Sensitivities!$C$1463-IF(Sensitivities!$C$1464-Sensitivities!$C$1462&lt;INDEX(i_hsr_lo,1),0,LOOKUP(Sensitivities!$C$1464-Sensitivities!$C$1462,i_hsr_lo,i_hsr_fee))+Sensitivities!$C$1462*(1+i_ticking*Sensitivities!$C$1388))/(1+i_ticking*Sensitivities!$C$1388+i_wi_limit_pct*i_wi_rol*(1+i_wi_ipt))</f>
        <v/>
      </c>
    </row>
  </sheetData>
  <pageMargins left="0.75" right="0.75" top="1" bottom="1" header="0.5" footer="0.5"/>
  <drawing xmlns:r="http://schemas.openxmlformats.org/officeDocument/2006/relationships" r:id="rId1"/>
</worksheet>
</file>

<file path=xl/worksheets/sheet12.xml><?xml version="1.0" encoding="utf-8"?>
<worksheet xmlns="http://schemas.openxmlformats.org/spreadsheetml/2006/main">
  <sheetPr>
    <outlinePr summaryBelow="1" summaryRight="1"/>
    <pageSetUpPr/>
  </sheetPr>
  <dimension ref="B1:AI165"/>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s>
  <sheetData>
    <row r="1">
      <c r="B1" s="1" t="inlineStr">
        <is>
          <t>Bids: Northgate and Halvard as Ashgrove sees them; the expansion and the earn-out (chapters 4, 11, 14)</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Expansion and earn-out</t>
        </is>
      </c>
    </row>
    <row r="7">
      <c r="B7" s="2" t="inlineStr">
        <is>
          <t>Expansion capex 2027 and 2028 (nominal)</t>
        </is>
      </c>
      <c r="C7" s="19">
        <f>SUM($E$139:$F$139)</f>
        <v/>
      </c>
    </row>
    <row r="8">
      <c r="B8" s="2" t="inlineStr">
        <is>
          <t>Expansion NPV at 6.5 percent if the anchor contract is signed</t>
        </is>
      </c>
      <c r="C8" s="19">
        <f>Bids!$C$165-Diligence!$C$150</f>
        <v/>
      </c>
    </row>
    <row r="9">
      <c r="B9" s="2" t="inlineStr">
        <is>
          <t>Earn-out: present value at 6.5 percent</t>
        </is>
      </c>
      <c r="C9" s="19">
        <f>i_earnout/(1+i_r)^i_t_earnout</f>
        <v/>
      </c>
    </row>
    <row r="10">
      <c r="B10" s="2" t="inlineStr">
        <is>
          <t>Buyer: expected earn-out cost (buyer's probability)</t>
        </is>
      </c>
      <c r="C10" s="19">
        <f>i_p_buyer*C9</f>
        <v/>
      </c>
    </row>
    <row r="11">
      <c r="B11" s="2" t="inlineStr">
        <is>
          <t>Buyer: expected expansion value</t>
        </is>
      </c>
      <c r="C11" s="19">
        <f>i_p_buyer*C8</f>
        <v/>
      </c>
    </row>
    <row r="12">
      <c r="B12" s="2" t="inlineStr">
        <is>
          <t>Seller: earn-out value (seller's probability, discounted at the seller's 8 percent)</t>
        </is>
      </c>
      <c r="C12" s="19">
        <f>i_p_seller*i_earnout/(1+i_r_seller)^i_t_earnout</f>
        <v/>
      </c>
    </row>
    <row r="13">
      <c r="B13" s="2" t="inlineStr">
        <is>
          <t>Seller: expected expansion value</t>
        </is>
      </c>
      <c r="C13" s="19">
        <f>i_p_seller*C8</f>
        <v/>
      </c>
    </row>
    <row r="15">
      <c r="B15" s="5" t="inlineStr">
        <is>
          <t>The two binding bids at 31 December 2026</t>
        </is>
      </c>
      <c r="C15" s="5" t="inlineStr">
        <is>
          <t>Northgate</t>
        </is>
      </c>
      <c r="D15" s="5" t="inlineStr">
        <is>
          <t>Halvard</t>
        </is>
      </c>
    </row>
    <row r="16">
      <c r="B16" s="2" t="inlineStr">
        <is>
          <t>EV</t>
        </is>
      </c>
      <c r="C16" s="19">
        <f>i_bid_ev</f>
        <v/>
      </c>
      <c r="D16" s="19">
        <f>i_bid_ev+i_h_ev_add</f>
        <v/>
      </c>
    </row>
    <row r="17">
      <c r="B17" s="2" t="inlineStr">
        <is>
          <t>Mechanism</t>
        </is>
      </c>
      <c r="C17" s="2" t="inlineStr">
        <is>
          <t>locked box, ticking fee</t>
        </is>
      </c>
      <c r="D17" s="2" t="inlineStr">
        <is>
          <t>completion accounts</t>
        </is>
      </c>
    </row>
    <row r="18">
      <c r="B18" s="2" t="inlineStr">
        <is>
          <t>Equity price at the bid (locked box)</t>
        </is>
      </c>
      <c r="C18" s="19">
        <f>Price!$C$19</f>
        <v/>
      </c>
      <c r="D18" s="19">
        <f>Price!$C$19</f>
        <v/>
      </c>
    </row>
    <row r="19">
      <c r="B19" s="2" t="inlineStr">
        <is>
          <t>Cash generated to closing kept by the seller (completion accounts)</t>
        </is>
      </c>
      <c r="C19" s="19" t="n">
        <v>0</v>
      </c>
      <c r="D19" s="19">
        <f>SUM(D47:AI47)</f>
        <v/>
      </c>
    </row>
    <row r="20">
      <c r="B20" s="2" t="inlineStr">
        <is>
          <t>Proceeds at closing</t>
        </is>
      </c>
      <c r="C20" s="19">
        <f>C18*(1+i_ticking*i_t_close)</f>
        <v/>
      </c>
      <c r="D20" s="19">
        <f>D16-(Price!$C$14+Price!$C$15)-Price!$C$16+(i_lb_cash-i_permitted_leak+D19)+(i_h_nwc-i_nwc_peg)</f>
        <v/>
      </c>
    </row>
    <row r="21">
      <c r="B21" s="2" t="inlineStr">
        <is>
          <t>Closing (years after 31 December 2026)</t>
        </is>
      </c>
      <c r="C21" s="24">
        <f>i_t_close</f>
        <v/>
      </c>
      <c r="D21" s="24">
        <f>i_h_close</f>
        <v/>
      </c>
    </row>
    <row r="22">
      <c r="B22" s="2" t="inlineStr">
        <is>
          <t>Escrow</t>
        </is>
      </c>
      <c r="C22" s="19" t="n">
        <v>0</v>
      </c>
      <c r="D22" s="19">
        <f>i_h_escrow*D20</f>
        <v/>
      </c>
    </row>
    <row r="23">
      <c r="B23" s="2" t="inlineStr">
        <is>
          <t>Expected warranty claims</t>
        </is>
      </c>
      <c r="C23" s="19" t="n">
        <v>0</v>
      </c>
      <c r="D23" s="19">
        <f>i_h_claims*D20</f>
        <v/>
      </c>
    </row>
    <row r="24">
      <c r="B24" s="2" t="inlineStr">
        <is>
          <t>Present value of the proceeds at the seller's rate</t>
        </is>
      </c>
      <c r="C24" s="19">
        <f>C20/(1+i_r_seller)^C21</f>
        <v/>
      </c>
      <c r="D24" s="19">
        <f>(D20-D22-D23)/(1+i_r_seller)^D21+D22/(1+i_r_seller)^(D21+i_h_escrow_t)</f>
        <v/>
      </c>
    </row>
    <row r="25">
      <c r="B25" s="2" t="inlineStr">
        <is>
          <t>Earn-out value to the seller</t>
        </is>
      </c>
      <c r="C25" s="19">
        <f>Bids!$C$12</f>
        <v/>
      </c>
      <c r="D25" s="19" t="n">
        <v>0</v>
      </c>
    </row>
    <row r="26">
      <c r="B26" s="2" t="inlineStr">
        <is>
          <t>Probability of closing</t>
        </is>
      </c>
      <c r="C26" s="21">
        <f>i_ng_p</f>
        <v/>
      </c>
      <c r="D26" s="21">
        <f>i_h_p</f>
        <v/>
      </c>
    </row>
    <row r="27">
      <c r="B27" s="2" t="inlineStr">
        <is>
          <t>Fallback if the deal fails (re-run a year later)</t>
        </is>
      </c>
      <c r="C27" s="19">
        <f>i_fallback*C18/(1+i_r_seller)^(C21+i_refail)</f>
        <v/>
      </c>
      <c r="D27" s="19">
        <f>i_fallback*C18/(1+i_r_seller)^(D21+i_refail)</f>
        <v/>
      </c>
    </row>
    <row r="28">
      <c r="B28" s="3" t="inlineStr">
        <is>
          <t>Certainty-adjusted value to Ashgrove</t>
        </is>
      </c>
      <c r="C28" s="19">
        <f>C26*(C24+C25)+(1-C26)*C27</f>
        <v/>
      </c>
      <c r="D28" s="19">
        <f>D26*(D24+D25)+(1-D26)*D27</f>
        <v/>
      </c>
    </row>
    <row r="29">
      <c r="B29" s="2" t="inlineStr">
        <is>
          <t>Value without the earn-out</t>
        </is>
      </c>
      <c r="C29" s="19">
        <f>C26*C24+(1-C26)*C27</f>
        <v/>
      </c>
      <c r="D29" s="19">
        <f>D26*D24+(1-D26)*D27</f>
        <v/>
      </c>
    </row>
    <row r="31">
      <c r="B31" s="5" t="inlineStr">
        <is>
          <t>Ashgrove's return since 2015 (before the earn-out)</t>
        </is>
      </c>
    </row>
    <row r="32">
      <c r="B32" s="4" t="inlineStr">
        <is>
          <t>Time (years after 31 December 2015)</t>
        </is>
      </c>
      <c r="D32" s="28" t="n">
        <v>0</v>
      </c>
      <c r="E32" s="28">
        <f>INDEX(i_ash_years,1)-i_ash_year</f>
        <v/>
      </c>
      <c r="F32" s="28">
        <f>INDEX(i_ash_years,2)-i_ash_year</f>
        <v/>
      </c>
      <c r="G32" s="28">
        <f>INDEX(i_ash_years,3)-i_ash_year</f>
        <v/>
      </c>
      <c r="H32" s="28">
        <f>INDEX(i_ash_years,4)-i_ash_year</f>
        <v/>
      </c>
      <c r="I32" s="28">
        <f>INDEX(i_ash_years,5)-i_ash_year</f>
        <v/>
      </c>
      <c r="J32" s="28">
        <f>INDEX(i_ash_years,6)-i_ash_year</f>
        <v/>
      </c>
      <c r="K32" s="28">
        <f>INDEX(i_ash_years,7)-i_ash_year</f>
        <v/>
      </c>
      <c r="L32" s="28">
        <f>INDEX(i_ash_years,8)-i_ash_year</f>
        <v/>
      </c>
      <c r="M32" s="28">
        <f>INDEX(i_ash_years,9)-i_ash_year</f>
        <v/>
      </c>
      <c r="N32" s="28">
        <f>INDEX(i_ash_years,10)-i_ash_year</f>
        <v/>
      </c>
      <c r="O32" s="28">
        <f>INDEX(i_ash_years,11)-i_ash_year</f>
        <v/>
      </c>
      <c r="P32" s="28">
        <f>i_base_year-i_ash_year+i_t_close</f>
        <v/>
      </c>
    </row>
    <row r="33">
      <c r="B33" s="3" t="inlineStr">
        <is>
          <t>Flows to Ashgrove</t>
        </is>
      </c>
      <c r="D33" s="19">
        <f>-i_ash_in</f>
        <v/>
      </c>
      <c r="E33" s="19">
        <f>INDEX(i_ash_dists,1)</f>
        <v/>
      </c>
      <c r="F33" s="19">
        <f>INDEX(i_ash_dists,2)</f>
        <v/>
      </c>
      <c r="G33" s="19">
        <f>INDEX(i_ash_dists,3)</f>
        <v/>
      </c>
      <c r="H33" s="19">
        <f>INDEX(i_ash_dists,4)</f>
        <v/>
      </c>
      <c r="I33" s="19">
        <f>INDEX(i_ash_dists,5)</f>
        <v/>
      </c>
      <c r="J33" s="19">
        <f>INDEX(i_ash_dists,6)</f>
        <v/>
      </c>
      <c r="K33" s="19">
        <f>INDEX(i_ash_dists,7)</f>
        <v/>
      </c>
      <c r="L33" s="19">
        <f>INDEX(i_ash_dists,8)</f>
        <v/>
      </c>
      <c r="M33" s="19">
        <f>INDEX(i_ash_dists,9)</f>
        <v/>
      </c>
      <c r="N33" s="19">
        <f>INDEX(i_ash_dists,10)</f>
        <v/>
      </c>
      <c r="O33" s="19">
        <f>INDEX(i_ash_dists,11)</f>
        <v/>
      </c>
      <c r="P33" s="19">
        <f>Bids!$C$20</f>
        <v/>
      </c>
    </row>
    <row r="34">
      <c r="B34" s="4" t="inlineStr">
        <is>
          <t>Ashgrove IRR (Newton steps from 10 percent)</t>
        </is>
      </c>
      <c r="D34" s="38" t="n">
        <v>0.1</v>
      </c>
      <c r="E34" s="40">
        <f>D34-SUMPRODUCT($D$33:$P$33,(1+D34)^(-$D$32:$P$32))/SUMPRODUCT($D$33:$P$33*(-$D$32:$P$32),(1+D34)^(-$D$32:$P$32-1))</f>
        <v/>
      </c>
      <c r="F34" s="40">
        <f>E34-SUMPRODUCT($D$33:$P$33,(1+E34)^(-$D$32:$P$32))/SUMPRODUCT($D$33:$P$33*(-$D$32:$P$32),(1+E34)^(-$D$32:$P$32-1))</f>
        <v/>
      </c>
      <c r="G34" s="40">
        <f>F34-SUMPRODUCT($D$33:$P$33,(1+F34)^(-$D$32:$P$32))/SUMPRODUCT($D$33:$P$33*(-$D$32:$P$32),(1+F34)^(-$D$32:$P$32-1))</f>
        <v/>
      </c>
      <c r="H34" s="40">
        <f>G34-SUMPRODUCT($D$33:$P$33,(1+G34)^(-$D$32:$P$32))/SUMPRODUCT($D$33:$P$33*(-$D$32:$P$32),(1+G34)^(-$D$32:$P$32-1))</f>
        <v/>
      </c>
      <c r="I34" s="40">
        <f>H34-SUMPRODUCT($D$33:$P$33,(1+H34)^(-$D$32:$P$32))/SUMPRODUCT($D$33:$P$33*(-$D$32:$P$32),(1+H34)^(-$D$32:$P$32-1))</f>
        <v/>
      </c>
      <c r="J34" s="40">
        <f>I34-SUMPRODUCT($D$33:$P$33,(1+I34)^(-$D$32:$P$32))/SUMPRODUCT($D$33:$P$33*(-$D$32:$P$32),(1+I34)^(-$D$32:$P$32-1))</f>
        <v/>
      </c>
      <c r="K34" s="40">
        <f>J34-SUMPRODUCT($D$33:$P$33,(1+J34)^(-$D$32:$P$32))/SUMPRODUCT($D$33:$P$33*(-$D$32:$P$32),(1+J34)^(-$D$32:$P$32-1))</f>
        <v/>
      </c>
      <c r="L34" s="40">
        <f>K34-SUMPRODUCT($D$33:$P$33,(1+K34)^(-$D$32:$P$32))/SUMPRODUCT($D$33:$P$33*(-$D$32:$P$32),(1+K34)^(-$D$32:$P$32-1))</f>
        <v/>
      </c>
      <c r="M34" s="40">
        <f>L34-SUMPRODUCT($D$33:$P$33,(1+L34)^(-$D$32:$P$32))/SUMPRODUCT($D$33:$P$33*(-$D$32:$P$32),(1+L34)^(-$D$32:$P$32-1))</f>
        <v/>
      </c>
      <c r="N34" s="40">
        <f>M34-SUMPRODUCT($D$33:$P$33,(1+M34)^(-$D$32:$P$32))/SUMPRODUCT($D$33:$P$33*(-$D$32:$P$32),(1+M34)^(-$D$32:$P$32-1))</f>
        <v/>
      </c>
      <c r="O34" s="40">
        <f>N34-SUMPRODUCT($D$33:$P$33,(1+N34)^(-$D$32:$P$32))/SUMPRODUCT($D$33:$P$33*(-$D$32:$P$32),(1+N34)^(-$D$32:$P$32-1))</f>
        <v/>
      </c>
      <c r="P34" s="40">
        <f>O34-SUMPRODUCT($D$33:$P$33,(1+O34)^(-$D$32:$P$32))/SUMPRODUCT($D$33:$P$33*(-$D$32:$P$32),(1+O34)^(-$D$32:$P$32-1))</f>
        <v/>
      </c>
      <c r="Q34" s="40">
        <f>P34-SUMPRODUCT($D$33:$P$33,(1+P34)^(-$D$32:$P$32))/SUMPRODUCT($D$33:$P$33*(-$D$32:$P$32),(1+P34)^(-$D$32:$P$32-1))</f>
        <v/>
      </c>
      <c r="R34" s="40">
        <f>Q34-SUMPRODUCT($D$33:$P$33,(1+Q34)^(-$D$32:$P$32))/SUMPRODUCT($D$33:$P$33*(-$D$32:$P$32),(1+Q34)^(-$D$32:$P$32-1))</f>
        <v/>
      </c>
    </row>
    <row r="35">
      <c r="B35" s="3" t="inlineStr">
        <is>
          <t>Ashgrove IRR</t>
        </is>
      </c>
      <c r="C35" s="33">
        <f>R34</f>
        <v/>
      </c>
    </row>
    <row r="36">
      <c r="B36" s="2" t="inlineStr">
        <is>
          <t>Distributions 2016 to 2026</t>
        </is>
      </c>
      <c r="C36" s="19">
        <f>SUM(i_ash_dists)</f>
        <v/>
      </c>
    </row>
    <row r="37">
      <c r="B37" s="2" t="inlineStr">
        <is>
          <t>Money multiple</t>
        </is>
      </c>
      <c r="C37" s="37">
        <f>(C36+Bids!$C$20)/i_ash_in</f>
        <v/>
      </c>
    </row>
    <row r="46">
      <c r="B46" s="2" t="inlineStr">
        <is>
          <t>Halvard: share of the year before its closing (box period)</t>
        </is>
      </c>
      <c r="D46" s="24">
        <f>IF(D$4&lt;1,0,MAX(0,MIN(1,i_h_close-(D$4-1))))</f>
        <v/>
      </c>
      <c r="E46" s="24">
        <f>IF(E$4&lt;1,0,MAX(0,MIN(1,i_h_close-(E$4-1))))</f>
        <v/>
      </c>
      <c r="F46" s="24">
        <f>IF(F$4&lt;1,0,MAX(0,MIN(1,i_h_close-(F$4-1))))</f>
        <v/>
      </c>
      <c r="G46" s="24">
        <f>IF(G$4&lt;1,0,MAX(0,MIN(1,i_h_close-(G$4-1))))</f>
        <v/>
      </c>
      <c r="H46" s="24">
        <f>IF(H$4&lt;1,0,MAX(0,MIN(1,i_h_close-(H$4-1))))</f>
        <v/>
      </c>
      <c r="I46" s="24">
        <f>IF(I$4&lt;1,0,MAX(0,MIN(1,i_h_close-(I$4-1))))</f>
        <v/>
      </c>
      <c r="J46" s="24">
        <f>IF(J$4&lt;1,0,MAX(0,MIN(1,i_h_close-(J$4-1))))</f>
        <v/>
      </c>
      <c r="K46" s="24">
        <f>IF(K$4&lt;1,0,MAX(0,MIN(1,i_h_close-(K$4-1))))</f>
        <v/>
      </c>
      <c r="L46" s="24">
        <f>IF(L$4&lt;1,0,MAX(0,MIN(1,i_h_close-(L$4-1))))</f>
        <v/>
      </c>
      <c r="M46" s="24">
        <f>IF(M$4&lt;1,0,MAX(0,MIN(1,i_h_close-(M$4-1))))</f>
        <v/>
      </c>
      <c r="N46" s="24">
        <f>IF(N$4&lt;1,0,MAX(0,MIN(1,i_h_close-(N$4-1))))</f>
        <v/>
      </c>
      <c r="O46" s="24">
        <f>IF(O$4&lt;1,0,MAX(0,MIN(1,i_h_close-(O$4-1))))</f>
        <v/>
      </c>
      <c r="P46" s="24">
        <f>IF(P$4&lt;1,0,MAX(0,MIN(1,i_h_close-(P$4-1))))</f>
        <v/>
      </c>
      <c r="Q46" s="24">
        <f>IF(Q$4&lt;1,0,MAX(0,MIN(1,i_h_close-(Q$4-1))))</f>
        <v/>
      </c>
      <c r="R46" s="24">
        <f>IF(R$4&lt;1,0,MAX(0,MIN(1,i_h_close-(R$4-1))))</f>
        <v/>
      </c>
      <c r="S46" s="24">
        <f>IF(S$4&lt;1,0,MAX(0,MIN(1,i_h_close-(S$4-1))))</f>
        <v/>
      </c>
      <c r="T46" s="24">
        <f>IF(T$4&lt;1,0,MAX(0,MIN(1,i_h_close-(T$4-1))))</f>
        <v/>
      </c>
      <c r="U46" s="24">
        <f>IF(U$4&lt;1,0,MAX(0,MIN(1,i_h_close-(U$4-1))))</f>
        <v/>
      </c>
      <c r="V46" s="24">
        <f>IF(V$4&lt;1,0,MAX(0,MIN(1,i_h_close-(V$4-1))))</f>
        <v/>
      </c>
      <c r="W46" s="24">
        <f>IF(W$4&lt;1,0,MAX(0,MIN(1,i_h_close-(W$4-1))))</f>
        <v/>
      </c>
      <c r="X46" s="24">
        <f>IF(X$4&lt;1,0,MAX(0,MIN(1,i_h_close-(X$4-1))))</f>
        <v/>
      </c>
      <c r="Y46" s="24">
        <f>IF(Y$4&lt;1,0,MAX(0,MIN(1,i_h_close-(Y$4-1))))</f>
        <v/>
      </c>
      <c r="Z46" s="24">
        <f>IF(Z$4&lt;1,0,MAX(0,MIN(1,i_h_close-(Z$4-1))))</f>
        <v/>
      </c>
      <c r="AA46" s="24">
        <f>IF(AA$4&lt;1,0,MAX(0,MIN(1,i_h_close-(AA$4-1))))</f>
        <v/>
      </c>
      <c r="AB46" s="24">
        <f>IF(AB$4&lt;1,0,MAX(0,MIN(1,i_h_close-(AB$4-1))))</f>
        <v/>
      </c>
      <c r="AC46" s="24">
        <f>IF(AC$4&lt;1,0,MAX(0,MIN(1,i_h_close-(AC$4-1))))</f>
        <v/>
      </c>
      <c r="AD46" s="24">
        <f>IF(AD$4&lt;1,0,MAX(0,MIN(1,i_h_close-(AD$4-1))))</f>
        <v/>
      </c>
      <c r="AE46" s="24">
        <f>IF(AE$4&lt;1,0,MAX(0,MIN(1,i_h_close-(AE$4-1))))</f>
        <v/>
      </c>
      <c r="AF46" s="24">
        <f>IF(AF$4&lt;1,0,MAX(0,MIN(1,i_h_close-(AF$4-1))))</f>
        <v/>
      </c>
      <c r="AG46" s="24">
        <f>IF(AG$4&lt;1,0,MAX(0,MIN(1,i_h_close-(AG$4-1))))</f>
        <v/>
      </c>
      <c r="AH46" s="24">
        <f>IF(AH$4&lt;1,0,MAX(0,MIN(1,i_h_close-(AH$4-1))))</f>
        <v/>
      </c>
      <c r="AI46" s="24">
        <f>IF(AI$4&lt;1,0,MAX(0,MIN(1,i_h_close-(AI$4-1))))</f>
        <v/>
      </c>
    </row>
    <row r="47">
      <c r="B47" s="2" t="inlineStr">
        <is>
          <t>Halvard: cash generated to its closing</t>
        </is>
      </c>
      <c r="D47" s="19">
        <f>D46*(Platform!D16-i_old_rate*(i_old_tl+i_old_notes))</f>
        <v/>
      </c>
      <c r="E47" s="19">
        <f>E46*(Platform!E16-i_old_rate*(i_old_tl+i_old_notes))</f>
        <v/>
      </c>
      <c r="F47" s="19">
        <f>F46*(Platform!F16-i_old_rate*(i_old_tl+i_old_notes))</f>
        <v/>
      </c>
      <c r="G47" s="19">
        <f>G46*(Platform!G16-i_old_rate*(i_old_tl+i_old_notes))</f>
        <v/>
      </c>
      <c r="H47" s="19">
        <f>H46*(Platform!H16-i_old_rate*(i_old_tl+i_old_notes))</f>
        <v/>
      </c>
      <c r="I47" s="19">
        <f>I46*(Platform!I16-i_old_rate*(i_old_tl+i_old_notes))</f>
        <v/>
      </c>
      <c r="J47" s="19">
        <f>J46*(Platform!J16-i_old_rate*(i_old_tl+i_old_notes))</f>
        <v/>
      </c>
      <c r="K47" s="19">
        <f>K46*(Platform!K16-i_old_rate*(i_old_tl+i_old_notes))</f>
        <v/>
      </c>
      <c r="L47" s="19">
        <f>L46*(Platform!L16-i_old_rate*(i_old_tl+i_old_notes))</f>
        <v/>
      </c>
      <c r="M47" s="19">
        <f>M46*(Platform!M16-i_old_rate*(i_old_tl+i_old_notes))</f>
        <v/>
      </c>
      <c r="N47" s="19">
        <f>N46*(Platform!N16-i_old_rate*(i_old_tl+i_old_notes))</f>
        <v/>
      </c>
      <c r="O47" s="19">
        <f>O46*(Platform!O16-i_old_rate*(i_old_tl+i_old_notes))</f>
        <v/>
      </c>
      <c r="P47" s="19">
        <f>P46*(Platform!P16-i_old_rate*(i_old_tl+i_old_notes))</f>
        <v/>
      </c>
      <c r="Q47" s="19">
        <f>Q46*(Platform!Q16-i_old_rate*(i_old_tl+i_old_notes))</f>
        <v/>
      </c>
      <c r="R47" s="19">
        <f>R46*(Platform!R16-i_old_rate*(i_old_tl+i_old_notes))</f>
        <v/>
      </c>
      <c r="S47" s="19">
        <f>S46*(Platform!S16-i_old_rate*(i_old_tl+i_old_notes))</f>
        <v/>
      </c>
      <c r="T47" s="19">
        <f>T46*(Platform!T16-i_old_rate*(i_old_tl+i_old_notes))</f>
        <v/>
      </c>
      <c r="U47" s="19">
        <f>U46*(Platform!U16-i_old_rate*(i_old_tl+i_old_notes))</f>
        <v/>
      </c>
      <c r="V47" s="19">
        <f>V46*(Platform!V16-i_old_rate*(i_old_tl+i_old_notes))</f>
        <v/>
      </c>
      <c r="W47" s="19">
        <f>W46*(Platform!W16-i_old_rate*(i_old_tl+i_old_notes))</f>
        <v/>
      </c>
      <c r="X47" s="19">
        <f>X46*(Platform!X16-i_old_rate*(i_old_tl+i_old_notes))</f>
        <v/>
      </c>
      <c r="Y47" s="19">
        <f>Y46*(Platform!Y16-i_old_rate*(i_old_tl+i_old_notes))</f>
        <v/>
      </c>
      <c r="Z47" s="19">
        <f>Z46*(Platform!Z16-i_old_rate*(i_old_tl+i_old_notes))</f>
        <v/>
      </c>
      <c r="AA47" s="19">
        <f>AA46*(Platform!AA16-i_old_rate*(i_old_tl+i_old_notes))</f>
        <v/>
      </c>
      <c r="AB47" s="19">
        <f>AB46*(Platform!AB16-i_old_rate*(i_old_tl+i_old_notes))</f>
        <v/>
      </c>
      <c r="AC47" s="19">
        <f>AC46*(Platform!AC16-i_old_rate*(i_old_tl+i_old_notes))</f>
        <v/>
      </c>
      <c r="AD47" s="19">
        <f>AD46*(Platform!AD16-i_old_rate*(i_old_tl+i_old_notes))</f>
        <v/>
      </c>
      <c r="AE47" s="19">
        <f>AE46*(Platform!AE16-i_old_rate*(i_old_tl+i_old_notes))</f>
        <v/>
      </c>
      <c r="AF47" s="19">
        <f>AF46*(Platform!AF16-i_old_rate*(i_old_tl+i_old_notes))</f>
        <v/>
      </c>
      <c r="AG47" s="19">
        <f>AG46*(Platform!AG16-i_old_rate*(i_old_tl+i_old_notes))</f>
        <v/>
      </c>
      <c r="AH47" s="19">
        <f>AH46*(Platform!AH16-i_old_rate*(i_old_tl+i_old_notes))</f>
        <v/>
      </c>
      <c r="AI47" s="19">
        <f>AI46*(Platform!AI16-i_old_rate*(i_old_tl+i_old_notes))</f>
        <v/>
      </c>
    </row>
    <row r="60">
      <c r="B60" s="5" t="inlineStr">
        <is>
          <t>Platform case: buyer's base case with the expansion built</t>
        </is>
      </c>
    </row>
    <row r="61">
      <c r="B61" s="4" t="inlineStr">
        <is>
          <t>Inflation</t>
        </is>
      </c>
      <c r="C61" s="27">
        <f>Inputs!$L$219</f>
        <v/>
      </c>
    </row>
    <row r="62">
      <c r="B62" s="4" t="inlineStr">
        <is>
          <t>Buyer's recontracting rates (1) or seller's plan rates (0)</t>
        </is>
      </c>
      <c r="C62" s="26">
        <f>Inputs!$L$220</f>
        <v/>
      </c>
    </row>
    <row r="63">
      <c r="B63" s="4" t="inlineStr">
        <is>
          <t>Largest Westerhaven customer leaves (1/0)</t>
        </is>
      </c>
      <c r="C63" s="26">
        <f>Inputs!$L$221</f>
        <v/>
      </c>
    </row>
    <row r="64">
      <c r="B64" s="4" t="inlineStr">
        <is>
          <t>Jetty 3 refurbishment (1/0)</t>
        </is>
      </c>
      <c r="C64" s="26">
        <f>Inputs!$L$222</f>
        <v/>
      </c>
    </row>
    <row r="65">
      <c r="B65" s="4" t="inlineStr">
        <is>
          <t>Sabine Bend extra insurance (1/0)</t>
        </is>
      </c>
      <c r="C65" s="26">
        <f>Inputs!$L$223</f>
        <v/>
      </c>
    </row>
    <row r="66">
      <c r="B66" s="4" t="inlineStr">
        <is>
          <t>Expansion built (1/0)</t>
        </is>
      </c>
      <c r="C66" s="26">
        <f>Inputs!$L$224</f>
        <v/>
      </c>
    </row>
    <row r="67">
      <c r="B67" s="4" t="inlineStr">
        <is>
          <t>Occupancy shift from 2027</t>
        </is>
      </c>
      <c r="C67" s="27">
        <f>Inputs!$L$225</f>
        <v/>
      </c>
    </row>
    <row r="68">
      <c r="B68" s="4" t="inlineStr">
        <is>
          <t>Recontracting shift</t>
        </is>
      </c>
      <c r="C68" s="27">
        <f>Inputs!$L$226</f>
        <v/>
      </c>
    </row>
    <row r="69">
      <c r="B69" s="4" t="inlineStr">
        <is>
          <t>Concession renewed (1/0)</t>
        </is>
      </c>
      <c r="C69" s="26">
        <f>Inputs!$L$227</f>
        <v/>
      </c>
    </row>
    <row r="70">
      <c r="B70" s="4" t="inlineStr">
        <is>
          <t>Westerhaven capacity multiplier</t>
        </is>
      </c>
      <c r="C70" s="28">
        <f>Inputs!$L$228</f>
        <v/>
      </c>
    </row>
    <row r="71">
      <c r="B71" s="4" t="inlineStr">
        <is>
          <t>Extra yearly cost from 2028 ($m, 2026 dollars)</t>
        </is>
      </c>
      <c r="C71" s="29">
        <f>Inputs!$L$229</f>
        <v/>
      </c>
    </row>
    <row r="72">
      <c r="B72" s="2" t="inlineStr">
        <is>
          <t>Cost index (inflation)</t>
        </is>
      </c>
      <c r="D72" s="30">
        <f>(1+Bids!$C$61)^D$4</f>
        <v/>
      </c>
      <c r="E72" s="30">
        <f>(1+Bids!$C$61)^E$4</f>
        <v/>
      </c>
      <c r="F72" s="30">
        <f>(1+Bids!$C$61)^F$4</f>
        <v/>
      </c>
      <c r="G72" s="30">
        <f>(1+Bids!$C$61)^G$4</f>
        <v/>
      </c>
      <c r="H72" s="30">
        <f>(1+Bids!$C$61)^H$4</f>
        <v/>
      </c>
      <c r="I72" s="30">
        <f>(1+Bids!$C$61)^I$4</f>
        <v/>
      </c>
      <c r="J72" s="30">
        <f>(1+Bids!$C$61)^J$4</f>
        <v/>
      </c>
      <c r="K72" s="30">
        <f>(1+Bids!$C$61)^K$4</f>
        <v/>
      </c>
      <c r="L72" s="30">
        <f>(1+Bids!$C$61)^L$4</f>
        <v/>
      </c>
      <c r="M72" s="30">
        <f>(1+Bids!$C$61)^M$4</f>
        <v/>
      </c>
      <c r="N72" s="30">
        <f>(1+Bids!$C$61)^N$4</f>
        <v/>
      </c>
      <c r="O72" s="30">
        <f>(1+Bids!$C$61)^O$4</f>
        <v/>
      </c>
      <c r="P72" s="30">
        <f>(1+Bids!$C$61)^P$4</f>
        <v/>
      </c>
      <c r="Q72" s="30">
        <f>(1+Bids!$C$61)^Q$4</f>
        <v/>
      </c>
      <c r="R72" s="30">
        <f>(1+Bids!$C$61)^R$4</f>
        <v/>
      </c>
      <c r="S72" s="30">
        <f>(1+Bids!$C$61)^S$4</f>
        <v/>
      </c>
      <c r="T72" s="30">
        <f>(1+Bids!$C$61)^T$4</f>
        <v/>
      </c>
      <c r="U72" s="30">
        <f>(1+Bids!$C$61)^U$4</f>
        <v/>
      </c>
      <c r="V72" s="30">
        <f>(1+Bids!$C$61)^V$4</f>
        <v/>
      </c>
      <c r="W72" s="30">
        <f>(1+Bids!$C$61)^W$4</f>
        <v/>
      </c>
      <c r="X72" s="30">
        <f>(1+Bids!$C$61)^X$4</f>
        <v/>
      </c>
      <c r="Y72" s="30">
        <f>(1+Bids!$C$61)^Y$4</f>
        <v/>
      </c>
      <c r="Z72" s="30">
        <f>(1+Bids!$C$61)^Z$4</f>
        <v/>
      </c>
      <c r="AA72" s="30">
        <f>(1+Bids!$C$61)^AA$4</f>
        <v/>
      </c>
      <c r="AB72" s="30">
        <f>(1+Bids!$C$61)^AB$4</f>
        <v/>
      </c>
      <c r="AC72" s="30">
        <f>(1+Bids!$C$61)^AC$4</f>
        <v/>
      </c>
      <c r="AD72" s="30">
        <f>(1+Bids!$C$61)^AD$4</f>
        <v/>
      </c>
      <c r="AE72" s="30">
        <f>(1+Bids!$C$61)^AE$4</f>
        <v/>
      </c>
      <c r="AF72" s="30">
        <f>(1+Bids!$C$61)^AF$4</f>
        <v/>
      </c>
      <c r="AG72" s="30">
        <f>(1+Bids!$C$61)^AG$4</f>
        <v/>
      </c>
      <c r="AH72" s="30">
        <f>(1+Bids!$C$61)^AH$4</f>
        <v/>
      </c>
      <c r="AI72" s="30">
        <f>(1+Bids!$C$61)^AI$4</f>
        <v/>
      </c>
    </row>
    <row r="73">
      <c r="B73" s="2" t="inlineStr">
        <is>
          <t>Rate index (inflation x pass-through)</t>
        </is>
      </c>
      <c r="D73" s="30">
        <f>(1+Bids!$C$61*i_index_share)^D$4</f>
        <v/>
      </c>
      <c r="E73" s="30">
        <f>(1+Bids!$C$61*i_index_share)^E$4</f>
        <v/>
      </c>
      <c r="F73" s="30">
        <f>(1+Bids!$C$61*i_index_share)^F$4</f>
        <v/>
      </c>
      <c r="G73" s="30">
        <f>(1+Bids!$C$61*i_index_share)^G$4</f>
        <v/>
      </c>
      <c r="H73" s="30">
        <f>(1+Bids!$C$61*i_index_share)^H$4</f>
        <v/>
      </c>
      <c r="I73" s="30">
        <f>(1+Bids!$C$61*i_index_share)^I$4</f>
        <v/>
      </c>
      <c r="J73" s="30">
        <f>(1+Bids!$C$61*i_index_share)^J$4</f>
        <v/>
      </c>
      <c r="K73" s="30">
        <f>(1+Bids!$C$61*i_index_share)^K$4</f>
        <v/>
      </c>
      <c r="L73" s="30">
        <f>(1+Bids!$C$61*i_index_share)^L$4</f>
        <v/>
      </c>
      <c r="M73" s="30">
        <f>(1+Bids!$C$61*i_index_share)^M$4</f>
        <v/>
      </c>
      <c r="N73" s="30">
        <f>(1+Bids!$C$61*i_index_share)^N$4</f>
        <v/>
      </c>
      <c r="O73" s="30">
        <f>(1+Bids!$C$61*i_index_share)^O$4</f>
        <v/>
      </c>
      <c r="P73" s="30">
        <f>(1+Bids!$C$61*i_index_share)^P$4</f>
        <v/>
      </c>
      <c r="Q73" s="30">
        <f>(1+Bids!$C$61*i_index_share)^Q$4</f>
        <v/>
      </c>
      <c r="R73" s="30">
        <f>(1+Bids!$C$61*i_index_share)^R$4</f>
        <v/>
      </c>
      <c r="S73" s="30">
        <f>(1+Bids!$C$61*i_index_share)^S$4</f>
        <v/>
      </c>
      <c r="T73" s="30">
        <f>(1+Bids!$C$61*i_index_share)^T$4</f>
        <v/>
      </c>
      <c r="U73" s="30">
        <f>(1+Bids!$C$61*i_index_share)^U$4</f>
        <v/>
      </c>
      <c r="V73" s="30">
        <f>(1+Bids!$C$61*i_index_share)^V$4</f>
        <v/>
      </c>
      <c r="W73" s="30">
        <f>(1+Bids!$C$61*i_index_share)^W$4</f>
        <v/>
      </c>
      <c r="X73" s="30">
        <f>(1+Bids!$C$61*i_index_share)^X$4</f>
        <v/>
      </c>
      <c r="Y73" s="30">
        <f>(1+Bids!$C$61*i_index_share)^Y$4</f>
        <v/>
      </c>
      <c r="Z73" s="30">
        <f>(1+Bids!$C$61*i_index_share)^Z$4</f>
        <v/>
      </c>
      <c r="AA73" s="30">
        <f>(1+Bids!$C$61*i_index_share)^AA$4</f>
        <v/>
      </c>
      <c r="AB73" s="30">
        <f>(1+Bids!$C$61*i_index_share)^AB$4</f>
        <v/>
      </c>
      <c r="AC73" s="30">
        <f>(1+Bids!$C$61*i_index_share)^AC$4</f>
        <v/>
      </c>
      <c r="AD73" s="30">
        <f>(1+Bids!$C$61*i_index_share)^AD$4</f>
        <v/>
      </c>
      <c r="AE73" s="30">
        <f>(1+Bids!$C$61*i_index_share)^AE$4</f>
        <v/>
      </c>
      <c r="AF73" s="30">
        <f>(1+Bids!$C$61*i_index_share)^AF$4</f>
        <v/>
      </c>
      <c r="AG73" s="30">
        <f>(1+Bids!$C$61*i_index_share)^AG$4</f>
        <v/>
      </c>
      <c r="AH73" s="30">
        <f>(1+Bids!$C$61*i_index_share)^AH$4</f>
        <v/>
      </c>
      <c r="AI73" s="30">
        <f>(1+Bids!$C$61*i_index_share)^AI$4</f>
        <v/>
      </c>
    </row>
    <row r="74">
      <c r="B74" s="3" t="inlineStr">
        <is>
          <t>Westerhaven</t>
        </is>
      </c>
    </row>
    <row r="75">
      <c r="B75" s="2" t="inlineStr">
        <is>
          <t xml:space="preserve">  Concession in force (1/0)</t>
        </is>
      </c>
      <c r="D75" s="22">
        <f>IF(Bids!$C$69=1,1,IF(D$3&lt;=i_conc_end,1,0))</f>
        <v/>
      </c>
      <c r="E75" s="22">
        <f>IF(Bids!$C$69=1,1,IF(E$3&lt;=i_conc_end,1,0))</f>
        <v/>
      </c>
      <c r="F75" s="22">
        <f>IF(Bids!$C$69=1,1,IF(F$3&lt;=i_conc_end,1,0))</f>
        <v/>
      </c>
      <c r="G75" s="22">
        <f>IF(Bids!$C$69=1,1,IF(G$3&lt;=i_conc_end,1,0))</f>
        <v/>
      </c>
      <c r="H75" s="22">
        <f>IF(Bids!$C$69=1,1,IF(H$3&lt;=i_conc_end,1,0))</f>
        <v/>
      </c>
      <c r="I75" s="22">
        <f>IF(Bids!$C$69=1,1,IF(I$3&lt;=i_conc_end,1,0))</f>
        <v/>
      </c>
      <c r="J75" s="22">
        <f>IF(Bids!$C$69=1,1,IF(J$3&lt;=i_conc_end,1,0))</f>
        <v/>
      </c>
      <c r="K75" s="22">
        <f>IF(Bids!$C$69=1,1,IF(K$3&lt;=i_conc_end,1,0))</f>
        <v/>
      </c>
      <c r="L75" s="22">
        <f>IF(Bids!$C$69=1,1,IF(L$3&lt;=i_conc_end,1,0))</f>
        <v/>
      </c>
      <c r="M75" s="22">
        <f>IF(Bids!$C$69=1,1,IF(M$3&lt;=i_conc_end,1,0))</f>
        <v/>
      </c>
      <c r="N75" s="22">
        <f>IF(Bids!$C$69=1,1,IF(N$3&lt;=i_conc_end,1,0))</f>
        <v/>
      </c>
      <c r="O75" s="22">
        <f>IF(Bids!$C$69=1,1,IF(O$3&lt;=i_conc_end,1,0))</f>
        <v/>
      </c>
      <c r="P75" s="22">
        <f>IF(Bids!$C$69=1,1,IF(P$3&lt;=i_conc_end,1,0))</f>
        <v/>
      </c>
      <c r="Q75" s="22">
        <f>IF(Bids!$C$69=1,1,IF(Q$3&lt;=i_conc_end,1,0))</f>
        <v/>
      </c>
      <c r="R75" s="22">
        <f>IF(Bids!$C$69=1,1,IF(R$3&lt;=i_conc_end,1,0))</f>
        <v/>
      </c>
      <c r="S75" s="22">
        <f>IF(Bids!$C$69=1,1,IF(S$3&lt;=i_conc_end,1,0))</f>
        <v/>
      </c>
      <c r="T75" s="22">
        <f>IF(Bids!$C$69=1,1,IF(T$3&lt;=i_conc_end,1,0))</f>
        <v/>
      </c>
      <c r="U75" s="22">
        <f>IF(Bids!$C$69=1,1,IF(U$3&lt;=i_conc_end,1,0))</f>
        <v/>
      </c>
      <c r="V75" s="22">
        <f>IF(Bids!$C$69=1,1,IF(V$3&lt;=i_conc_end,1,0))</f>
        <v/>
      </c>
      <c r="W75" s="22">
        <f>IF(Bids!$C$69=1,1,IF(W$3&lt;=i_conc_end,1,0))</f>
        <v/>
      </c>
      <c r="X75" s="22">
        <f>IF(Bids!$C$69=1,1,IF(X$3&lt;=i_conc_end,1,0))</f>
        <v/>
      </c>
      <c r="Y75" s="22">
        <f>IF(Bids!$C$69=1,1,IF(Y$3&lt;=i_conc_end,1,0))</f>
        <v/>
      </c>
      <c r="Z75" s="22">
        <f>IF(Bids!$C$69=1,1,IF(Z$3&lt;=i_conc_end,1,0))</f>
        <v/>
      </c>
      <c r="AA75" s="22">
        <f>IF(Bids!$C$69=1,1,IF(AA$3&lt;=i_conc_end,1,0))</f>
        <v/>
      </c>
      <c r="AB75" s="22">
        <f>IF(Bids!$C$69=1,1,IF(AB$3&lt;=i_conc_end,1,0))</f>
        <v/>
      </c>
      <c r="AC75" s="22">
        <f>IF(Bids!$C$69=1,1,IF(AC$3&lt;=i_conc_end,1,0))</f>
        <v/>
      </c>
      <c r="AD75" s="22">
        <f>IF(Bids!$C$69=1,1,IF(AD$3&lt;=i_conc_end,1,0))</f>
        <v/>
      </c>
      <c r="AE75" s="22">
        <f>IF(Bids!$C$69=1,1,IF(AE$3&lt;=i_conc_end,1,0))</f>
        <v/>
      </c>
      <c r="AF75" s="22">
        <f>IF(Bids!$C$69=1,1,IF(AF$3&lt;=i_conc_end,1,0))</f>
        <v/>
      </c>
      <c r="AG75" s="22">
        <f>IF(Bids!$C$69=1,1,IF(AG$3&lt;=i_conc_end,1,0))</f>
        <v/>
      </c>
      <c r="AH75" s="22">
        <f>IF(Bids!$C$69=1,1,IF(AH$3&lt;=i_conc_end,1,0))</f>
        <v/>
      </c>
      <c r="AI75" s="22">
        <f>IF(Bids!$C$69=1,1,IF(AI$3&lt;=i_conc_end,1,0))</f>
        <v/>
      </c>
    </row>
    <row r="76">
      <c r="B76" s="2" t="inlineStr">
        <is>
          <t xml:space="preserve">  Capacity in service (million m3)</t>
        </is>
      </c>
      <c r="D76" s="24">
        <f>i_W_cap*Bids!$C$70*D75</f>
        <v/>
      </c>
      <c r="E76" s="24">
        <f>i_W_cap*Bids!$C$70*E75</f>
        <v/>
      </c>
      <c r="F76" s="24">
        <f>i_W_cap*Bids!$C$70*F75</f>
        <v/>
      </c>
      <c r="G76" s="24">
        <f>i_W_cap*Bids!$C$70*G75</f>
        <v/>
      </c>
      <c r="H76" s="24">
        <f>i_W_cap*Bids!$C$70*H75</f>
        <v/>
      </c>
      <c r="I76" s="24">
        <f>i_W_cap*Bids!$C$70*I75</f>
        <v/>
      </c>
      <c r="J76" s="24">
        <f>i_W_cap*Bids!$C$70*J75</f>
        <v/>
      </c>
      <c r="K76" s="24">
        <f>i_W_cap*Bids!$C$70*K75</f>
        <v/>
      </c>
      <c r="L76" s="24">
        <f>i_W_cap*Bids!$C$70*L75</f>
        <v/>
      </c>
      <c r="M76" s="24">
        <f>i_W_cap*Bids!$C$70*M75</f>
        <v/>
      </c>
      <c r="N76" s="24">
        <f>i_W_cap*Bids!$C$70*N75</f>
        <v/>
      </c>
      <c r="O76" s="24">
        <f>i_W_cap*Bids!$C$70*O75</f>
        <v/>
      </c>
      <c r="P76" s="24">
        <f>i_W_cap*Bids!$C$70*P75</f>
        <v/>
      </c>
      <c r="Q76" s="24">
        <f>i_W_cap*Bids!$C$70*Q75</f>
        <v/>
      </c>
      <c r="R76" s="24">
        <f>i_W_cap*Bids!$C$70*R75</f>
        <v/>
      </c>
      <c r="S76" s="24">
        <f>i_W_cap*Bids!$C$70*S75</f>
        <v/>
      </c>
      <c r="T76" s="24">
        <f>i_W_cap*Bids!$C$70*T75</f>
        <v/>
      </c>
      <c r="U76" s="24">
        <f>i_W_cap*Bids!$C$70*U75</f>
        <v/>
      </c>
      <c r="V76" s="24">
        <f>i_W_cap*Bids!$C$70*V75</f>
        <v/>
      </c>
      <c r="W76" s="24">
        <f>i_W_cap*Bids!$C$70*W75</f>
        <v/>
      </c>
      <c r="X76" s="24">
        <f>i_W_cap*Bids!$C$70*X75</f>
        <v/>
      </c>
      <c r="Y76" s="24">
        <f>i_W_cap*Bids!$C$70*Y75</f>
        <v/>
      </c>
      <c r="Z76" s="24">
        <f>i_W_cap*Bids!$C$70*Z75</f>
        <v/>
      </c>
      <c r="AA76" s="24">
        <f>i_W_cap*Bids!$C$70*AA75</f>
        <v/>
      </c>
      <c r="AB76" s="24">
        <f>i_W_cap*Bids!$C$70*AB75</f>
        <v/>
      </c>
      <c r="AC76" s="24">
        <f>i_W_cap*Bids!$C$70*AC75</f>
        <v/>
      </c>
      <c r="AD76" s="24">
        <f>i_W_cap*Bids!$C$70*AD75</f>
        <v/>
      </c>
      <c r="AE76" s="24">
        <f>i_W_cap*Bids!$C$70*AE75</f>
        <v/>
      </c>
      <c r="AF76" s="24">
        <f>i_W_cap*Bids!$C$70*AF75</f>
        <v/>
      </c>
      <c r="AG76" s="24">
        <f>i_W_cap*Bids!$C$70*AG75</f>
        <v/>
      </c>
      <c r="AH76" s="24">
        <f>i_W_cap*Bids!$C$70*AH75</f>
        <v/>
      </c>
      <c r="AI76" s="24">
        <f>i_W_cap*Bids!$C$70*AI75</f>
        <v/>
      </c>
    </row>
    <row r="77">
      <c r="B77" s="2" t="inlineStr">
        <is>
          <t xml:space="preserve">  Share on contracts signed before 2027</t>
        </is>
      </c>
      <c r="D77" s="21">
        <f>SUMIF(i_book_years,D$3,i_W_book)</f>
        <v/>
      </c>
      <c r="E77" s="21">
        <f>SUMIF(i_book_years,E$3,i_W_book)</f>
        <v/>
      </c>
      <c r="F77" s="21">
        <f>SUMIF(i_book_years,F$3,i_W_book)</f>
        <v/>
      </c>
      <c r="G77" s="21">
        <f>SUMIF(i_book_years,G$3,i_W_book)</f>
        <v/>
      </c>
      <c r="H77" s="21">
        <f>SUMIF(i_book_years,H$3,i_W_book)</f>
        <v/>
      </c>
      <c r="I77" s="21">
        <f>SUMIF(i_book_years,I$3,i_W_book)</f>
        <v/>
      </c>
      <c r="J77" s="21">
        <f>SUMIF(i_book_years,J$3,i_W_book)</f>
        <v/>
      </c>
      <c r="K77" s="21">
        <f>SUMIF(i_book_years,K$3,i_W_book)</f>
        <v/>
      </c>
      <c r="L77" s="21">
        <f>SUMIF(i_book_years,L$3,i_W_book)</f>
        <v/>
      </c>
      <c r="M77" s="21">
        <f>SUMIF(i_book_years,M$3,i_W_book)</f>
        <v/>
      </c>
      <c r="N77" s="21">
        <f>SUMIF(i_book_years,N$3,i_W_book)</f>
        <v/>
      </c>
      <c r="O77" s="21">
        <f>SUMIF(i_book_years,O$3,i_W_book)</f>
        <v/>
      </c>
      <c r="P77" s="21">
        <f>SUMIF(i_book_years,P$3,i_W_book)</f>
        <v/>
      </c>
      <c r="Q77" s="21">
        <f>SUMIF(i_book_years,Q$3,i_W_book)</f>
        <v/>
      </c>
      <c r="R77" s="21">
        <f>SUMIF(i_book_years,R$3,i_W_book)</f>
        <v/>
      </c>
      <c r="S77" s="21">
        <f>SUMIF(i_book_years,S$3,i_W_book)</f>
        <v/>
      </c>
      <c r="T77" s="21">
        <f>SUMIF(i_book_years,T$3,i_W_book)</f>
        <v/>
      </c>
      <c r="U77" s="21">
        <f>SUMIF(i_book_years,U$3,i_W_book)</f>
        <v/>
      </c>
      <c r="V77" s="21">
        <f>SUMIF(i_book_years,V$3,i_W_book)</f>
        <v/>
      </c>
      <c r="W77" s="21">
        <f>SUMIF(i_book_years,W$3,i_W_book)</f>
        <v/>
      </c>
      <c r="X77" s="21">
        <f>SUMIF(i_book_years,X$3,i_W_book)</f>
        <v/>
      </c>
      <c r="Y77" s="21">
        <f>SUMIF(i_book_years,Y$3,i_W_book)</f>
        <v/>
      </c>
      <c r="Z77" s="21">
        <f>SUMIF(i_book_years,Z$3,i_W_book)</f>
        <v/>
      </c>
      <c r="AA77" s="21">
        <f>SUMIF(i_book_years,AA$3,i_W_book)</f>
        <v/>
      </c>
      <c r="AB77" s="21">
        <f>SUMIF(i_book_years,AB$3,i_W_book)</f>
        <v/>
      </c>
      <c r="AC77" s="21">
        <f>SUMIF(i_book_years,AC$3,i_W_book)</f>
        <v/>
      </c>
      <c r="AD77" s="21">
        <f>SUMIF(i_book_years,AD$3,i_W_book)</f>
        <v/>
      </c>
      <c r="AE77" s="21">
        <f>SUMIF(i_book_years,AE$3,i_W_book)</f>
        <v/>
      </c>
      <c r="AF77" s="21">
        <f>SUMIF(i_book_years,AF$3,i_W_book)</f>
        <v/>
      </c>
      <c r="AG77" s="21">
        <f>SUMIF(i_book_years,AG$3,i_W_book)</f>
        <v/>
      </c>
      <c r="AH77" s="21">
        <f>SUMIF(i_book_years,AH$3,i_W_book)</f>
        <v/>
      </c>
      <c r="AI77" s="21">
        <f>SUMIF(i_book_years,AI$3,i_W_book)</f>
        <v/>
      </c>
    </row>
    <row r="78">
      <c r="B78" s="2" t="inlineStr">
        <is>
          <t xml:space="preserve">  Recontracting factor against current rates</t>
        </is>
      </c>
      <c r="D78" s="21">
        <f>IF(D$4=0,0,IF(Bids!$C$62=1,i_W_mtm,i_W_mtm_plan)+Bids!$C$68)</f>
        <v/>
      </c>
      <c r="E78" s="21">
        <f>IF(E$4=0,0,IF(Bids!$C$62=1,i_W_mtm,i_W_mtm_plan)+Bids!$C$68)</f>
        <v/>
      </c>
      <c r="F78" s="21">
        <f>IF(F$4=0,0,IF(Bids!$C$62=1,i_W_mtm,i_W_mtm_plan)+Bids!$C$68)</f>
        <v/>
      </c>
      <c r="G78" s="21">
        <f>IF(G$4=0,0,IF(Bids!$C$62=1,i_W_mtm,i_W_mtm_plan)+Bids!$C$68)</f>
        <v/>
      </c>
      <c r="H78" s="21">
        <f>IF(H$4=0,0,IF(Bids!$C$62=1,i_W_mtm,i_W_mtm_plan)+Bids!$C$68)</f>
        <v/>
      </c>
      <c r="I78" s="21">
        <f>IF(I$4=0,0,IF(Bids!$C$62=1,i_W_mtm,i_W_mtm_plan)+Bids!$C$68)</f>
        <v/>
      </c>
      <c r="J78" s="21">
        <f>IF(J$4=0,0,IF(Bids!$C$62=1,i_W_mtm,i_W_mtm_plan)+Bids!$C$68)</f>
        <v/>
      </c>
      <c r="K78" s="21">
        <f>IF(K$4=0,0,IF(Bids!$C$62=1,i_W_mtm,i_W_mtm_plan)+Bids!$C$68)</f>
        <v/>
      </c>
      <c r="L78" s="21">
        <f>IF(L$4=0,0,IF(Bids!$C$62=1,i_W_mtm,i_W_mtm_plan)+Bids!$C$68)</f>
        <v/>
      </c>
      <c r="M78" s="21">
        <f>IF(M$4=0,0,IF(Bids!$C$62=1,i_W_mtm,i_W_mtm_plan)+Bids!$C$68)</f>
        <v/>
      </c>
      <c r="N78" s="21">
        <f>IF(N$4=0,0,IF(Bids!$C$62=1,i_W_mtm,i_W_mtm_plan)+Bids!$C$68)</f>
        <v/>
      </c>
      <c r="O78" s="21">
        <f>IF(O$4=0,0,IF(Bids!$C$62=1,i_W_mtm,i_W_mtm_plan)+Bids!$C$68)</f>
        <v/>
      </c>
      <c r="P78" s="21">
        <f>IF(P$4=0,0,IF(Bids!$C$62=1,i_W_mtm,i_W_mtm_plan)+Bids!$C$68)</f>
        <v/>
      </c>
      <c r="Q78" s="21">
        <f>IF(Q$4=0,0,IF(Bids!$C$62=1,i_W_mtm,i_W_mtm_plan)+Bids!$C$68)</f>
        <v/>
      </c>
      <c r="R78" s="21">
        <f>IF(R$4=0,0,IF(Bids!$C$62=1,i_W_mtm,i_W_mtm_plan)+Bids!$C$68)</f>
        <v/>
      </c>
      <c r="S78" s="21">
        <f>IF(S$4=0,0,IF(Bids!$C$62=1,i_W_mtm,i_W_mtm_plan)+Bids!$C$68)</f>
        <v/>
      </c>
      <c r="T78" s="21">
        <f>IF(T$4=0,0,IF(Bids!$C$62=1,i_W_mtm,i_W_mtm_plan)+Bids!$C$68)</f>
        <v/>
      </c>
      <c r="U78" s="21">
        <f>IF(U$4=0,0,IF(Bids!$C$62=1,i_W_mtm,i_W_mtm_plan)+Bids!$C$68)</f>
        <v/>
      </c>
      <c r="V78" s="21">
        <f>IF(V$4=0,0,IF(Bids!$C$62=1,i_W_mtm,i_W_mtm_plan)+Bids!$C$68)</f>
        <v/>
      </c>
      <c r="W78" s="21">
        <f>IF(W$4=0,0,IF(Bids!$C$62=1,i_W_mtm,i_W_mtm_plan)+Bids!$C$68)</f>
        <v/>
      </c>
      <c r="X78" s="21">
        <f>IF(X$4=0,0,IF(Bids!$C$62=1,i_W_mtm,i_W_mtm_plan)+Bids!$C$68)</f>
        <v/>
      </c>
      <c r="Y78" s="21">
        <f>IF(Y$4=0,0,IF(Bids!$C$62=1,i_W_mtm,i_W_mtm_plan)+Bids!$C$68)</f>
        <v/>
      </c>
      <c r="Z78" s="21">
        <f>IF(Z$4=0,0,IF(Bids!$C$62=1,i_W_mtm,i_W_mtm_plan)+Bids!$C$68)</f>
        <v/>
      </c>
      <c r="AA78" s="21">
        <f>IF(AA$4=0,0,IF(Bids!$C$62=1,i_W_mtm,i_W_mtm_plan)+Bids!$C$68)</f>
        <v/>
      </c>
      <c r="AB78" s="21">
        <f>IF(AB$4=0,0,IF(Bids!$C$62=1,i_W_mtm,i_W_mtm_plan)+Bids!$C$68)</f>
        <v/>
      </c>
      <c r="AC78" s="21">
        <f>IF(AC$4=0,0,IF(Bids!$C$62=1,i_W_mtm,i_W_mtm_plan)+Bids!$C$68)</f>
        <v/>
      </c>
      <c r="AD78" s="21">
        <f>IF(AD$4=0,0,IF(Bids!$C$62=1,i_W_mtm,i_W_mtm_plan)+Bids!$C$68)</f>
        <v/>
      </c>
      <c r="AE78" s="21">
        <f>IF(AE$4=0,0,IF(Bids!$C$62=1,i_W_mtm,i_W_mtm_plan)+Bids!$C$68)</f>
        <v/>
      </c>
      <c r="AF78" s="21">
        <f>IF(AF$4=0,0,IF(Bids!$C$62=1,i_W_mtm,i_W_mtm_plan)+Bids!$C$68)</f>
        <v/>
      </c>
      <c r="AG78" s="21">
        <f>IF(AG$4=0,0,IF(Bids!$C$62=1,i_W_mtm,i_W_mtm_plan)+Bids!$C$68)</f>
        <v/>
      </c>
      <c r="AH78" s="21">
        <f>IF(AH$4=0,0,IF(Bids!$C$62=1,i_W_mtm,i_W_mtm_plan)+Bids!$C$68)</f>
        <v/>
      </c>
      <c r="AI78" s="21">
        <f>IF(AI$4=0,0,IF(Bids!$C$62=1,i_W_mtm,i_W_mtm_plan)+Bids!$C$68)</f>
        <v/>
      </c>
    </row>
    <row r="79">
      <c r="B79" s="2" t="inlineStr">
        <is>
          <t xml:space="preserve">  Average rate ($ per m3 per month)</t>
        </is>
      </c>
      <c r="D79" s="24">
        <f>i_W_rate*D73*(D77+(1-D77)*(1+D78))</f>
        <v/>
      </c>
      <c r="E79" s="24">
        <f>i_W_rate*E73*(E77+(1-E77)*(1+E78))</f>
        <v/>
      </c>
      <c r="F79" s="24">
        <f>i_W_rate*F73*(F77+(1-F77)*(1+F78))</f>
        <v/>
      </c>
      <c r="G79" s="24">
        <f>i_W_rate*G73*(G77+(1-G77)*(1+G78))</f>
        <v/>
      </c>
      <c r="H79" s="24">
        <f>i_W_rate*H73*(H77+(1-H77)*(1+H78))</f>
        <v/>
      </c>
      <c r="I79" s="24">
        <f>i_W_rate*I73*(I77+(1-I77)*(1+I78))</f>
        <v/>
      </c>
      <c r="J79" s="24">
        <f>i_W_rate*J73*(J77+(1-J77)*(1+J78))</f>
        <v/>
      </c>
      <c r="K79" s="24">
        <f>i_W_rate*K73*(K77+(1-K77)*(1+K78))</f>
        <v/>
      </c>
      <c r="L79" s="24">
        <f>i_W_rate*L73*(L77+(1-L77)*(1+L78))</f>
        <v/>
      </c>
      <c r="M79" s="24">
        <f>i_W_rate*M73*(M77+(1-M77)*(1+M78))</f>
        <v/>
      </c>
      <c r="N79" s="24">
        <f>i_W_rate*N73*(N77+(1-N77)*(1+N78))</f>
        <v/>
      </c>
      <c r="O79" s="24">
        <f>i_W_rate*O73*(O77+(1-O77)*(1+O78))</f>
        <v/>
      </c>
      <c r="P79" s="24">
        <f>i_W_rate*P73*(P77+(1-P77)*(1+P78))</f>
        <v/>
      </c>
      <c r="Q79" s="24">
        <f>i_W_rate*Q73*(Q77+(1-Q77)*(1+Q78))</f>
        <v/>
      </c>
      <c r="R79" s="24">
        <f>i_W_rate*R73*(R77+(1-R77)*(1+R78))</f>
        <v/>
      </c>
      <c r="S79" s="24">
        <f>i_W_rate*S73*(S77+(1-S77)*(1+S78))</f>
        <v/>
      </c>
      <c r="T79" s="24">
        <f>i_W_rate*T73*(T77+(1-T77)*(1+T78))</f>
        <v/>
      </c>
      <c r="U79" s="24">
        <f>i_W_rate*U73*(U77+(1-U77)*(1+U78))</f>
        <v/>
      </c>
      <c r="V79" s="24">
        <f>i_W_rate*V73*(V77+(1-V77)*(1+V78))</f>
        <v/>
      </c>
      <c r="W79" s="24">
        <f>i_W_rate*W73*(W77+(1-W77)*(1+W78))</f>
        <v/>
      </c>
      <c r="X79" s="24">
        <f>i_W_rate*X73*(X77+(1-X77)*(1+X78))</f>
        <v/>
      </c>
      <c r="Y79" s="24">
        <f>i_W_rate*Y73*(Y77+(1-Y77)*(1+Y78))</f>
        <v/>
      </c>
      <c r="Z79" s="24">
        <f>i_W_rate*Z73*(Z77+(1-Z77)*(1+Z78))</f>
        <v/>
      </c>
      <c r="AA79" s="24">
        <f>i_W_rate*AA73*(AA77+(1-AA77)*(1+AA78))</f>
        <v/>
      </c>
      <c r="AB79" s="24">
        <f>i_W_rate*AB73*(AB77+(1-AB77)*(1+AB78))</f>
        <v/>
      </c>
      <c r="AC79" s="24">
        <f>i_W_rate*AC73*(AC77+(1-AC77)*(1+AC78))</f>
        <v/>
      </c>
      <c r="AD79" s="24">
        <f>i_W_rate*AD73*(AD77+(1-AD77)*(1+AD78))</f>
        <v/>
      </c>
      <c r="AE79" s="24">
        <f>i_W_rate*AE73*(AE77+(1-AE77)*(1+AE78))</f>
        <v/>
      </c>
      <c r="AF79" s="24">
        <f>i_W_rate*AF73*(AF77+(1-AF77)*(1+AF78))</f>
        <v/>
      </c>
      <c r="AG79" s="24">
        <f>i_W_rate*AG73*(AG77+(1-AG77)*(1+AG78))</f>
        <v/>
      </c>
      <c r="AH79" s="24">
        <f>i_W_rate*AH73*(AH77+(1-AH77)*(1+AH78))</f>
        <v/>
      </c>
      <c r="AI79" s="24">
        <f>i_W_rate*AI73*(AI77+(1-AI77)*(1+AI78))</f>
        <v/>
      </c>
    </row>
    <row r="80">
      <c r="B80" s="2" t="inlineStr">
        <is>
          <t xml:space="preserve">  Occupancy after the transition decline and floor</t>
        </is>
      </c>
      <c r="D80" s="21">
        <f>IF(D$3&gt;i_trans_start,MAX(i_W_floor,i_W_occ-i_W_dec*(D$3-i_trans_start)),i_W_occ)</f>
        <v/>
      </c>
      <c r="E80" s="21">
        <f>IF(E$3&gt;i_trans_start,MAX(i_W_floor,i_W_occ-i_W_dec*(E$3-i_trans_start)),i_W_occ)</f>
        <v/>
      </c>
      <c r="F80" s="21">
        <f>IF(F$3&gt;i_trans_start,MAX(i_W_floor,i_W_occ-i_W_dec*(F$3-i_trans_start)),i_W_occ)</f>
        <v/>
      </c>
      <c r="G80" s="21">
        <f>IF(G$3&gt;i_trans_start,MAX(i_W_floor,i_W_occ-i_W_dec*(G$3-i_trans_start)),i_W_occ)</f>
        <v/>
      </c>
      <c r="H80" s="21">
        <f>IF(H$3&gt;i_trans_start,MAX(i_W_floor,i_W_occ-i_W_dec*(H$3-i_trans_start)),i_W_occ)</f>
        <v/>
      </c>
      <c r="I80" s="21">
        <f>IF(I$3&gt;i_trans_start,MAX(i_W_floor,i_W_occ-i_W_dec*(I$3-i_trans_start)),i_W_occ)</f>
        <v/>
      </c>
      <c r="J80" s="21">
        <f>IF(J$3&gt;i_trans_start,MAX(i_W_floor,i_W_occ-i_W_dec*(J$3-i_trans_start)),i_W_occ)</f>
        <v/>
      </c>
      <c r="K80" s="21">
        <f>IF(K$3&gt;i_trans_start,MAX(i_W_floor,i_W_occ-i_W_dec*(K$3-i_trans_start)),i_W_occ)</f>
        <v/>
      </c>
      <c r="L80" s="21">
        <f>IF(L$3&gt;i_trans_start,MAX(i_W_floor,i_W_occ-i_W_dec*(L$3-i_trans_start)),i_W_occ)</f>
        <v/>
      </c>
      <c r="M80" s="21">
        <f>IF(M$3&gt;i_trans_start,MAX(i_W_floor,i_W_occ-i_W_dec*(M$3-i_trans_start)),i_W_occ)</f>
        <v/>
      </c>
      <c r="N80" s="21">
        <f>IF(N$3&gt;i_trans_start,MAX(i_W_floor,i_W_occ-i_W_dec*(N$3-i_trans_start)),i_W_occ)</f>
        <v/>
      </c>
      <c r="O80" s="21">
        <f>IF(O$3&gt;i_trans_start,MAX(i_W_floor,i_W_occ-i_W_dec*(O$3-i_trans_start)),i_W_occ)</f>
        <v/>
      </c>
      <c r="P80" s="21">
        <f>IF(P$3&gt;i_trans_start,MAX(i_W_floor,i_W_occ-i_W_dec*(P$3-i_trans_start)),i_W_occ)</f>
        <v/>
      </c>
      <c r="Q80" s="21">
        <f>IF(Q$3&gt;i_trans_start,MAX(i_W_floor,i_W_occ-i_W_dec*(Q$3-i_trans_start)),i_W_occ)</f>
        <v/>
      </c>
      <c r="R80" s="21">
        <f>IF(R$3&gt;i_trans_start,MAX(i_W_floor,i_W_occ-i_W_dec*(R$3-i_trans_start)),i_W_occ)</f>
        <v/>
      </c>
      <c r="S80" s="21">
        <f>IF(S$3&gt;i_trans_start,MAX(i_W_floor,i_W_occ-i_W_dec*(S$3-i_trans_start)),i_W_occ)</f>
        <v/>
      </c>
      <c r="T80" s="21">
        <f>IF(T$3&gt;i_trans_start,MAX(i_W_floor,i_W_occ-i_W_dec*(T$3-i_trans_start)),i_W_occ)</f>
        <v/>
      </c>
      <c r="U80" s="21">
        <f>IF(U$3&gt;i_trans_start,MAX(i_W_floor,i_W_occ-i_W_dec*(U$3-i_trans_start)),i_W_occ)</f>
        <v/>
      </c>
      <c r="V80" s="21">
        <f>IF(V$3&gt;i_trans_start,MAX(i_W_floor,i_W_occ-i_W_dec*(V$3-i_trans_start)),i_W_occ)</f>
        <v/>
      </c>
      <c r="W80" s="21">
        <f>IF(W$3&gt;i_trans_start,MAX(i_W_floor,i_W_occ-i_W_dec*(W$3-i_trans_start)),i_W_occ)</f>
        <v/>
      </c>
      <c r="X80" s="21">
        <f>IF(X$3&gt;i_trans_start,MAX(i_W_floor,i_W_occ-i_W_dec*(X$3-i_trans_start)),i_W_occ)</f>
        <v/>
      </c>
      <c r="Y80" s="21">
        <f>IF(Y$3&gt;i_trans_start,MAX(i_W_floor,i_W_occ-i_W_dec*(Y$3-i_trans_start)),i_W_occ)</f>
        <v/>
      </c>
      <c r="Z80" s="21">
        <f>IF(Z$3&gt;i_trans_start,MAX(i_W_floor,i_W_occ-i_W_dec*(Z$3-i_trans_start)),i_W_occ)</f>
        <v/>
      </c>
      <c r="AA80" s="21">
        <f>IF(AA$3&gt;i_trans_start,MAX(i_W_floor,i_W_occ-i_W_dec*(AA$3-i_trans_start)),i_W_occ)</f>
        <v/>
      </c>
      <c r="AB80" s="21">
        <f>IF(AB$3&gt;i_trans_start,MAX(i_W_floor,i_W_occ-i_W_dec*(AB$3-i_trans_start)),i_W_occ)</f>
        <v/>
      </c>
      <c r="AC80" s="21">
        <f>IF(AC$3&gt;i_trans_start,MAX(i_W_floor,i_W_occ-i_W_dec*(AC$3-i_trans_start)),i_W_occ)</f>
        <v/>
      </c>
      <c r="AD80" s="21">
        <f>IF(AD$3&gt;i_trans_start,MAX(i_W_floor,i_W_occ-i_W_dec*(AD$3-i_trans_start)),i_W_occ)</f>
        <v/>
      </c>
      <c r="AE80" s="21">
        <f>IF(AE$3&gt;i_trans_start,MAX(i_W_floor,i_W_occ-i_W_dec*(AE$3-i_trans_start)),i_W_occ)</f>
        <v/>
      </c>
      <c r="AF80" s="21">
        <f>IF(AF$3&gt;i_trans_start,MAX(i_W_floor,i_W_occ-i_W_dec*(AF$3-i_trans_start)),i_W_occ)</f>
        <v/>
      </c>
      <c r="AG80" s="21">
        <f>IF(AG$3&gt;i_trans_start,MAX(i_W_floor,i_W_occ-i_W_dec*(AG$3-i_trans_start)),i_W_occ)</f>
        <v/>
      </c>
      <c r="AH80" s="21">
        <f>IF(AH$3&gt;i_trans_start,MAX(i_W_floor,i_W_occ-i_W_dec*(AH$3-i_trans_start)),i_W_occ)</f>
        <v/>
      </c>
      <c r="AI80" s="21">
        <f>IF(AI$3&gt;i_trans_start,MAX(i_W_floor,i_W_occ-i_W_dec*(AI$3-i_trans_start)),i_W_occ)</f>
        <v/>
      </c>
    </row>
    <row r="81">
      <c r="B81" s="2" t="inlineStr">
        <is>
          <t xml:space="preserve">  Customer loss (points)</t>
        </is>
      </c>
      <c r="D81" s="21">
        <f>Bids!$C$63*SUMIF(i_dip_years,D$3,i_dip_vals)</f>
        <v/>
      </c>
      <c r="E81" s="21">
        <f>Bids!$C$63*SUMIF(i_dip_years,E$3,i_dip_vals)</f>
        <v/>
      </c>
      <c r="F81" s="21">
        <f>Bids!$C$63*SUMIF(i_dip_years,F$3,i_dip_vals)</f>
        <v/>
      </c>
      <c r="G81" s="21">
        <f>Bids!$C$63*SUMIF(i_dip_years,G$3,i_dip_vals)</f>
        <v/>
      </c>
      <c r="H81" s="21">
        <f>Bids!$C$63*SUMIF(i_dip_years,H$3,i_dip_vals)</f>
        <v/>
      </c>
      <c r="I81" s="21">
        <f>Bids!$C$63*SUMIF(i_dip_years,I$3,i_dip_vals)</f>
        <v/>
      </c>
      <c r="J81" s="21">
        <f>Bids!$C$63*SUMIF(i_dip_years,J$3,i_dip_vals)</f>
        <v/>
      </c>
      <c r="K81" s="21">
        <f>Bids!$C$63*SUMIF(i_dip_years,K$3,i_dip_vals)</f>
        <v/>
      </c>
      <c r="L81" s="21">
        <f>Bids!$C$63*SUMIF(i_dip_years,L$3,i_dip_vals)</f>
        <v/>
      </c>
      <c r="M81" s="21">
        <f>Bids!$C$63*SUMIF(i_dip_years,M$3,i_dip_vals)</f>
        <v/>
      </c>
      <c r="N81" s="21">
        <f>Bids!$C$63*SUMIF(i_dip_years,N$3,i_dip_vals)</f>
        <v/>
      </c>
      <c r="O81" s="21">
        <f>Bids!$C$63*SUMIF(i_dip_years,O$3,i_dip_vals)</f>
        <v/>
      </c>
      <c r="P81" s="21">
        <f>Bids!$C$63*SUMIF(i_dip_years,P$3,i_dip_vals)</f>
        <v/>
      </c>
      <c r="Q81" s="21">
        <f>Bids!$C$63*SUMIF(i_dip_years,Q$3,i_dip_vals)</f>
        <v/>
      </c>
      <c r="R81" s="21">
        <f>Bids!$C$63*SUMIF(i_dip_years,R$3,i_dip_vals)</f>
        <v/>
      </c>
      <c r="S81" s="21">
        <f>Bids!$C$63*SUMIF(i_dip_years,S$3,i_dip_vals)</f>
        <v/>
      </c>
      <c r="T81" s="21">
        <f>Bids!$C$63*SUMIF(i_dip_years,T$3,i_dip_vals)</f>
        <v/>
      </c>
      <c r="U81" s="21">
        <f>Bids!$C$63*SUMIF(i_dip_years,U$3,i_dip_vals)</f>
        <v/>
      </c>
      <c r="V81" s="21">
        <f>Bids!$C$63*SUMIF(i_dip_years,V$3,i_dip_vals)</f>
        <v/>
      </c>
      <c r="W81" s="21">
        <f>Bids!$C$63*SUMIF(i_dip_years,W$3,i_dip_vals)</f>
        <v/>
      </c>
      <c r="X81" s="21">
        <f>Bids!$C$63*SUMIF(i_dip_years,X$3,i_dip_vals)</f>
        <v/>
      </c>
      <c r="Y81" s="21">
        <f>Bids!$C$63*SUMIF(i_dip_years,Y$3,i_dip_vals)</f>
        <v/>
      </c>
      <c r="Z81" s="21">
        <f>Bids!$C$63*SUMIF(i_dip_years,Z$3,i_dip_vals)</f>
        <v/>
      </c>
      <c r="AA81" s="21">
        <f>Bids!$C$63*SUMIF(i_dip_years,AA$3,i_dip_vals)</f>
        <v/>
      </c>
      <c r="AB81" s="21">
        <f>Bids!$C$63*SUMIF(i_dip_years,AB$3,i_dip_vals)</f>
        <v/>
      </c>
      <c r="AC81" s="21">
        <f>Bids!$C$63*SUMIF(i_dip_years,AC$3,i_dip_vals)</f>
        <v/>
      </c>
      <c r="AD81" s="21">
        <f>Bids!$C$63*SUMIF(i_dip_years,AD$3,i_dip_vals)</f>
        <v/>
      </c>
      <c r="AE81" s="21">
        <f>Bids!$C$63*SUMIF(i_dip_years,AE$3,i_dip_vals)</f>
        <v/>
      </c>
      <c r="AF81" s="21">
        <f>Bids!$C$63*SUMIF(i_dip_years,AF$3,i_dip_vals)</f>
        <v/>
      </c>
      <c r="AG81" s="21">
        <f>Bids!$C$63*SUMIF(i_dip_years,AG$3,i_dip_vals)</f>
        <v/>
      </c>
      <c r="AH81" s="21">
        <f>Bids!$C$63*SUMIF(i_dip_years,AH$3,i_dip_vals)</f>
        <v/>
      </c>
      <c r="AI81" s="21">
        <f>Bids!$C$63*SUMIF(i_dip_years,AI$3,i_dip_vals)</f>
        <v/>
      </c>
    </row>
    <row r="82">
      <c r="B82" s="2" t="inlineStr">
        <is>
          <t xml:space="preserve">  Occupancy (with the shift switch from 2027)</t>
        </is>
      </c>
      <c r="D82" s="21">
        <f>IF(D$4&gt;0,MIN(1,D80-D81+Bids!$C$67),D80-D81)</f>
        <v/>
      </c>
      <c r="E82" s="21">
        <f>IF(E$4&gt;0,MIN(1,E80-E81+Bids!$C$67),E80-E81)</f>
        <v/>
      </c>
      <c r="F82" s="21">
        <f>IF(F$4&gt;0,MIN(1,F80-F81+Bids!$C$67),F80-F81)</f>
        <v/>
      </c>
      <c r="G82" s="21">
        <f>IF(G$4&gt;0,MIN(1,G80-G81+Bids!$C$67),G80-G81)</f>
        <v/>
      </c>
      <c r="H82" s="21">
        <f>IF(H$4&gt;0,MIN(1,H80-H81+Bids!$C$67),H80-H81)</f>
        <v/>
      </c>
      <c r="I82" s="21">
        <f>IF(I$4&gt;0,MIN(1,I80-I81+Bids!$C$67),I80-I81)</f>
        <v/>
      </c>
      <c r="J82" s="21">
        <f>IF(J$4&gt;0,MIN(1,J80-J81+Bids!$C$67),J80-J81)</f>
        <v/>
      </c>
      <c r="K82" s="21">
        <f>IF(K$4&gt;0,MIN(1,K80-K81+Bids!$C$67),K80-K81)</f>
        <v/>
      </c>
      <c r="L82" s="21">
        <f>IF(L$4&gt;0,MIN(1,L80-L81+Bids!$C$67),L80-L81)</f>
        <v/>
      </c>
      <c r="M82" s="21">
        <f>IF(M$4&gt;0,MIN(1,M80-M81+Bids!$C$67),M80-M81)</f>
        <v/>
      </c>
      <c r="N82" s="21">
        <f>IF(N$4&gt;0,MIN(1,N80-N81+Bids!$C$67),N80-N81)</f>
        <v/>
      </c>
      <c r="O82" s="21">
        <f>IF(O$4&gt;0,MIN(1,O80-O81+Bids!$C$67),O80-O81)</f>
        <v/>
      </c>
      <c r="P82" s="21">
        <f>IF(P$4&gt;0,MIN(1,P80-P81+Bids!$C$67),P80-P81)</f>
        <v/>
      </c>
      <c r="Q82" s="21">
        <f>IF(Q$4&gt;0,MIN(1,Q80-Q81+Bids!$C$67),Q80-Q81)</f>
        <v/>
      </c>
      <c r="R82" s="21">
        <f>IF(R$4&gt;0,MIN(1,R80-R81+Bids!$C$67),R80-R81)</f>
        <v/>
      </c>
      <c r="S82" s="21">
        <f>IF(S$4&gt;0,MIN(1,S80-S81+Bids!$C$67),S80-S81)</f>
        <v/>
      </c>
      <c r="T82" s="21">
        <f>IF(T$4&gt;0,MIN(1,T80-T81+Bids!$C$67),T80-T81)</f>
        <v/>
      </c>
      <c r="U82" s="21">
        <f>IF(U$4&gt;0,MIN(1,U80-U81+Bids!$C$67),U80-U81)</f>
        <v/>
      </c>
      <c r="V82" s="21">
        <f>IF(V$4&gt;0,MIN(1,V80-V81+Bids!$C$67),V80-V81)</f>
        <v/>
      </c>
      <c r="W82" s="21">
        <f>IF(W$4&gt;0,MIN(1,W80-W81+Bids!$C$67),W80-W81)</f>
        <v/>
      </c>
      <c r="X82" s="21">
        <f>IF(X$4&gt;0,MIN(1,X80-X81+Bids!$C$67),X80-X81)</f>
        <v/>
      </c>
      <c r="Y82" s="21">
        <f>IF(Y$4&gt;0,MIN(1,Y80-Y81+Bids!$C$67),Y80-Y81)</f>
        <v/>
      </c>
      <c r="Z82" s="21">
        <f>IF(Z$4&gt;0,MIN(1,Z80-Z81+Bids!$C$67),Z80-Z81)</f>
        <v/>
      </c>
      <c r="AA82" s="21">
        <f>IF(AA$4&gt;0,MIN(1,AA80-AA81+Bids!$C$67),AA80-AA81)</f>
        <v/>
      </c>
      <c r="AB82" s="21">
        <f>IF(AB$4&gt;0,MIN(1,AB80-AB81+Bids!$C$67),AB80-AB81)</f>
        <v/>
      </c>
      <c r="AC82" s="21">
        <f>IF(AC$4&gt;0,MIN(1,AC80-AC81+Bids!$C$67),AC80-AC81)</f>
        <v/>
      </c>
      <c r="AD82" s="21">
        <f>IF(AD$4&gt;0,MIN(1,AD80-AD81+Bids!$C$67),AD80-AD81)</f>
        <v/>
      </c>
      <c r="AE82" s="21">
        <f>IF(AE$4&gt;0,MIN(1,AE80-AE81+Bids!$C$67),AE80-AE81)</f>
        <v/>
      </c>
      <c r="AF82" s="21">
        <f>IF(AF$4&gt;0,MIN(1,AF80-AF81+Bids!$C$67),AF80-AF81)</f>
        <v/>
      </c>
      <c r="AG82" s="21">
        <f>IF(AG$4&gt;0,MIN(1,AG80-AG81+Bids!$C$67),AG80-AG81)</f>
        <v/>
      </c>
      <c r="AH82" s="21">
        <f>IF(AH$4&gt;0,MIN(1,AH80-AH81+Bids!$C$67),AH80-AH81)</f>
        <v/>
      </c>
      <c r="AI82" s="21">
        <f>IF(AI$4&gt;0,MIN(1,AI80-AI81+Bids!$C$67),AI80-AI81)</f>
        <v/>
      </c>
    </row>
    <row r="83">
      <c r="B83" s="2" t="inlineStr">
        <is>
          <t xml:space="preserve">  Storage revenue</t>
        </is>
      </c>
      <c r="D83" s="19">
        <f>D76*D79*12*D82</f>
        <v/>
      </c>
      <c r="E83" s="19">
        <f>E76*E79*12*E82</f>
        <v/>
      </c>
      <c r="F83" s="19">
        <f>F76*F79*12*F82</f>
        <v/>
      </c>
      <c r="G83" s="19">
        <f>G76*G79*12*G82</f>
        <v/>
      </c>
      <c r="H83" s="19">
        <f>H76*H79*12*H82</f>
        <v/>
      </c>
      <c r="I83" s="19">
        <f>I76*I79*12*I82</f>
        <v/>
      </c>
      <c r="J83" s="19">
        <f>J76*J79*12*J82</f>
        <v/>
      </c>
      <c r="K83" s="19">
        <f>K76*K79*12*K82</f>
        <v/>
      </c>
      <c r="L83" s="19">
        <f>L76*L79*12*L82</f>
        <v/>
      </c>
      <c r="M83" s="19">
        <f>M76*M79*12*M82</f>
        <v/>
      </c>
      <c r="N83" s="19">
        <f>N76*N79*12*N82</f>
        <v/>
      </c>
      <c r="O83" s="19">
        <f>O76*O79*12*O82</f>
        <v/>
      </c>
      <c r="P83" s="19">
        <f>P76*P79*12*P82</f>
        <v/>
      </c>
      <c r="Q83" s="19">
        <f>Q76*Q79*12*Q82</f>
        <v/>
      </c>
      <c r="R83" s="19">
        <f>R76*R79*12*R82</f>
        <v/>
      </c>
      <c r="S83" s="19">
        <f>S76*S79*12*S82</f>
        <v/>
      </c>
      <c r="T83" s="19">
        <f>T76*T79*12*T82</f>
        <v/>
      </c>
      <c r="U83" s="19">
        <f>U76*U79*12*U82</f>
        <v/>
      </c>
      <c r="V83" s="19">
        <f>V76*V79*12*V82</f>
        <v/>
      </c>
      <c r="W83" s="19">
        <f>W76*W79*12*W82</f>
        <v/>
      </c>
      <c r="X83" s="19">
        <f>X76*X79*12*X82</f>
        <v/>
      </c>
      <c r="Y83" s="19">
        <f>Y76*Y79*12*Y82</f>
        <v/>
      </c>
      <c r="Z83" s="19">
        <f>Z76*Z79*12*Z82</f>
        <v/>
      </c>
      <c r="AA83" s="19">
        <f>AA76*AA79*12*AA82</f>
        <v/>
      </c>
      <c r="AB83" s="19">
        <f>AB76*AB79*12*AB82</f>
        <v/>
      </c>
      <c r="AC83" s="19">
        <f>AC76*AC79*12*AC82</f>
        <v/>
      </c>
      <c r="AD83" s="19">
        <f>AD76*AD79*12*AD82</f>
        <v/>
      </c>
      <c r="AE83" s="19">
        <f>AE76*AE79*12*AE82</f>
        <v/>
      </c>
      <c r="AF83" s="19">
        <f>AF76*AF79*12*AF82</f>
        <v/>
      </c>
      <c r="AG83" s="19">
        <f>AG76*AG79*12*AG82</f>
        <v/>
      </c>
      <c r="AH83" s="19">
        <f>AH76*AH79*12*AH82</f>
        <v/>
      </c>
      <c r="AI83" s="19">
        <f>AI76*AI79*12*AI82</f>
        <v/>
      </c>
    </row>
    <row r="84">
      <c r="B84" s="2" t="inlineStr">
        <is>
          <t xml:space="preserve">  Ancillary and throughput revenue</t>
        </is>
      </c>
      <c r="D84" s="19">
        <f>D83*i_W_anc</f>
        <v/>
      </c>
      <c r="E84" s="19">
        <f>E83*i_W_anc</f>
        <v/>
      </c>
      <c r="F84" s="19">
        <f>F83*i_W_anc</f>
        <v/>
      </c>
      <c r="G84" s="19">
        <f>G83*i_W_anc</f>
        <v/>
      </c>
      <c r="H84" s="19">
        <f>H83*i_W_anc</f>
        <v/>
      </c>
      <c r="I84" s="19">
        <f>I83*i_W_anc</f>
        <v/>
      </c>
      <c r="J84" s="19">
        <f>J83*i_W_anc</f>
        <v/>
      </c>
      <c r="K84" s="19">
        <f>K83*i_W_anc</f>
        <v/>
      </c>
      <c r="L84" s="19">
        <f>L83*i_W_anc</f>
        <v/>
      </c>
      <c r="M84" s="19">
        <f>M83*i_W_anc</f>
        <v/>
      </c>
      <c r="N84" s="19">
        <f>N83*i_W_anc</f>
        <v/>
      </c>
      <c r="O84" s="19">
        <f>O83*i_W_anc</f>
        <v/>
      </c>
      <c r="P84" s="19">
        <f>P83*i_W_anc</f>
        <v/>
      </c>
      <c r="Q84" s="19">
        <f>Q83*i_W_anc</f>
        <v/>
      </c>
      <c r="R84" s="19">
        <f>R83*i_W_anc</f>
        <v/>
      </c>
      <c r="S84" s="19">
        <f>S83*i_W_anc</f>
        <v/>
      </c>
      <c r="T84" s="19">
        <f>T83*i_W_anc</f>
        <v/>
      </c>
      <c r="U84" s="19">
        <f>U83*i_W_anc</f>
        <v/>
      </c>
      <c r="V84" s="19">
        <f>V83*i_W_anc</f>
        <v/>
      </c>
      <c r="W84" s="19">
        <f>W83*i_W_anc</f>
        <v/>
      </c>
      <c r="X84" s="19">
        <f>X83*i_W_anc</f>
        <v/>
      </c>
      <c r="Y84" s="19">
        <f>Y83*i_W_anc</f>
        <v/>
      </c>
      <c r="Z84" s="19">
        <f>Z83*i_W_anc</f>
        <v/>
      </c>
      <c r="AA84" s="19">
        <f>AA83*i_W_anc</f>
        <v/>
      </c>
      <c r="AB84" s="19">
        <f>AB83*i_W_anc</f>
        <v/>
      </c>
      <c r="AC84" s="19">
        <f>AC83*i_W_anc</f>
        <v/>
      </c>
      <c r="AD84" s="19">
        <f>AD83*i_W_anc</f>
        <v/>
      </c>
      <c r="AE84" s="19">
        <f>AE83*i_W_anc</f>
        <v/>
      </c>
      <c r="AF84" s="19">
        <f>AF83*i_W_anc</f>
        <v/>
      </c>
      <c r="AG84" s="19">
        <f>AG83*i_W_anc</f>
        <v/>
      </c>
      <c r="AH84" s="19">
        <f>AH83*i_W_anc</f>
        <v/>
      </c>
      <c r="AI84" s="19">
        <f>AI83*i_W_anc</f>
        <v/>
      </c>
    </row>
    <row r="85">
      <c r="B85" s="3" t="inlineStr">
        <is>
          <t xml:space="preserve">  Revenue</t>
        </is>
      </c>
      <c r="D85" s="31">
        <f>D83+D84</f>
        <v/>
      </c>
      <c r="E85" s="31">
        <f>E83+E84</f>
        <v/>
      </c>
      <c r="F85" s="31">
        <f>F83+F84</f>
        <v/>
      </c>
      <c r="G85" s="31">
        <f>G83+G84</f>
        <v/>
      </c>
      <c r="H85" s="31">
        <f>H83+H84</f>
        <v/>
      </c>
      <c r="I85" s="31">
        <f>I83+I84</f>
        <v/>
      </c>
      <c r="J85" s="31">
        <f>J83+J84</f>
        <v/>
      </c>
      <c r="K85" s="31">
        <f>K83+K84</f>
        <v/>
      </c>
      <c r="L85" s="31">
        <f>L83+L84</f>
        <v/>
      </c>
      <c r="M85" s="31">
        <f>M83+M84</f>
        <v/>
      </c>
      <c r="N85" s="31">
        <f>N83+N84</f>
        <v/>
      </c>
      <c r="O85" s="31">
        <f>O83+O84</f>
        <v/>
      </c>
      <c r="P85" s="31">
        <f>P83+P84</f>
        <v/>
      </c>
      <c r="Q85" s="31">
        <f>Q83+Q84</f>
        <v/>
      </c>
      <c r="R85" s="31">
        <f>R83+R84</f>
        <v/>
      </c>
      <c r="S85" s="31">
        <f>S83+S84</f>
        <v/>
      </c>
      <c r="T85" s="31">
        <f>T83+T84</f>
        <v/>
      </c>
      <c r="U85" s="31">
        <f>U83+U84</f>
        <v/>
      </c>
      <c r="V85" s="31">
        <f>V83+V84</f>
        <v/>
      </c>
      <c r="W85" s="31">
        <f>W83+W84</f>
        <v/>
      </c>
      <c r="X85" s="31">
        <f>X83+X84</f>
        <v/>
      </c>
      <c r="Y85" s="31">
        <f>Y83+Y84</f>
        <v/>
      </c>
      <c r="Z85" s="31">
        <f>Z83+Z84</f>
        <v/>
      </c>
      <c r="AA85" s="31">
        <f>AA83+AA84</f>
        <v/>
      </c>
      <c r="AB85" s="31">
        <f>AB83+AB84</f>
        <v/>
      </c>
      <c r="AC85" s="31">
        <f>AC83+AC84</f>
        <v/>
      </c>
      <c r="AD85" s="31">
        <f>AD83+AD84</f>
        <v/>
      </c>
      <c r="AE85" s="31">
        <f>AE83+AE84</f>
        <v/>
      </c>
      <c r="AF85" s="31">
        <f>AF83+AF84</f>
        <v/>
      </c>
      <c r="AG85" s="31">
        <f>AG83+AG84</f>
        <v/>
      </c>
      <c r="AH85" s="31">
        <f>AH83+AH84</f>
        <v/>
      </c>
      <c r="AI85" s="31">
        <f>AI83+AI84</f>
        <v/>
      </c>
    </row>
    <row r="86">
      <c r="B86" s="2" t="inlineStr">
        <is>
          <t xml:space="preserve">  Fixed cost</t>
        </is>
      </c>
      <c r="D86" s="19">
        <f>D76*i_W_fix*D72</f>
        <v/>
      </c>
      <c r="E86" s="19">
        <f>E76*i_W_fix*E72</f>
        <v/>
      </c>
      <c r="F86" s="19">
        <f>F76*i_W_fix*F72</f>
        <v/>
      </c>
      <c r="G86" s="19">
        <f>G76*i_W_fix*G72</f>
        <v/>
      </c>
      <c r="H86" s="19">
        <f>H76*i_W_fix*H72</f>
        <v/>
      </c>
      <c r="I86" s="19">
        <f>I76*i_W_fix*I72</f>
        <v/>
      </c>
      <c r="J86" s="19">
        <f>J76*i_W_fix*J72</f>
        <v/>
      </c>
      <c r="K86" s="19">
        <f>K76*i_W_fix*K72</f>
        <v/>
      </c>
      <c r="L86" s="19">
        <f>L76*i_W_fix*L72</f>
        <v/>
      </c>
      <c r="M86" s="19">
        <f>M76*i_W_fix*M72</f>
        <v/>
      </c>
      <c r="N86" s="19">
        <f>N76*i_W_fix*N72</f>
        <v/>
      </c>
      <c r="O86" s="19">
        <f>O76*i_W_fix*O72</f>
        <v/>
      </c>
      <c r="P86" s="19">
        <f>P76*i_W_fix*P72</f>
        <v/>
      </c>
      <c r="Q86" s="19">
        <f>Q76*i_W_fix*Q72</f>
        <v/>
      </c>
      <c r="R86" s="19">
        <f>R76*i_W_fix*R72</f>
        <v/>
      </c>
      <c r="S86" s="19">
        <f>S76*i_W_fix*S72</f>
        <v/>
      </c>
      <c r="T86" s="19">
        <f>T76*i_W_fix*T72</f>
        <v/>
      </c>
      <c r="U86" s="19">
        <f>U76*i_W_fix*U72</f>
        <v/>
      </c>
      <c r="V86" s="19">
        <f>V76*i_W_fix*V72</f>
        <v/>
      </c>
      <c r="W86" s="19">
        <f>W76*i_W_fix*W72</f>
        <v/>
      </c>
      <c r="X86" s="19">
        <f>X76*i_W_fix*X72</f>
        <v/>
      </c>
      <c r="Y86" s="19">
        <f>Y76*i_W_fix*Y72</f>
        <v/>
      </c>
      <c r="Z86" s="19">
        <f>Z76*i_W_fix*Z72</f>
        <v/>
      </c>
      <c r="AA86" s="19">
        <f>AA76*i_W_fix*AA72</f>
        <v/>
      </c>
      <c r="AB86" s="19">
        <f>AB76*i_W_fix*AB72</f>
        <v/>
      </c>
      <c r="AC86" s="19">
        <f>AC76*i_W_fix*AC72</f>
        <v/>
      </c>
      <c r="AD86" s="19">
        <f>AD76*i_W_fix*AD72</f>
        <v/>
      </c>
      <c r="AE86" s="19">
        <f>AE76*i_W_fix*AE72</f>
        <v/>
      </c>
      <c r="AF86" s="19">
        <f>AF76*i_W_fix*AF72</f>
        <v/>
      </c>
      <c r="AG86" s="19">
        <f>AG76*i_W_fix*AG72</f>
        <v/>
      </c>
      <c r="AH86" s="19">
        <f>AH76*i_W_fix*AH72</f>
        <v/>
      </c>
      <c r="AI86" s="19">
        <f>AI76*i_W_fix*AI72</f>
        <v/>
      </c>
    </row>
    <row r="87">
      <c r="B87" s="2" t="inlineStr">
        <is>
          <t xml:space="preserve">  Variable cost</t>
        </is>
      </c>
      <c r="D87" s="19">
        <f>i_W_var*D85</f>
        <v/>
      </c>
      <c r="E87" s="19">
        <f>i_W_var*E85</f>
        <v/>
      </c>
      <c r="F87" s="19">
        <f>i_W_var*F85</f>
        <v/>
      </c>
      <c r="G87" s="19">
        <f>i_W_var*G85</f>
        <v/>
      </c>
      <c r="H87" s="19">
        <f>i_W_var*H85</f>
        <v/>
      </c>
      <c r="I87" s="19">
        <f>i_W_var*I85</f>
        <v/>
      </c>
      <c r="J87" s="19">
        <f>i_W_var*J85</f>
        <v/>
      </c>
      <c r="K87" s="19">
        <f>i_W_var*K85</f>
        <v/>
      </c>
      <c r="L87" s="19">
        <f>i_W_var*L85</f>
        <v/>
      </c>
      <c r="M87" s="19">
        <f>i_W_var*M85</f>
        <v/>
      </c>
      <c r="N87" s="19">
        <f>i_W_var*N85</f>
        <v/>
      </c>
      <c r="O87" s="19">
        <f>i_W_var*O85</f>
        <v/>
      </c>
      <c r="P87" s="19">
        <f>i_W_var*P85</f>
        <v/>
      </c>
      <c r="Q87" s="19">
        <f>i_W_var*Q85</f>
        <v/>
      </c>
      <c r="R87" s="19">
        <f>i_W_var*R85</f>
        <v/>
      </c>
      <c r="S87" s="19">
        <f>i_W_var*S85</f>
        <v/>
      </c>
      <c r="T87" s="19">
        <f>i_W_var*T85</f>
        <v/>
      </c>
      <c r="U87" s="19">
        <f>i_W_var*U85</f>
        <v/>
      </c>
      <c r="V87" s="19">
        <f>i_W_var*V85</f>
        <v/>
      </c>
      <c r="W87" s="19">
        <f>i_W_var*W85</f>
        <v/>
      </c>
      <c r="X87" s="19">
        <f>i_W_var*X85</f>
        <v/>
      </c>
      <c r="Y87" s="19">
        <f>i_W_var*Y85</f>
        <v/>
      </c>
      <c r="Z87" s="19">
        <f>i_W_var*Z85</f>
        <v/>
      </c>
      <c r="AA87" s="19">
        <f>i_W_var*AA85</f>
        <v/>
      </c>
      <c r="AB87" s="19">
        <f>i_W_var*AB85</f>
        <v/>
      </c>
      <c r="AC87" s="19">
        <f>i_W_var*AC85</f>
        <v/>
      </c>
      <c r="AD87" s="19">
        <f>i_W_var*AD85</f>
        <v/>
      </c>
      <c r="AE87" s="19">
        <f>i_W_var*AE85</f>
        <v/>
      </c>
      <c r="AF87" s="19">
        <f>i_W_var*AF85</f>
        <v/>
      </c>
      <c r="AG87" s="19">
        <f>i_W_var*AG85</f>
        <v/>
      </c>
      <c r="AH87" s="19">
        <f>i_W_var*AH85</f>
        <v/>
      </c>
      <c r="AI87" s="19">
        <f>i_W_var*AI85</f>
        <v/>
      </c>
    </row>
    <row r="88">
      <c r="B88" s="2" t="inlineStr">
        <is>
          <t xml:space="preserve">  Concession fee</t>
        </is>
      </c>
      <c r="D88" s="19">
        <f>IF(AND(Bids!$C$69=1,D$3&gt;i_conc_end),i_renew_fee,i_W_fee)*D85</f>
        <v/>
      </c>
      <c r="E88" s="19">
        <f>IF(AND(Bids!$C$69=1,E$3&gt;i_conc_end),i_renew_fee,i_W_fee)*E85</f>
        <v/>
      </c>
      <c r="F88" s="19">
        <f>IF(AND(Bids!$C$69=1,F$3&gt;i_conc_end),i_renew_fee,i_W_fee)*F85</f>
        <v/>
      </c>
      <c r="G88" s="19">
        <f>IF(AND(Bids!$C$69=1,G$3&gt;i_conc_end),i_renew_fee,i_W_fee)*G85</f>
        <v/>
      </c>
      <c r="H88" s="19">
        <f>IF(AND(Bids!$C$69=1,H$3&gt;i_conc_end),i_renew_fee,i_W_fee)*H85</f>
        <v/>
      </c>
      <c r="I88" s="19">
        <f>IF(AND(Bids!$C$69=1,I$3&gt;i_conc_end),i_renew_fee,i_W_fee)*I85</f>
        <v/>
      </c>
      <c r="J88" s="19">
        <f>IF(AND(Bids!$C$69=1,J$3&gt;i_conc_end),i_renew_fee,i_W_fee)*J85</f>
        <v/>
      </c>
      <c r="K88" s="19">
        <f>IF(AND(Bids!$C$69=1,K$3&gt;i_conc_end),i_renew_fee,i_W_fee)*K85</f>
        <v/>
      </c>
      <c r="L88" s="19">
        <f>IF(AND(Bids!$C$69=1,L$3&gt;i_conc_end),i_renew_fee,i_W_fee)*L85</f>
        <v/>
      </c>
      <c r="M88" s="19">
        <f>IF(AND(Bids!$C$69=1,M$3&gt;i_conc_end),i_renew_fee,i_W_fee)*M85</f>
        <v/>
      </c>
      <c r="N88" s="19">
        <f>IF(AND(Bids!$C$69=1,N$3&gt;i_conc_end),i_renew_fee,i_W_fee)*N85</f>
        <v/>
      </c>
      <c r="O88" s="19">
        <f>IF(AND(Bids!$C$69=1,O$3&gt;i_conc_end),i_renew_fee,i_W_fee)*O85</f>
        <v/>
      </c>
      <c r="P88" s="19">
        <f>IF(AND(Bids!$C$69=1,P$3&gt;i_conc_end),i_renew_fee,i_W_fee)*P85</f>
        <v/>
      </c>
      <c r="Q88" s="19">
        <f>IF(AND(Bids!$C$69=1,Q$3&gt;i_conc_end),i_renew_fee,i_W_fee)*Q85</f>
        <v/>
      </c>
      <c r="R88" s="19">
        <f>IF(AND(Bids!$C$69=1,R$3&gt;i_conc_end),i_renew_fee,i_W_fee)*R85</f>
        <v/>
      </c>
      <c r="S88" s="19">
        <f>IF(AND(Bids!$C$69=1,S$3&gt;i_conc_end),i_renew_fee,i_W_fee)*S85</f>
        <v/>
      </c>
      <c r="T88" s="19">
        <f>IF(AND(Bids!$C$69=1,T$3&gt;i_conc_end),i_renew_fee,i_W_fee)*T85</f>
        <v/>
      </c>
      <c r="U88" s="19">
        <f>IF(AND(Bids!$C$69=1,U$3&gt;i_conc_end),i_renew_fee,i_W_fee)*U85</f>
        <v/>
      </c>
      <c r="V88" s="19">
        <f>IF(AND(Bids!$C$69=1,V$3&gt;i_conc_end),i_renew_fee,i_W_fee)*V85</f>
        <v/>
      </c>
      <c r="W88" s="19">
        <f>IF(AND(Bids!$C$69=1,W$3&gt;i_conc_end),i_renew_fee,i_W_fee)*W85</f>
        <v/>
      </c>
      <c r="X88" s="19">
        <f>IF(AND(Bids!$C$69=1,X$3&gt;i_conc_end),i_renew_fee,i_W_fee)*X85</f>
        <v/>
      </c>
      <c r="Y88" s="19">
        <f>IF(AND(Bids!$C$69=1,Y$3&gt;i_conc_end),i_renew_fee,i_W_fee)*Y85</f>
        <v/>
      </c>
      <c r="Z88" s="19">
        <f>IF(AND(Bids!$C$69=1,Z$3&gt;i_conc_end),i_renew_fee,i_W_fee)*Z85</f>
        <v/>
      </c>
      <c r="AA88" s="19">
        <f>IF(AND(Bids!$C$69=1,AA$3&gt;i_conc_end),i_renew_fee,i_W_fee)*AA85</f>
        <v/>
      </c>
      <c r="AB88" s="19">
        <f>IF(AND(Bids!$C$69=1,AB$3&gt;i_conc_end),i_renew_fee,i_W_fee)*AB85</f>
        <v/>
      </c>
      <c r="AC88" s="19">
        <f>IF(AND(Bids!$C$69=1,AC$3&gt;i_conc_end),i_renew_fee,i_W_fee)*AC85</f>
        <v/>
      </c>
      <c r="AD88" s="19">
        <f>IF(AND(Bids!$C$69=1,AD$3&gt;i_conc_end),i_renew_fee,i_W_fee)*AD85</f>
        <v/>
      </c>
      <c r="AE88" s="19">
        <f>IF(AND(Bids!$C$69=1,AE$3&gt;i_conc_end),i_renew_fee,i_W_fee)*AE85</f>
        <v/>
      </c>
      <c r="AF88" s="19">
        <f>IF(AND(Bids!$C$69=1,AF$3&gt;i_conc_end),i_renew_fee,i_W_fee)*AF85</f>
        <v/>
      </c>
      <c r="AG88" s="19">
        <f>IF(AND(Bids!$C$69=1,AG$3&gt;i_conc_end),i_renew_fee,i_W_fee)*AG85</f>
        <v/>
      </c>
      <c r="AH88" s="19">
        <f>IF(AND(Bids!$C$69=1,AH$3&gt;i_conc_end),i_renew_fee,i_W_fee)*AH85</f>
        <v/>
      </c>
      <c r="AI88" s="19">
        <f>IF(AND(Bids!$C$69=1,AI$3&gt;i_conc_end),i_renew_fee,i_W_fee)*AI85</f>
        <v/>
      </c>
    </row>
    <row r="89">
      <c r="B89" s="2" t="inlineStr">
        <is>
          <t xml:space="preserve">  Operating cost</t>
        </is>
      </c>
      <c r="D89" s="19">
        <f>D86+D87+D88</f>
        <v/>
      </c>
      <c r="E89" s="19">
        <f>E86+E87+E88</f>
        <v/>
      </c>
      <c r="F89" s="19">
        <f>F86+F87+F88</f>
        <v/>
      </c>
      <c r="G89" s="19">
        <f>G86+G87+G88</f>
        <v/>
      </c>
      <c r="H89" s="19">
        <f>H86+H87+H88</f>
        <v/>
      </c>
      <c r="I89" s="19">
        <f>I86+I87+I88</f>
        <v/>
      </c>
      <c r="J89" s="19">
        <f>J86+J87+J88</f>
        <v/>
      </c>
      <c r="K89" s="19">
        <f>K86+K87+K88</f>
        <v/>
      </c>
      <c r="L89" s="19">
        <f>L86+L87+L88</f>
        <v/>
      </c>
      <c r="M89" s="19">
        <f>M86+M87+M88</f>
        <v/>
      </c>
      <c r="N89" s="19">
        <f>N86+N87+N88</f>
        <v/>
      </c>
      <c r="O89" s="19">
        <f>O86+O87+O88</f>
        <v/>
      </c>
      <c r="P89" s="19">
        <f>P86+P87+P88</f>
        <v/>
      </c>
      <c r="Q89" s="19">
        <f>Q86+Q87+Q88</f>
        <v/>
      </c>
      <c r="R89" s="19">
        <f>R86+R87+R88</f>
        <v/>
      </c>
      <c r="S89" s="19">
        <f>S86+S87+S88</f>
        <v/>
      </c>
      <c r="T89" s="19">
        <f>T86+T87+T88</f>
        <v/>
      </c>
      <c r="U89" s="19">
        <f>U86+U87+U88</f>
        <v/>
      </c>
      <c r="V89" s="19">
        <f>V86+V87+V88</f>
        <v/>
      </c>
      <c r="W89" s="19">
        <f>W86+W87+W88</f>
        <v/>
      </c>
      <c r="X89" s="19">
        <f>X86+X87+X88</f>
        <v/>
      </c>
      <c r="Y89" s="19">
        <f>Y86+Y87+Y88</f>
        <v/>
      </c>
      <c r="Z89" s="19">
        <f>Z86+Z87+Z88</f>
        <v/>
      </c>
      <c r="AA89" s="19">
        <f>AA86+AA87+AA88</f>
        <v/>
      </c>
      <c r="AB89" s="19">
        <f>AB86+AB87+AB88</f>
        <v/>
      </c>
      <c r="AC89" s="19">
        <f>AC86+AC87+AC88</f>
        <v/>
      </c>
      <c r="AD89" s="19">
        <f>AD86+AD87+AD88</f>
        <v/>
      </c>
      <c r="AE89" s="19">
        <f>AE86+AE87+AE88</f>
        <v/>
      </c>
      <c r="AF89" s="19">
        <f>AF86+AF87+AF88</f>
        <v/>
      </c>
      <c r="AG89" s="19">
        <f>AG86+AG87+AG88</f>
        <v/>
      </c>
      <c r="AH89" s="19">
        <f>AH86+AH87+AH88</f>
        <v/>
      </c>
      <c r="AI89" s="19">
        <f>AI86+AI87+AI88</f>
        <v/>
      </c>
    </row>
    <row r="90">
      <c r="B90" s="3" t="inlineStr">
        <is>
          <t xml:space="preserve">  EBITDA</t>
        </is>
      </c>
      <c r="D90" s="31">
        <f>D85-D89</f>
        <v/>
      </c>
      <c r="E90" s="31">
        <f>E85-E89</f>
        <v/>
      </c>
      <c r="F90" s="31">
        <f>F85-F89</f>
        <v/>
      </c>
      <c r="G90" s="31">
        <f>G85-G89</f>
        <v/>
      </c>
      <c r="H90" s="31">
        <f>H85-H89</f>
        <v/>
      </c>
      <c r="I90" s="31">
        <f>I85-I89</f>
        <v/>
      </c>
      <c r="J90" s="31">
        <f>J85-J89</f>
        <v/>
      </c>
      <c r="K90" s="31">
        <f>K85-K89</f>
        <v/>
      </c>
      <c r="L90" s="31">
        <f>L85-L89</f>
        <v/>
      </c>
      <c r="M90" s="31">
        <f>M85-M89</f>
        <v/>
      </c>
      <c r="N90" s="31">
        <f>N85-N89</f>
        <v/>
      </c>
      <c r="O90" s="31">
        <f>O85-O89</f>
        <v/>
      </c>
      <c r="P90" s="31">
        <f>P85-P89</f>
        <v/>
      </c>
      <c r="Q90" s="31">
        <f>Q85-Q89</f>
        <v/>
      </c>
      <c r="R90" s="31">
        <f>R85-R89</f>
        <v/>
      </c>
      <c r="S90" s="31">
        <f>S85-S89</f>
        <v/>
      </c>
      <c r="T90" s="31">
        <f>T85-T89</f>
        <v/>
      </c>
      <c r="U90" s="31">
        <f>U85-U89</f>
        <v/>
      </c>
      <c r="V90" s="31">
        <f>V85-V89</f>
        <v/>
      </c>
      <c r="W90" s="31">
        <f>W85-W89</f>
        <v/>
      </c>
      <c r="X90" s="31">
        <f>X85-X89</f>
        <v/>
      </c>
      <c r="Y90" s="31">
        <f>Y85-Y89</f>
        <v/>
      </c>
      <c r="Z90" s="31">
        <f>Z85-Z89</f>
        <v/>
      </c>
      <c r="AA90" s="31">
        <f>AA85-AA89</f>
        <v/>
      </c>
      <c r="AB90" s="31">
        <f>AB85-AB89</f>
        <v/>
      </c>
      <c r="AC90" s="31">
        <f>AC85-AC89</f>
        <v/>
      </c>
      <c r="AD90" s="31">
        <f>AD85-AD89</f>
        <v/>
      </c>
      <c r="AE90" s="31">
        <f>AE85-AE89</f>
        <v/>
      </c>
      <c r="AF90" s="31">
        <f>AF85-AF89</f>
        <v/>
      </c>
      <c r="AG90" s="31">
        <f>AG85-AG89</f>
        <v/>
      </c>
      <c r="AH90" s="31">
        <f>AH85-AH89</f>
        <v/>
      </c>
      <c r="AI90" s="31">
        <f>AI85-AI89</f>
        <v/>
      </c>
    </row>
    <row r="91">
      <c r="B91" s="2" t="inlineStr">
        <is>
          <t xml:space="preserve">  Maintenance capex (with jetty 3)</t>
        </is>
      </c>
      <c r="D91" s="19">
        <f>D76*i_W_mc*D72+D75*Bids!$C$64*SUMIF(i_jetty_years,D$3,i_jetty_vals)*D72</f>
        <v/>
      </c>
      <c r="E91" s="19">
        <f>E76*i_W_mc*E72+E75*Bids!$C$64*SUMIF(i_jetty_years,E$3,i_jetty_vals)*E72</f>
        <v/>
      </c>
      <c r="F91" s="19">
        <f>F76*i_W_mc*F72+F75*Bids!$C$64*SUMIF(i_jetty_years,F$3,i_jetty_vals)*F72</f>
        <v/>
      </c>
      <c r="G91" s="19">
        <f>G76*i_W_mc*G72+G75*Bids!$C$64*SUMIF(i_jetty_years,G$3,i_jetty_vals)*G72</f>
        <v/>
      </c>
      <c r="H91" s="19">
        <f>H76*i_W_mc*H72+H75*Bids!$C$64*SUMIF(i_jetty_years,H$3,i_jetty_vals)*H72</f>
        <v/>
      </c>
      <c r="I91" s="19">
        <f>I76*i_W_mc*I72+I75*Bids!$C$64*SUMIF(i_jetty_years,I$3,i_jetty_vals)*I72</f>
        <v/>
      </c>
      <c r="J91" s="19">
        <f>J76*i_W_mc*J72+J75*Bids!$C$64*SUMIF(i_jetty_years,J$3,i_jetty_vals)*J72</f>
        <v/>
      </c>
      <c r="K91" s="19">
        <f>K76*i_W_mc*K72+K75*Bids!$C$64*SUMIF(i_jetty_years,K$3,i_jetty_vals)*K72</f>
        <v/>
      </c>
      <c r="L91" s="19">
        <f>L76*i_W_mc*L72+L75*Bids!$C$64*SUMIF(i_jetty_years,L$3,i_jetty_vals)*L72</f>
        <v/>
      </c>
      <c r="M91" s="19">
        <f>M76*i_W_mc*M72+M75*Bids!$C$64*SUMIF(i_jetty_years,M$3,i_jetty_vals)*M72</f>
        <v/>
      </c>
      <c r="N91" s="19">
        <f>N76*i_W_mc*N72+N75*Bids!$C$64*SUMIF(i_jetty_years,N$3,i_jetty_vals)*N72</f>
        <v/>
      </c>
      <c r="O91" s="19">
        <f>O76*i_W_mc*O72+O75*Bids!$C$64*SUMIF(i_jetty_years,O$3,i_jetty_vals)*O72</f>
        <v/>
      </c>
      <c r="P91" s="19">
        <f>P76*i_W_mc*P72+P75*Bids!$C$64*SUMIF(i_jetty_years,P$3,i_jetty_vals)*P72</f>
        <v/>
      </c>
      <c r="Q91" s="19">
        <f>Q76*i_W_mc*Q72+Q75*Bids!$C$64*SUMIF(i_jetty_years,Q$3,i_jetty_vals)*Q72</f>
        <v/>
      </c>
      <c r="R91" s="19">
        <f>R76*i_W_mc*R72+R75*Bids!$C$64*SUMIF(i_jetty_years,R$3,i_jetty_vals)*R72</f>
        <v/>
      </c>
      <c r="S91" s="19">
        <f>S76*i_W_mc*S72+S75*Bids!$C$64*SUMIF(i_jetty_years,S$3,i_jetty_vals)*S72</f>
        <v/>
      </c>
      <c r="T91" s="19">
        <f>T76*i_W_mc*T72+T75*Bids!$C$64*SUMIF(i_jetty_years,T$3,i_jetty_vals)*T72</f>
        <v/>
      </c>
      <c r="U91" s="19">
        <f>U76*i_W_mc*U72+U75*Bids!$C$64*SUMIF(i_jetty_years,U$3,i_jetty_vals)*U72</f>
        <v/>
      </c>
      <c r="V91" s="19">
        <f>V76*i_W_mc*V72+V75*Bids!$C$64*SUMIF(i_jetty_years,V$3,i_jetty_vals)*V72</f>
        <v/>
      </c>
      <c r="W91" s="19">
        <f>W76*i_W_mc*W72+W75*Bids!$C$64*SUMIF(i_jetty_years,W$3,i_jetty_vals)*W72</f>
        <v/>
      </c>
      <c r="X91" s="19">
        <f>X76*i_W_mc*X72+X75*Bids!$C$64*SUMIF(i_jetty_years,X$3,i_jetty_vals)*X72</f>
        <v/>
      </c>
      <c r="Y91" s="19">
        <f>Y76*i_W_mc*Y72+Y75*Bids!$C$64*SUMIF(i_jetty_years,Y$3,i_jetty_vals)*Y72</f>
        <v/>
      </c>
      <c r="Z91" s="19">
        <f>Z76*i_W_mc*Z72+Z75*Bids!$C$64*SUMIF(i_jetty_years,Z$3,i_jetty_vals)*Z72</f>
        <v/>
      </c>
      <c r="AA91" s="19">
        <f>AA76*i_W_mc*AA72+AA75*Bids!$C$64*SUMIF(i_jetty_years,AA$3,i_jetty_vals)*AA72</f>
        <v/>
      </c>
      <c r="AB91" s="19">
        <f>AB76*i_W_mc*AB72+AB75*Bids!$C$64*SUMIF(i_jetty_years,AB$3,i_jetty_vals)*AB72</f>
        <v/>
      </c>
      <c r="AC91" s="19">
        <f>AC76*i_W_mc*AC72+AC75*Bids!$C$64*SUMIF(i_jetty_years,AC$3,i_jetty_vals)*AC72</f>
        <v/>
      </c>
      <c r="AD91" s="19">
        <f>AD76*i_W_mc*AD72+AD75*Bids!$C$64*SUMIF(i_jetty_years,AD$3,i_jetty_vals)*AD72</f>
        <v/>
      </c>
      <c r="AE91" s="19">
        <f>AE76*i_W_mc*AE72+AE75*Bids!$C$64*SUMIF(i_jetty_years,AE$3,i_jetty_vals)*AE72</f>
        <v/>
      </c>
      <c r="AF91" s="19">
        <f>AF76*i_W_mc*AF72+AF75*Bids!$C$64*SUMIF(i_jetty_years,AF$3,i_jetty_vals)*AF72</f>
        <v/>
      </c>
      <c r="AG91" s="19">
        <f>AG76*i_W_mc*AG72+AG75*Bids!$C$64*SUMIF(i_jetty_years,AG$3,i_jetty_vals)*AG72</f>
        <v/>
      </c>
      <c r="AH91" s="19">
        <f>AH76*i_W_mc*AH72+AH75*Bids!$C$64*SUMIF(i_jetty_years,AH$3,i_jetty_vals)*AH72</f>
        <v/>
      </c>
      <c r="AI91" s="19">
        <f>AI76*i_W_mc*AI72+AI75*Bids!$C$64*SUMIF(i_jetty_years,AI$3,i_jetty_vals)*AI72</f>
        <v/>
      </c>
    </row>
    <row r="92">
      <c r="B92" s="3" t="inlineStr">
        <is>
          <t>Rhine Inland</t>
        </is>
      </c>
    </row>
    <row r="93">
      <c r="B93" s="2" t="inlineStr">
        <is>
          <t xml:space="preserve">  Capacity in service (million m3)</t>
        </is>
      </c>
      <c r="D93" s="24">
        <f>i_R_cap</f>
        <v/>
      </c>
      <c r="E93" s="24">
        <f>i_R_cap</f>
        <v/>
      </c>
      <c r="F93" s="24">
        <f>i_R_cap</f>
        <v/>
      </c>
      <c r="G93" s="24">
        <f>i_R_cap</f>
        <v/>
      </c>
      <c r="H93" s="24">
        <f>i_R_cap</f>
        <v/>
      </c>
      <c r="I93" s="24">
        <f>i_R_cap</f>
        <v/>
      </c>
      <c r="J93" s="24">
        <f>i_R_cap</f>
        <v/>
      </c>
      <c r="K93" s="24">
        <f>i_R_cap</f>
        <v/>
      </c>
      <c r="L93" s="24">
        <f>i_R_cap</f>
        <v/>
      </c>
      <c r="M93" s="24">
        <f>i_R_cap</f>
        <v/>
      </c>
      <c r="N93" s="24">
        <f>i_R_cap</f>
        <v/>
      </c>
      <c r="O93" s="24">
        <f>i_R_cap</f>
        <v/>
      </c>
      <c r="P93" s="24">
        <f>i_R_cap</f>
        <v/>
      </c>
      <c r="Q93" s="24">
        <f>i_R_cap</f>
        <v/>
      </c>
      <c r="R93" s="24">
        <f>i_R_cap</f>
        <v/>
      </c>
      <c r="S93" s="24">
        <f>i_R_cap</f>
        <v/>
      </c>
      <c r="T93" s="24">
        <f>i_R_cap</f>
        <v/>
      </c>
      <c r="U93" s="24">
        <f>i_R_cap</f>
        <v/>
      </c>
      <c r="V93" s="24">
        <f>i_R_cap</f>
        <v/>
      </c>
      <c r="W93" s="24">
        <f>i_R_cap</f>
        <v/>
      </c>
      <c r="X93" s="24">
        <f>i_R_cap</f>
        <v/>
      </c>
      <c r="Y93" s="24">
        <f>i_R_cap</f>
        <v/>
      </c>
      <c r="Z93" s="24">
        <f>i_R_cap</f>
        <v/>
      </c>
      <c r="AA93" s="24">
        <f>i_R_cap</f>
        <v/>
      </c>
      <c r="AB93" s="24">
        <f>i_R_cap</f>
        <v/>
      </c>
      <c r="AC93" s="24">
        <f>i_R_cap</f>
        <v/>
      </c>
      <c r="AD93" s="24">
        <f>i_R_cap</f>
        <v/>
      </c>
      <c r="AE93" s="24">
        <f>i_R_cap</f>
        <v/>
      </c>
      <c r="AF93" s="24">
        <f>i_R_cap</f>
        <v/>
      </c>
      <c r="AG93" s="24">
        <f>i_R_cap</f>
        <v/>
      </c>
      <c r="AH93" s="24">
        <f>i_R_cap</f>
        <v/>
      </c>
      <c r="AI93" s="24">
        <f>i_R_cap</f>
        <v/>
      </c>
    </row>
    <row r="94">
      <c r="B94" s="2" t="inlineStr">
        <is>
          <t xml:space="preserve">  Share on contracts signed before 2027</t>
        </is>
      </c>
      <c r="D94" s="21">
        <f>SUMIF(i_book_years,D$3,i_R_book)</f>
        <v/>
      </c>
      <c r="E94" s="21">
        <f>SUMIF(i_book_years,E$3,i_R_book)</f>
        <v/>
      </c>
      <c r="F94" s="21">
        <f>SUMIF(i_book_years,F$3,i_R_book)</f>
        <v/>
      </c>
      <c r="G94" s="21">
        <f>SUMIF(i_book_years,G$3,i_R_book)</f>
        <v/>
      </c>
      <c r="H94" s="21">
        <f>SUMIF(i_book_years,H$3,i_R_book)</f>
        <v/>
      </c>
      <c r="I94" s="21">
        <f>SUMIF(i_book_years,I$3,i_R_book)</f>
        <v/>
      </c>
      <c r="J94" s="21">
        <f>SUMIF(i_book_years,J$3,i_R_book)</f>
        <v/>
      </c>
      <c r="K94" s="21">
        <f>SUMIF(i_book_years,K$3,i_R_book)</f>
        <v/>
      </c>
      <c r="L94" s="21">
        <f>SUMIF(i_book_years,L$3,i_R_book)</f>
        <v/>
      </c>
      <c r="M94" s="21">
        <f>SUMIF(i_book_years,M$3,i_R_book)</f>
        <v/>
      </c>
      <c r="N94" s="21">
        <f>SUMIF(i_book_years,N$3,i_R_book)</f>
        <v/>
      </c>
      <c r="O94" s="21">
        <f>SUMIF(i_book_years,O$3,i_R_book)</f>
        <v/>
      </c>
      <c r="P94" s="21">
        <f>SUMIF(i_book_years,P$3,i_R_book)</f>
        <v/>
      </c>
      <c r="Q94" s="21">
        <f>SUMIF(i_book_years,Q$3,i_R_book)</f>
        <v/>
      </c>
      <c r="R94" s="21">
        <f>SUMIF(i_book_years,R$3,i_R_book)</f>
        <v/>
      </c>
      <c r="S94" s="21">
        <f>SUMIF(i_book_years,S$3,i_R_book)</f>
        <v/>
      </c>
      <c r="T94" s="21">
        <f>SUMIF(i_book_years,T$3,i_R_book)</f>
        <v/>
      </c>
      <c r="U94" s="21">
        <f>SUMIF(i_book_years,U$3,i_R_book)</f>
        <v/>
      </c>
      <c r="V94" s="21">
        <f>SUMIF(i_book_years,V$3,i_R_book)</f>
        <v/>
      </c>
      <c r="W94" s="21">
        <f>SUMIF(i_book_years,W$3,i_R_book)</f>
        <v/>
      </c>
      <c r="X94" s="21">
        <f>SUMIF(i_book_years,X$3,i_R_book)</f>
        <v/>
      </c>
      <c r="Y94" s="21">
        <f>SUMIF(i_book_years,Y$3,i_R_book)</f>
        <v/>
      </c>
      <c r="Z94" s="21">
        <f>SUMIF(i_book_years,Z$3,i_R_book)</f>
        <v/>
      </c>
      <c r="AA94" s="21">
        <f>SUMIF(i_book_years,AA$3,i_R_book)</f>
        <v/>
      </c>
      <c r="AB94" s="21">
        <f>SUMIF(i_book_years,AB$3,i_R_book)</f>
        <v/>
      </c>
      <c r="AC94" s="21">
        <f>SUMIF(i_book_years,AC$3,i_R_book)</f>
        <v/>
      </c>
      <c r="AD94" s="21">
        <f>SUMIF(i_book_years,AD$3,i_R_book)</f>
        <v/>
      </c>
      <c r="AE94" s="21">
        <f>SUMIF(i_book_years,AE$3,i_R_book)</f>
        <v/>
      </c>
      <c r="AF94" s="21">
        <f>SUMIF(i_book_years,AF$3,i_R_book)</f>
        <v/>
      </c>
      <c r="AG94" s="21">
        <f>SUMIF(i_book_years,AG$3,i_R_book)</f>
        <v/>
      </c>
      <c r="AH94" s="21">
        <f>SUMIF(i_book_years,AH$3,i_R_book)</f>
        <v/>
      </c>
      <c r="AI94" s="21">
        <f>SUMIF(i_book_years,AI$3,i_R_book)</f>
        <v/>
      </c>
    </row>
    <row r="95">
      <c r="B95" s="2" t="inlineStr">
        <is>
          <t xml:space="preserve">  Recontracting factor against current rates</t>
        </is>
      </c>
      <c r="D95" s="21">
        <f>IF(D$4=0,0,IF(Bids!$C$62=1,i_R_mtm,i_R_mtm_plan)+Bids!$C$68)</f>
        <v/>
      </c>
      <c r="E95" s="21">
        <f>IF(E$4=0,0,IF(Bids!$C$62=1,i_R_mtm,i_R_mtm_plan)+Bids!$C$68)</f>
        <v/>
      </c>
      <c r="F95" s="21">
        <f>IF(F$4=0,0,IF(Bids!$C$62=1,i_R_mtm,i_R_mtm_plan)+Bids!$C$68)</f>
        <v/>
      </c>
      <c r="G95" s="21">
        <f>IF(G$4=0,0,IF(Bids!$C$62=1,i_R_mtm,i_R_mtm_plan)+Bids!$C$68)</f>
        <v/>
      </c>
      <c r="H95" s="21">
        <f>IF(H$4=0,0,IF(Bids!$C$62=1,i_R_mtm,i_R_mtm_plan)+Bids!$C$68)</f>
        <v/>
      </c>
      <c r="I95" s="21">
        <f>IF(I$4=0,0,IF(Bids!$C$62=1,i_R_mtm,i_R_mtm_plan)+Bids!$C$68)</f>
        <v/>
      </c>
      <c r="J95" s="21">
        <f>IF(J$4=0,0,IF(Bids!$C$62=1,i_R_mtm,i_R_mtm_plan)+Bids!$C$68)</f>
        <v/>
      </c>
      <c r="K95" s="21">
        <f>IF(K$4=0,0,IF(Bids!$C$62=1,i_R_mtm,i_R_mtm_plan)+Bids!$C$68)</f>
        <v/>
      </c>
      <c r="L95" s="21">
        <f>IF(L$4=0,0,IF(Bids!$C$62=1,i_R_mtm,i_R_mtm_plan)+Bids!$C$68)</f>
        <v/>
      </c>
      <c r="M95" s="21">
        <f>IF(M$4=0,0,IF(Bids!$C$62=1,i_R_mtm,i_R_mtm_plan)+Bids!$C$68)</f>
        <v/>
      </c>
      <c r="N95" s="21">
        <f>IF(N$4=0,0,IF(Bids!$C$62=1,i_R_mtm,i_R_mtm_plan)+Bids!$C$68)</f>
        <v/>
      </c>
      <c r="O95" s="21">
        <f>IF(O$4=0,0,IF(Bids!$C$62=1,i_R_mtm,i_R_mtm_plan)+Bids!$C$68)</f>
        <v/>
      </c>
      <c r="P95" s="21">
        <f>IF(P$4=0,0,IF(Bids!$C$62=1,i_R_mtm,i_R_mtm_plan)+Bids!$C$68)</f>
        <v/>
      </c>
      <c r="Q95" s="21">
        <f>IF(Q$4=0,0,IF(Bids!$C$62=1,i_R_mtm,i_R_mtm_plan)+Bids!$C$68)</f>
        <v/>
      </c>
      <c r="R95" s="21">
        <f>IF(R$4=0,0,IF(Bids!$C$62=1,i_R_mtm,i_R_mtm_plan)+Bids!$C$68)</f>
        <v/>
      </c>
      <c r="S95" s="21">
        <f>IF(S$4=0,0,IF(Bids!$C$62=1,i_R_mtm,i_R_mtm_plan)+Bids!$C$68)</f>
        <v/>
      </c>
      <c r="T95" s="21">
        <f>IF(T$4=0,0,IF(Bids!$C$62=1,i_R_mtm,i_R_mtm_plan)+Bids!$C$68)</f>
        <v/>
      </c>
      <c r="U95" s="21">
        <f>IF(U$4=0,0,IF(Bids!$C$62=1,i_R_mtm,i_R_mtm_plan)+Bids!$C$68)</f>
        <v/>
      </c>
      <c r="V95" s="21">
        <f>IF(V$4=0,0,IF(Bids!$C$62=1,i_R_mtm,i_R_mtm_plan)+Bids!$C$68)</f>
        <v/>
      </c>
      <c r="W95" s="21">
        <f>IF(W$4=0,0,IF(Bids!$C$62=1,i_R_mtm,i_R_mtm_plan)+Bids!$C$68)</f>
        <v/>
      </c>
      <c r="X95" s="21">
        <f>IF(X$4=0,0,IF(Bids!$C$62=1,i_R_mtm,i_R_mtm_plan)+Bids!$C$68)</f>
        <v/>
      </c>
      <c r="Y95" s="21">
        <f>IF(Y$4=0,0,IF(Bids!$C$62=1,i_R_mtm,i_R_mtm_plan)+Bids!$C$68)</f>
        <v/>
      </c>
      <c r="Z95" s="21">
        <f>IF(Z$4=0,0,IF(Bids!$C$62=1,i_R_mtm,i_R_mtm_plan)+Bids!$C$68)</f>
        <v/>
      </c>
      <c r="AA95" s="21">
        <f>IF(AA$4=0,0,IF(Bids!$C$62=1,i_R_mtm,i_R_mtm_plan)+Bids!$C$68)</f>
        <v/>
      </c>
      <c r="AB95" s="21">
        <f>IF(AB$4=0,0,IF(Bids!$C$62=1,i_R_mtm,i_R_mtm_plan)+Bids!$C$68)</f>
        <v/>
      </c>
      <c r="AC95" s="21">
        <f>IF(AC$4=0,0,IF(Bids!$C$62=1,i_R_mtm,i_R_mtm_plan)+Bids!$C$68)</f>
        <v/>
      </c>
      <c r="AD95" s="21">
        <f>IF(AD$4=0,0,IF(Bids!$C$62=1,i_R_mtm,i_R_mtm_plan)+Bids!$C$68)</f>
        <v/>
      </c>
      <c r="AE95" s="21">
        <f>IF(AE$4=0,0,IF(Bids!$C$62=1,i_R_mtm,i_R_mtm_plan)+Bids!$C$68)</f>
        <v/>
      </c>
      <c r="AF95" s="21">
        <f>IF(AF$4=0,0,IF(Bids!$C$62=1,i_R_mtm,i_R_mtm_plan)+Bids!$C$68)</f>
        <v/>
      </c>
      <c r="AG95" s="21">
        <f>IF(AG$4=0,0,IF(Bids!$C$62=1,i_R_mtm,i_R_mtm_plan)+Bids!$C$68)</f>
        <v/>
      </c>
      <c r="AH95" s="21">
        <f>IF(AH$4=0,0,IF(Bids!$C$62=1,i_R_mtm,i_R_mtm_plan)+Bids!$C$68)</f>
        <v/>
      </c>
      <c r="AI95" s="21">
        <f>IF(AI$4=0,0,IF(Bids!$C$62=1,i_R_mtm,i_R_mtm_plan)+Bids!$C$68)</f>
        <v/>
      </c>
    </row>
    <row r="96">
      <c r="B96" s="2" t="inlineStr">
        <is>
          <t xml:space="preserve">  Average rate ($ per m3 per month)</t>
        </is>
      </c>
      <c r="D96" s="24">
        <f>i_R_rate*D73*(D94+(1-D94)*(1+D95))</f>
        <v/>
      </c>
      <c r="E96" s="24">
        <f>i_R_rate*E73*(E94+(1-E94)*(1+E95))</f>
        <v/>
      </c>
      <c r="F96" s="24">
        <f>i_R_rate*F73*(F94+(1-F94)*(1+F95))</f>
        <v/>
      </c>
      <c r="G96" s="24">
        <f>i_R_rate*G73*(G94+(1-G94)*(1+G95))</f>
        <v/>
      </c>
      <c r="H96" s="24">
        <f>i_R_rate*H73*(H94+(1-H94)*(1+H95))</f>
        <v/>
      </c>
      <c r="I96" s="24">
        <f>i_R_rate*I73*(I94+(1-I94)*(1+I95))</f>
        <v/>
      </c>
      <c r="J96" s="24">
        <f>i_R_rate*J73*(J94+(1-J94)*(1+J95))</f>
        <v/>
      </c>
      <c r="K96" s="24">
        <f>i_R_rate*K73*(K94+(1-K94)*(1+K95))</f>
        <v/>
      </c>
      <c r="L96" s="24">
        <f>i_R_rate*L73*(L94+(1-L94)*(1+L95))</f>
        <v/>
      </c>
      <c r="M96" s="24">
        <f>i_R_rate*M73*(M94+(1-M94)*(1+M95))</f>
        <v/>
      </c>
      <c r="N96" s="24">
        <f>i_R_rate*N73*(N94+(1-N94)*(1+N95))</f>
        <v/>
      </c>
      <c r="O96" s="24">
        <f>i_R_rate*O73*(O94+(1-O94)*(1+O95))</f>
        <v/>
      </c>
      <c r="P96" s="24">
        <f>i_R_rate*P73*(P94+(1-P94)*(1+P95))</f>
        <v/>
      </c>
      <c r="Q96" s="24">
        <f>i_R_rate*Q73*(Q94+(1-Q94)*(1+Q95))</f>
        <v/>
      </c>
      <c r="R96" s="24">
        <f>i_R_rate*R73*(R94+(1-R94)*(1+R95))</f>
        <v/>
      </c>
      <c r="S96" s="24">
        <f>i_R_rate*S73*(S94+(1-S94)*(1+S95))</f>
        <v/>
      </c>
      <c r="T96" s="24">
        <f>i_R_rate*T73*(T94+(1-T94)*(1+T95))</f>
        <v/>
      </c>
      <c r="U96" s="24">
        <f>i_R_rate*U73*(U94+(1-U94)*(1+U95))</f>
        <v/>
      </c>
      <c r="V96" s="24">
        <f>i_R_rate*V73*(V94+(1-V94)*(1+V95))</f>
        <v/>
      </c>
      <c r="W96" s="24">
        <f>i_R_rate*W73*(W94+(1-W94)*(1+W95))</f>
        <v/>
      </c>
      <c r="X96" s="24">
        <f>i_R_rate*X73*(X94+(1-X94)*(1+X95))</f>
        <v/>
      </c>
      <c r="Y96" s="24">
        <f>i_R_rate*Y73*(Y94+(1-Y94)*(1+Y95))</f>
        <v/>
      </c>
      <c r="Z96" s="24">
        <f>i_R_rate*Z73*(Z94+(1-Z94)*(1+Z95))</f>
        <v/>
      </c>
      <c r="AA96" s="24">
        <f>i_R_rate*AA73*(AA94+(1-AA94)*(1+AA95))</f>
        <v/>
      </c>
      <c r="AB96" s="24">
        <f>i_R_rate*AB73*(AB94+(1-AB94)*(1+AB95))</f>
        <v/>
      </c>
      <c r="AC96" s="24">
        <f>i_R_rate*AC73*(AC94+(1-AC94)*(1+AC95))</f>
        <v/>
      </c>
      <c r="AD96" s="24">
        <f>i_R_rate*AD73*(AD94+(1-AD94)*(1+AD95))</f>
        <v/>
      </c>
      <c r="AE96" s="24">
        <f>i_R_rate*AE73*(AE94+(1-AE94)*(1+AE95))</f>
        <v/>
      </c>
      <c r="AF96" s="24">
        <f>i_R_rate*AF73*(AF94+(1-AF94)*(1+AF95))</f>
        <v/>
      </c>
      <c r="AG96" s="24">
        <f>i_R_rate*AG73*(AG94+(1-AG94)*(1+AG95))</f>
        <v/>
      </c>
      <c r="AH96" s="24">
        <f>i_R_rate*AH73*(AH94+(1-AH94)*(1+AH95))</f>
        <v/>
      </c>
      <c r="AI96" s="24">
        <f>i_R_rate*AI73*(AI94+(1-AI94)*(1+AI95))</f>
        <v/>
      </c>
    </row>
    <row r="97">
      <c r="B97" s="2" t="inlineStr">
        <is>
          <t xml:space="preserve">  Occupancy after the transition decline and floor</t>
        </is>
      </c>
      <c r="D97" s="21">
        <f>IF(D$3&gt;i_trans_start,MAX(i_R_floor,i_R_occ-i_R_dec*(D$3-i_trans_start)),i_R_occ)</f>
        <v/>
      </c>
      <c r="E97" s="21">
        <f>IF(E$3&gt;i_trans_start,MAX(i_R_floor,i_R_occ-i_R_dec*(E$3-i_trans_start)),i_R_occ)</f>
        <v/>
      </c>
      <c r="F97" s="21">
        <f>IF(F$3&gt;i_trans_start,MAX(i_R_floor,i_R_occ-i_R_dec*(F$3-i_trans_start)),i_R_occ)</f>
        <v/>
      </c>
      <c r="G97" s="21">
        <f>IF(G$3&gt;i_trans_start,MAX(i_R_floor,i_R_occ-i_R_dec*(G$3-i_trans_start)),i_R_occ)</f>
        <v/>
      </c>
      <c r="H97" s="21">
        <f>IF(H$3&gt;i_trans_start,MAX(i_R_floor,i_R_occ-i_R_dec*(H$3-i_trans_start)),i_R_occ)</f>
        <v/>
      </c>
      <c r="I97" s="21">
        <f>IF(I$3&gt;i_trans_start,MAX(i_R_floor,i_R_occ-i_R_dec*(I$3-i_trans_start)),i_R_occ)</f>
        <v/>
      </c>
      <c r="J97" s="21">
        <f>IF(J$3&gt;i_trans_start,MAX(i_R_floor,i_R_occ-i_R_dec*(J$3-i_trans_start)),i_R_occ)</f>
        <v/>
      </c>
      <c r="K97" s="21">
        <f>IF(K$3&gt;i_trans_start,MAX(i_R_floor,i_R_occ-i_R_dec*(K$3-i_trans_start)),i_R_occ)</f>
        <v/>
      </c>
      <c r="L97" s="21">
        <f>IF(L$3&gt;i_trans_start,MAX(i_R_floor,i_R_occ-i_R_dec*(L$3-i_trans_start)),i_R_occ)</f>
        <v/>
      </c>
      <c r="M97" s="21">
        <f>IF(M$3&gt;i_trans_start,MAX(i_R_floor,i_R_occ-i_R_dec*(M$3-i_trans_start)),i_R_occ)</f>
        <v/>
      </c>
      <c r="N97" s="21">
        <f>IF(N$3&gt;i_trans_start,MAX(i_R_floor,i_R_occ-i_R_dec*(N$3-i_trans_start)),i_R_occ)</f>
        <v/>
      </c>
      <c r="O97" s="21">
        <f>IF(O$3&gt;i_trans_start,MAX(i_R_floor,i_R_occ-i_R_dec*(O$3-i_trans_start)),i_R_occ)</f>
        <v/>
      </c>
      <c r="P97" s="21">
        <f>IF(P$3&gt;i_trans_start,MAX(i_R_floor,i_R_occ-i_R_dec*(P$3-i_trans_start)),i_R_occ)</f>
        <v/>
      </c>
      <c r="Q97" s="21">
        <f>IF(Q$3&gt;i_trans_start,MAX(i_R_floor,i_R_occ-i_R_dec*(Q$3-i_trans_start)),i_R_occ)</f>
        <v/>
      </c>
      <c r="R97" s="21">
        <f>IF(R$3&gt;i_trans_start,MAX(i_R_floor,i_R_occ-i_R_dec*(R$3-i_trans_start)),i_R_occ)</f>
        <v/>
      </c>
      <c r="S97" s="21">
        <f>IF(S$3&gt;i_trans_start,MAX(i_R_floor,i_R_occ-i_R_dec*(S$3-i_trans_start)),i_R_occ)</f>
        <v/>
      </c>
      <c r="T97" s="21">
        <f>IF(T$3&gt;i_trans_start,MAX(i_R_floor,i_R_occ-i_R_dec*(T$3-i_trans_start)),i_R_occ)</f>
        <v/>
      </c>
      <c r="U97" s="21">
        <f>IF(U$3&gt;i_trans_start,MAX(i_R_floor,i_R_occ-i_R_dec*(U$3-i_trans_start)),i_R_occ)</f>
        <v/>
      </c>
      <c r="V97" s="21">
        <f>IF(V$3&gt;i_trans_start,MAX(i_R_floor,i_R_occ-i_R_dec*(V$3-i_trans_start)),i_R_occ)</f>
        <v/>
      </c>
      <c r="W97" s="21">
        <f>IF(W$3&gt;i_trans_start,MAX(i_R_floor,i_R_occ-i_R_dec*(W$3-i_trans_start)),i_R_occ)</f>
        <v/>
      </c>
      <c r="X97" s="21">
        <f>IF(X$3&gt;i_trans_start,MAX(i_R_floor,i_R_occ-i_R_dec*(X$3-i_trans_start)),i_R_occ)</f>
        <v/>
      </c>
      <c r="Y97" s="21">
        <f>IF(Y$3&gt;i_trans_start,MAX(i_R_floor,i_R_occ-i_R_dec*(Y$3-i_trans_start)),i_R_occ)</f>
        <v/>
      </c>
      <c r="Z97" s="21">
        <f>IF(Z$3&gt;i_trans_start,MAX(i_R_floor,i_R_occ-i_R_dec*(Z$3-i_trans_start)),i_R_occ)</f>
        <v/>
      </c>
      <c r="AA97" s="21">
        <f>IF(AA$3&gt;i_trans_start,MAX(i_R_floor,i_R_occ-i_R_dec*(AA$3-i_trans_start)),i_R_occ)</f>
        <v/>
      </c>
      <c r="AB97" s="21">
        <f>IF(AB$3&gt;i_trans_start,MAX(i_R_floor,i_R_occ-i_R_dec*(AB$3-i_trans_start)),i_R_occ)</f>
        <v/>
      </c>
      <c r="AC97" s="21">
        <f>IF(AC$3&gt;i_trans_start,MAX(i_R_floor,i_R_occ-i_R_dec*(AC$3-i_trans_start)),i_R_occ)</f>
        <v/>
      </c>
      <c r="AD97" s="21">
        <f>IF(AD$3&gt;i_trans_start,MAX(i_R_floor,i_R_occ-i_R_dec*(AD$3-i_trans_start)),i_R_occ)</f>
        <v/>
      </c>
      <c r="AE97" s="21">
        <f>IF(AE$3&gt;i_trans_start,MAX(i_R_floor,i_R_occ-i_R_dec*(AE$3-i_trans_start)),i_R_occ)</f>
        <v/>
      </c>
      <c r="AF97" s="21">
        <f>IF(AF$3&gt;i_trans_start,MAX(i_R_floor,i_R_occ-i_R_dec*(AF$3-i_trans_start)),i_R_occ)</f>
        <v/>
      </c>
      <c r="AG97" s="21">
        <f>IF(AG$3&gt;i_trans_start,MAX(i_R_floor,i_R_occ-i_R_dec*(AG$3-i_trans_start)),i_R_occ)</f>
        <v/>
      </c>
      <c r="AH97" s="21">
        <f>IF(AH$3&gt;i_trans_start,MAX(i_R_floor,i_R_occ-i_R_dec*(AH$3-i_trans_start)),i_R_occ)</f>
        <v/>
      </c>
      <c r="AI97" s="21">
        <f>IF(AI$3&gt;i_trans_start,MAX(i_R_floor,i_R_occ-i_R_dec*(AI$3-i_trans_start)),i_R_occ)</f>
        <v/>
      </c>
    </row>
    <row r="98">
      <c r="B98" s="2" t="inlineStr">
        <is>
          <t xml:space="preserve">  Occupancy (with the shift switch from 2027)</t>
        </is>
      </c>
      <c r="D98" s="21">
        <f>IF(D$4&gt;0,MIN(1,D97+Bids!$C$67),D97)</f>
        <v/>
      </c>
      <c r="E98" s="21">
        <f>IF(E$4&gt;0,MIN(1,E97+Bids!$C$67),E97)</f>
        <v/>
      </c>
      <c r="F98" s="21">
        <f>IF(F$4&gt;0,MIN(1,F97+Bids!$C$67),F97)</f>
        <v/>
      </c>
      <c r="G98" s="21">
        <f>IF(G$4&gt;0,MIN(1,G97+Bids!$C$67),G97)</f>
        <v/>
      </c>
      <c r="H98" s="21">
        <f>IF(H$4&gt;0,MIN(1,H97+Bids!$C$67),H97)</f>
        <v/>
      </c>
      <c r="I98" s="21">
        <f>IF(I$4&gt;0,MIN(1,I97+Bids!$C$67),I97)</f>
        <v/>
      </c>
      <c r="J98" s="21">
        <f>IF(J$4&gt;0,MIN(1,J97+Bids!$C$67),J97)</f>
        <v/>
      </c>
      <c r="K98" s="21">
        <f>IF(K$4&gt;0,MIN(1,K97+Bids!$C$67),K97)</f>
        <v/>
      </c>
      <c r="L98" s="21">
        <f>IF(L$4&gt;0,MIN(1,L97+Bids!$C$67),L97)</f>
        <v/>
      </c>
      <c r="M98" s="21">
        <f>IF(M$4&gt;0,MIN(1,M97+Bids!$C$67),M97)</f>
        <v/>
      </c>
      <c r="N98" s="21">
        <f>IF(N$4&gt;0,MIN(1,N97+Bids!$C$67),N97)</f>
        <v/>
      </c>
      <c r="O98" s="21">
        <f>IF(O$4&gt;0,MIN(1,O97+Bids!$C$67),O97)</f>
        <v/>
      </c>
      <c r="P98" s="21">
        <f>IF(P$4&gt;0,MIN(1,P97+Bids!$C$67),P97)</f>
        <v/>
      </c>
      <c r="Q98" s="21">
        <f>IF(Q$4&gt;0,MIN(1,Q97+Bids!$C$67),Q97)</f>
        <v/>
      </c>
      <c r="R98" s="21">
        <f>IF(R$4&gt;0,MIN(1,R97+Bids!$C$67),R97)</f>
        <v/>
      </c>
      <c r="S98" s="21">
        <f>IF(S$4&gt;0,MIN(1,S97+Bids!$C$67),S97)</f>
        <v/>
      </c>
      <c r="T98" s="21">
        <f>IF(T$4&gt;0,MIN(1,T97+Bids!$C$67),T97)</f>
        <v/>
      </c>
      <c r="U98" s="21">
        <f>IF(U$4&gt;0,MIN(1,U97+Bids!$C$67),U97)</f>
        <v/>
      </c>
      <c r="V98" s="21">
        <f>IF(V$4&gt;0,MIN(1,V97+Bids!$C$67),V97)</f>
        <v/>
      </c>
      <c r="W98" s="21">
        <f>IF(W$4&gt;0,MIN(1,W97+Bids!$C$67),W97)</f>
        <v/>
      </c>
      <c r="X98" s="21">
        <f>IF(X$4&gt;0,MIN(1,X97+Bids!$C$67),X97)</f>
        <v/>
      </c>
      <c r="Y98" s="21">
        <f>IF(Y$4&gt;0,MIN(1,Y97+Bids!$C$67),Y97)</f>
        <v/>
      </c>
      <c r="Z98" s="21">
        <f>IF(Z$4&gt;0,MIN(1,Z97+Bids!$C$67),Z97)</f>
        <v/>
      </c>
      <c r="AA98" s="21">
        <f>IF(AA$4&gt;0,MIN(1,AA97+Bids!$C$67),AA97)</f>
        <v/>
      </c>
      <c r="AB98" s="21">
        <f>IF(AB$4&gt;0,MIN(1,AB97+Bids!$C$67),AB97)</f>
        <v/>
      </c>
      <c r="AC98" s="21">
        <f>IF(AC$4&gt;0,MIN(1,AC97+Bids!$C$67),AC97)</f>
        <v/>
      </c>
      <c r="AD98" s="21">
        <f>IF(AD$4&gt;0,MIN(1,AD97+Bids!$C$67),AD97)</f>
        <v/>
      </c>
      <c r="AE98" s="21">
        <f>IF(AE$4&gt;0,MIN(1,AE97+Bids!$C$67),AE97)</f>
        <v/>
      </c>
      <c r="AF98" s="21">
        <f>IF(AF$4&gt;0,MIN(1,AF97+Bids!$C$67),AF97)</f>
        <v/>
      </c>
      <c r="AG98" s="21">
        <f>IF(AG$4&gt;0,MIN(1,AG97+Bids!$C$67),AG97)</f>
        <v/>
      </c>
      <c r="AH98" s="21">
        <f>IF(AH$4&gt;0,MIN(1,AH97+Bids!$C$67),AH97)</f>
        <v/>
      </c>
      <c r="AI98" s="21">
        <f>IF(AI$4&gt;0,MIN(1,AI97+Bids!$C$67),AI97)</f>
        <v/>
      </c>
    </row>
    <row r="99">
      <c r="B99" s="2" t="inlineStr">
        <is>
          <t xml:space="preserve">  Storage revenue</t>
        </is>
      </c>
      <c r="D99" s="19">
        <f>D93*D96*12*D98</f>
        <v/>
      </c>
      <c r="E99" s="19">
        <f>E93*E96*12*E98</f>
        <v/>
      </c>
      <c r="F99" s="19">
        <f>F93*F96*12*F98</f>
        <v/>
      </c>
      <c r="G99" s="19">
        <f>G93*G96*12*G98</f>
        <v/>
      </c>
      <c r="H99" s="19">
        <f>H93*H96*12*H98</f>
        <v/>
      </c>
      <c r="I99" s="19">
        <f>I93*I96*12*I98</f>
        <v/>
      </c>
      <c r="J99" s="19">
        <f>J93*J96*12*J98</f>
        <v/>
      </c>
      <c r="K99" s="19">
        <f>K93*K96*12*K98</f>
        <v/>
      </c>
      <c r="L99" s="19">
        <f>L93*L96*12*L98</f>
        <v/>
      </c>
      <c r="M99" s="19">
        <f>M93*M96*12*M98</f>
        <v/>
      </c>
      <c r="N99" s="19">
        <f>N93*N96*12*N98</f>
        <v/>
      </c>
      <c r="O99" s="19">
        <f>O93*O96*12*O98</f>
        <v/>
      </c>
      <c r="P99" s="19">
        <f>P93*P96*12*P98</f>
        <v/>
      </c>
      <c r="Q99" s="19">
        <f>Q93*Q96*12*Q98</f>
        <v/>
      </c>
      <c r="R99" s="19">
        <f>R93*R96*12*R98</f>
        <v/>
      </c>
      <c r="S99" s="19">
        <f>S93*S96*12*S98</f>
        <v/>
      </c>
      <c r="T99" s="19">
        <f>T93*T96*12*T98</f>
        <v/>
      </c>
      <c r="U99" s="19">
        <f>U93*U96*12*U98</f>
        <v/>
      </c>
      <c r="V99" s="19">
        <f>V93*V96*12*V98</f>
        <v/>
      </c>
      <c r="W99" s="19">
        <f>W93*W96*12*W98</f>
        <v/>
      </c>
      <c r="X99" s="19">
        <f>X93*X96*12*X98</f>
        <v/>
      </c>
      <c r="Y99" s="19">
        <f>Y93*Y96*12*Y98</f>
        <v/>
      </c>
      <c r="Z99" s="19">
        <f>Z93*Z96*12*Z98</f>
        <v/>
      </c>
      <c r="AA99" s="19">
        <f>AA93*AA96*12*AA98</f>
        <v/>
      </c>
      <c r="AB99" s="19">
        <f>AB93*AB96*12*AB98</f>
        <v/>
      </c>
      <c r="AC99" s="19">
        <f>AC93*AC96*12*AC98</f>
        <v/>
      </c>
      <c r="AD99" s="19">
        <f>AD93*AD96*12*AD98</f>
        <v/>
      </c>
      <c r="AE99" s="19">
        <f>AE93*AE96*12*AE98</f>
        <v/>
      </c>
      <c r="AF99" s="19">
        <f>AF93*AF96*12*AF98</f>
        <v/>
      </c>
      <c r="AG99" s="19">
        <f>AG93*AG96*12*AG98</f>
        <v/>
      </c>
      <c r="AH99" s="19">
        <f>AH93*AH96*12*AH98</f>
        <v/>
      </c>
      <c r="AI99" s="19">
        <f>AI93*AI96*12*AI98</f>
        <v/>
      </c>
    </row>
    <row r="100">
      <c r="B100" s="2" t="inlineStr">
        <is>
          <t xml:space="preserve">  Ancillary and throughput revenue</t>
        </is>
      </c>
      <c r="D100" s="19">
        <f>D99*i_R_anc</f>
        <v/>
      </c>
      <c r="E100" s="19">
        <f>E99*i_R_anc</f>
        <v/>
      </c>
      <c r="F100" s="19">
        <f>F99*i_R_anc</f>
        <v/>
      </c>
      <c r="G100" s="19">
        <f>G99*i_R_anc</f>
        <v/>
      </c>
      <c r="H100" s="19">
        <f>H99*i_R_anc</f>
        <v/>
      </c>
      <c r="I100" s="19">
        <f>I99*i_R_anc</f>
        <v/>
      </c>
      <c r="J100" s="19">
        <f>J99*i_R_anc</f>
        <v/>
      </c>
      <c r="K100" s="19">
        <f>K99*i_R_anc</f>
        <v/>
      </c>
      <c r="L100" s="19">
        <f>L99*i_R_anc</f>
        <v/>
      </c>
      <c r="M100" s="19">
        <f>M99*i_R_anc</f>
        <v/>
      </c>
      <c r="N100" s="19">
        <f>N99*i_R_anc</f>
        <v/>
      </c>
      <c r="O100" s="19">
        <f>O99*i_R_anc</f>
        <v/>
      </c>
      <c r="P100" s="19">
        <f>P99*i_R_anc</f>
        <v/>
      </c>
      <c r="Q100" s="19">
        <f>Q99*i_R_anc</f>
        <v/>
      </c>
      <c r="R100" s="19">
        <f>R99*i_R_anc</f>
        <v/>
      </c>
      <c r="S100" s="19">
        <f>S99*i_R_anc</f>
        <v/>
      </c>
      <c r="T100" s="19">
        <f>T99*i_R_anc</f>
        <v/>
      </c>
      <c r="U100" s="19">
        <f>U99*i_R_anc</f>
        <v/>
      </c>
      <c r="V100" s="19">
        <f>V99*i_R_anc</f>
        <v/>
      </c>
      <c r="W100" s="19">
        <f>W99*i_R_anc</f>
        <v/>
      </c>
      <c r="X100" s="19">
        <f>X99*i_R_anc</f>
        <v/>
      </c>
      <c r="Y100" s="19">
        <f>Y99*i_R_anc</f>
        <v/>
      </c>
      <c r="Z100" s="19">
        <f>Z99*i_R_anc</f>
        <v/>
      </c>
      <c r="AA100" s="19">
        <f>AA99*i_R_anc</f>
        <v/>
      </c>
      <c r="AB100" s="19">
        <f>AB99*i_R_anc</f>
        <v/>
      </c>
      <c r="AC100" s="19">
        <f>AC99*i_R_anc</f>
        <v/>
      </c>
      <c r="AD100" s="19">
        <f>AD99*i_R_anc</f>
        <v/>
      </c>
      <c r="AE100" s="19">
        <f>AE99*i_R_anc</f>
        <v/>
      </c>
      <c r="AF100" s="19">
        <f>AF99*i_R_anc</f>
        <v/>
      </c>
      <c r="AG100" s="19">
        <f>AG99*i_R_anc</f>
        <v/>
      </c>
      <c r="AH100" s="19">
        <f>AH99*i_R_anc</f>
        <v/>
      </c>
      <c r="AI100" s="19">
        <f>AI99*i_R_anc</f>
        <v/>
      </c>
    </row>
    <row r="101">
      <c r="B101" s="3" t="inlineStr">
        <is>
          <t xml:space="preserve">  Revenue</t>
        </is>
      </c>
      <c r="D101" s="31">
        <f>D99+D100</f>
        <v/>
      </c>
      <c r="E101" s="31">
        <f>E99+E100</f>
        <v/>
      </c>
      <c r="F101" s="31">
        <f>F99+F100</f>
        <v/>
      </c>
      <c r="G101" s="31">
        <f>G99+G100</f>
        <v/>
      </c>
      <c r="H101" s="31">
        <f>H99+H100</f>
        <v/>
      </c>
      <c r="I101" s="31">
        <f>I99+I100</f>
        <v/>
      </c>
      <c r="J101" s="31">
        <f>J99+J100</f>
        <v/>
      </c>
      <c r="K101" s="31">
        <f>K99+K100</f>
        <v/>
      </c>
      <c r="L101" s="31">
        <f>L99+L100</f>
        <v/>
      </c>
      <c r="M101" s="31">
        <f>M99+M100</f>
        <v/>
      </c>
      <c r="N101" s="31">
        <f>N99+N100</f>
        <v/>
      </c>
      <c r="O101" s="31">
        <f>O99+O100</f>
        <v/>
      </c>
      <c r="P101" s="31">
        <f>P99+P100</f>
        <v/>
      </c>
      <c r="Q101" s="31">
        <f>Q99+Q100</f>
        <v/>
      </c>
      <c r="R101" s="31">
        <f>R99+R100</f>
        <v/>
      </c>
      <c r="S101" s="31">
        <f>S99+S100</f>
        <v/>
      </c>
      <c r="T101" s="31">
        <f>T99+T100</f>
        <v/>
      </c>
      <c r="U101" s="31">
        <f>U99+U100</f>
        <v/>
      </c>
      <c r="V101" s="31">
        <f>V99+V100</f>
        <v/>
      </c>
      <c r="W101" s="31">
        <f>W99+W100</f>
        <v/>
      </c>
      <c r="X101" s="31">
        <f>X99+X100</f>
        <v/>
      </c>
      <c r="Y101" s="31">
        <f>Y99+Y100</f>
        <v/>
      </c>
      <c r="Z101" s="31">
        <f>Z99+Z100</f>
        <v/>
      </c>
      <c r="AA101" s="31">
        <f>AA99+AA100</f>
        <v/>
      </c>
      <c r="AB101" s="31">
        <f>AB99+AB100</f>
        <v/>
      </c>
      <c r="AC101" s="31">
        <f>AC99+AC100</f>
        <v/>
      </c>
      <c r="AD101" s="31">
        <f>AD99+AD100</f>
        <v/>
      </c>
      <c r="AE101" s="31">
        <f>AE99+AE100</f>
        <v/>
      </c>
      <c r="AF101" s="31">
        <f>AF99+AF100</f>
        <v/>
      </c>
      <c r="AG101" s="31">
        <f>AG99+AG100</f>
        <v/>
      </c>
      <c r="AH101" s="31">
        <f>AH99+AH100</f>
        <v/>
      </c>
      <c r="AI101" s="31">
        <f>AI99+AI100</f>
        <v/>
      </c>
    </row>
    <row r="102">
      <c r="B102" s="2" t="inlineStr">
        <is>
          <t xml:space="preserve">  Fixed cost</t>
        </is>
      </c>
      <c r="D102" s="19">
        <f>D93*i_R_fix*D72</f>
        <v/>
      </c>
      <c r="E102" s="19">
        <f>E93*i_R_fix*E72</f>
        <v/>
      </c>
      <c r="F102" s="19">
        <f>F93*i_R_fix*F72</f>
        <v/>
      </c>
      <c r="G102" s="19">
        <f>G93*i_R_fix*G72</f>
        <v/>
      </c>
      <c r="H102" s="19">
        <f>H93*i_R_fix*H72</f>
        <v/>
      </c>
      <c r="I102" s="19">
        <f>I93*i_R_fix*I72</f>
        <v/>
      </c>
      <c r="J102" s="19">
        <f>J93*i_R_fix*J72</f>
        <v/>
      </c>
      <c r="K102" s="19">
        <f>K93*i_R_fix*K72</f>
        <v/>
      </c>
      <c r="L102" s="19">
        <f>L93*i_R_fix*L72</f>
        <v/>
      </c>
      <c r="M102" s="19">
        <f>M93*i_R_fix*M72</f>
        <v/>
      </c>
      <c r="N102" s="19">
        <f>N93*i_R_fix*N72</f>
        <v/>
      </c>
      <c r="O102" s="19">
        <f>O93*i_R_fix*O72</f>
        <v/>
      </c>
      <c r="P102" s="19">
        <f>P93*i_R_fix*P72</f>
        <v/>
      </c>
      <c r="Q102" s="19">
        <f>Q93*i_R_fix*Q72</f>
        <v/>
      </c>
      <c r="R102" s="19">
        <f>R93*i_R_fix*R72</f>
        <v/>
      </c>
      <c r="S102" s="19">
        <f>S93*i_R_fix*S72</f>
        <v/>
      </c>
      <c r="T102" s="19">
        <f>T93*i_R_fix*T72</f>
        <v/>
      </c>
      <c r="U102" s="19">
        <f>U93*i_R_fix*U72</f>
        <v/>
      </c>
      <c r="V102" s="19">
        <f>V93*i_R_fix*V72</f>
        <v/>
      </c>
      <c r="W102" s="19">
        <f>W93*i_R_fix*W72</f>
        <v/>
      </c>
      <c r="X102" s="19">
        <f>X93*i_R_fix*X72</f>
        <v/>
      </c>
      <c r="Y102" s="19">
        <f>Y93*i_R_fix*Y72</f>
        <v/>
      </c>
      <c r="Z102" s="19">
        <f>Z93*i_R_fix*Z72</f>
        <v/>
      </c>
      <c r="AA102" s="19">
        <f>AA93*i_R_fix*AA72</f>
        <v/>
      </c>
      <c r="AB102" s="19">
        <f>AB93*i_R_fix*AB72</f>
        <v/>
      </c>
      <c r="AC102" s="19">
        <f>AC93*i_R_fix*AC72</f>
        <v/>
      </c>
      <c r="AD102" s="19">
        <f>AD93*i_R_fix*AD72</f>
        <v/>
      </c>
      <c r="AE102" s="19">
        <f>AE93*i_R_fix*AE72</f>
        <v/>
      </c>
      <c r="AF102" s="19">
        <f>AF93*i_R_fix*AF72</f>
        <v/>
      </c>
      <c r="AG102" s="19">
        <f>AG93*i_R_fix*AG72</f>
        <v/>
      </c>
      <c r="AH102" s="19">
        <f>AH93*i_R_fix*AH72</f>
        <v/>
      </c>
      <c r="AI102" s="19">
        <f>AI93*i_R_fix*AI72</f>
        <v/>
      </c>
    </row>
    <row r="103">
      <c r="B103" s="2" t="inlineStr">
        <is>
          <t xml:space="preserve">  Variable cost</t>
        </is>
      </c>
      <c r="D103" s="19">
        <f>i_R_var*D101</f>
        <v/>
      </c>
      <c r="E103" s="19">
        <f>i_R_var*E101</f>
        <v/>
      </c>
      <c r="F103" s="19">
        <f>i_R_var*F101</f>
        <v/>
      </c>
      <c r="G103" s="19">
        <f>i_R_var*G101</f>
        <v/>
      </c>
      <c r="H103" s="19">
        <f>i_R_var*H101</f>
        <v/>
      </c>
      <c r="I103" s="19">
        <f>i_R_var*I101</f>
        <v/>
      </c>
      <c r="J103" s="19">
        <f>i_R_var*J101</f>
        <v/>
      </c>
      <c r="K103" s="19">
        <f>i_R_var*K101</f>
        <v/>
      </c>
      <c r="L103" s="19">
        <f>i_R_var*L101</f>
        <v/>
      </c>
      <c r="M103" s="19">
        <f>i_R_var*M101</f>
        <v/>
      </c>
      <c r="N103" s="19">
        <f>i_R_var*N101</f>
        <v/>
      </c>
      <c r="O103" s="19">
        <f>i_R_var*O101</f>
        <v/>
      </c>
      <c r="P103" s="19">
        <f>i_R_var*P101</f>
        <v/>
      </c>
      <c r="Q103" s="19">
        <f>i_R_var*Q101</f>
        <v/>
      </c>
      <c r="R103" s="19">
        <f>i_R_var*R101</f>
        <v/>
      </c>
      <c r="S103" s="19">
        <f>i_R_var*S101</f>
        <v/>
      </c>
      <c r="T103" s="19">
        <f>i_R_var*T101</f>
        <v/>
      </c>
      <c r="U103" s="19">
        <f>i_R_var*U101</f>
        <v/>
      </c>
      <c r="V103" s="19">
        <f>i_R_var*V101</f>
        <v/>
      </c>
      <c r="W103" s="19">
        <f>i_R_var*W101</f>
        <v/>
      </c>
      <c r="X103" s="19">
        <f>i_R_var*X101</f>
        <v/>
      </c>
      <c r="Y103" s="19">
        <f>i_R_var*Y101</f>
        <v/>
      </c>
      <c r="Z103" s="19">
        <f>i_R_var*Z101</f>
        <v/>
      </c>
      <c r="AA103" s="19">
        <f>i_R_var*AA101</f>
        <v/>
      </c>
      <c r="AB103" s="19">
        <f>i_R_var*AB101</f>
        <v/>
      </c>
      <c r="AC103" s="19">
        <f>i_R_var*AC101</f>
        <v/>
      </c>
      <c r="AD103" s="19">
        <f>i_R_var*AD101</f>
        <v/>
      </c>
      <c r="AE103" s="19">
        <f>i_R_var*AE101</f>
        <v/>
      </c>
      <c r="AF103" s="19">
        <f>i_R_var*AF101</f>
        <v/>
      </c>
      <c r="AG103" s="19">
        <f>i_R_var*AG101</f>
        <v/>
      </c>
      <c r="AH103" s="19">
        <f>i_R_var*AH101</f>
        <v/>
      </c>
      <c r="AI103" s="19">
        <f>i_R_var*AI101</f>
        <v/>
      </c>
    </row>
    <row r="104">
      <c r="B104" s="2" t="inlineStr">
        <is>
          <t xml:space="preserve">  Operating cost</t>
        </is>
      </c>
      <c r="D104" s="19">
        <f>D102+D103</f>
        <v/>
      </c>
      <c r="E104" s="19">
        <f>E102+E103</f>
        <v/>
      </c>
      <c r="F104" s="19">
        <f>F102+F103</f>
        <v/>
      </c>
      <c r="G104" s="19">
        <f>G102+G103</f>
        <v/>
      </c>
      <c r="H104" s="19">
        <f>H102+H103</f>
        <v/>
      </c>
      <c r="I104" s="19">
        <f>I102+I103</f>
        <v/>
      </c>
      <c r="J104" s="19">
        <f>J102+J103</f>
        <v/>
      </c>
      <c r="K104" s="19">
        <f>K102+K103</f>
        <v/>
      </c>
      <c r="L104" s="19">
        <f>L102+L103</f>
        <v/>
      </c>
      <c r="M104" s="19">
        <f>M102+M103</f>
        <v/>
      </c>
      <c r="N104" s="19">
        <f>N102+N103</f>
        <v/>
      </c>
      <c r="O104" s="19">
        <f>O102+O103</f>
        <v/>
      </c>
      <c r="P104" s="19">
        <f>P102+P103</f>
        <v/>
      </c>
      <c r="Q104" s="19">
        <f>Q102+Q103</f>
        <v/>
      </c>
      <c r="R104" s="19">
        <f>R102+R103</f>
        <v/>
      </c>
      <c r="S104" s="19">
        <f>S102+S103</f>
        <v/>
      </c>
      <c r="T104" s="19">
        <f>T102+T103</f>
        <v/>
      </c>
      <c r="U104" s="19">
        <f>U102+U103</f>
        <v/>
      </c>
      <c r="V104" s="19">
        <f>V102+V103</f>
        <v/>
      </c>
      <c r="W104" s="19">
        <f>W102+W103</f>
        <v/>
      </c>
      <c r="X104" s="19">
        <f>X102+X103</f>
        <v/>
      </c>
      <c r="Y104" s="19">
        <f>Y102+Y103</f>
        <v/>
      </c>
      <c r="Z104" s="19">
        <f>Z102+Z103</f>
        <v/>
      </c>
      <c r="AA104" s="19">
        <f>AA102+AA103</f>
        <v/>
      </c>
      <c r="AB104" s="19">
        <f>AB102+AB103</f>
        <v/>
      </c>
      <c r="AC104" s="19">
        <f>AC102+AC103</f>
        <v/>
      </c>
      <c r="AD104" s="19">
        <f>AD102+AD103</f>
        <v/>
      </c>
      <c r="AE104" s="19">
        <f>AE102+AE103</f>
        <v/>
      </c>
      <c r="AF104" s="19">
        <f>AF102+AF103</f>
        <v/>
      </c>
      <c r="AG104" s="19">
        <f>AG102+AG103</f>
        <v/>
      </c>
      <c r="AH104" s="19">
        <f>AH102+AH103</f>
        <v/>
      </c>
      <c r="AI104" s="19">
        <f>AI102+AI103</f>
        <v/>
      </c>
    </row>
    <row r="105">
      <c r="B105" s="3" t="inlineStr">
        <is>
          <t xml:space="preserve">  EBITDA</t>
        </is>
      </c>
      <c r="D105" s="31">
        <f>D101-D104</f>
        <v/>
      </c>
      <c r="E105" s="31">
        <f>E101-E104</f>
        <v/>
      </c>
      <c r="F105" s="31">
        <f>F101-F104</f>
        <v/>
      </c>
      <c r="G105" s="31">
        <f>G101-G104</f>
        <v/>
      </c>
      <c r="H105" s="31">
        <f>H101-H104</f>
        <v/>
      </c>
      <c r="I105" s="31">
        <f>I101-I104</f>
        <v/>
      </c>
      <c r="J105" s="31">
        <f>J101-J104</f>
        <v/>
      </c>
      <c r="K105" s="31">
        <f>K101-K104</f>
        <v/>
      </c>
      <c r="L105" s="31">
        <f>L101-L104</f>
        <v/>
      </c>
      <c r="M105" s="31">
        <f>M101-M104</f>
        <v/>
      </c>
      <c r="N105" s="31">
        <f>N101-N104</f>
        <v/>
      </c>
      <c r="O105" s="31">
        <f>O101-O104</f>
        <v/>
      </c>
      <c r="P105" s="31">
        <f>P101-P104</f>
        <v/>
      </c>
      <c r="Q105" s="31">
        <f>Q101-Q104</f>
        <v/>
      </c>
      <c r="R105" s="31">
        <f>R101-R104</f>
        <v/>
      </c>
      <c r="S105" s="31">
        <f>S101-S104</f>
        <v/>
      </c>
      <c r="T105" s="31">
        <f>T101-T104</f>
        <v/>
      </c>
      <c r="U105" s="31">
        <f>U101-U104</f>
        <v/>
      </c>
      <c r="V105" s="31">
        <f>V101-V104</f>
        <v/>
      </c>
      <c r="W105" s="31">
        <f>W101-W104</f>
        <v/>
      </c>
      <c r="X105" s="31">
        <f>X101-X104</f>
        <v/>
      </c>
      <c r="Y105" s="31">
        <f>Y101-Y104</f>
        <v/>
      </c>
      <c r="Z105" s="31">
        <f>Z101-Z104</f>
        <v/>
      </c>
      <c r="AA105" s="31">
        <f>AA101-AA104</f>
        <v/>
      </c>
      <c r="AB105" s="31">
        <f>AB101-AB104</f>
        <v/>
      </c>
      <c r="AC105" s="31">
        <f>AC101-AC104</f>
        <v/>
      </c>
      <c r="AD105" s="31">
        <f>AD101-AD104</f>
        <v/>
      </c>
      <c r="AE105" s="31">
        <f>AE101-AE104</f>
        <v/>
      </c>
      <c r="AF105" s="31">
        <f>AF101-AF104</f>
        <v/>
      </c>
      <c r="AG105" s="31">
        <f>AG101-AG104</f>
        <v/>
      </c>
      <c r="AH105" s="31">
        <f>AH101-AH104</f>
        <v/>
      </c>
      <c r="AI105" s="31">
        <f>AI101-AI104</f>
        <v/>
      </c>
    </row>
    <row r="106">
      <c r="B106" s="2" t="inlineStr">
        <is>
          <t xml:space="preserve">  Maintenance capex</t>
        </is>
      </c>
      <c r="D106" s="19">
        <f>D93*i_R_mc*D72</f>
        <v/>
      </c>
      <c r="E106" s="19">
        <f>E93*i_R_mc*E72</f>
        <v/>
      </c>
      <c r="F106" s="19">
        <f>F93*i_R_mc*F72</f>
        <v/>
      </c>
      <c r="G106" s="19">
        <f>G93*i_R_mc*G72</f>
        <v/>
      </c>
      <c r="H106" s="19">
        <f>H93*i_R_mc*H72</f>
        <v/>
      </c>
      <c r="I106" s="19">
        <f>I93*i_R_mc*I72</f>
        <v/>
      </c>
      <c r="J106" s="19">
        <f>J93*i_R_mc*J72</f>
        <v/>
      </c>
      <c r="K106" s="19">
        <f>K93*i_R_mc*K72</f>
        <v/>
      </c>
      <c r="L106" s="19">
        <f>L93*i_R_mc*L72</f>
        <v/>
      </c>
      <c r="M106" s="19">
        <f>M93*i_R_mc*M72</f>
        <v/>
      </c>
      <c r="N106" s="19">
        <f>N93*i_R_mc*N72</f>
        <v/>
      </c>
      <c r="O106" s="19">
        <f>O93*i_R_mc*O72</f>
        <v/>
      </c>
      <c r="P106" s="19">
        <f>P93*i_R_mc*P72</f>
        <v/>
      </c>
      <c r="Q106" s="19">
        <f>Q93*i_R_mc*Q72</f>
        <v/>
      </c>
      <c r="R106" s="19">
        <f>R93*i_R_mc*R72</f>
        <v/>
      </c>
      <c r="S106" s="19">
        <f>S93*i_R_mc*S72</f>
        <v/>
      </c>
      <c r="T106" s="19">
        <f>T93*i_R_mc*T72</f>
        <v/>
      </c>
      <c r="U106" s="19">
        <f>U93*i_R_mc*U72</f>
        <v/>
      </c>
      <c r="V106" s="19">
        <f>V93*i_R_mc*V72</f>
        <v/>
      </c>
      <c r="W106" s="19">
        <f>W93*i_R_mc*W72</f>
        <v/>
      </c>
      <c r="X106" s="19">
        <f>X93*i_R_mc*X72</f>
        <v/>
      </c>
      <c r="Y106" s="19">
        <f>Y93*i_R_mc*Y72</f>
        <v/>
      </c>
      <c r="Z106" s="19">
        <f>Z93*i_R_mc*Z72</f>
        <v/>
      </c>
      <c r="AA106" s="19">
        <f>AA93*i_R_mc*AA72</f>
        <v/>
      </c>
      <c r="AB106" s="19">
        <f>AB93*i_R_mc*AB72</f>
        <v/>
      </c>
      <c r="AC106" s="19">
        <f>AC93*i_R_mc*AC72</f>
        <v/>
      </c>
      <c r="AD106" s="19">
        <f>AD93*i_R_mc*AD72</f>
        <v/>
      </c>
      <c r="AE106" s="19">
        <f>AE93*i_R_mc*AE72</f>
        <v/>
      </c>
      <c r="AF106" s="19">
        <f>AF93*i_R_mc*AF72</f>
        <v/>
      </c>
      <c r="AG106" s="19">
        <f>AG93*i_R_mc*AG72</f>
        <v/>
      </c>
      <c r="AH106" s="19">
        <f>AH93*i_R_mc*AH72</f>
        <v/>
      </c>
      <c r="AI106" s="19">
        <f>AI93*i_R_mc*AI72</f>
        <v/>
      </c>
    </row>
    <row r="107">
      <c r="B107" s="3" t="inlineStr">
        <is>
          <t>Thamesbridge</t>
        </is>
      </c>
    </row>
    <row r="108">
      <c r="B108" s="2" t="inlineStr">
        <is>
          <t xml:space="preserve">  Capacity in service (million m3)</t>
        </is>
      </c>
      <c r="D108" s="24">
        <f>i_T_cap</f>
        <v/>
      </c>
      <c r="E108" s="24">
        <f>i_T_cap</f>
        <v/>
      </c>
      <c r="F108" s="24">
        <f>i_T_cap</f>
        <v/>
      </c>
      <c r="G108" s="24">
        <f>i_T_cap</f>
        <v/>
      </c>
      <c r="H108" s="24">
        <f>i_T_cap</f>
        <v/>
      </c>
      <c r="I108" s="24">
        <f>i_T_cap</f>
        <v/>
      </c>
      <c r="J108" s="24">
        <f>i_T_cap</f>
        <v/>
      </c>
      <c r="K108" s="24">
        <f>i_T_cap</f>
        <v/>
      </c>
      <c r="L108" s="24">
        <f>i_T_cap</f>
        <v/>
      </c>
      <c r="M108" s="24">
        <f>i_T_cap</f>
        <v/>
      </c>
      <c r="N108" s="24">
        <f>i_T_cap</f>
        <v/>
      </c>
      <c r="O108" s="24">
        <f>i_T_cap</f>
        <v/>
      </c>
      <c r="P108" s="24">
        <f>i_T_cap</f>
        <v/>
      </c>
      <c r="Q108" s="24">
        <f>i_T_cap</f>
        <v/>
      </c>
      <c r="R108" s="24">
        <f>i_T_cap</f>
        <v/>
      </c>
      <c r="S108" s="24">
        <f>i_T_cap</f>
        <v/>
      </c>
      <c r="T108" s="24">
        <f>i_T_cap</f>
        <v/>
      </c>
      <c r="U108" s="24">
        <f>i_T_cap</f>
        <v/>
      </c>
      <c r="V108" s="24">
        <f>i_T_cap</f>
        <v/>
      </c>
      <c r="W108" s="24">
        <f>i_T_cap</f>
        <v/>
      </c>
      <c r="X108" s="24">
        <f>i_T_cap</f>
        <v/>
      </c>
      <c r="Y108" s="24">
        <f>i_T_cap</f>
        <v/>
      </c>
      <c r="Z108" s="24">
        <f>i_T_cap</f>
        <v/>
      </c>
      <c r="AA108" s="24">
        <f>i_T_cap</f>
        <v/>
      </c>
      <c r="AB108" s="24">
        <f>i_T_cap</f>
        <v/>
      </c>
      <c r="AC108" s="24">
        <f>i_T_cap</f>
        <v/>
      </c>
      <c r="AD108" s="24">
        <f>i_T_cap</f>
        <v/>
      </c>
      <c r="AE108" s="24">
        <f>i_T_cap</f>
        <v/>
      </c>
      <c r="AF108" s="24">
        <f>i_T_cap</f>
        <v/>
      </c>
      <c r="AG108" s="24">
        <f>i_T_cap</f>
        <v/>
      </c>
      <c r="AH108" s="24">
        <f>i_T_cap</f>
        <v/>
      </c>
      <c r="AI108" s="24">
        <f>i_T_cap</f>
        <v/>
      </c>
    </row>
    <row r="109">
      <c r="B109" s="2" t="inlineStr">
        <is>
          <t xml:space="preserve">  Share on contracts signed before 2027</t>
        </is>
      </c>
      <c r="D109" s="21">
        <f>SUMIF(i_book_years,D$3,i_T_book)</f>
        <v/>
      </c>
      <c r="E109" s="21">
        <f>SUMIF(i_book_years,E$3,i_T_book)</f>
        <v/>
      </c>
      <c r="F109" s="21">
        <f>SUMIF(i_book_years,F$3,i_T_book)</f>
        <v/>
      </c>
      <c r="G109" s="21">
        <f>SUMIF(i_book_years,G$3,i_T_book)</f>
        <v/>
      </c>
      <c r="H109" s="21">
        <f>SUMIF(i_book_years,H$3,i_T_book)</f>
        <v/>
      </c>
      <c r="I109" s="21">
        <f>SUMIF(i_book_years,I$3,i_T_book)</f>
        <v/>
      </c>
      <c r="J109" s="21">
        <f>SUMIF(i_book_years,J$3,i_T_book)</f>
        <v/>
      </c>
      <c r="K109" s="21">
        <f>SUMIF(i_book_years,K$3,i_T_book)</f>
        <v/>
      </c>
      <c r="L109" s="21">
        <f>SUMIF(i_book_years,L$3,i_T_book)</f>
        <v/>
      </c>
      <c r="M109" s="21">
        <f>SUMIF(i_book_years,M$3,i_T_book)</f>
        <v/>
      </c>
      <c r="N109" s="21">
        <f>SUMIF(i_book_years,N$3,i_T_book)</f>
        <v/>
      </c>
      <c r="O109" s="21">
        <f>SUMIF(i_book_years,O$3,i_T_book)</f>
        <v/>
      </c>
      <c r="P109" s="21">
        <f>SUMIF(i_book_years,P$3,i_T_book)</f>
        <v/>
      </c>
      <c r="Q109" s="21">
        <f>SUMIF(i_book_years,Q$3,i_T_book)</f>
        <v/>
      </c>
      <c r="R109" s="21">
        <f>SUMIF(i_book_years,R$3,i_T_book)</f>
        <v/>
      </c>
      <c r="S109" s="21">
        <f>SUMIF(i_book_years,S$3,i_T_book)</f>
        <v/>
      </c>
      <c r="T109" s="21">
        <f>SUMIF(i_book_years,T$3,i_T_book)</f>
        <v/>
      </c>
      <c r="U109" s="21">
        <f>SUMIF(i_book_years,U$3,i_T_book)</f>
        <v/>
      </c>
      <c r="V109" s="21">
        <f>SUMIF(i_book_years,V$3,i_T_book)</f>
        <v/>
      </c>
      <c r="W109" s="21">
        <f>SUMIF(i_book_years,W$3,i_T_book)</f>
        <v/>
      </c>
      <c r="X109" s="21">
        <f>SUMIF(i_book_years,X$3,i_T_book)</f>
        <v/>
      </c>
      <c r="Y109" s="21">
        <f>SUMIF(i_book_years,Y$3,i_T_book)</f>
        <v/>
      </c>
      <c r="Z109" s="21">
        <f>SUMIF(i_book_years,Z$3,i_T_book)</f>
        <v/>
      </c>
      <c r="AA109" s="21">
        <f>SUMIF(i_book_years,AA$3,i_T_book)</f>
        <v/>
      </c>
      <c r="AB109" s="21">
        <f>SUMIF(i_book_years,AB$3,i_T_book)</f>
        <v/>
      </c>
      <c r="AC109" s="21">
        <f>SUMIF(i_book_years,AC$3,i_T_book)</f>
        <v/>
      </c>
      <c r="AD109" s="21">
        <f>SUMIF(i_book_years,AD$3,i_T_book)</f>
        <v/>
      </c>
      <c r="AE109" s="21">
        <f>SUMIF(i_book_years,AE$3,i_T_book)</f>
        <v/>
      </c>
      <c r="AF109" s="21">
        <f>SUMIF(i_book_years,AF$3,i_T_book)</f>
        <v/>
      </c>
      <c r="AG109" s="21">
        <f>SUMIF(i_book_years,AG$3,i_T_book)</f>
        <v/>
      </c>
      <c r="AH109" s="21">
        <f>SUMIF(i_book_years,AH$3,i_T_book)</f>
        <v/>
      </c>
      <c r="AI109" s="21">
        <f>SUMIF(i_book_years,AI$3,i_T_book)</f>
        <v/>
      </c>
    </row>
    <row r="110">
      <c r="B110" s="2" t="inlineStr">
        <is>
          <t xml:space="preserve">  Recontracting factor against current rates</t>
        </is>
      </c>
      <c r="D110" s="21">
        <f>IF(D$4=0,0,IF(Bids!$C$62=1,i_T_mtm,i_T_mtm_plan)+Bids!$C$68)</f>
        <v/>
      </c>
      <c r="E110" s="21">
        <f>IF(E$4=0,0,IF(Bids!$C$62=1,i_T_mtm,i_T_mtm_plan)+Bids!$C$68)</f>
        <v/>
      </c>
      <c r="F110" s="21">
        <f>IF(F$4=0,0,IF(Bids!$C$62=1,i_T_mtm,i_T_mtm_plan)+Bids!$C$68)</f>
        <v/>
      </c>
      <c r="G110" s="21">
        <f>IF(G$4=0,0,IF(Bids!$C$62=1,i_T_mtm,i_T_mtm_plan)+Bids!$C$68)</f>
        <v/>
      </c>
      <c r="H110" s="21">
        <f>IF(H$4=0,0,IF(Bids!$C$62=1,i_T_mtm,i_T_mtm_plan)+Bids!$C$68)</f>
        <v/>
      </c>
      <c r="I110" s="21">
        <f>IF(I$4=0,0,IF(Bids!$C$62=1,i_T_mtm,i_T_mtm_plan)+Bids!$C$68)</f>
        <v/>
      </c>
      <c r="J110" s="21">
        <f>IF(J$4=0,0,IF(Bids!$C$62=1,i_T_mtm,i_T_mtm_plan)+Bids!$C$68)</f>
        <v/>
      </c>
      <c r="K110" s="21">
        <f>IF(K$4=0,0,IF(Bids!$C$62=1,i_T_mtm,i_T_mtm_plan)+Bids!$C$68)</f>
        <v/>
      </c>
      <c r="L110" s="21">
        <f>IF(L$4=0,0,IF(Bids!$C$62=1,i_T_mtm,i_T_mtm_plan)+Bids!$C$68)</f>
        <v/>
      </c>
      <c r="M110" s="21">
        <f>IF(M$4=0,0,IF(Bids!$C$62=1,i_T_mtm,i_T_mtm_plan)+Bids!$C$68)</f>
        <v/>
      </c>
      <c r="N110" s="21">
        <f>IF(N$4=0,0,IF(Bids!$C$62=1,i_T_mtm,i_T_mtm_plan)+Bids!$C$68)</f>
        <v/>
      </c>
      <c r="O110" s="21">
        <f>IF(O$4=0,0,IF(Bids!$C$62=1,i_T_mtm,i_T_mtm_plan)+Bids!$C$68)</f>
        <v/>
      </c>
      <c r="P110" s="21">
        <f>IF(P$4=0,0,IF(Bids!$C$62=1,i_T_mtm,i_T_mtm_plan)+Bids!$C$68)</f>
        <v/>
      </c>
      <c r="Q110" s="21">
        <f>IF(Q$4=0,0,IF(Bids!$C$62=1,i_T_mtm,i_T_mtm_plan)+Bids!$C$68)</f>
        <v/>
      </c>
      <c r="R110" s="21">
        <f>IF(R$4=0,0,IF(Bids!$C$62=1,i_T_mtm,i_T_mtm_plan)+Bids!$C$68)</f>
        <v/>
      </c>
      <c r="S110" s="21">
        <f>IF(S$4=0,0,IF(Bids!$C$62=1,i_T_mtm,i_T_mtm_plan)+Bids!$C$68)</f>
        <v/>
      </c>
      <c r="T110" s="21">
        <f>IF(T$4=0,0,IF(Bids!$C$62=1,i_T_mtm,i_T_mtm_plan)+Bids!$C$68)</f>
        <v/>
      </c>
      <c r="U110" s="21">
        <f>IF(U$4=0,0,IF(Bids!$C$62=1,i_T_mtm,i_T_mtm_plan)+Bids!$C$68)</f>
        <v/>
      </c>
      <c r="V110" s="21">
        <f>IF(V$4=0,0,IF(Bids!$C$62=1,i_T_mtm,i_T_mtm_plan)+Bids!$C$68)</f>
        <v/>
      </c>
      <c r="W110" s="21">
        <f>IF(W$4=0,0,IF(Bids!$C$62=1,i_T_mtm,i_T_mtm_plan)+Bids!$C$68)</f>
        <v/>
      </c>
      <c r="X110" s="21">
        <f>IF(X$4=0,0,IF(Bids!$C$62=1,i_T_mtm,i_T_mtm_plan)+Bids!$C$68)</f>
        <v/>
      </c>
      <c r="Y110" s="21">
        <f>IF(Y$4=0,0,IF(Bids!$C$62=1,i_T_mtm,i_T_mtm_plan)+Bids!$C$68)</f>
        <v/>
      </c>
      <c r="Z110" s="21">
        <f>IF(Z$4=0,0,IF(Bids!$C$62=1,i_T_mtm,i_T_mtm_plan)+Bids!$C$68)</f>
        <v/>
      </c>
      <c r="AA110" s="21">
        <f>IF(AA$4=0,0,IF(Bids!$C$62=1,i_T_mtm,i_T_mtm_plan)+Bids!$C$68)</f>
        <v/>
      </c>
      <c r="AB110" s="21">
        <f>IF(AB$4=0,0,IF(Bids!$C$62=1,i_T_mtm,i_T_mtm_plan)+Bids!$C$68)</f>
        <v/>
      </c>
      <c r="AC110" s="21">
        <f>IF(AC$4=0,0,IF(Bids!$C$62=1,i_T_mtm,i_T_mtm_plan)+Bids!$C$68)</f>
        <v/>
      </c>
      <c r="AD110" s="21">
        <f>IF(AD$4=0,0,IF(Bids!$C$62=1,i_T_mtm,i_T_mtm_plan)+Bids!$C$68)</f>
        <v/>
      </c>
      <c r="AE110" s="21">
        <f>IF(AE$4=0,0,IF(Bids!$C$62=1,i_T_mtm,i_T_mtm_plan)+Bids!$C$68)</f>
        <v/>
      </c>
      <c r="AF110" s="21">
        <f>IF(AF$4=0,0,IF(Bids!$C$62=1,i_T_mtm,i_T_mtm_plan)+Bids!$C$68)</f>
        <v/>
      </c>
      <c r="AG110" s="21">
        <f>IF(AG$4=0,0,IF(Bids!$C$62=1,i_T_mtm,i_T_mtm_plan)+Bids!$C$68)</f>
        <v/>
      </c>
      <c r="AH110" s="21">
        <f>IF(AH$4=0,0,IF(Bids!$C$62=1,i_T_mtm,i_T_mtm_plan)+Bids!$C$68)</f>
        <v/>
      </c>
      <c r="AI110" s="21">
        <f>IF(AI$4=0,0,IF(Bids!$C$62=1,i_T_mtm,i_T_mtm_plan)+Bids!$C$68)</f>
        <v/>
      </c>
    </row>
    <row r="111">
      <c r="B111" s="2" t="inlineStr">
        <is>
          <t xml:space="preserve">  Average rate ($ per m3 per month)</t>
        </is>
      </c>
      <c r="D111" s="24">
        <f>i_T_rate*D73*(D109+(1-D109)*(1+D110))</f>
        <v/>
      </c>
      <c r="E111" s="24">
        <f>i_T_rate*E73*(E109+(1-E109)*(1+E110))</f>
        <v/>
      </c>
      <c r="F111" s="24">
        <f>i_T_rate*F73*(F109+(1-F109)*(1+F110))</f>
        <v/>
      </c>
      <c r="G111" s="24">
        <f>i_T_rate*G73*(G109+(1-G109)*(1+G110))</f>
        <v/>
      </c>
      <c r="H111" s="24">
        <f>i_T_rate*H73*(H109+(1-H109)*(1+H110))</f>
        <v/>
      </c>
      <c r="I111" s="24">
        <f>i_T_rate*I73*(I109+(1-I109)*(1+I110))</f>
        <v/>
      </c>
      <c r="J111" s="24">
        <f>i_T_rate*J73*(J109+(1-J109)*(1+J110))</f>
        <v/>
      </c>
      <c r="K111" s="24">
        <f>i_T_rate*K73*(K109+(1-K109)*(1+K110))</f>
        <v/>
      </c>
      <c r="L111" s="24">
        <f>i_T_rate*L73*(L109+(1-L109)*(1+L110))</f>
        <v/>
      </c>
      <c r="M111" s="24">
        <f>i_T_rate*M73*(M109+(1-M109)*(1+M110))</f>
        <v/>
      </c>
      <c r="N111" s="24">
        <f>i_T_rate*N73*(N109+(1-N109)*(1+N110))</f>
        <v/>
      </c>
      <c r="O111" s="24">
        <f>i_T_rate*O73*(O109+(1-O109)*(1+O110))</f>
        <v/>
      </c>
      <c r="P111" s="24">
        <f>i_T_rate*P73*(P109+(1-P109)*(1+P110))</f>
        <v/>
      </c>
      <c r="Q111" s="24">
        <f>i_T_rate*Q73*(Q109+(1-Q109)*(1+Q110))</f>
        <v/>
      </c>
      <c r="R111" s="24">
        <f>i_T_rate*R73*(R109+(1-R109)*(1+R110))</f>
        <v/>
      </c>
      <c r="S111" s="24">
        <f>i_T_rate*S73*(S109+(1-S109)*(1+S110))</f>
        <v/>
      </c>
      <c r="T111" s="24">
        <f>i_T_rate*T73*(T109+(1-T109)*(1+T110))</f>
        <v/>
      </c>
      <c r="U111" s="24">
        <f>i_T_rate*U73*(U109+(1-U109)*(1+U110))</f>
        <v/>
      </c>
      <c r="V111" s="24">
        <f>i_T_rate*V73*(V109+(1-V109)*(1+V110))</f>
        <v/>
      </c>
      <c r="W111" s="24">
        <f>i_T_rate*W73*(W109+(1-W109)*(1+W110))</f>
        <v/>
      </c>
      <c r="X111" s="24">
        <f>i_T_rate*X73*(X109+(1-X109)*(1+X110))</f>
        <v/>
      </c>
      <c r="Y111" s="24">
        <f>i_T_rate*Y73*(Y109+(1-Y109)*(1+Y110))</f>
        <v/>
      </c>
      <c r="Z111" s="24">
        <f>i_T_rate*Z73*(Z109+(1-Z109)*(1+Z110))</f>
        <v/>
      </c>
      <c r="AA111" s="24">
        <f>i_T_rate*AA73*(AA109+(1-AA109)*(1+AA110))</f>
        <v/>
      </c>
      <c r="AB111" s="24">
        <f>i_T_rate*AB73*(AB109+(1-AB109)*(1+AB110))</f>
        <v/>
      </c>
      <c r="AC111" s="24">
        <f>i_T_rate*AC73*(AC109+(1-AC109)*(1+AC110))</f>
        <v/>
      </c>
      <c r="AD111" s="24">
        <f>i_T_rate*AD73*(AD109+(1-AD109)*(1+AD110))</f>
        <v/>
      </c>
      <c r="AE111" s="24">
        <f>i_T_rate*AE73*(AE109+(1-AE109)*(1+AE110))</f>
        <v/>
      </c>
      <c r="AF111" s="24">
        <f>i_T_rate*AF73*(AF109+(1-AF109)*(1+AF110))</f>
        <v/>
      </c>
      <c r="AG111" s="24">
        <f>i_T_rate*AG73*(AG109+(1-AG109)*(1+AG110))</f>
        <v/>
      </c>
      <c r="AH111" s="24">
        <f>i_T_rate*AH73*(AH109+(1-AH109)*(1+AH110))</f>
        <v/>
      </c>
      <c r="AI111" s="24">
        <f>i_T_rate*AI73*(AI109+(1-AI109)*(1+AI110))</f>
        <v/>
      </c>
    </row>
    <row r="112">
      <c r="B112" s="2" t="inlineStr">
        <is>
          <t xml:space="preserve">  Occupancy after the transition decline and floor</t>
        </is>
      </c>
      <c r="D112" s="21">
        <f>IF(D$3&gt;i_trans_start,MAX(i_T_floor,i_T_occ-i_T_dec*(D$3-i_trans_start)),i_T_occ)</f>
        <v/>
      </c>
      <c r="E112" s="21">
        <f>IF(E$3&gt;i_trans_start,MAX(i_T_floor,i_T_occ-i_T_dec*(E$3-i_trans_start)),i_T_occ)</f>
        <v/>
      </c>
      <c r="F112" s="21">
        <f>IF(F$3&gt;i_trans_start,MAX(i_T_floor,i_T_occ-i_T_dec*(F$3-i_trans_start)),i_T_occ)</f>
        <v/>
      </c>
      <c r="G112" s="21">
        <f>IF(G$3&gt;i_trans_start,MAX(i_T_floor,i_T_occ-i_T_dec*(G$3-i_trans_start)),i_T_occ)</f>
        <v/>
      </c>
      <c r="H112" s="21">
        <f>IF(H$3&gt;i_trans_start,MAX(i_T_floor,i_T_occ-i_T_dec*(H$3-i_trans_start)),i_T_occ)</f>
        <v/>
      </c>
      <c r="I112" s="21">
        <f>IF(I$3&gt;i_trans_start,MAX(i_T_floor,i_T_occ-i_T_dec*(I$3-i_trans_start)),i_T_occ)</f>
        <v/>
      </c>
      <c r="J112" s="21">
        <f>IF(J$3&gt;i_trans_start,MAX(i_T_floor,i_T_occ-i_T_dec*(J$3-i_trans_start)),i_T_occ)</f>
        <v/>
      </c>
      <c r="K112" s="21">
        <f>IF(K$3&gt;i_trans_start,MAX(i_T_floor,i_T_occ-i_T_dec*(K$3-i_trans_start)),i_T_occ)</f>
        <v/>
      </c>
      <c r="L112" s="21">
        <f>IF(L$3&gt;i_trans_start,MAX(i_T_floor,i_T_occ-i_T_dec*(L$3-i_trans_start)),i_T_occ)</f>
        <v/>
      </c>
      <c r="M112" s="21">
        <f>IF(M$3&gt;i_trans_start,MAX(i_T_floor,i_T_occ-i_T_dec*(M$3-i_trans_start)),i_T_occ)</f>
        <v/>
      </c>
      <c r="N112" s="21">
        <f>IF(N$3&gt;i_trans_start,MAX(i_T_floor,i_T_occ-i_T_dec*(N$3-i_trans_start)),i_T_occ)</f>
        <v/>
      </c>
      <c r="O112" s="21">
        <f>IF(O$3&gt;i_trans_start,MAX(i_T_floor,i_T_occ-i_T_dec*(O$3-i_trans_start)),i_T_occ)</f>
        <v/>
      </c>
      <c r="P112" s="21">
        <f>IF(P$3&gt;i_trans_start,MAX(i_T_floor,i_T_occ-i_T_dec*(P$3-i_trans_start)),i_T_occ)</f>
        <v/>
      </c>
      <c r="Q112" s="21">
        <f>IF(Q$3&gt;i_trans_start,MAX(i_T_floor,i_T_occ-i_T_dec*(Q$3-i_trans_start)),i_T_occ)</f>
        <v/>
      </c>
      <c r="R112" s="21">
        <f>IF(R$3&gt;i_trans_start,MAX(i_T_floor,i_T_occ-i_T_dec*(R$3-i_trans_start)),i_T_occ)</f>
        <v/>
      </c>
      <c r="S112" s="21">
        <f>IF(S$3&gt;i_trans_start,MAX(i_T_floor,i_T_occ-i_T_dec*(S$3-i_trans_start)),i_T_occ)</f>
        <v/>
      </c>
      <c r="T112" s="21">
        <f>IF(T$3&gt;i_trans_start,MAX(i_T_floor,i_T_occ-i_T_dec*(T$3-i_trans_start)),i_T_occ)</f>
        <v/>
      </c>
      <c r="U112" s="21">
        <f>IF(U$3&gt;i_trans_start,MAX(i_T_floor,i_T_occ-i_T_dec*(U$3-i_trans_start)),i_T_occ)</f>
        <v/>
      </c>
      <c r="V112" s="21">
        <f>IF(V$3&gt;i_trans_start,MAX(i_T_floor,i_T_occ-i_T_dec*(V$3-i_trans_start)),i_T_occ)</f>
        <v/>
      </c>
      <c r="W112" s="21">
        <f>IF(W$3&gt;i_trans_start,MAX(i_T_floor,i_T_occ-i_T_dec*(W$3-i_trans_start)),i_T_occ)</f>
        <v/>
      </c>
      <c r="X112" s="21">
        <f>IF(X$3&gt;i_trans_start,MAX(i_T_floor,i_T_occ-i_T_dec*(X$3-i_trans_start)),i_T_occ)</f>
        <v/>
      </c>
      <c r="Y112" s="21">
        <f>IF(Y$3&gt;i_trans_start,MAX(i_T_floor,i_T_occ-i_T_dec*(Y$3-i_trans_start)),i_T_occ)</f>
        <v/>
      </c>
      <c r="Z112" s="21">
        <f>IF(Z$3&gt;i_trans_start,MAX(i_T_floor,i_T_occ-i_T_dec*(Z$3-i_trans_start)),i_T_occ)</f>
        <v/>
      </c>
      <c r="AA112" s="21">
        <f>IF(AA$3&gt;i_trans_start,MAX(i_T_floor,i_T_occ-i_T_dec*(AA$3-i_trans_start)),i_T_occ)</f>
        <v/>
      </c>
      <c r="AB112" s="21">
        <f>IF(AB$3&gt;i_trans_start,MAX(i_T_floor,i_T_occ-i_T_dec*(AB$3-i_trans_start)),i_T_occ)</f>
        <v/>
      </c>
      <c r="AC112" s="21">
        <f>IF(AC$3&gt;i_trans_start,MAX(i_T_floor,i_T_occ-i_T_dec*(AC$3-i_trans_start)),i_T_occ)</f>
        <v/>
      </c>
      <c r="AD112" s="21">
        <f>IF(AD$3&gt;i_trans_start,MAX(i_T_floor,i_T_occ-i_T_dec*(AD$3-i_trans_start)),i_T_occ)</f>
        <v/>
      </c>
      <c r="AE112" s="21">
        <f>IF(AE$3&gt;i_trans_start,MAX(i_T_floor,i_T_occ-i_T_dec*(AE$3-i_trans_start)),i_T_occ)</f>
        <v/>
      </c>
      <c r="AF112" s="21">
        <f>IF(AF$3&gt;i_trans_start,MAX(i_T_floor,i_T_occ-i_T_dec*(AF$3-i_trans_start)),i_T_occ)</f>
        <v/>
      </c>
      <c r="AG112" s="21">
        <f>IF(AG$3&gt;i_trans_start,MAX(i_T_floor,i_T_occ-i_T_dec*(AG$3-i_trans_start)),i_T_occ)</f>
        <v/>
      </c>
      <c r="AH112" s="21">
        <f>IF(AH$3&gt;i_trans_start,MAX(i_T_floor,i_T_occ-i_T_dec*(AH$3-i_trans_start)),i_T_occ)</f>
        <v/>
      </c>
      <c r="AI112" s="21">
        <f>IF(AI$3&gt;i_trans_start,MAX(i_T_floor,i_T_occ-i_T_dec*(AI$3-i_trans_start)),i_T_occ)</f>
        <v/>
      </c>
    </row>
    <row r="113">
      <c r="B113" s="2" t="inlineStr">
        <is>
          <t xml:space="preserve">  Occupancy (with the shift switch from 2027)</t>
        </is>
      </c>
      <c r="D113" s="21">
        <f>IF(D$4&gt;0,MIN(1,D112+Bids!$C$67),D112)</f>
        <v/>
      </c>
      <c r="E113" s="21">
        <f>IF(E$4&gt;0,MIN(1,E112+Bids!$C$67),E112)</f>
        <v/>
      </c>
      <c r="F113" s="21">
        <f>IF(F$4&gt;0,MIN(1,F112+Bids!$C$67),F112)</f>
        <v/>
      </c>
      <c r="G113" s="21">
        <f>IF(G$4&gt;0,MIN(1,G112+Bids!$C$67),G112)</f>
        <v/>
      </c>
      <c r="H113" s="21">
        <f>IF(H$4&gt;0,MIN(1,H112+Bids!$C$67),H112)</f>
        <v/>
      </c>
      <c r="I113" s="21">
        <f>IF(I$4&gt;0,MIN(1,I112+Bids!$C$67),I112)</f>
        <v/>
      </c>
      <c r="J113" s="21">
        <f>IF(J$4&gt;0,MIN(1,J112+Bids!$C$67),J112)</f>
        <v/>
      </c>
      <c r="K113" s="21">
        <f>IF(K$4&gt;0,MIN(1,K112+Bids!$C$67),K112)</f>
        <v/>
      </c>
      <c r="L113" s="21">
        <f>IF(L$4&gt;0,MIN(1,L112+Bids!$C$67),L112)</f>
        <v/>
      </c>
      <c r="M113" s="21">
        <f>IF(M$4&gt;0,MIN(1,M112+Bids!$C$67),M112)</f>
        <v/>
      </c>
      <c r="N113" s="21">
        <f>IF(N$4&gt;0,MIN(1,N112+Bids!$C$67),N112)</f>
        <v/>
      </c>
      <c r="O113" s="21">
        <f>IF(O$4&gt;0,MIN(1,O112+Bids!$C$67),O112)</f>
        <v/>
      </c>
      <c r="P113" s="21">
        <f>IF(P$4&gt;0,MIN(1,P112+Bids!$C$67),P112)</f>
        <v/>
      </c>
      <c r="Q113" s="21">
        <f>IF(Q$4&gt;0,MIN(1,Q112+Bids!$C$67),Q112)</f>
        <v/>
      </c>
      <c r="R113" s="21">
        <f>IF(R$4&gt;0,MIN(1,R112+Bids!$C$67),R112)</f>
        <v/>
      </c>
      <c r="S113" s="21">
        <f>IF(S$4&gt;0,MIN(1,S112+Bids!$C$67),S112)</f>
        <v/>
      </c>
      <c r="T113" s="21">
        <f>IF(T$4&gt;0,MIN(1,T112+Bids!$C$67),T112)</f>
        <v/>
      </c>
      <c r="U113" s="21">
        <f>IF(U$4&gt;0,MIN(1,U112+Bids!$C$67),U112)</f>
        <v/>
      </c>
      <c r="V113" s="21">
        <f>IF(V$4&gt;0,MIN(1,V112+Bids!$C$67),V112)</f>
        <v/>
      </c>
      <c r="W113" s="21">
        <f>IF(W$4&gt;0,MIN(1,W112+Bids!$C$67),W112)</f>
        <v/>
      </c>
      <c r="X113" s="21">
        <f>IF(X$4&gt;0,MIN(1,X112+Bids!$C$67),X112)</f>
        <v/>
      </c>
      <c r="Y113" s="21">
        <f>IF(Y$4&gt;0,MIN(1,Y112+Bids!$C$67),Y112)</f>
        <v/>
      </c>
      <c r="Z113" s="21">
        <f>IF(Z$4&gt;0,MIN(1,Z112+Bids!$C$67),Z112)</f>
        <v/>
      </c>
      <c r="AA113" s="21">
        <f>IF(AA$4&gt;0,MIN(1,AA112+Bids!$C$67),AA112)</f>
        <v/>
      </c>
      <c r="AB113" s="21">
        <f>IF(AB$4&gt;0,MIN(1,AB112+Bids!$C$67),AB112)</f>
        <v/>
      </c>
      <c r="AC113" s="21">
        <f>IF(AC$4&gt;0,MIN(1,AC112+Bids!$C$67),AC112)</f>
        <v/>
      </c>
      <c r="AD113" s="21">
        <f>IF(AD$4&gt;0,MIN(1,AD112+Bids!$C$67),AD112)</f>
        <v/>
      </c>
      <c r="AE113" s="21">
        <f>IF(AE$4&gt;0,MIN(1,AE112+Bids!$C$67),AE112)</f>
        <v/>
      </c>
      <c r="AF113" s="21">
        <f>IF(AF$4&gt;0,MIN(1,AF112+Bids!$C$67),AF112)</f>
        <v/>
      </c>
      <c r="AG113" s="21">
        <f>IF(AG$4&gt;0,MIN(1,AG112+Bids!$C$67),AG112)</f>
        <v/>
      </c>
      <c r="AH113" s="21">
        <f>IF(AH$4&gt;0,MIN(1,AH112+Bids!$C$67),AH112)</f>
        <v/>
      </c>
      <c r="AI113" s="21">
        <f>IF(AI$4&gt;0,MIN(1,AI112+Bids!$C$67),AI112)</f>
        <v/>
      </c>
    </row>
    <row r="114">
      <c r="B114" s="2" t="inlineStr">
        <is>
          <t xml:space="preserve">  Storage revenue</t>
        </is>
      </c>
      <c r="D114" s="19">
        <f>D108*D111*12*D113</f>
        <v/>
      </c>
      <c r="E114" s="19">
        <f>E108*E111*12*E113</f>
        <v/>
      </c>
      <c r="F114" s="19">
        <f>F108*F111*12*F113</f>
        <v/>
      </c>
      <c r="G114" s="19">
        <f>G108*G111*12*G113</f>
        <v/>
      </c>
      <c r="H114" s="19">
        <f>H108*H111*12*H113</f>
        <v/>
      </c>
      <c r="I114" s="19">
        <f>I108*I111*12*I113</f>
        <v/>
      </c>
      <c r="J114" s="19">
        <f>J108*J111*12*J113</f>
        <v/>
      </c>
      <c r="K114" s="19">
        <f>K108*K111*12*K113</f>
        <v/>
      </c>
      <c r="L114" s="19">
        <f>L108*L111*12*L113</f>
        <v/>
      </c>
      <c r="M114" s="19">
        <f>M108*M111*12*M113</f>
        <v/>
      </c>
      <c r="N114" s="19">
        <f>N108*N111*12*N113</f>
        <v/>
      </c>
      <c r="O114" s="19">
        <f>O108*O111*12*O113</f>
        <v/>
      </c>
      <c r="P114" s="19">
        <f>P108*P111*12*P113</f>
        <v/>
      </c>
      <c r="Q114" s="19">
        <f>Q108*Q111*12*Q113</f>
        <v/>
      </c>
      <c r="R114" s="19">
        <f>R108*R111*12*R113</f>
        <v/>
      </c>
      <c r="S114" s="19">
        <f>S108*S111*12*S113</f>
        <v/>
      </c>
      <c r="T114" s="19">
        <f>T108*T111*12*T113</f>
        <v/>
      </c>
      <c r="U114" s="19">
        <f>U108*U111*12*U113</f>
        <v/>
      </c>
      <c r="V114" s="19">
        <f>V108*V111*12*V113</f>
        <v/>
      </c>
      <c r="W114" s="19">
        <f>W108*W111*12*W113</f>
        <v/>
      </c>
      <c r="X114" s="19">
        <f>X108*X111*12*X113</f>
        <v/>
      </c>
      <c r="Y114" s="19">
        <f>Y108*Y111*12*Y113</f>
        <v/>
      </c>
      <c r="Z114" s="19">
        <f>Z108*Z111*12*Z113</f>
        <v/>
      </c>
      <c r="AA114" s="19">
        <f>AA108*AA111*12*AA113</f>
        <v/>
      </c>
      <c r="AB114" s="19">
        <f>AB108*AB111*12*AB113</f>
        <v/>
      </c>
      <c r="AC114" s="19">
        <f>AC108*AC111*12*AC113</f>
        <v/>
      </c>
      <c r="AD114" s="19">
        <f>AD108*AD111*12*AD113</f>
        <v/>
      </c>
      <c r="AE114" s="19">
        <f>AE108*AE111*12*AE113</f>
        <v/>
      </c>
      <c r="AF114" s="19">
        <f>AF108*AF111*12*AF113</f>
        <v/>
      </c>
      <c r="AG114" s="19">
        <f>AG108*AG111*12*AG113</f>
        <v/>
      </c>
      <c r="AH114" s="19">
        <f>AH108*AH111*12*AH113</f>
        <v/>
      </c>
      <c r="AI114" s="19">
        <f>AI108*AI111*12*AI113</f>
        <v/>
      </c>
    </row>
    <row r="115">
      <c r="B115" s="2" t="inlineStr">
        <is>
          <t xml:space="preserve">  Ancillary and throughput revenue</t>
        </is>
      </c>
      <c r="D115" s="19">
        <f>D114*i_T_anc</f>
        <v/>
      </c>
      <c r="E115" s="19">
        <f>E114*i_T_anc</f>
        <v/>
      </c>
      <c r="F115" s="19">
        <f>F114*i_T_anc</f>
        <v/>
      </c>
      <c r="G115" s="19">
        <f>G114*i_T_anc</f>
        <v/>
      </c>
      <c r="H115" s="19">
        <f>H114*i_T_anc</f>
        <v/>
      </c>
      <c r="I115" s="19">
        <f>I114*i_T_anc</f>
        <v/>
      </c>
      <c r="J115" s="19">
        <f>J114*i_T_anc</f>
        <v/>
      </c>
      <c r="K115" s="19">
        <f>K114*i_T_anc</f>
        <v/>
      </c>
      <c r="L115" s="19">
        <f>L114*i_T_anc</f>
        <v/>
      </c>
      <c r="M115" s="19">
        <f>M114*i_T_anc</f>
        <v/>
      </c>
      <c r="N115" s="19">
        <f>N114*i_T_anc</f>
        <v/>
      </c>
      <c r="O115" s="19">
        <f>O114*i_T_anc</f>
        <v/>
      </c>
      <c r="P115" s="19">
        <f>P114*i_T_anc</f>
        <v/>
      </c>
      <c r="Q115" s="19">
        <f>Q114*i_T_anc</f>
        <v/>
      </c>
      <c r="R115" s="19">
        <f>R114*i_T_anc</f>
        <v/>
      </c>
      <c r="S115" s="19">
        <f>S114*i_T_anc</f>
        <v/>
      </c>
      <c r="T115" s="19">
        <f>T114*i_T_anc</f>
        <v/>
      </c>
      <c r="U115" s="19">
        <f>U114*i_T_anc</f>
        <v/>
      </c>
      <c r="V115" s="19">
        <f>V114*i_T_anc</f>
        <v/>
      </c>
      <c r="W115" s="19">
        <f>W114*i_T_anc</f>
        <v/>
      </c>
      <c r="X115" s="19">
        <f>X114*i_T_anc</f>
        <v/>
      </c>
      <c r="Y115" s="19">
        <f>Y114*i_T_anc</f>
        <v/>
      </c>
      <c r="Z115" s="19">
        <f>Z114*i_T_anc</f>
        <v/>
      </c>
      <c r="AA115" s="19">
        <f>AA114*i_T_anc</f>
        <v/>
      </c>
      <c r="AB115" s="19">
        <f>AB114*i_T_anc</f>
        <v/>
      </c>
      <c r="AC115" s="19">
        <f>AC114*i_T_anc</f>
        <v/>
      </c>
      <c r="AD115" s="19">
        <f>AD114*i_T_anc</f>
        <v/>
      </c>
      <c r="AE115" s="19">
        <f>AE114*i_T_anc</f>
        <v/>
      </c>
      <c r="AF115" s="19">
        <f>AF114*i_T_anc</f>
        <v/>
      </c>
      <c r="AG115" s="19">
        <f>AG114*i_T_anc</f>
        <v/>
      </c>
      <c r="AH115" s="19">
        <f>AH114*i_T_anc</f>
        <v/>
      </c>
      <c r="AI115" s="19">
        <f>AI114*i_T_anc</f>
        <v/>
      </c>
    </row>
    <row r="116">
      <c r="B116" s="3" t="inlineStr">
        <is>
          <t xml:space="preserve">  Revenue</t>
        </is>
      </c>
      <c r="D116" s="31">
        <f>D114+D115</f>
        <v/>
      </c>
      <c r="E116" s="31">
        <f>E114+E115</f>
        <v/>
      </c>
      <c r="F116" s="31">
        <f>F114+F115</f>
        <v/>
      </c>
      <c r="G116" s="31">
        <f>G114+G115</f>
        <v/>
      </c>
      <c r="H116" s="31">
        <f>H114+H115</f>
        <v/>
      </c>
      <c r="I116" s="31">
        <f>I114+I115</f>
        <v/>
      </c>
      <c r="J116" s="31">
        <f>J114+J115</f>
        <v/>
      </c>
      <c r="K116" s="31">
        <f>K114+K115</f>
        <v/>
      </c>
      <c r="L116" s="31">
        <f>L114+L115</f>
        <v/>
      </c>
      <c r="M116" s="31">
        <f>M114+M115</f>
        <v/>
      </c>
      <c r="N116" s="31">
        <f>N114+N115</f>
        <v/>
      </c>
      <c r="O116" s="31">
        <f>O114+O115</f>
        <v/>
      </c>
      <c r="P116" s="31">
        <f>P114+P115</f>
        <v/>
      </c>
      <c r="Q116" s="31">
        <f>Q114+Q115</f>
        <v/>
      </c>
      <c r="R116" s="31">
        <f>R114+R115</f>
        <v/>
      </c>
      <c r="S116" s="31">
        <f>S114+S115</f>
        <v/>
      </c>
      <c r="T116" s="31">
        <f>T114+T115</f>
        <v/>
      </c>
      <c r="U116" s="31">
        <f>U114+U115</f>
        <v/>
      </c>
      <c r="V116" s="31">
        <f>V114+V115</f>
        <v/>
      </c>
      <c r="W116" s="31">
        <f>W114+W115</f>
        <v/>
      </c>
      <c r="X116" s="31">
        <f>X114+X115</f>
        <v/>
      </c>
      <c r="Y116" s="31">
        <f>Y114+Y115</f>
        <v/>
      </c>
      <c r="Z116" s="31">
        <f>Z114+Z115</f>
        <v/>
      </c>
      <c r="AA116" s="31">
        <f>AA114+AA115</f>
        <v/>
      </c>
      <c r="AB116" s="31">
        <f>AB114+AB115</f>
        <v/>
      </c>
      <c r="AC116" s="31">
        <f>AC114+AC115</f>
        <v/>
      </c>
      <c r="AD116" s="31">
        <f>AD114+AD115</f>
        <v/>
      </c>
      <c r="AE116" s="31">
        <f>AE114+AE115</f>
        <v/>
      </c>
      <c r="AF116" s="31">
        <f>AF114+AF115</f>
        <v/>
      </c>
      <c r="AG116" s="31">
        <f>AG114+AG115</f>
        <v/>
      </c>
      <c r="AH116" s="31">
        <f>AH114+AH115</f>
        <v/>
      </c>
      <c r="AI116" s="31">
        <f>AI114+AI115</f>
        <v/>
      </c>
    </row>
    <row r="117">
      <c r="B117" s="2" t="inlineStr">
        <is>
          <t xml:space="preserve">  Fixed cost</t>
        </is>
      </c>
      <c r="D117" s="19">
        <f>D108*i_T_fix*D72</f>
        <v/>
      </c>
      <c r="E117" s="19">
        <f>E108*i_T_fix*E72</f>
        <v/>
      </c>
      <c r="F117" s="19">
        <f>F108*i_T_fix*F72</f>
        <v/>
      </c>
      <c r="G117" s="19">
        <f>G108*i_T_fix*G72</f>
        <v/>
      </c>
      <c r="H117" s="19">
        <f>H108*i_T_fix*H72</f>
        <v/>
      </c>
      <c r="I117" s="19">
        <f>I108*i_T_fix*I72</f>
        <v/>
      </c>
      <c r="J117" s="19">
        <f>J108*i_T_fix*J72</f>
        <v/>
      </c>
      <c r="K117" s="19">
        <f>K108*i_T_fix*K72</f>
        <v/>
      </c>
      <c r="L117" s="19">
        <f>L108*i_T_fix*L72</f>
        <v/>
      </c>
      <c r="M117" s="19">
        <f>M108*i_T_fix*M72</f>
        <v/>
      </c>
      <c r="N117" s="19">
        <f>N108*i_T_fix*N72</f>
        <v/>
      </c>
      <c r="O117" s="19">
        <f>O108*i_T_fix*O72</f>
        <v/>
      </c>
      <c r="P117" s="19">
        <f>P108*i_T_fix*P72</f>
        <v/>
      </c>
      <c r="Q117" s="19">
        <f>Q108*i_T_fix*Q72</f>
        <v/>
      </c>
      <c r="R117" s="19">
        <f>R108*i_T_fix*R72</f>
        <v/>
      </c>
      <c r="S117" s="19">
        <f>S108*i_T_fix*S72</f>
        <v/>
      </c>
      <c r="T117" s="19">
        <f>T108*i_T_fix*T72</f>
        <v/>
      </c>
      <c r="U117" s="19">
        <f>U108*i_T_fix*U72</f>
        <v/>
      </c>
      <c r="V117" s="19">
        <f>V108*i_T_fix*V72</f>
        <v/>
      </c>
      <c r="W117" s="19">
        <f>W108*i_T_fix*W72</f>
        <v/>
      </c>
      <c r="X117" s="19">
        <f>X108*i_T_fix*X72</f>
        <v/>
      </c>
      <c r="Y117" s="19">
        <f>Y108*i_T_fix*Y72</f>
        <v/>
      </c>
      <c r="Z117" s="19">
        <f>Z108*i_T_fix*Z72</f>
        <v/>
      </c>
      <c r="AA117" s="19">
        <f>AA108*i_T_fix*AA72</f>
        <v/>
      </c>
      <c r="AB117" s="19">
        <f>AB108*i_T_fix*AB72</f>
        <v/>
      </c>
      <c r="AC117" s="19">
        <f>AC108*i_T_fix*AC72</f>
        <v/>
      </c>
      <c r="AD117" s="19">
        <f>AD108*i_T_fix*AD72</f>
        <v/>
      </c>
      <c r="AE117" s="19">
        <f>AE108*i_T_fix*AE72</f>
        <v/>
      </c>
      <c r="AF117" s="19">
        <f>AF108*i_T_fix*AF72</f>
        <v/>
      </c>
      <c r="AG117" s="19">
        <f>AG108*i_T_fix*AG72</f>
        <v/>
      </c>
      <c r="AH117" s="19">
        <f>AH108*i_T_fix*AH72</f>
        <v/>
      </c>
      <c r="AI117" s="19">
        <f>AI108*i_T_fix*AI72</f>
        <v/>
      </c>
    </row>
    <row r="118">
      <c r="B118" s="2" t="inlineStr">
        <is>
          <t xml:space="preserve">  Variable cost</t>
        </is>
      </c>
      <c r="D118" s="19">
        <f>i_T_var*D116</f>
        <v/>
      </c>
      <c r="E118" s="19">
        <f>i_T_var*E116</f>
        <v/>
      </c>
      <c r="F118" s="19">
        <f>i_T_var*F116</f>
        <v/>
      </c>
      <c r="G118" s="19">
        <f>i_T_var*G116</f>
        <v/>
      </c>
      <c r="H118" s="19">
        <f>i_T_var*H116</f>
        <v/>
      </c>
      <c r="I118" s="19">
        <f>i_T_var*I116</f>
        <v/>
      </c>
      <c r="J118" s="19">
        <f>i_T_var*J116</f>
        <v/>
      </c>
      <c r="K118" s="19">
        <f>i_T_var*K116</f>
        <v/>
      </c>
      <c r="L118" s="19">
        <f>i_T_var*L116</f>
        <v/>
      </c>
      <c r="M118" s="19">
        <f>i_T_var*M116</f>
        <v/>
      </c>
      <c r="N118" s="19">
        <f>i_T_var*N116</f>
        <v/>
      </c>
      <c r="O118" s="19">
        <f>i_T_var*O116</f>
        <v/>
      </c>
      <c r="P118" s="19">
        <f>i_T_var*P116</f>
        <v/>
      </c>
      <c r="Q118" s="19">
        <f>i_T_var*Q116</f>
        <v/>
      </c>
      <c r="R118" s="19">
        <f>i_T_var*R116</f>
        <v/>
      </c>
      <c r="S118" s="19">
        <f>i_T_var*S116</f>
        <v/>
      </c>
      <c r="T118" s="19">
        <f>i_T_var*T116</f>
        <v/>
      </c>
      <c r="U118" s="19">
        <f>i_T_var*U116</f>
        <v/>
      </c>
      <c r="V118" s="19">
        <f>i_T_var*V116</f>
        <v/>
      </c>
      <c r="W118" s="19">
        <f>i_T_var*W116</f>
        <v/>
      </c>
      <c r="X118" s="19">
        <f>i_T_var*X116</f>
        <v/>
      </c>
      <c r="Y118" s="19">
        <f>i_T_var*Y116</f>
        <v/>
      </c>
      <c r="Z118" s="19">
        <f>i_T_var*Z116</f>
        <v/>
      </c>
      <c r="AA118" s="19">
        <f>i_T_var*AA116</f>
        <v/>
      </c>
      <c r="AB118" s="19">
        <f>i_T_var*AB116</f>
        <v/>
      </c>
      <c r="AC118" s="19">
        <f>i_T_var*AC116</f>
        <v/>
      </c>
      <c r="AD118" s="19">
        <f>i_T_var*AD116</f>
        <v/>
      </c>
      <c r="AE118" s="19">
        <f>i_T_var*AE116</f>
        <v/>
      </c>
      <c r="AF118" s="19">
        <f>i_T_var*AF116</f>
        <v/>
      </c>
      <c r="AG118" s="19">
        <f>i_T_var*AG116</f>
        <v/>
      </c>
      <c r="AH118" s="19">
        <f>i_T_var*AH116</f>
        <v/>
      </c>
      <c r="AI118" s="19">
        <f>i_T_var*AI116</f>
        <v/>
      </c>
    </row>
    <row r="119">
      <c r="B119" s="2" t="inlineStr">
        <is>
          <t xml:space="preserve">  Operating cost</t>
        </is>
      </c>
      <c r="D119" s="19">
        <f>D117+D118</f>
        <v/>
      </c>
      <c r="E119" s="19">
        <f>E117+E118</f>
        <v/>
      </c>
      <c r="F119" s="19">
        <f>F117+F118</f>
        <v/>
      </c>
      <c r="G119" s="19">
        <f>G117+G118</f>
        <v/>
      </c>
      <c r="H119" s="19">
        <f>H117+H118</f>
        <v/>
      </c>
      <c r="I119" s="19">
        <f>I117+I118</f>
        <v/>
      </c>
      <c r="J119" s="19">
        <f>J117+J118</f>
        <v/>
      </c>
      <c r="K119" s="19">
        <f>K117+K118</f>
        <v/>
      </c>
      <c r="L119" s="19">
        <f>L117+L118</f>
        <v/>
      </c>
      <c r="M119" s="19">
        <f>M117+M118</f>
        <v/>
      </c>
      <c r="N119" s="19">
        <f>N117+N118</f>
        <v/>
      </c>
      <c r="O119" s="19">
        <f>O117+O118</f>
        <v/>
      </c>
      <c r="P119" s="19">
        <f>P117+P118</f>
        <v/>
      </c>
      <c r="Q119" s="19">
        <f>Q117+Q118</f>
        <v/>
      </c>
      <c r="R119" s="19">
        <f>R117+R118</f>
        <v/>
      </c>
      <c r="S119" s="19">
        <f>S117+S118</f>
        <v/>
      </c>
      <c r="T119" s="19">
        <f>T117+T118</f>
        <v/>
      </c>
      <c r="U119" s="19">
        <f>U117+U118</f>
        <v/>
      </c>
      <c r="V119" s="19">
        <f>V117+V118</f>
        <v/>
      </c>
      <c r="W119" s="19">
        <f>W117+W118</f>
        <v/>
      </c>
      <c r="X119" s="19">
        <f>X117+X118</f>
        <v/>
      </c>
      <c r="Y119" s="19">
        <f>Y117+Y118</f>
        <v/>
      </c>
      <c r="Z119" s="19">
        <f>Z117+Z118</f>
        <v/>
      </c>
      <c r="AA119" s="19">
        <f>AA117+AA118</f>
        <v/>
      </c>
      <c r="AB119" s="19">
        <f>AB117+AB118</f>
        <v/>
      </c>
      <c r="AC119" s="19">
        <f>AC117+AC118</f>
        <v/>
      </c>
      <c r="AD119" s="19">
        <f>AD117+AD118</f>
        <v/>
      </c>
      <c r="AE119" s="19">
        <f>AE117+AE118</f>
        <v/>
      </c>
      <c r="AF119" s="19">
        <f>AF117+AF118</f>
        <v/>
      </c>
      <c r="AG119" s="19">
        <f>AG117+AG118</f>
        <v/>
      </c>
      <c r="AH119" s="19">
        <f>AH117+AH118</f>
        <v/>
      </c>
      <c r="AI119" s="19">
        <f>AI117+AI118</f>
        <v/>
      </c>
    </row>
    <row r="120">
      <c r="B120" s="3" t="inlineStr">
        <is>
          <t xml:space="preserve">  EBITDA</t>
        </is>
      </c>
      <c r="D120" s="31">
        <f>D116-D119</f>
        <v/>
      </c>
      <c r="E120" s="31">
        <f>E116-E119</f>
        <v/>
      </c>
      <c r="F120" s="31">
        <f>F116-F119</f>
        <v/>
      </c>
      <c r="G120" s="31">
        <f>G116-G119</f>
        <v/>
      </c>
      <c r="H120" s="31">
        <f>H116-H119</f>
        <v/>
      </c>
      <c r="I120" s="31">
        <f>I116-I119</f>
        <v/>
      </c>
      <c r="J120" s="31">
        <f>J116-J119</f>
        <v/>
      </c>
      <c r="K120" s="31">
        <f>K116-K119</f>
        <v/>
      </c>
      <c r="L120" s="31">
        <f>L116-L119</f>
        <v/>
      </c>
      <c r="M120" s="31">
        <f>M116-M119</f>
        <v/>
      </c>
      <c r="N120" s="31">
        <f>N116-N119</f>
        <v/>
      </c>
      <c r="O120" s="31">
        <f>O116-O119</f>
        <v/>
      </c>
      <c r="P120" s="31">
        <f>P116-P119</f>
        <v/>
      </c>
      <c r="Q120" s="31">
        <f>Q116-Q119</f>
        <v/>
      </c>
      <c r="R120" s="31">
        <f>R116-R119</f>
        <v/>
      </c>
      <c r="S120" s="31">
        <f>S116-S119</f>
        <v/>
      </c>
      <c r="T120" s="31">
        <f>T116-T119</f>
        <v/>
      </c>
      <c r="U120" s="31">
        <f>U116-U119</f>
        <v/>
      </c>
      <c r="V120" s="31">
        <f>V116-V119</f>
        <v/>
      </c>
      <c r="W120" s="31">
        <f>W116-W119</f>
        <v/>
      </c>
      <c r="X120" s="31">
        <f>X116-X119</f>
        <v/>
      </c>
      <c r="Y120" s="31">
        <f>Y116-Y119</f>
        <v/>
      </c>
      <c r="Z120" s="31">
        <f>Z116-Z119</f>
        <v/>
      </c>
      <c r="AA120" s="31">
        <f>AA116-AA119</f>
        <v/>
      </c>
      <c r="AB120" s="31">
        <f>AB116-AB119</f>
        <v/>
      </c>
      <c r="AC120" s="31">
        <f>AC116-AC119</f>
        <v/>
      </c>
      <c r="AD120" s="31">
        <f>AD116-AD119</f>
        <v/>
      </c>
      <c r="AE120" s="31">
        <f>AE116-AE119</f>
        <v/>
      </c>
      <c r="AF120" s="31">
        <f>AF116-AF119</f>
        <v/>
      </c>
      <c r="AG120" s="31">
        <f>AG116-AG119</f>
        <v/>
      </c>
      <c r="AH120" s="31">
        <f>AH116-AH119</f>
        <v/>
      </c>
      <c r="AI120" s="31">
        <f>AI116-AI119</f>
        <v/>
      </c>
    </row>
    <row r="121">
      <c r="B121" s="2" t="inlineStr">
        <is>
          <t xml:space="preserve">  Maintenance capex</t>
        </is>
      </c>
      <c r="D121" s="19">
        <f>D108*i_T_mc*D72</f>
        <v/>
      </c>
      <c r="E121" s="19">
        <f>E108*i_T_mc*E72</f>
        <v/>
      </c>
      <c r="F121" s="19">
        <f>F108*i_T_mc*F72</f>
        <v/>
      </c>
      <c r="G121" s="19">
        <f>G108*i_T_mc*G72</f>
        <v/>
      </c>
      <c r="H121" s="19">
        <f>H108*i_T_mc*H72</f>
        <v/>
      </c>
      <c r="I121" s="19">
        <f>I108*i_T_mc*I72</f>
        <v/>
      </c>
      <c r="J121" s="19">
        <f>J108*i_T_mc*J72</f>
        <v/>
      </c>
      <c r="K121" s="19">
        <f>K108*i_T_mc*K72</f>
        <v/>
      </c>
      <c r="L121" s="19">
        <f>L108*i_T_mc*L72</f>
        <v/>
      </c>
      <c r="M121" s="19">
        <f>M108*i_T_mc*M72</f>
        <v/>
      </c>
      <c r="N121" s="19">
        <f>N108*i_T_mc*N72</f>
        <v/>
      </c>
      <c r="O121" s="19">
        <f>O108*i_T_mc*O72</f>
        <v/>
      </c>
      <c r="P121" s="19">
        <f>P108*i_T_mc*P72</f>
        <v/>
      </c>
      <c r="Q121" s="19">
        <f>Q108*i_T_mc*Q72</f>
        <v/>
      </c>
      <c r="R121" s="19">
        <f>R108*i_T_mc*R72</f>
        <v/>
      </c>
      <c r="S121" s="19">
        <f>S108*i_T_mc*S72</f>
        <v/>
      </c>
      <c r="T121" s="19">
        <f>T108*i_T_mc*T72</f>
        <v/>
      </c>
      <c r="U121" s="19">
        <f>U108*i_T_mc*U72</f>
        <v/>
      </c>
      <c r="V121" s="19">
        <f>V108*i_T_mc*V72</f>
        <v/>
      </c>
      <c r="W121" s="19">
        <f>W108*i_T_mc*W72</f>
        <v/>
      </c>
      <c r="X121" s="19">
        <f>X108*i_T_mc*X72</f>
        <v/>
      </c>
      <c r="Y121" s="19">
        <f>Y108*i_T_mc*Y72</f>
        <v/>
      </c>
      <c r="Z121" s="19">
        <f>Z108*i_T_mc*Z72</f>
        <v/>
      </c>
      <c r="AA121" s="19">
        <f>AA108*i_T_mc*AA72</f>
        <v/>
      </c>
      <c r="AB121" s="19">
        <f>AB108*i_T_mc*AB72</f>
        <v/>
      </c>
      <c r="AC121" s="19">
        <f>AC108*i_T_mc*AC72</f>
        <v/>
      </c>
      <c r="AD121" s="19">
        <f>AD108*i_T_mc*AD72</f>
        <v/>
      </c>
      <c r="AE121" s="19">
        <f>AE108*i_T_mc*AE72</f>
        <v/>
      </c>
      <c r="AF121" s="19">
        <f>AF108*i_T_mc*AF72</f>
        <v/>
      </c>
      <c r="AG121" s="19">
        <f>AG108*i_T_mc*AG72</f>
        <v/>
      </c>
      <c r="AH121" s="19">
        <f>AH108*i_T_mc*AH72</f>
        <v/>
      </c>
      <c r="AI121" s="19">
        <f>AI108*i_T_mc*AI72</f>
        <v/>
      </c>
    </row>
    <row r="122">
      <c r="B122" s="3" t="inlineStr">
        <is>
          <t>Sabine Bend</t>
        </is>
      </c>
    </row>
    <row r="123">
      <c r="B123" s="2" t="inlineStr">
        <is>
          <t xml:space="preserve">  Capacity in service (million m3)</t>
        </is>
      </c>
      <c r="D123" s="24">
        <f>i_G_cap</f>
        <v/>
      </c>
      <c r="E123" s="24">
        <f>i_G_cap</f>
        <v/>
      </c>
      <c r="F123" s="24">
        <f>i_G_cap</f>
        <v/>
      </c>
      <c r="G123" s="24">
        <f>i_G_cap</f>
        <v/>
      </c>
      <c r="H123" s="24">
        <f>i_G_cap</f>
        <v/>
      </c>
      <c r="I123" s="24">
        <f>i_G_cap</f>
        <v/>
      </c>
      <c r="J123" s="24">
        <f>i_G_cap</f>
        <v/>
      </c>
      <c r="K123" s="24">
        <f>i_G_cap</f>
        <v/>
      </c>
      <c r="L123" s="24">
        <f>i_G_cap</f>
        <v/>
      </c>
      <c r="M123" s="24">
        <f>i_G_cap</f>
        <v/>
      </c>
      <c r="N123" s="24">
        <f>i_G_cap</f>
        <v/>
      </c>
      <c r="O123" s="24">
        <f>i_G_cap</f>
        <v/>
      </c>
      <c r="P123" s="24">
        <f>i_G_cap</f>
        <v/>
      </c>
      <c r="Q123" s="24">
        <f>i_G_cap</f>
        <v/>
      </c>
      <c r="R123" s="24">
        <f>i_G_cap</f>
        <v/>
      </c>
      <c r="S123" s="24">
        <f>i_G_cap</f>
        <v/>
      </c>
      <c r="T123" s="24">
        <f>i_G_cap</f>
        <v/>
      </c>
      <c r="U123" s="24">
        <f>i_G_cap</f>
        <v/>
      </c>
      <c r="V123" s="24">
        <f>i_G_cap</f>
        <v/>
      </c>
      <c r="W123" s="24">
        <f>i_G_cap</f>
        <v/>
      </c>
      <c r="X123" s="24">
        <f>i_G_cap</f>
        <v/>
      </c>
      <c r="Y123" s="24">
        <f>i_G_cap</f>
        <v/>
      </c>
      <c r="Z123" s="24">
        <f>i_G_cap</f>
        <v/>
      </c>
      <c r="AA123" s="24">
        <f>i_G_cap</f>
        <v/>
      </c>
      <c r="AB123" s="24">
        <f>i_G_cap</f>
        <v/>
      </c>
      <c r="AC123" s="24">
        <f>i_G_cap</f>
        <v/>
      </c>
      <c r="AD123" s="24">
        <f>i_G_cap</f>
        <v/>
      </c>
      <c r="AE123" s="24">
        <f>i_G_cap</f>
        <v/>
      </c>
      <c r="AF123" s="24">
        <f>i_G_cap</f>
        <v/>
      </c>
      <c r="AG123" s="24">
        <f>i_G_cap</f>
        <v/>
      </c>
      <c r="AH123" s="24">
        <f>i_G_cap</f>
        <v/>
      </c>
      <c r="AI123" s="24">
        <f>i_G_cap</f>
        <v/>
      </c>
    </row>
    <row r="124">
      <c r="B124" s="2" t="inlineStr">
        <is>
          <t xml:space="preserve">  Share on contracts signed before 2027</t>
        </is>
      </c>
      <c r="D124" s="21">
        <f>SUMIF(i_book_years,D$3,i_G_book)</f>
        <v/>
      </c>
      <c r="E124" s="21">
        <f>SUMIF(i_book_years,E$3,i_G_book)</f>
        <v/>
      </c>
      <c r="F124" s="21">
        <f>SUMIF(i_book_years,F$3,i_G_book)</f>
        <v/>
      </c>
      <c r="G124" s="21">
        <f>SUMIF(i_book_years,G$3,i_G_book)</f>
        <v/>
      </c>
      <c r="H124" s="21">
        <f>SUMIF(i_book_years,H$3,i_G_book)</f>
        <v/>
      </c>
      <c r="I124" s="21">
        <f>SUMIF(i_book_years,I$3,i_G_book)</f>
        <v/>
      </c>
      <c r="J124" s="21">
        <f>SUMIF(i_book_years,J$3,i_G_book)</f>
        <v/>
      </c>
      <c r="K124" s="21">
        <f>SUMIF(i_book_years,K$3,i_G_book)</f>
        <v/>
      </c>
      <c r="L124" s="21">
        <f>SUMIF(i_book_years,L$3,i_G_book)</f>
        <v/>
      </c>
      <c r="M124" s="21">
        <f>SUMIF(i_book_years,M$3,i_G_book)</f>
        <v/>
      </c>
      <c r="N124" s="21">
        <f>SUMIF(i_book_years,N$3,i_G_book)</f>
        <v/>
      </c>
      <c r="O124" s="21">
        <f>SUMIF(i_book_years,O$3,i_G_book)</f>
        <v/>
      </c>
      <c r="P124" s="21">
        <f>SUMIF(i_book_years,P$3,i_G_book)</f>
        <v/>
      </c>
      <c r="Q124" s="21">
        <f>SUMIF(i_book_years,Q$3,i_G_book)</f>
        <v/>
      </c>
      <c r="R124" s="21">
        <f>SUMIF(i_book_years,R$3,i_G_book)</f>
        <v/>
      </c>
      <c r="S124" s="21">
        <f>SUMIF(i_book_years,S$3,i_G_book)</f>
        <v/>
      </c>
      <c r="T124" s="21">
        <f>SUMIF(i_book_years,T$3,i_G_book)</f>
        <v/>
      </c>
      <c r="U124" s="21">
        <f>SUMIF(i_book_years,U$3,i_G_book)</f>
        <v/>
      </c>
      <c r="V124" s="21">
        <f>SUMIF(i_book_years,V$3,i_G_book)</f>
        <v/>
      </c>
      <c r="W124" s="21">
        <f>SUMIF(i_book_years,W$3,i_G_book)</f>
        <v/>
      </c>
      <c r="X124" s="21">
        <f>SUMIF(i_book_years,X$3,i_G_book)</f>
        <v/>
      </c>
      <c r="Y124" s="21">
        <f>SUMIF(i_book_years,Y$3,i_G_book)</f>
        <v/>
      </c>
      <c r="Z124" s="21">
        <f>SUMIF(i_book_years,Z$3,i_G_book)</f>
        <v/>
      </c>
      <c r="AA124" s="21">
        <f>SUMIF(i_book_years,AA$3,i_G_book)</f>
        <v/>
      </c>
      <c r="AB124" s="21">
        <f>SUMIF(i_book_years,AB$3,i_G_book)</f>
        <v/>
      </c>
      <c r="AC124" s="21">
        <f>SUMIF(i_book_years,AC$3,i_G_book)</f>
        <v/>
      </c>
      <c r="AD124" s="21">
        <f>SUMIF(i_book_years,AD$3,i_G_book)</f>
        <v/>
      </c>
      <c r="AE124" s="21">
        <f>SUMIF(i_book_years,AE$3,i_G_book)</f>
        <v/>
      </c>
      <c r="AF124" s="21">
        <f>SUMIF(i_book_years,AF$3,i_G_book)</f>
        <v/>
      </c>
      <c r="AG124" s="21">
        <f>SUMIF(i_book_years,AG$3,i_G_book)</f>
        <v/>
      </c>
      <c r="AH124" s="21">
        <f>SUMIF(i_book_years,AH$3,i_G_book)</f>
        <v/>
      </c>
      <c r="AI124" s="21">
        <f>SUMIF(i_book_years,AI$3,i_G_book)</f>
        <v/>
      </c>
    </row>
    <row r="125">
      <c r="B125" s="2" t="inlineStr">
        <is>
          <t xml:space="preserve">  Recontracting factor against current rates</t>
        </is>
      </c>
      <c r="D125" s="21">
        <f>IF(D$4=0,0,IF(Bids!$C$62=1,i_G_mtm,i_G_mtm_plan)+Bids!$C$68)</f>
        <v/>
      </c>
      <c r="E125" s="21">
        <f>IF(E$4=0,0,IF(Bids!$C$62=1,i_G_mtm,i_G_mtm_plan)+Bids!$C$68)</f>
        <v/>
      </c>
      <c r="F125" s="21">
        <f>IF(F$4=0,0,IF(Bids!$C$62=1,i_G_mtm,i_G_mtm_plan)+Bids!$C$68)</f>
        <v/>
      </c>
      <c r="G125" s="21">
        <f>IF(G$4=0,0,IF(Bids!$C$62=1,i_G_mtm,i_G_mtm_plan)+Bids!$C$68)</f>
        <v/>
      </c>
      <c r="H125" s="21">
        <f>IF(H$4=0,0,IF(Bids!$C$62=1,i_G_mtm,i_G_mtm_plan)+Bids!$C$68)</f>
        <v/>
      </c>
      <c r="I125" s="21">
        <f>IF(I$4=0,0,IF(Bids!$C$62=1,i_G_mtm,i_G_mtm_plan)+Bids!$C$68)</f>
        <v/>
      </c>
      <c r="J125" s="21">
        <f>IF(J$4=0,0,IF(Bids!$C$62=1,i_G_mtm,i_G_mtm_plan)+Bids!$C$68)</f>
        <v/>
      </c>
      <c r="K125" s="21">
        <f>IF(K$4=0,0,IF(Bids!$C$62=1,i_G_mtm,i_G_mtm_plan)+Bids!$C$68)</f>
        <v/>
      </c>
      <c r="L125" s="21">
        <f>IF(L$4=0,0,IF(Bids!$C$62=1,i_G_mtm,i_G_mtm_plan)+Bids!$C$68)</f>
        <v/>
      </c>
      <c r="M125" s="21">
        <f>IF(M$4=0,0,IF(Bids!$C$62=1,i_G_mtm,i_G_mtm_plan)+Bids!$C$68)</f>
        <v/>
      </c>
      <c r="N125" s="21">
        <f>IF(N$4=0,0,IF(Bids!$C$62=1,i_G_mtm,i_G_mtm_plan)+Bids!$C$68)</f>
        <v/>
      </c>
      <c r="O125" s="21">
        <f>IF(O$4=0,0,IF(Bids!$C$62=1,i_G_mtm,i_G_mtm_plan)+Bids!$C$68)</f>
        <v/>
      </c>
      <c r="P125" s="21">
        <f>IF(P$4=0,0,IF(Bids!$C$62=1,i_G_mtm,i_G_mtm_plan)+Bids!$C$68)</f>
        <v/>
      </c>
      <c r="Q125" s="21">
        <f>IF(Q$4=0,0,IF(Bids!$C$62=1,i_G_mtm,i_G_mtm_plan)+Bids!$C$68)</f>
        <v/>
      </c>
      <c r="R125" s="21">
        <f>IF(R$4=0,0,IF(Bids!$C$62=1,i_G_mtm,i_G_mtm_plan)+Bids!$C$68)</f>
        <v/>
      </c>
      <c r="S125" s="21">
        <f>IF(S$4=0,0,IF(Bids!$C$62=1,i_G_mtm,i_G_mtm_plan)+Bids!$C$68)</f>
        <v/>
      </c>
      <c r="T125" s="21">
        <f>IF(T$4=0,0,IF(Bids!$C$62=1,i_G_mtm,i_G_mtm_plan)+Bids!$C$68)</f>
        <v/>
      </c>
      <c r="U125" s="21">
        <f>IF(U$4=0,0,IF(Bids!$C$62=1,i_G_mtm,i_G_mtm_plan)+Bids!$C$68)</f>
        <v/>
      </c>
      <c r="V125" s="21">
        <f>IF(V$4=0,0,IF(Bids!$C$62=1,i_G_mtm,i_G_mtm_plan)+Bids!$C$68)</f>
        <v/>
      </c>
      <c r="W125" s="21">
        <f>IF(W$4=0,0,IF(Bids!$C$62=1,i_G_mtm,i_G_mtm_plan)+Bids!$C$68)</f>
        <v/>
      </c>
      <c r="X125" s="21">
        <f>IF(X$4=0,0,IF(Bids!$C$62=1,i_G_mtm,i_G_mtm_plan)+Bids!$C$68)</f>
        <v/>
      </c>
      <c r="Y125" s="21">
        <f>IF(Y$4=0,0,IF(Bids!$C$62=1,i_G_mtm,i_G_mtm_plan)+Bids!$C$68)</f>
        <v/>
      </c>
      <c r="Z125" s="21">
        <f>IF(Z$4=0,0,IF(Bids!$C$62=1,i_G_mtm,i_G_mtm_plan)+Bids!$C$68)</f>
        <v/>
      </c>
      <c r="AA125" s="21">
        <f>IF(AA$4=0,0,IF(Bids!$C$62=1,i_G_mtm,i_G_mtm_plan)+Bids!$C$68)</f>
        <v/>
      </c>
      <c r="AB125" s="21">
        <f>IF(AB$4=0,0,IF(Bids!$C$62=1,i_G_mtm,i_G_mtm_plan)+Bids!$C$68)</f>
        <v/>
      </c>
      <c r="AC125" s="21">
        <f>IF(AC$4=0,0,IF(Bids!$C$62=1,i_G_mtm,i_G_mtm_plan)+Bids!$C$68)</f>
        <v/>
      </c>
      <c r="AD125" s="21">
        <f>IF(AD$4=0,0,IF(Bids!$C$62=1,i_G_mtm,i_G_mtm_plan)+Bids!$C$68)</f>
        <v/>
      </c>
      <c r="AE125" s="21">
        <f>IF(AE$4=0,0,IF(Bids!$C$62=1,i_G_mtm,i_G_mtm_plan)+Bids!$C$68)</f>
        <v/>
      </c>
      <c r="AF125" s="21">
        <f>IF(AF$4=0,0,IF(Bids!$C$62=1,i_G_mtm,i_G_mtm_plan)+Bids!$C$68)</f>
        <v/>
      </c>
      <c r="AG125" s="21">
        <f>IF(AG$4=0,0,IF(Bids!$C$62=1,i_G_mtm,i_G_mtm_plan)+Bids!$C$68)</f>
        <v/>
      </c>
      <c r="AH125" s="21">
        <f>IF(AH$4=0,0,IF(Bids!$C$62=1,i_G_mtm,i_G_mtm_plan)+Bids!$C$68)</f>
        <v/>
      </c>
      <c r="AI125" s="21">
        <f>IF(AI$4=0,0,IF(Bids!$C$62=1,i_G_mtm,i_G_mtm_plan)+Bids!$C$68)</f>
        <v/>
      </c>
    </row>
    <row r="126">
      <c r="B126" s="2" t="inlineStr">
        <is>
          <t xml:space="preserve">  Average rate ($ per m3 per month)</t>
        </is>
      </c>
      <c r="D126" s="24">
        <f>i_G_rate*D73*(D124+(1-D124)*(1+D125))</f>
        <v/>
      </c>
      <c r="E126" s="24">
        <f>i_G_rate*E73*(E124+(1-E124)*(1+E125))</f>
        <v/>
      </c>
      <c r="F126" s="24">
        <f>i_G_rate*F73*(F124+(1-F124)*(1+F125))</f>
        <v/>
      </c>
      <c r="G126" s="24">
        <f>i_G_rate*G73*(G124+(1-G124)*(1+G125))</f>
        <v/>
      </c>
      <c r="H126" s="24">
        <f>i_G_rate*H73*(H124+(1-H124)*(1+H125))</f>
        <v/>
      </c>
      <c r="I126" s="24">
        <f>i_G_rate*I73*(I124+(1-I124)*(1+I125))</f>
        <v/>
      </c>
      <c r="J126" s="24">
        <f>i_G_rate*J73*(J124+(1-J124)*(1+J125))</f>
        <v/>
      </c>
      <c r="K126" s="24">
        <f>i_G_rate*K73*(K124+(1-K124)*(1+K125))</f>
        <v/>
      </c>
      <c r="L126" s="24">
        <f>i_G_rate*L73*(L124+(1-L124)*(1+L125))</f>
        <v/>
      </c>
      <c r="M126" s="24">
        <f>i_G_rate*M73*(M124+(1-M124)*(1+M125))</f>
        <v/>
      </c>
      <c r="N126" s="24">
        <f>i_G_rate*N73*(N124+(1-N124)*(1+N125))</f>
        <v/>
      </c>
      <c r="O126" s="24">
        <f>i_G_rate*O73*(O124+(1-O124)*(1+O125))</f>
        <v/>
      </c>
      <c r="P126" s="24">
        <f>i_G_rate*P73*(P124+(1-P124)*(1+P125))</f>
        <v/>
      </c>
      <c r="Q126" s="24">
        <f>i_G_rate*Q73*(Q124+(1-Q124)*(1+Q125))</f>
        <v/>
      </c>
      <c r="R126" s="24">
        <f>i_G_rate*R73*(R124+(1-R124)*(1+R125))</f>
        <v/>
      </c>
      <c r="S126" s="24">
        <f>i_G_rate*S73*(S124+(1-S124)*(1+S125))</f>
        <v/>
      </c>
      <c r="T126" s="24">
        <f>i_G_rate*T73*(T124+(1-T124)*(1+T125))</f>
        <v/>
      </c>
      <c r="U126" s="24">
        <f>i_G_rate*U73*(U124+(1-U124)*(1+U125))</f>
        <v/>
      </c>
      <c r="V126" s="24">
        <f>i_G_rate*V73*(V124+(1-V124)*(1+V125))</f>
        <v/>
      </c>
      <c r="W126" s="24">
        <f>i_G_rate*W73*(W124+(1-W124)*(1+W125))</f>
        <v/>
      </c>
      <c r="X126" s="24">
        <f>i_G_rate*X73*(X124+(1-X124)*(1+X125))</f>
        <v/>
      </c>
      <c r="Y126" s="24">
        <f>i_G_rate*Y73*(Y124+(1-Y124)*(1+Y125))</f>
        <v/>
      </c>
      <c r="Z126" s="24">
        <f>i_G_rate*Z73*(Z124+(1-Z124)*(1+Z125))</f>
        <v/>
      </c>
      <c r="AA126" s="24">
        <f>i_G_rate*AA73*(AA124+(1-AA124)*(1+AA125))</f>
        <v/>
      </c>
      <c r="AB126" s="24">
        <f>i_G_rate*AB73*(AB124+(1-AB124)*(1+AB125))</f>
        <v/>
      </c>
      <c r="AC126" s="24">
        <f>i_G_rate*AC73*(AC124+(1-AC124)*(1+AC125))</f>
        <v/>
      </c>
      <c r="AD126" s="24">
        <f>i_G_rate*AD73*(AD124+(1-AD124)*(1+AD125))</f>
        <v/>
      </c>
      <c r="AE126" s="24">
        <f>i_G_rate*AE73*(AE124+(1-AE124)*(1+AE125))</f>
        <v/>
      </c>
      <c r="AF126" s="24">
        <f>i_G_rate*AF73*(AF124+(1-AF124)*(1+AF125))</f>
        <v/>
      </c>
      <c r="AG126" s="24">
        <f>i_G_rate*AG73*(AG124+(1-AG124)*(1+AG125))</f>
        <v/>
      </c>
      <c r="AH126" s="24">
        <f>i_G_rate*AH73*(AH124+(1-AH124)*(1+AH125))</f>
        <v/>
      </c>
      <c r="AI126" s="24">
        <f>i_G_rate*AI73*(AI124+(1-AI124)*(1+AI125))</f>
        <v/>
      </c>
    </row>
    <row r="127">
      <c r="B127" s="2" t="inlineStr">
        <is>
          <t xml:space="preserve">  Occupancy after the transition decline and floor</t>
        </is>
      </c>
      <c r="D127" s="21">
        <f>IF(D$3&gt;i_trans_start,MAX(i_G_floor,i_G_occ-i_G_dec*(D$3-i_trans_start)),i_G_occ)</f>
        <v/>
      </c>
      <c r="E127" s="21">
        <f>IF(E$3&gt;i_trans_start,MAX(i_G_floor,i_G_occ-i_G_dec*(E$3-i_trans_start)),i_G_occ)</f>
        <v/>
      </c>
      <c r="F127" s="21">
        <f>IF(F$3&gt;i_trans_start,MAX(i_G_floor,i_G_occ-i_G_dec*(F$3-i_trans_start)),i_G_occ)</f>
        <v/>
      </c>
      <c r="G127" s="21">
        <f>IF(G$3&gt;i_trans_start,MAX(i_G_floor,i_G_occ-i_G_dec*(G$3-i_trans_start)),i_G_occ)</f>
        <v/>
      </c>
      <c r="H127" s="21">
        <f>IF(H$3&gt;i_trans_start,MAX(i_G_floor,i_G_occ-i_G_dec*(H$3-i_trans_start)),i_G_occ)</f>
        <v/>
      </c>
      <c r="I127" s="21">
        <f>IF(I$3&gt;i_trans_start,MAX(i_G_floor,i_G_occ-i_G_dec*(I$3-i_trans_start)),i_G_occ)</f>
        <v/>
      </c>
      <c r="J127" s="21">
        <f>IF(J$3&gt;i_trans_start,MAX(i_G_floor,i_G_occ-i_G_dec*(J$3-i_trans_start)),i_G_occ)</f>
        <v/>
      </c>
      <c r="K127" s="21">
        <f>IF(K$3&gt;i_trans_start,MAX(i_G_floor,i_G_occ-i_G_dec*(K$3-i_trans_start)),i_G_occ)</f>
        <v/>
      </c>
      <c r="L127" s="21">
        <f>IF(L$3&gt;i_trans_start,MAX(i_G_floor,i_G_occ-i_G_dec*(L$3-i_trans_start)),i_G_occ)</f>
        <v/>
      </c>
      <c r="M127" s="21">
        <f>IF(M$3&gt;i_trans_start,MAX(i_G_floor,i_G_occ-i_G_dec*(M$3-i_trans_start)),i_G_occ)</f>
        <v/>
      </c>
      <c r="N127" s="21">
        <f>IF(N$3&gt;i_trans_start,MAX(i_G_floor,i_G_occ-i_G_dec*(N$3-i_trans_start)),i_G_occ)</f>
        <v/>
      </c>
      <c r="O127" s="21">
        <f>IF(O$3&gt;i_trans_start,MAX(i_G_floor,i_G_occ-i_G_dec*(O$3-i_trans_start)),i_G_occ)</f>
        <v/>
      </c>
      <c r="P127" s="21">
        <f>IF(P$3&gt;i_trans_start,MAX(i_G_floor,i_G_occ-i_G_dec*(P$3-i_trans_start)),i_G_occ)</f>
        <v/>
      </c>
      <c r="Q127" s="21">
        <f>IF(Q$3&gt;i_trans_start,MAX(i_G_floor,i_G_occ-i_G_dec*(Q$3-i_trans_start)),i_G_occ)</f>
        <v/>
      </c>
      <c r="R127" s="21">
        <f>IF(R$3&gt;i_trans_start,MAX(i_G_floor,i_G_occ-i_G_dec*(R$3-i_trans_start)),i_G_occ)</f>
        <v/>
      </c>
      <c r="S127" s="21">
        <f>IF(S$3&gt;i_trans_start,MAX(i_G_floor,i_G_occ-i_G_dec*(S$3-i_trans_start)),i_G_occ)</f>
        <v/>
      </c>
      <c r="T127" s="21">
        <f>IF(T$3&gt;i_trans_start,MAX(i_G_floor,i_G_occ-i_G_dec*(T$3-i_trans_start)),i_G_occ)</f>
        <v/>
      </c>
      <c r="U127" s="21">
        <f>IF(U$3&gt;i_trans_start,MAX(i_G_floor,i_G_occ-i_G_dec*(U$3-i_trans_start)),i_G_occ)</f>
        <v/>
      </c>
      <c r="V127" s="21">
        <f>IF(V$3&gt;i_trans_start,MAX(i_G_floor,i_G_occ-i_G_dec*(V$3-i_trans_start)),i_G_occ)</f>
        <v/>
      </c>
      <c r="W127" s="21">
        <f>IF(W$3&gt;i_trans_start,MAX(i_G_floor,i_G_occ-i_G_dec*(W$3-i_trans_start)),i_G_occ)</f>
        <v/>
      </c>
      <c r="X127" s="21">
        <f>IF(X$3&gt;i_trans_start,MAX(i_G_floor,i_G_occ-i_G_dec*(X$3-i_trans_start)),i_G_occ)</f>
        <v/>
      </c>
      <c r="Y127" s="21">
        <f>IF(Y$3&gt;i_trans_start,MAX(i_G_floor,i_G_occ-i_G_dec*(Y$3-i_trans_start)),i_G_occ)</f>
        <v/>
      </c>
      <c r="Z127" s="21">
        <f>IF(Z$3&gt;i_trans_start,MAX(i_G_floor,i_G_occ-i_G_dec*(Z$3-i_trans_start)),i_G_occ)</f>
        <v/>
      </c>
      <c r="AA127" s="21">
        <f>IF(AA$3&gt;i_trans_start,MAX(i_G_floor,i_G_occ-i_G_dec*(AA$3-i_trans_start)),i_G_occ)</f>
        <v/>
      </c>
      <c r="AB127" s="21">
        <f>IF(AB$3&gt;i_trans_start,MAX(i_G_floor,i_G_occ-i_G_dec*(AB$3-i_trans_start)),i_G_occ)</f>
        <v/>
      </c>
      <c r="AC127" s="21">
        <f>IF(AC$3&gt;i_trans_start,MAX(i_G_floor,i_G_occ-i_G_dec*(AC$3-i_trans_start)),i_G_occ)</f>
        <v/>
      </c>
      <c r="AD127" s="21">
        <f>IF(AD$3&gt;i_trans_start,MAX(i_G_floor,i_G_occ-i_G_dec*(AD$3-i_trans_start)),i_G_occ)</f>
        <v/>
      </c>
      <c r="AE127" s="21">
        <f>IF(AE$3&gt;i_trans_start,MAX(i_G_floor,i_G_occ-i_G_dec*(AE$3-i_trans_start)),i_G_occ)</f>
        <v/>
      </c>
      <c r="AF127" s="21">
        <f>IF(AF$3&gt;i_trans_start,MAX(i_G_floor,i_G_occ-i_G_dec*(AF$3-i_trans_start)),i_G_occ)</f>
        <v/>
      </c>
      <c r="AG127" s="21">
        <f>IF(AG$3&gt;i_trans_start,MAX(i_G_floor,i_G_occ-i_G_dec*(AG$3-i_trans_start)),i_G_occ)</f>
        <v/>
      </c>
      <c r="AH127" s="21">
        <f>IF(AH$3&gt;i_trans_start,MAX(i_G_floor,i_G_occ-i_G_dec*(AH$3-i_trans_start)),i_G_occ)</f>
        <v/>
      </c>
      <c r="AI127" s="21">
        <f>IF(AI$3&gt;i_trans_start,MAX(i_G_floor,i_G_occ-i_G_dec*(AI$3-i_trans_start)),i_G_occ)</f>
        <v/>
      </c>
    </row>
    <row r="128">
      <c r="B128" s="2" t="inlineStr">
        <is>
          <t xml:space="preserve">  Occupancy (with the shift switch from 2027)</t>
        </is>
      </c>
      <c r="D128" s="21">
        <f>IF(D$4&gt;0,MIN(1,D127+Bids!$C$67),D127)</f>
        <v/>
      </c>
      <c r="E128" s="21">
        <f>IF(E$4&gt;0,MIN(1,E127+Bids!$C$67),E127)</f>
        <v/>
      </c>
      <c r="F128" s="21">
        <f>IF(F$4&gt;0,MIN(1,F127+Bids!$C$67),F127)</f>
        <v/>
      </c>
      <c r="G128" s="21">
        <f>IF(G$4&gt;0,MIN(1,G127+Bids!$C$67),G127)</f>
        <v/>
      </c>
      <c r="H128" s="21">
        <f>IF(H$4&gt;0,MIN(1,H127+Bids!$C$67),H127)</f>
        <v/>
      </c>
      <c r="I128" s="21">
        <f>IF(I$4&gt;0,MIN(1,I127+Bids!$C$67),I127)</f>
        <v/>
      </c>
      <c r="J128" s="21">
        <f>IF(J$4&gt;0,MIN(1,J127+Bids!$C$67),J127)</f>
        <v/>
      </c>
      <c r="K128" s="21">
        <f>IF(K$4&gt;0,MIN(1,K127+Bids!$C$67),K127)</f>
        <v/>
      </c>
      <c r="L128" s="21">
        <f>IF(L$4&gt;0,MIN(1,L127+Bids!$C$67),L127)</f>
        <v/>
      </c>
      <c r="M128" s="21">
        <f>IF(M$4&gt;0,MIN(1,M127+Bids!$C$67),M127)</f>
        <v/>
      </c>
      <c r="N128" s="21">
        <f>IF(N$4&gt;0,MIN(1,N127+Bids!$C$67),N127)</f>
        <v/>
      </c>
      <c r="O128" s="21">
        <f>IF(O$4&gt;0,MIN(1,O127+Bids!$C$67),O127)</f>
        <v/>
      </c>
      <c r="P128" s="21">
        <f>IF(P$4&gt;0,MIN(1,P127+Bids!$C$67),P127)</f>
        <v/>
      </c>
      <c r="Q128" s="21">
        <f>IF(Q$4&gt;0,MIN(1,Q127+Bids!$C$67),Q127)</f>
        <v/>
      </c>
      <c r="R128" s="21">
        <f>IF(R$4&gt;0,MIN(1,R127+Bids!$C$67),R127)</f>
        <v/>
      </c>
      <c r="S128" s="21">
        <f>IF(S$4&gt;0,MIN(1,S127+Bids!$C$67),S127)</f>
        <v/>
      </c>
      <c r="T128" s="21">
        <f>IF(T$4&gt;0,MIN(1,T127+Bids!$C$67),T127)</f>
        <v/>
      </c>
      <c r="U128" s="21">
        <f>IF(U$4&gt;0,MIN(1,U127+Bids!$C$67),U127)</f>
        <v/>
      </c>
      <c r="V128" s="21">
        <f>IF(V$4&gt;0,MIN(1,V127+Bids!$C$67),V127)</f>
        <v/>
      </c>
      <c r="W128" s="21">
        <f>IF(W$4&gt;0,MIN(1,W127+Bids!$C$67),W127)</f>
        <v/>
      </c>
      <c r="X128" s="21">
        <f>IF(X$4&gt;0,MIN(1,X127+Bids!$C$67),X127)</f>
        <v/>
      </c>
      <c r="Y128" s="21">
        <f>IF(Y$4&gt;0,MIN(1,Y127+Bids!$C$67),Y127)</f>
        <v/>
      </c>
      <c r="Z128" s="21">
        <f>IF(Z$4&gt;0,MIN(1,Z127+Bids!$C$67),Z127)</f>
        <v/>
      </c>
      <c r="AA128" s="21">
        <f>IF(AA$4&gt;0,MIN(1,AA127+Bids!$C$67),AA127)</f>
        <v/>
      </c>
      <c r="AB128" s="21">
        <f>IF(AB$4&gt;0,MIN(1,AB127+Bids!$C$67),AB127)</f>
        <v/>
      </c>
      <c r="AC128" s="21">
        <f>IF(AC$4&gt;0,MIN(1,AC127+Bids!$C$67),AC127)</f>
        <v/>
      </c>
      <c r="AD128" s="21">
        <f>IF(AD$4&gt;0,MIN(1,AD127+Bids!$C$67),AD127)</f>
        <v/>
      </c>
      <c r="AE128" s="21">
        <f>IF(AE$4&gt;0,MIN(1,AE127+Bids!$C$67),AE127)</f>
        <v/>
      </c>
      <c r="AF128" s="21">
        <f>IF(AF$4&gt;0,MIN(1,AF127+Bids!$C$67),AF127)</f>
        <v/>
      </c>
      <c r="AG128" s="21">
        <f>IF(AG$4&gt;0,MIN(1,AG127+Bids!$C$67),AG127)</f>
        <v/>
      </c>
      <c r="AH128" s="21">
        <f>IF(AH$4&gt;0,MIN(1,AH127+Bids!$C$67),AH127)</f>
        <v/>
      </c>
      <c r="AI128" s="21">
        <f>IF(AI$4&gt;0,MIN(1,AI127+Bids!$C$67),AI127)</f>
        <v/>
      </c>
    </row>
    <row r="129">
      <c r="B129" s="2" t="inlineStr">
        <is>
          <t xml:space="preserve">  Storage revenue</t>
        </is>
      </c>
      <c r="D129" s="19">
        <f>D123*D126*12*D128</f>
        <v/>
      </c>
      <c r="E129" s="19">
        <f>E123*E126*12*E128</f>
        <v/>
      </c>
      <c r="F129" s="19">
        <f>F123*F126*12*F128</f>
        <v/>
      </c>
      <c r="G129" s="19">
        <f>G123*G126*12*G128</f>
        <v/>
      </c>
      <c r="H129" s="19">
        <f>H123*H126*12*H128</f>
        <v/>
      </c>
      <c r="I129" s="19">
        <f>I123*I126*12*I128</f>
        <v/>
      </c>
      <c r="J129" s="19">
        <f>J123*J126*12*J128</f>
        <v/>
      </c>
      <c r="K129" s="19">
        <f>K123*K126*12*K128</f>
        <v/>
      </c>
      <c r="L129" s="19">
        <f>L123*L126*12*L128</f>
        <v/>
      </c>
      <c r="M129" s="19">
        <f>M123*M126*12*M128</f>
        <v/>
      </c>
      <c r="N129" s="19">
        <f>N123*N126*12*N128</f>
        <v/>
      </c>
      <c r="O129" s="19">
        <f>O123*O126*12*O128</f>
        <v/>
      </c>
      <c r="P129" s="19">
        <f>P123*P126*12*P128</f>
        <v/>
      </c>
      <c r="Q129" s="19">
        <f>Q123*Q126*12*Q128</f>
        <v/>
      </c>
      <c r="R129" s="19">
        <f>R123*R126*12*R128</f>
        <v/>
      </c>
      <c r="S129" s="19">
        <f>S123*S126*12*S128</f>
        <v/>
      </c>
      <c r="T129" s="19">
        <f>T123*T126*12*T128</f>
        <v/>
      </c>
      <c r="U129" s="19">
        <f>U123*U126*12*U128</f>
        <v/>
      </c>
      <c r="V129" s="19">
        <f>V123*V126*12*V128</f>
        <v/>
      </c>
      <c r="W129" s="19">
        <f>W123*W126*12*W128</f>
        <v/>
      </c>
      <c r="X129" s="19">
        <f>X123*X126*12*X128</f>
        <v/>
      </c>
      <c r="Y129" s="19">
        <f>Y123*Y126*12*Y128</f>
        <v/>
      </c>
      <c r="Z129" s="19">
        <f>Z123*Z126*12*Z128</f>
        <v/>
      </c>
      <c r="AA129" s="19">
        <f>AA123*AA126*12*AA128</f>
        <v/>
      </c>
      <c r="AB129" s="19">
        <f>AB123*AB126*12*AB128</f>
        <v/>
      </c>
      <c r="AC129" s="19">
        <f>AC123*AC126*12*AC128</f>
        <v/>
      </c>
      <c r="AD129" s="19">
        <f>AD123*AD126*12*AD128</f>
        <v/>
      </c>
      <c r="AE129" s="19">
        <f>AE123*AE126*12*AE128</f>
        <v/>
      </c>
      <c r="AF129" s="19">
        <f>AF123*AF126*12*AF128</f>
        <v/>
      </c>
      <c r="AG129" s="19">
        <f>AG123*AG126*12*AG128</f>
        <v/>
      </c>
      <c r="AH129" s="19">
        <f>AH123*AH126*12*AH128</f>
        <v/>
      </c>
      <c r="AI129" s="19">
        <f>AI123*AI126*12*AI128</f>
        <v/>
      </c>
    </row>
    <row r="130">
      <c r="B130" s="2" t="inlineStr">
        <is>
          <t xml:space="preserve">  Ancillary and throughput revenue</t>
        </is>
      </c>
      <c r="D130" s="19">
        <f>D129*i_G_anc</f>
        <v/>
      </c>
      <c r="E130" s="19">
        <f>E129*i_G_anc</f>
        <v/>
      </c>
      <c r="F130" s="19">
        <f>F129*i_G_anc</f>
        <v/>
      </c>
      <c r="G130" s="19">
        <f>G129*i_G_anc</f>
        <v/>
      </c>
      <c r="H130" s="19">
        <f>H129*i_G_anc</f>
        <v/>
      </c>
      <c r="I130" s="19">
        <f>I129*i_G_anc</f>
        <v/>
      </c>
      <c r="J130" s="19">
        <f>J129*i_G_anc</f>
        <v/>
      </c>
      <c r="K130" s="19">
        <f>K129*i_G_anc</f>
        <v/>
      </c>
      <c r="L130" s="19">
        <f>L129*i_G_anc</f>
        <v/>
      </c>
      <c r="M130" s="19">
        <f>M129*i_G_anc</f>
        <v/>
      </c>
      <c r="N130" s="19">
        <f>N129*i_G_anc</f>
        <v/>
      </c>
      <c r="O130" s="19">
        <f>O129*i_G_anc</f>
        <v/>
      </c>
      <c r="P130" s="19">
        <f>P129*i_G_anc</f>
        <v/>
      </c>
      <c r="Q130" s="19">
        <f>Q129*i_G_anc</f>
        <v/>
      </c>
      <c r="R130" s="19">
        <f>R129*i_G_anc</f>
        <v/>
      </c>
      <c r="S130" s="19">
        <f>S129*i_G_anc</f>
        <v/>
      </c>
      <c r="T130" s="19">
        <f>T129*i_G_anc</f>
        <v/>
      </c>
      <c r="U130" s="19">
        <f>U129*i_G_anc</f>
        <v/>
      </c>
      <c r="V130" s="19">
        <f>V129*i_G_anc</f>
        <v/>
      </c>
      <c r="W130" s="19">
        <f>W129*i_G_anc</f>
        <v/>
      </c>
      <c r="X130" s="19">
        <f>X129*i_G_anc</f>
        <v/>
      </c>
      <c r="Y130" s="19">
        <f>Y129*i_G_anc</f>
        <v/>
      </c>
      <c r="Z130" s="19">
        <f>Z129*i_G_anc</f>
        <v/>
      </c>
      <c r="AA130" s="19">
        <f>AA129*i_G_anc</f>
        <v/>
      </c>
      <c r="AB130" s="19">
        <f>AB129*i_G_anc</f>
        <v/>
      </c>
      <c r="AC130" s="19">
        <f>AC129*i_G_anc</f>
        <v/>
      </c>
      <c r="AD130" s="19">
        <f>AD129*i_G_anc</f>
        <v/>
      </c>
      <c r="AE130" s="19">
        <f>AE129*i_G_anc</f>
        <v/>
      </c>
      <c r="AF130" s="19">
        <f>AF129*i_G_anc</f>
        <v/>
      </c>
      <c r="AG130" s="19">
        <f>AG129*i_G_anc</f>
        <v/>
      </c>
      <c r="AH130" s="19">
        <f>AH129*i_G_anc</f>
        <v/>
      </c>
      <c r="AI130" s="19">
        <f>AI129*i_G_anc</f>
        <v/>
      </c>
    </row>
    <row r="131">
      <c r="B131" s="3" t="inlineStr">
        <is>
          <t xml:space="preserve">  Revenue</t>
        </is>
      </c>
      <c r="D131" s="31">
        <f>D129+D130</f>
        <v/>
      </c>
      <c r="E131" s="31">
        <f>E129+E130</f>
        <v/>
      </c>
      <c r="F131" s="31">
        <f>F129+F130</f>
        <v/>
      </c>
      <c r="G131" s="31">
        <f>G129+G130</f>
        <v/>
      </c>
      <c r="H131" s="31">
        <f>H129+H130</f>
        <v/>
      </c>
      <c r="I131" s="31">
        <f>I129+I130</f>
        <v/>
      </c>
      <c r="J131" s="31">
        <f>J129+J130</f>
        <v/>
      </c>
      <c r="K131" s="31">
        <f>K129+K130</f>
        <v/>
      </c>
      <c r="L131" s="31">
        <f>L129+L130</f>
        <v/>
      </c>
      <c r="M131" s="31">
        <f>M129+M130</f>
        <v/>
      </c>
      <c r="N131" s="31">
        <f>N129+N130</f>
        <v/>
      </c>
      <c r="O131" s="31">
        <f>O129+O130</f>
        <v/>
      </c>
      <c r="P131" s="31">
        <f>P129+P130</f>
        <v/>
      </c>
      <c r="Q131" s="31">
        <f>Q129+Q130</f>
        <v/>
      </c>
      <c r="R131" s="31">
        <f>R129+R130</f>
        <v/>
      </c>
      <c r="S131" s="31">
        <f>S129+S130</f>
        <v/>
      </c>
      <c r="T131" s="31">
        <f>T129+T130</f>
        <v/>
      </c>
      <c r="U131" s="31">
        <f>U129+U130</f>
        <v/>
      </c>
      <c r="V131" s="31">
        <f>V129+V130</f>
        <v/>
      </c>
      <c r="W131" s="31">
        <f>W129+W130</f>
        <v/>
      </c>
      <c r="X131" s="31">
        <f>X129+X130</f>
        <v/>
      </c>
      <c r="Y131" s="31">
        <f>Y129+Y130</f>
        <v/>
      </c>
      <c r="Z131" s="31">
        <f>Z129+Z130</f>
        <v/>
      </c>
      <c r="AA131" s="31">
        <f>AA129+AA130</f>
        <v/>
      </c>
      <c r="AB131" s="31">
        <f>AB129+AB130</f>
        <v/>
      </c>
      <c r="AC131" s="31">
        <f>AC129+AC130</f>
        <v/>
      </c>
      <c r="AD131" s="31">
        <f>AD129+AD130</f>
        <v/>
      </c>
      <c r="AE131" s="31">
        <f>AE129+AE130</f>
        <v/>
      </c>
      <c r="AF131" s="31">
        <f>AF129+AF130</f>
        <v/>
      </c>
      <c r="AG131" s="31">
        <f>AG129+AG130</f>
        <v/>
      </c>
      <c r="AH131" s="31">
        <f>AH129+AH130</f>
        <v/>
      </c>
      <c r="AI131" s="31">
        <f>AI129+AI130</f>
        <v/>
      </c>
    </row>
    <row r="132">
      <c r="B132" s="2" t="inlineStr">
        <is>
          <t xml:space="preserve">  Fixed cost</t>
        </is>
      </c>
      <c r="D132" s="19">
        <f>D123*i_G_fix*D72</f>
        <v/>
      </c>
      <c r="E132" s="19">
        <f>E123*i_G_fix*E72</f>
        <v/>
      </c>
      <c r="F132" s="19">
        <f>F123*i_G_fix*F72</f>
        <v/>
      </c>
      <c r="G132" s="19">
        <f>G123*i_G_fix*G72</f>
        <v/>
      </c>
      <c r="H132" s="19">
        <f>H123*i_G_fix*H72</f>
        <v/>
      </c>
      <c r="I132" s="19">
        <f>I123*i_G_fix*I72</f>
        <v/>
      </c>
      <c r="J132" s="19">
        <f>J123*i_G_fix*J72</f>
        <v/>
      </c>
      <c r="K132" s="19">
        <f>K123*i_G_fix*K72</f>
        <v/>
      </c>
      <c r="L132" s="19">
        <f>L123*i_G_fix*L72</f>
        <v/>
      </c>
      <c r="M132" s="19">
        <f>M123*i_G_fix*M72</f>
        <v/>
      </c>
      <c r="N132" s="19">
        <f>N123*i_G_fix*N72</f>
        <v/>
      </c>
      <c r="O132" s="19">
        <f>O123*i_G_fix*O72</f>
        <v/>
      </c>
      <c r="P132" s="19">
        <f>P123*i_G_fix*P72</f>
        <v/>
      </c>
      <c r="Q132" s="19">
        <f>Q123*i_G_fix*Q72</f>
        <v/>
      </c>
      <c r="R132" s="19">
        <f>R123*i_G_fix*R72</f>
        <v/>
      </c>
      <c r="S132" s="19">
        <f>S123*i_G_fix*S72</f>
        <v/>
      </c>
      <c r="T132" s="19">
        <f>T123*i_G_fix*T72</f>
        <v/>
      </c>
      <c r="U132" s="19">
        <f>U123*i_G_fix*U72</f>
        <v/>
      </c>
      <c r="V132" s="19">
        <f>V123*i_G_fix*V72</f>
        <v/>
      </c>
      <c r="W132" s="19">
        <f>W123*i_G_fix*W72</f>
        <v/>
      </c>
      <c r="X132" s="19">
        <f>X123*i_G_fix*X72</f>
        <v/>
      </c>
      <c r="Y132" s="19">
        <f>Y123*i_G_fix*Y72</f>
        <v/>
      </c>
      <c r="Z132" s="19">
        <f>Z123*i_G_fix*Z72</f>
        <v/>
      </c>
      <c r="AA132" s="19">
        <f>AA123*i_G_fix*AA72</f>
        <v/>
      </c>
      <c r="AB132" s="19">
        <f>AB123*i_G_fix*AB72</f>
        <v/>
      </c>
      <c r="AC132" s="19">
        <f>AC123*i_G_fix*AC72</f>
        <v/>
      </c>
      <c r="AD132" s="19">
        <f>AD123*i_G_fix*AD72</f>
        <v/>
      </c>
      <c r="AE132" s="19">
        <f>AE123*i_G_fix*AE72</f>
        <v/>
      </c>
      <c r="AF132" s="19">
        <f>AF123*i_G_fix*AF72</f>
        <v/>
      </c>
      <c r="AG132" s="19">
        <f>AG123*i_G_fix*AG72</f>
        <v/>
      </c>
      <c r="AH132" s="19">
        <f>AH123*i_G_fix*AH72</f>
        <v/>
      </c>
      <c r="AI132" s="19">
        <f>AI123*i_G_fix*AI72</f>
        <v/>
      </c>
    </row>
    <row r="133">
      <c r="B133" s="2" t="inlineStr">
        <is>
          <t xml:space="preserve">  Variable cost</t>
        </is>
      </c>
      <c r="D133" s="19">
        <f>i_G_var*D131</f>
        <v/>
      </c>
      <c r="E133" s="19">
        <f>i_G_var*E131</f>
        <v/>
      </c>
      <c r="F133" s="19">
        <f>i_G_var*F131</f>
        <v/>
      </c>
      <c r="G133" s="19">
        <f>i_G_var*G131</f>
        <v/>
      </c>
      <c r="H133" s="19">
        <f>i_G_var*H131</f>
        <v/>
      </c>
      <c r="I133" s="19">
        <f>i_G_var*I131</f>
        <v/>
      </c>
      <c r="J133" s="19">
        <f>i_G_var*J131</f>
        <v/>
      </c>
      <c r="K133" s="19">
        <f>i_G_var*K131</f>
        <v/>
      </c>
      <c r="L133" s="19">
        <f>i_G_var*L131</f>
        <v/>
      </c>
      <c r="M133" s="19">
        <f>i_G_var*M131</f>
        <v/>
      </c>
      <c r="N133" s="19">
        <f>i_G_var*N131</f>
        <v/>
      </c>
      <c r="O133" s="19">
        <f>i_G_var*O131</f>
        <v/>
      </c>
      <c r="P133" s="19">
        <f>i_G_var*P131</f>
        <v/>
      </c>
      <c r="Q133" s="19">
        <f>i_G_var*Q131</f>
        <v/>
      </c>
      <c r="R133" s="19">
        <f>i_G_var*R131</f>
        <v/>
      </c>
      <c r="S133" s="19">
        <f>i_G_var*S131</f>
        <v/>
      </c>
      <c r="T133" s="19">
        <f>i_G_var*T131</f>
        <v/>
      </c>
      <c r="U133" s="19">
        <f>i_G_var*U131</f>
        <v/>
      </c>
      <c r="V133" s="19">
        <f>i_G_var*V131</f>
        <v/>
      </c>
      <c r="W133" s="19">
        <f>i_G_var*W131</f>
        <v/>
      </c>
      <c r="X133" s="19">
        <f>i_G_var*X131</f>
        <v/>
      </c>
      <c r="Y133" s="19">
        <f>i_G_var*Y131</f>
        <v/>
      </c>
      <c r="Z133" s="19">
        <f>i_G_var*Z131</f>
        <v/>
      </c>
      <c r="AA133" s="19">
        <f>i_G_var*AA131</f>
        <v/>
      </c>
      <c r="AB133" s="19">
        <f>i_G_var*AB131</f>
        <v/>
      </c>
      <c r="AC133" s="19">
        <f>i_G_var*AC131</f>
        <v/>
      </c>
      <c r="AD133" s="19">
        <f>i_G_var*AD131</f>
        <v/>
      </c>
      <c r="AE133" s="19">
        <f>i_G_var*AE131</f>
        <v/>
      </c>
      <c r="AF133" s="19">
        <f>i_G_var*AF131</f>
        <v/>
      </c>
      <c r="AG133" s="19">
        <f>i_G_var*AG131</f>
        <v/>
      </c>
      <c r="AH133" s="19">
        <f>i_G_var*AH131</f>
        <v/>
      </c>
      <c r="AI133" s="19">
        <f>i_G_var*AI131</f>
        <v/>
      </c>
    </row>
    <row r="134">
      <c r="B134" s="2" t="inlineStr">
        <is>
          <t xml:space="preserve">  Extra windstorm insurance</t>
        </is>
      </c>
      <c r="D134" s="19">
        <f>IF(D$4&gt;0,Bids!$C$65*i_g_ins*D72,0)</f>
        <v/>
      </c>
      <c r="E134" s="19">
        <f>IF(E$4&gt;0,Bids!$C$65*i_g_ins*E72,0)</f>
        <v/>
      </c>
      <c r="F134" s="19">
        <f>IF(F$4&gt;0,Bids!$C$65*i_g_ins*F72,0)</f>
        <v/>
      </c>
      <c r="G134" s="19">
        <f>IF(G$4&gt;0,Bids!$C$65*i_g_ins*G72,0)</f>
        <v/>
      </c>
      <c r="H134" s="19">
        <f>IF(H$4&gt;0,Bids!$C$65*i_g_ins*H72,0)</f>
        <v/>
      </c>
      <c r="I134" s="19">
        <f>IF(I$4&gt;0,Bids!$C$65*i_g_ins*I72,0)</f>
        <v/>
      </c>
      <c r="J134" s="19">
        <f>IF(J$4&gt;0,Bids!$C$65*i_g_ins*J72,0)</f>
        <v/>
      </c>
      <c r="K134" s="19">
        <f>IF(K$4&gt;0,Bids!$C$65*i_g_ins*K72,0)</f>
        <v/>
      </c>
      <c r="L134" s="19">
        <f>IF(L$4&gt;0,Bids!$C$65*i_g_ins*L72,0)</f>
        <v/>
      </c>
      <c r="M134" s="19">
        <f>IF(M$4&gt;0,Bids!$C$65*i_g_ins*M72,0)</f>
        <v/>
      </c>
      <c r="N134" s="19">
        <f>IF(N$4&gt;0,Bids!$C$65*i_g_ins*N72,0)</f>
        <v/>
      </c>
      <c r="O134" s="19">
        <f>IF(O$4&gt;0,Bids!$C$65*i_g_ins*O72,0)</f>
        <v/>
      </c>
      <c r="P134" s="19">
        <f>IF(P$4&gt;0,Bids!$C$65*i_g_ins*P72,0)</f>
        <v/>
      </c>
      <c r="Q134" s="19">
        <f>IF(Q$4&gt;0,Bids!$C$65*i_g_ins*Q72,0)</f>
        <v/>
      </c>
      <c r="R134" s="19">
        <f>IF(R$4&gt;0,Bids!$C$65*i_g_ins*R72,0)</f>
        <v/>
      </c>
      <c r="S134" s="19">
        <f>IF(S$4&gt;0,Bids!$C$65*i_g_ins*S72,0)</f>
        <v/>
      </c>
      <c r="T134" s="19">
        <f>IF(T$4&gt;0,Bids!$C$65*i_g_ins*T72,0)</f>
        <v/>
      </c>
      <c r="U134" s="19">
        <f>IF(U$4&gt;0,Bids!$C$65*i_g_ins*U72,0)</f>
        <v/>
      </c>
      <c r="V134" s="19">
        <f>IF(V$4&gt;0,Bids!$C$65*i_g_ins*V72,0)</f>
        <v/>
      </c>
      <c r="W134" s="19">
        <f>IF(W$4&gt;0,Bids!$C$65*i_g_ins*W72,0)</f>
        <v/>
      </c>
      <c r="X134" s="19">
        <f>IF(X$4&gt;0,Bids!$C$65*i_g_ins*X72,0)</f>
        <v/>
      </c>
      <c r="Y134" s="19">
        <f>IF(Y$4&gt;0,Bids!$C$65*i_g_ins*Y72,0)</f>
        <v/>
      </c>
      <c r="Z134" s="19">
        <f>IF(Z$4&gt;0,Bids!$C$65*i_g_ins*Z72,0)</f>
        <v/>
      </c>
      <c r="AA134" s="19">
        <f>IF(AA$4&gt;0,Bids!$C$65*i_g_ins*AA72,0)</f>
        <v/>
      </c>
      <c r="AB134" s="19">
        <f>IF(AB$4&gt;0,Bids!$C$65*i_g_ins*AB72,0)</f>
        <v/>
      </c>
      <c r="AC134" s="19">
        <f>IF(AC$4&gt;0,Bids!$C$65*i_g_ins*AC72,0)</f>
        <v/>
      </c>
      <c r="AD134" s="19">
        <f>IF(AD$4&gt;0,Bids!$C$65*i_g_ins*AD72,0)</f>
        <v/>
      </c>
      <c r="AE134" s="19">
        <f>IF(AE$4&gt;0,Bids!$C$65*i_g_ins*AE72,0)</f>
        <v/>
      </c>
      <c r="AF134" s="19">
        <f>IF(AF$4&gt;0,Bids!$C$65*i_g_ins*AF72,0)</f>
        <v/>
      </c>
      <c r="AG134" s="19">
        <f>IF(AG$4&gt;0,Bids!$C$65*i_g_ins*AG72,0)</f>
        <v/>
      </c>
      <c r="AH134" s="19">
        <f>IF(AH$4&gt;0,Bids!$C$65*i_g_ins*AH72,0)</f>
        <v/>
      </c>
      <c r="AI134" s="19">
        <f>IF(AI$4&gt;0,Bids!$C$65*i_g_ins*AI72,0)</f>
        <v/>
      </c>
    </row>
    <row r="135">
      <c r="B135" s="2" t="inlineStr">
        <is>
          <t xml:space="preserve">  Operating cost</t>
        </is>
      </c>
      <c r="D135" s="19">
        <f>D132+D133+D134</f>
        <v/>
      </c>
      <c r="E135" s="19">
        <f>E132+E133+E134</f>
        <v/>
      </c>
      <c r="F135" s="19">
        <f>F132+F133+F134</f>
        <v/>
      </c>
      <c r="G135" s="19">
        <f>G132+G133+G134</f>
        <v/>
      </c>
      <c r="H135" s="19">
        <f>H132+H133+H134</f>
        <v/>
      </c>
      <c r="I135" s="19">
        <f>I132+I133+I134</f>
        <v/>
      </c>
      <c r="J135" s="19">
        <f>J132+J133+J134</f>
        <v/>
      </c>
      <c r="K135" s="19">
        <f>K132+K133+K134</f>
        <v/>
      </c>
      <c r="L135" s="19">
        <f>L132+L133+L134</f>
        <v/>
      </c>
      <c r="M135" s="19">
        <f>M132+M133+M134</f>
        <v/>
      </c>
      <c r="N135" s="19">
        <f>N132+N133+N134</f>
        <v/>
      </c>
      <c r="O135" s="19">
        <f>O132+O133+O134</f>
        <v/>
      </c>
      <c r="P135" s="19">
        <f>P132+P133+P134</f>
        <v/>
      </c>
      <c r="Q135" s="19">
        <f>Q132+Q133+Q134</f>
        <v/>
      </c>
      <c r="R135" s="19">
        <f>R132+R133+R134</f>
        <v/>
      </c>
      <c r="S135" s="19">
        <f>S132+S133+S134</f>
        <v/>
      </c>
      <c r="T135" s="19">
        <f>T132+T133+T134</f>
        <v/>
      </c>
      <c r="U135" s="19">
        <f>U132+U133+U134</f>
        <v/>
      </c>
      <c r="V135" s="19">
        <f>V132+V133+V134</f>
        <v/>
      </c>
      <c r="W135" s="19">
        <f>W132+W133+W134</f>
        <v/>
      </c>
      <c r="X135" s="19">
        <f>X132+X133+X134</f>
        <v/>
      </c>
      <c r="Y135" s="19">
        <f>Y132+Y133+Y134</f>
        <v/>
      </c>
      <c r="Z135" s="19">
        <f>Z132+Z133+Z134</f>
        <v/>
      </c>
      <c r="AA135" s="19">
        <f>AA132+AA133+AA134</f>
        <v/>
      </c>
      <c r="AB135" s="19">
        <f>AB132+AB133+AB134</f>
        <v/>
      </c>
      <c r="AC135" s="19">
        <f>AC132+AC133+AC134</f>
        <v/>
      </c>
      <c r="AD135" s="19">
        <f>AD132+AD133+AD134</f>
        <v/>
      </c>
      <c r="AE135" s="19">
        <f>AE132+AE133+AE134</f>
        <v/>
      </c>
      <c r="AF135" s="19">
        <f>AF132+AF133+AF134</f>
        <v/>
      </c>
      <c r="AG135" s="19">
        <f>AG132+AG133+AG134</f>
        <v/>
      </c>
      <c r="AH135" s="19">
        <f>AH132+AH133+AH134</f>
        <v/>
      </c>
      <c r="AI135" s="19">
        <f>AI132+AI133+AI134</f>
        <v/>
      </c>
    </row>
    <row r="136">
      <c r="B136" s="3" t="inlineStr">
        <is>
          <t xml:space="preserve">  EBITDA</t>
        </is>
      </c>
      <c r="D136" s="31">
        <f>D131-D135</f>
        <v/>
      </c>
      <c r="E136" s="31">
        <f>E131-E135</f>
        <v/>
      </c>
      <c r="F136" s="31">
        <f>F131-F135</f>
        <v/>
      </c>
      <c r="G136" s="31">
        <f>G131-G135</f>
        <v/>
      </c>
      <c r="H136" s="31">
        <f>H131-H135</f>
        <v/>
      </c>
      <c r="I136" s="31">
        <f>I131-I135</f>
        <v/>
      </c>
      <c r="J136" s="31">
        <f>J131-J135</f>
        <v/>
      </c>
      <c r="K136" s="31">
        <f>K131-K135</f>
        <v/>
      </c>
      <c r="L136" s="31">
        <f>L131-L135</f>
        <v/>
      </c>
      <c r="M136" s="31">
        <f>M131-M135</f>
        <v/>
      </c>
      <c r="N136" s="31">
        <f>N131-N135</f>
        <v/>
      </c>
      <c r="O136" s="31">
        <f>O131-O135</f>
        <v/>
      </c>
      <c r="P136" s="31">
        <f>P131-P135</f>
        <v/>
      </c>
      <c r="Q136" s="31">
        <f>Q131-Q135</f>
        <v/>
      </c>
      <c r="R136" s="31">
        <f>R131-R135</f>
        <v/>
      </c>
      <c r="S136" s="31">
        <f>S131-S135</f>
        <v/>
      </c>
      <c r="T136" s="31">
        <f>T131-T135</f>
        <v/>
      </c>
      <c r="U136" s="31">
        <f>U131-U135</f>
        <v/>
      </c>
      <c r="V136" s="31">
        <f>V131-V135</f>
        <v/>
      </c>
      <c r="W136" s="31">
        <f>W131-W135</f>
        <v/>
      </c>
      <c r="X136" s="31">
        <f>X131-X135</f>
        <v/>
      </c>
      <c r="Y136" s="31">
        <f>Y131-Y135</f>
        <v/>
      </c>
      <c r="Z136" s="31">
        <f>Z131-Z135</f>
        <v/>
      </c>
      <c r="AA136" s="31">
        <f>AA131-AA135</f>
        <v/>
      </c>
      <c r="AB136" s="31">
        <f>AB131-AB135</f>
        <v/>
      </c>
      <c r="AC136" s="31">
        <f>AC131-AC135</f>
        <v/>
      </c>
      <c r="AD136" s="31">
        <f>AD131-AD135</f>
        <v/>
      </c>
      <c r="AE136" s="31">
        <f>AE131-AE135</f>
        <v/>
      </c>
      <c r="AF136" s="31">
        <f>AF131-AF135</f>
        <v/>
      </c>
      <c r="AG136" s="31">
        <f>AG131-AG135</f>
        <v/>
      </c>
      <c r="AH136" s="31">
        <f>AH131-AH135</f>
        <v/>
      </c>
      <c r="AI136" s="31">
        <f>AI131-AI135</f>
        <v/>
      </c>
    </row>
    <row r="137">
      <c r="B137" s="2" t="inlineStr">
        <is>
          <t xml:space="preserve">  Maintenance capex</t>
        </is>
      </c>
      <c r="D137" s="19">
        <f>D123*i_G_mc*D72</f>
        <v/>
      </c>
      <c r="E137" s="19">
        <f>E123*i_G_mc*E72</f>
        <v/>
      </c>
      <c r="F137" s="19">
        <f>F123*i_G_mc*F72</f>
        <v/>
      </c>
      <c r="G137" s="19">
        <f>G123*i_G_mc*G72</f>
        <v/>
      </c>
      <c r="H137" s="19">
        <f>H123*i_G_mc*H72</f>
        <v/>
      </c>
      <c r="I137" s="19">
        <f>I123*i_G_mc*I72</f>
        <v/>
      </c>
      <c r="J137" s="19">
        <f>J123*i_G_mc*J72</f>
        <v/>
      </c>
      <c r="K137" s="19">
        <f>K123*i_G_mc*K72</f>
        <v/>
      </c>
      <c r="L137" s="19">
        <f>L123*i_G_mc*L72</f>
        <v/>
      </c>
      <c r="M137" s="19">
        <f>M123*i_G_mc*M72</f>
        <v/>
      </c>
      <c r="N137" s="19">
        <f>N123*i_G_mc*N72</f>
        <v/>
      </c>
      <c r="O137" s="19">
        <f>O123*i_G_mc*O72</f>
        <v/>
      </c>
      <c r="P137" s="19">
        <f>P123*i_G_mc*P72</f>
        <v/>
      </c>
      <c r="Q137" s="19">
        <f>Q123*i_G_mc*Q72</f>
        <v/>
      </c>
      <c r="R137" s="19">
        <f>R123*i_G_mc*R72</f>
        <v/>
      </c>
      <c r="S137" s="19">
        <f>S123*i_G_mc*S72</f>
        <v/>
      </c>
      <c r="T137" s="19">
        <f>T123*i_G_mc*T72</f>
        <v/>
      </c>
      <c r="U137" s="19">
        <f>U123*i_G_mc*U72</f>
        <v/>
      </c>
      <c r="V137" s="19">
        <f>V123*i_G_mc*V72</f>
        <v/>
      </c>
      <c r="W137" s="19">
        <f>W123*i_G_mc*W72</f>
        <v/>
      </c>
      <c r="X137" s="19">
        <f>X123*i_G_mc*X72</f>
        <v/>
      </c>
      <c r="Y137" s="19">
        <f>Y123*i_G_mc*Y72</f>
        <v/>
      </c>
      <c r="Z137" s="19">
        <f>Z123*i_G_mc*Z72</f>
        <v/>
      </c>
      <c r="AA137" s="19">
        <f>AA123*i_G_mc*AA72</f>
        <v/>
      </c>
      <c r="AB137" s="19">
        <f>AB123*i_G_mc*AB72</f>
        <v/>
      </c>
      <c r="AC137" s="19">
        <f>AC123*i_G_mc*AC72</f>
        <v/>
      </c>
      <c r="AD137" s="19">
        <f>AD123*i_G_mc*AD72</f>
        <v/>
      </c>
      <c r="AE137" s="19">
        <f>AE123*i_G_mc*AE72</f>
        <v/>
      </c>
      <c r="AF137" s="19">
        <f>AF123*i_G_mc*AF72</f>
        <v/>
      </c>
      <c r="AG137" s="19">
        <f>AG123*i_G_mc*AG72</f>
        <v/>
      </c>
      <c r="AH137" s="19">
        <f>AH123*i_G_mc*AH72</f>
        <v/>
      </c>
      <c r="AI137" s="19">
        <f>AI123*i_G_mc*AI72</f>
        <v/>
      </c>
    </row>
    <row r="138">
      <c r="B138" s="3" t="inlineStr">
        <is>
          <t>Sabine Bend expansion (renewable fuels)</t>
        </is>
      </c>
    </row>
    <row r="139">
      <c r="B139" s="2" t="inlineStr">
        <is>
          <t xml:space="preserve">  Growth capex</t>
        </is>
      </c>
      <c r="D139" s="19">
        <f>Bids!$C$66*SUMIF(i_exp_capex_years,D$3,i_exp_capex_vals)*D72</f>
        <v/>
      </c>
      <c r="E139" s="19">
        <f>Bids!$C$66*SUMIF(i_exp_capex_years,E$3,i_exp_capex_vals)*E72</f>
        <v/>
      </c>
      <c r="F139" s="19">
        <f>Bids!$C$66*SUMIF(i_exp_capex_years,F$3,i_exp_capex_vals)*F72</f>
        <v/>
      </c>
      <c r="G139" s="19">
        <f>Bids!$C$66*SUMIF(i_exp_capex_years,G$3,i_exp_capex_vals)*G72</f>
        <v/>
      </c>
      <c r="H139" s="19">
        <f>Bids!$C$66*SUMIF(i_exp_capex_years,H$3,i_exp_capex_vals)*H72</f>
        <v/>
      </c>
      <c r="I139" s="19">
        <f>Bids!$C$66*SUMIF(i_exp_capex_years,I$3,i_exp_capex_vals)*I72</f>
        <v/>
      </c>
      <c r="J139" s="19">
        <f>Bids!$C$66*SUMIF(i_exp_capex_years,J$3,i_exp_capex_vals)*J72</f>
        <v/>
      </c>
      <c r="K139" s="19">
        <f>Bids!$C$66*SUMIF(i_exp_capex_years,K$3,i_exp_capex_vals)*K72</f>
        <v/>
      </c>
      <c r="L139" s="19">
        <f>Bids!$C$66*SUMIF(i_exp_capex_years,L$3,i_exp_capex_vals)*L72</f>
        <v/>
      </c>
      <c r="M139" s="19">
        <f>Bids!$C$66*SUMIF(i_exp_capex_years,M$3,i_exp_capex_vals)*M72</f>
        <v/>
      </c>
      <c r="N139" s="19">
        <f>Bids!$C$66*SUMIF(i_exp_capex_years,N$3,i_exp_capex_vals)*N72</f>
        <v/>
      </c>
      <c r="O139" s="19">
        <f>Bids!$C$66*SUMIF(i_exp_capex_years,O$3,i_exp_capex_vals)*O72</f>
        <v/>
      </c>
      <c r="P139" s="19">
        <f>Bids!$C$66*SUMIF(i_exp_capex_years,P$3,i_exp_capex_vals)*P72</f>
        <v/>
      </c>
      <c r="Q139" s="19">
        <f>Bids!$C$66*SUMIF(i_exp_capex_years,Q$3,i_exp_capex_vals)*Q72</f>
        <v/>
      </c>
      <c r="R139" s="19">
        <f>Bids!$C$66*SUMIF(i_exp_capex_years,R$3,i_exp_capex_vals)*R72</f>
        <v/>
      </c>
      <c r="S139" s="19">
        <f>Bids!$C$66*SUMIF(i_exp_capex_years,S$3,i_exp_capex_vals)*S72</f>
        <v/>
      </c>
      <c r="T139" s="19">
        <f>Bids!$C$66*SUMIF(i_exp_capex_years,T$3,i_exp_capex_vals)*T72</f>
        <v/>
      </c>
      <c r="U139" s="19">
        <f>Bids!$C$66*SUMIF(i_exp_capex_years,U$3,i_exp_capex_vals)*U72</f>
        <v/>
      </c>
      <c r="V139" s="19">
        <f>Bids!$C$66*SUMIF(i_exp_capex_years,V$3,i_exp_capex_vals)*V72</f>
        <v/>
      </c>
      <c r="W139" s="19">
        <f>Bids!$C$66*SUMIF(i_exp_capex_years,W$3,i_exp_capex_vals)*W72</f>
        <v/>
      </c>
      <c r="X139" s="19">
        <f>Bids!$C$66*SUMIF(i_exp_capex_years,X$3,i_exp_capex_vals)*X72</f>
        <v/>
      </c>
      <c r="Y139" s="19">
        <f>Bids!$C$66*SUMIF(i_exp_capex_years,Y$3,i_exp_capex_vals)*Y72</f>
        <v/>
      </c>
      <c r="Z139" s="19">
        <f>Bids!$C$66*SUMIF(i_exp_capex_years,Z$3,i_exp_capex_vals)*Z72</f>
        <v/>
      </c>
      <c r="AA139" s="19">
        <f>Bids!$C$66*SUMIF(i_exp_capex_years,AA$3,i_exp_capex_vals)*AA72</f>
        <v/>
      </c>
      <c r="AB139" s="19">
        <f>Bids!$C$66*SUMIF(i_exp_capex_years,AB$3,i_exp_capex_vals)*AB72</f>
        <v/>
      </c>
      <c r="AC139" s="19">
        <f>Bids!$C$66*SUMIF(i_exp_capex_years,AC$3,i_exp_capex_vals)*AC72</f>
        <v/>
      </c>
      <c r="AD139" s="19">
        <f>Bids!$C$66*SUMIF(i_exp_capex_years,AD$3,i_exp_capex_vals)*AD72</f>
        <v/>
      </c>
      <c r="AE139" s="19">
        <f>Bids!$C$66*SUMIF(i_exp_capex_years,AE$3,i_exp_capex_vals)*AE72</f>
        <v/>
      </c>
      <c r="AF139" s="19">
        <f>Bids!$C$66*SUMIF(i_exp_capex_years,AF$3,i_exp_capex_vals)*AF72</f>
        <v/>
      </c>
      <c r="AG139" s="19">
        <f>Bids!$C$66*SUMIF(i_exp_capex_years,AG$3,i_exp_capex_vals)*AG72</f>
        <v/>
      </c>
      <c r="AH139" s="19">
        <f>Bids!$C$66*SUMIF(i_exp_capex_years,AH$3,i_exp_capex_vals)*AH72</f>
        <v/>
      </c>
      <c r="AI139" s="19">
        <f>Bids!$C$66*SUMIF(i_exp_capex_years,AI$3,i_exp_capex_vals)*AI72</f>
        <v/>
      </c>
    </row>
    <row r="140">
      <c r="B140" s="2" t="inlineStr">
        <is>
          <t xml:space="preserve">  Operating (1/0)</t>
        </is>
      </c>
      <c r="D140" s="22">
        <f>IF(D$3&gt;=i_exp_start,Bids!$C$66,0)</f>
        <v/>
      </c>
      <c r="E140" s="22">
        <f>IF(E$3&gt;=i_exp_start,Bids!$C$66,0)</f>
        <v/>
      </c>
      <c r="F140" s="22">
        <f>IF(F$3&gt;=i_exp_start,Bids!$C$66,0)</f>
        <v/>
      </c>
      <c r="G140" s="22">
        <f>IF(G$3&gt;=i_exp_start,Bids!$C$66,0)</f>
        <v/>
      </c>
      <c r="H140" s="22">
        <f>IF(H$3&gt;=i_exp_start,Bids!$C$66,0)</f>
        <v/>
      </c>
      <c r="I140" s="22">
        <f>IF(I$3&gt;=i_exp_start,Bids!$C$66,0)</f>
        <v/>
      </c>
      <c r="J140" s="22">
        <f>IF(J$3&gt;=i_exp_start,Bids!$C$66,0)</f>
        <v/>
      </c>
      <c r="K140" s="22">
        <f>IF(K$3&gt;=i_exp_start,Bids!$C$66,0)</f>
        <v/>
      </c>
      <c r="L140" s="22">
        <f>IF(L$3&gt;=i_exp_start,Bids!$C$66,0)</f>
        <v/>
      </c>
      <c r="M140" s="22">
        <f>IF(M$3&gt;=i_exp_start,Bids!$C$66,0)</f>
        <v/>
      </c>
      <c r="N140" s="22">
        <f>IF(N$3&gt;=i_exp_start,Bids!$C$66,0)</f>
        <v/>
      </c>
      <c r="O140" s="22">
        <f>IF(O$3&gt;=i_exp_start,Bids!$C$66,0)</f>
        <v/>
      </c>
      <c r="P140" s="22">
        <f>IF(P$3&gt;=i_exp_start,Bids!$C$66,0)</f>
        <v/>
      </c>
      <c r="Q140" s="22">
        <f>IF(Q$3&gt;=i_exp_start,Bids!$C$66,0)</f>
        <v/>
      </c>
      <c r="R140" s="22">
        <f>IF(R$3&gt;=i_exp_start,Bids!$C$66,0)</f>
        <v/>
      </c>
      <c r="S140" s="22">
        <f>IF(S$3&gt;=i_exp_start,Bids!$C$66,0)</f>
        <v/>
      </c>
      <c r="T140" s="22">
        <f>IF(T$3&gt;=i_exp_start,Bids!$C$66,0)</f>
        <v/>
      </c>
      <c r="U140" s="22">
        <f>IF(U$3&gt;=i_exp_start,Bids!$C$66,0)</f>
        <v/>
      </c>
      <c r="V140" s="22">
        <f>IF(V$3&gt;=i_exp_start,Bids!$C$66,0)</f>
        <v/>
      </c>
      <c r="W140" s="22">
        <f>IF(W$3&gt;=i_exp_start,Bids!$C$66,0)</f>
        <v/>
      </c>
      <c r="X140" s="22">
        <f>IF(X$3&gt;=i_exp_start,Bids!$C$66,0)</f>
        <v/>
      </c>
      <c r="Y140" s="22">
        <f>IF(Y$3&gt;=i_exp_start,Bids!$C$66,0)</f>
        <v/>
      </c>
      <c r="Z140" s="22">
        <f>IF(Z$3&gt;=i_exp_start,Bids!$C$66,0)</f>
        <v/>
      </c>
      <c r="AA140" s="22">
        <f>IF(AA$3&gt;=i_exp_start,Bids!$C$66,0)</f>
        <v/>
      </c>
      <c r="AB140" s="22">
        <f>IF(AB$3&gt;=i_exp_start,Bids!$C$66,0)</f>
        <v/>
      </c>
      <c r="AC140" s="22">
        <f>IF(AC$3&gt;=i_exp_start,Bids!$C$66,0)</f>
        <v/>
      </c>
      <c r="AD140" s="22">
        <f>IF(AD$3&gt;=i_exp_start,Bids!$C$66,0)</f>
        <v/>
      </c>
      <c r="AE140" s="22">
        <f>IF(AE$3&gt;=i_exp_start,Bids!$C$66,0)</f>
        <v/>
      </c>
      <c r="AF140" s="22">
        <f>IF(AF$3&gt;=i_exp_start,Bids!$C$66,0)</f>
        <v/>
      </c>
      <c r="AG140" s="22">
        <f>IF(AG$3&gt;=i_exp_start,Bids!$C$66,0)</f>
        <v/>
      </c>
      <c r="AH140" s="22">
        <f>IF(AH$3&gt;=i_exp_start,Bids!$C$66,0)</f>
        <v/>
      </c>
      <c r="AI140" s="22">
        <f>IF(AI$3&gt;=i_exp_start,Bids!$C$66,0)</f>
        <v/>
      </c>
    </row>
    <row r="141">
      <c r="B141" s="2" t="inlineStr">
        <is>
          <t xml:space="preserve">  Under the anchor contract (1/0)</t>
        </is>
      </c>
      <c r="D141" s="22">
        <f>IF(D$3&lt;i_exp_start+i_exp_years,1,0)</f>
        <v/>
      </c>
      <c r="E141" s="22">
        <f>IF(E$3&lt;i_exp_start+i_exp_years,1,0)</f>
        <v/>
      </c>
      <c r="F141" s="22">
        <f>IF(F$3&lt;i_exp_start+i_exp_years,1,0)</f>
        <v/>
      </c>
      <c r="G141" s="22">
        <f>IF(G$3&lt;i_exp_start+i_exp_years,1,0)</f>
        <v/>
      </c>
      <c r="H141" s="22">
        <f>IF(H$3&lt;i_exp_start+i_exp_years,1,0)</f>
        <v/>
      </c>
      <c r="I141" s="22">
        <f>IF(I$3&lt;i_exp_start+i_exp_years,1,0)</f>
        <v/>
      </c>
      <c r="J141" s="22">
        <f>IF(J$3&lt;i_exp_start+i_exp_years,1,0)</f>
        <v/>
      </c>
      <c r="K141" s="22">
        <f>IF(K$3&lt;i_exp_start+i_exp_years,1,0)</f>
        <v/>
      </c>
      <c r="L141" s="22">
        <f>IF(L$3&lt;i_exp_start+i_exp_years,1,0)</f>
        <v/>
      </c>
      <c r="M141" s="22">
        <f>IF(M$3&lt;i_exp_start+i_exp_years,1,0)</f>
        <v/>
      </c>
      <c r="N141" s="22">
        <f>IF(N$3&lt;i_exp_start+i_exp_years,1,0)</f>
        <v/>
      </c>
      <c r="O141" s="22">
        <f>IF(O$3&lt;i_exp_start+i_exp_years,1,0)</f>
        <v/>
      </c>
      <c r="P141" s="22">
        <f>IF(P$3&lt;i_exp_start+i_exp_years,1,0)</f>
        <v/>
      </c>
      <c r="Q141" s="22">
        <f>IF(Q$3&lt;i_exp_start+i_exp_years,1,0)</f>
        <v/>
      </c>
      <c r="R141" s="22">
        <f>IF(R$3&lt;i_exp_start+i_exp_years,1,0)</f>
        <v/>
      </c>
      <c r="S141" s="22">
        <f>IF(S$3&lt;i_exp_start+i_exp_years,1,0)</f>
        <v/>
      </c>
      <c r="T141" s="22">
        <f>IF(T$3&lt;i_exp_start+i_exp_years,1,0)</f>
        <v/>
      </c>
      <c r="U141" s="22">
        <f>IF(U$3&lt;i_exp_start+i_exp_years,1,0)</f>
        <v/>
      </c>
      <c r="V141" s="22">
        <f>IF(V$3&lt;i_exp_start+i_exp_years,1,0)</f>
        <v/>
      </c>
      <c r="W141" s="22">
        <f>IF(W$3&lt;i_exp_start+i_exp_years,1,0)</f>
        <v/>
      </c>
      <c r="X141" s="22">
        <f>IF(X$3&lt;i_exp_start+i_exp_years,1,0)</f>
        <v/>
      </c>
      <c r="Y141" s="22">
        <f>IF(Y$3&lt;i_exp_start+i_exp_years,1,0)</f>
        <v/>
      </c>
      <c r="Z141" s="22">
        <f>IF(Z$3&lt;i_exp_start+i_exp_years,1,0)</f>
        <v/>
      </c>
      <c r="AA141" s="22">
        <f>IF(AA$3&lt;i_exp_start+i_exp_years,1,0)</f>
        <v/>
      </c>
      <c r="AB141" s="22">
        <f>IF(AB$3&lt;i_exp_start+i_exp_years,1,0)</f>
        <v/>
      </c>
      <c r="AC141" s="22">
        <f>IF(AC$3&lt;i_exp_start+i_exp_years,1,0)</f>
        <v/>
      </c>
      <c r="AD141" s="22">
        <f>IF(AD$3&lt;i_exp_start+i_exp_years,1,0)</f>
        <v/>
      </c>
      <c r="AE141" s="22">
        <f>IF(AE$3&lt;i_exp_start+i_exp_years,1,0)</f>
        <v/>
      </c>
      <c r="AF141" s="22">
        <f>IF(AF$3&lt;i_exp_start+i_exp_years,1,0)</f>
        <v/>
      </c>
      <c r="AG141" s="22">
        <f>IF(AG$3&lt;i_exp_start+i_exp_years,1,0)</f>
        <v/>
      </c>
      <c r="AH141" s="22">
        <f>IF(AH$3&lt;i_exp_start+i_exp_years,1,0)</f>
        <v/>
      </c>
      <c r="AI141" s="22">
        <f>IF(AI$3&lt;i_exp_start+i_exp_years,1,0)</f>
        <v/>
      </c>
    </row>
    <row r="142">
      <c r="B142" s="2" t="inlineStr">
        <is>
          <t xml:space="preserve">  Rate ($ per m3 per month)</t>
        </is>
      </c>
      <c r="D142" s="24">
        <f>i_exp_rate*D73*IF(D141=1,1,1+i_exp_mtm)</f>
        <v/>
      </c>
      <c r="E142" s="24">
        <f>i_exp_rate*E73*IF(E141=1,1,1+i_exp_mtm)</f>
        <v/>
      </c>
      <c r="F142" s="24">
        <f>i_exp_rate*F73*IF(F141=1,1,1+i_exp_mtm)</f>
        <v/>
      </c>
      <c r="G142" s="24">
        <f>i_exp_rate*G73*IF(G141=1,1,1+i_exp_mtm)</f>
        <v/>
      </c>
      <c r="H142" s="24">
        <f>i_exp_rate*H73*IF(H141=1,1,1+i_exp_mtm)</f>
        <v/>
      </c>
      <c r="I142" s="24">
        <f>i_exp_rate*I73*IF(I141=1,1,1+i_exp_mtm)</f>
        <v/>
      </c>
      <c r="J142" s="24">
        <f>i_exp_rate*J73*IF(J141=1,1,1+i_exp_mtm)</f>
        <v/>
      </c>
      <c r="K142" s="24">
        <f>i_exp_rate*K73*IF(K141=1,1,1+i_exp_mtm)</f>
        <v/>
      </c>
      <c r="L142" s="24">
        <f>i_exp_rate*L73*IF(L141=1,1,1+i_exp_mtm)</f>
        <v/>
      </c>
      <c r="M142" s="24">
        <f>i_exp_rate*M73*IF(M141=1,1,1+i_exp_mtm)</f>
        <v/>
      </c>
      <c r="N142" s="24">
        <f>i_exp_rate*N73*IF(N141=1,1,1+i_exp_mtm)</f>
        <v/>
      </c>
      <c r="O142" s="24">
        <f>i_exp_rate*O73*IF(O141=1,1,1+i_exp_mtm)</f>
        <v/>
      </c>
      <c r="P142" s="24">
        <f>i_exp_rate*P73*IF(P141=1,1,1+i_exp_mtm)</f>
        <v/>
      </c>
      <c r="Q142" s="24">
        <f>i_exp_rate*Q73*IF(Q141=1,1,1+i_exp_mtm)</f>
        <v/>
      </c>
      <c r="R142" s="24">
        <f>i_exp_rate*R73*IF(R141=1,1,1+i_exp_mtm)</f>
        <v/>
      </c>
      <c r="S142" s="24">
        <f>i_exp_rate*S73*IF(S141=1,1,1+i_exp_mtm)</f>
        <v/>
      </c>
      <c r="T142" s="24">
        <f>i_exp_rate*T73*IF(T141=1,1,1+i_exp_mtm)</f>
        <v/>
      </c>
      <c r="U142" s="24">
        <f>i_exp_rate*U73*IF(U141=1,1,1+i_exp_mtm)</f>
        <v/>
      </c>
      <c r="V142" s="24">
        <f>i_exp_rate*V73*IF(V141=1,1,1+i_exp_mtm)</f>
        <v/>
      </c>
      <c r="W142" s="24">
        <f>i_exp_rate*W73*IF(W141=1,1,1+i_exp_mtm)</f>
        <v/>
      </c>
      <c r="X142" s="24">
        <f>i_exp_rate*X73*IF(X141=1,1,1+i_exp_mtm)</f>
        <v/>
      </c>
      <c r="Y142" s="24">
        <f>i_exp_rate*Y73*IF(Y141=1,1,1+i_exp_mtm)</f>
        <v/>
      </c>
      <c r="Z142" s="24">
        <f>i_exp_rate*Z73*IF(Z141=1,1,1+i_exp_mtm)</f>
        <v/>
      </c>
      <c r="AA142" s="24">
        <f>i_exp_rate*AA73*IF(AA141=1,1,1+i_exp_mtm)</f>
        <v/>
      </c>
      <c r="AB142" s="24">
        <f>i_exp_rate*AB73*IF(AB141=1,1,1+i_exp_mtm)</f>
        <v/>
      </c>
      <c r="AC142" s="24">
        <f>i_exp_rate*AC73*IF(AC141=1,1,1+i_exp_mtm)</f>
        <v/>
      </c>
      <c r="AD142" s="24">
        <f>i_exp_rate*AD73*IF(AD141=1,1,1+i_exp_mtm)</f>
        <v/>
      </c>
      <c r="AE142" s="24">
        <f>i_exp_rate*AE73*IF(AE141=1,1,1+i_exp_mtm)</f>
        <v/>
      </c>
      <c r="AF142" s="24">
        <f>i_exp_rate*AF73*IF(AF141=1,1,1+i_exp_mtm)</f>
        <v/>
      </c>
      <c r="AG142" s="24">
        <f>i_exp_rate*AG73*IF(AG141=1,1,1+i_exp_mtm)</f>
        <v/>
      </c>
      <c r="AH142" s="24">
        <f>i_exp_rate*AH73*IF(AH141=1,1,1+i_exp_mtm)</f>
        <v/>
      </c>
      <c r="AI142" s="24">
        <f>i_exp_rate*AI73*IF(AI141=1,1,1+i_exp_mtm)</f>
        <v/>
      </c>
    </row>
    <row r="143">
      <c r="B143" s="2" t="inlineStr">
        <is>
          <t xml:space="preserve">  Occupancy</t>
        </is>
      </c>
      <c r="D143" s="21">
        <f>IF(D141=1,i_exp_occ_c,i_exp_occ_m)</f>
        <v/>
      </c>
      <c r="E143" s="21">
        <f>IF(E141=1,i_exp_occ_c,i_exp_occ_m)</f>
        <v/>
      </c>
      <c r="F143" s="21">
        <f>IF(F141=1,i_exp_occ_c,i_exp_occ_m)</f>
        <v/>
      </c>
      <c r="G143" s="21">
        <f>IF(G141=1,i_exp_occ_c,i_exp_occ_m)</f>
        <v/>
      </c>
      <c r="H143" s="21">
        <f>IF(H141=1,i_exp_occ_c,i_exp_occ_m)</f>
        <v/>
      </c>
      <c r="I143" s="21">
        <f>IF(I141=1,i_exp_occ_c,i_exp_occ_m)</f>
        <v/>
      </c>
      <c r="J143" s="21">
        <f>IF(J141=1,i_exp_occ_c,i_exp_occ_m)</f>
        <v/>
      </c>
      <c r="K143" s="21">
        <f>IF(K141=1,i_exp_occ_c,i_exp_occ_m)</f>
        <v/>
      </c>
      <c r="L143" s="21">
        <f>IF(L141=1,i_exp_occ_c,i_exp_occ_m)</f>
        <v/>
      </c>
      <c r="M143" s="21">
        <f>IF(M141=1,i_exp_occ_c,i_exp_occ_m)</f>
        <v/>
      </c>
      <c r="N143" s="21">
        <f>IF(N141=1,i_exp_occ_c,i_exp_occ_m)</f>
        <v/>
      </c>
      <c r="O143" s="21">
        <f>IF(O141=1,i_exp_occ_c,i_exp_occ_m)</f>
        <v/>
      </c>
      <c r="P143" s="21">
        <f>IF(P141=1,i_exp_occ_c,i_exp_occ_m)</f>
        <v/>
      </c>
      <c r="Q143" s="21">
        <f>IF(Q141=1,i_exp_occ_c,i_exp_occ_m)</f>
        <v/>
      </c>
      <c r="R143" s="21">
        <f>IF(R141=1,i_exp_occ_c,i_exp_occ_m)</f>
        <v/>
      </c>
      <c r="S143" s="21">
        <f>IF(S141=1,i_exp_occ_c,i_exp_occ_m)</f>
        <v/>
      </c>
      <c r="T143" s="21">
        <f>IF(T141=1,i_exp_occ_c,i_exp_occ_m)</f>
        <v/>
      </c>
      <c r="U143" s="21">
        <f>IF(U141=1,i_exp_occ_c,i_exp_occ_m)</f>
        <v/>
      </c>
      <c r="V143" s="21">
        <f>IF(V141=1,i_exp_occ_c,i_exp_occ_m)</f>
        <v/>
      </c>
      <c r="W143" s="21">
        <f>IF(W141=1,i_exp_occ_c,i_exp_occ_m)</f>
        <v/>
      </c>
      <c r="X143" s="21">
        <f>IF(X141=1,i_exp_occ_c,i_exp_occ_m)</f>
        <v/>
      </c>
      <c r="Y143" s="21">
        <f>IF(Y141=1,i_exp_occ_c,i_exp_occ_m)</f>
        <v/>
      </c>
      <c r="Z143" s="21">
        <f>IF(Z141=1,i_exp_occ_c,i_exp_occ_m)</f>
        <v/>
      </c>
      <c r="AA143" s="21">
        <f>IF(AA141=1,i_exp_occ_c,i_exp_occ_m)</f>
        <v/>
      </c>
      <c r="AB143" s="21">
        <f>IF(AB141=1,i_exp_occ_c,i_exp_occ_m)</f>
        <v/>
      </c>
      <c r="AC143" s="21">
        <f>IF(AC141=1,i_exp_occ_c,i_exp_occ_m)</f>
        <v/>
      </c>
      <c r="AD143" s="21">
        <f>IF(AD141=1,i_exp_occ_c,i_exp_occ_m)</f>
        <v/>
      </c>
      <c r="AE143" s="21">
        <f>IF(AE141=1,i_exp_occ_c,i_exp_occ_m)</f>
        <v/>
      </c>
      <c r="AF143" s="21">
        <f>IF(AF141=1,i_exp_occ_c,i_exp_occ_m)</f>
        <v/>
      </c>
      <c r="AG143" s="21">
        <f>IF(AG141=1,i_exp_occ_c,i_exp_occ_m)</f>
        <v/>
      </c>
      <c r="AH143" s="21">
        <f>IF(AH141=1,i_exp_occ_c,i_exp_occ_m)</f>
        <v/>
      </c>
      <c r="AI143" s="21">
        <f>IF(AI141=1,i_exp_occ_c,i_exp_occ_m)</f>
        <v/>
      </c>
    </row>
    <row r="144">
      <c r="B144" s="2" t="inlineStr">
        <is>
          <t xml:space="preserve">  Storage revenue</t>
        </is>
      </c>
      <c r="D144" s="19">
        <f>D140*i_exp_cap*D142*12*D143</f>
        <v/>
      </c>
      <c r="E144" s="19">
        <f>E140*i_exp_cap*E142*12*E143</f>
        <v/>
      </c>
      <c r="F144" s="19">
        <f>F140*i_exp_cap*F142*12*F143</f>
        <v/>
      </c>
      <c r="G144" s="19">
        <f>G140*i_exp_cap*G142*12*G143</f>
        <v/>
      </c>
      <c r="H144" s="19">
        <f>H140*i_exp_cap*H142*12*H143</f>
        <v/>
      </c>
      <c r="I144" s="19">
        <f>I140*i_exp_cap*I142*12*I143</f>
        <v/>
      </c>
      <c r="J144" s="19">
        <f>J140*i_exp_cap*J142*12*J143</f>
        <v/>
      </c>
      <c r="K144" s="19">
        <f>K140*i_exp_cap*K142*12*K143</f>
        <v/>
      </c>
      <c r="L144" s="19">
        <f>L140*i_exp_cap*L142*12*L143</f>
        <v/>
      </c>
      <c r="M144" s="19">
        <f>M140*i_exp_cap*M142*12*M143</f>
        <v/>
      </c>
      <c r="N144" s="19">
        <f>N140*i_exp_cap*N142*12*N143</f>
        <v/>
      </c>
      <c r="O144" s="19">
        <f>O140*i_exp_cap*O142*12*O143</f>
        <v/>
      </c>
      <c r="P144" s="19">
        <f>P140*i_exp_cap*P142*12*P143</f>
        <v/>
      </c>
      <c r="Q144" s="19">
        <f>Q140*i_exp_cap*Q142*12*Q143</f>
        <v/>
      </c>
      <c r="R144" s="19">
        <f>R140*i_exp_cap*R142*12*R143</f>
        <v/>
      </c>
      <c r="S144" s="19">
        <f>S140*i_exp_cap*S142*12*S143</f>
        <v/>
      </c>
      <c r="T144" s="19">
        <f>T140*i_exp_cap*T142*12*T143</f>
        <v/>
      </c>
      <c r="U144" s="19">
        <f>U140*i_exp_cap*U142*12*U143</f>
        <v/>
      </c>
      <c r="V144" s="19">
        <f>V140*i_exp_cap*V142*12*V143</f>
        <v/>
      </c>
      <c r="W144" s="19">
        <f>W140*i_exp_cap*W142*12*W143</f>
        <v/>
      </c>
      <c r="X144" s="19">
        <f>X140*i_exp_cap*X142*12*X143</f>
        <v/>
      </c>
      <c r="Y144" s="19">
        <f>Y140*i_exp_cap*Y142*12*Y143</f>
        <v/>
      </c>
      <c r="Z144" s="19">
        <f>Z140*i_exp_cap*Z142*12*Z143</f>
        <v/>
      </c>
      <c r="AA144" s="19">
        <f>AA140*i_exp_cap*AA142*12*AA143</f>
        <v/>
      </c>
      <c r="AB144" s="19">
        <f>AB140*i_exp_cap*AB142*12*AB143</f>
        <v/>
      </c>
      <c r="AC144" s="19">
        <f>AC140*i_exp_cap*AC142*12*AC143</f>
        <v/>
      </c>
      <c r="AD144" s="19">
        <f>AD140*i_exp_cap*AD142*12*AD143</f>
        <v/>
      </c>
      <c r="AE144" s="19">
        <f>AE140*i_exp_cap*AE142*12*AE143</f>
        <v/>
      </c>
      <c r="AF144" s="19">
        <f>AF140*i_exp_cap*AF142*12*AF143</f>
        <v/>
      </c>
      <c r="AG144" s="19">
        <f>AG140*i_exp_cap*AG142*12*AG143</f>
        <v/>
      </c>
      <c r="AH144" s="19">
        <f>AH140*i_exp_cap*AH142*12*AH143</f>
        <v/>
      </c>
      <c r="AI144" s="19">
        <f>AI140*i_exp_cap*AI142*12*AI143</f>
        <v/>
      </c>
    </row>
    <row r="145">
      <c r="B145" s="3" t="inlineStr">
        <is>
          <t xml:space="preserve">  Revenue</t>
        </is>
      </c>
      <c r="D145" s="31">
        <f>D144*(1+i_exp_anc)</f>
        <v/>
      </c>
      <c r="E145" s="31">
        <f>E144*(1+i_exp_anc)</f>
        <v/>
      </c>
      <c r="F145" s="31">
        <f>F144*(1+i_exp_anc)</f>
        <v/>
      </c>
      <c r="G145" s="31">
        <f>G144*(1+i_exp_anc)</f>
        <v/>
      </c>
      <c r="H145" s="31">
        <f>H144*(1+i_exp_anc)</f>
        <v/>
      </c>
      <c r="I145" s="31">
        <f>I144*(1+i_exp_anc)</f>
        <v/>
      </c>
      <c r="J145" s="31">
        <f>J144*(1+i_exp_anc)</f>
        <v/>
      </c>
      <c r="K145" s="31">
        <f>K144*(1+i_exp_anc)</f>
        <v/>
      </c>
      <c r="L145" s="31">
        <f>L144*(1+i_exp_anc)</f>
        <v/>
      </c>
      <c r="M145" s="31">
        <f>M144*(1+i_exp_anc)</f>
        <v/>
      </c>
      <c r="N145" s="31">
        <f>N144*(1+i_exp_anc)</f>
        <v/>
      </c>
      <c r="O145" s="31">
        <f>O144*(1+i_exp_anc)</f>
        <v/>
      </c>
      <c r="P145" s="31">
        <f>P144*(1+i_exp_anc)</f>
        <v/>
      </c>
      <c r="Q145" s="31">
        <f>Q144*(1+i_exp_anc)</f>
        <v/>
      </c>
      <c r="R145" s="31">
        <f>R144*(1+i_exp_anc)</f>
        <v/>
      </c>
      <c r="S145" s="31">
        <f>S144*(1+i_exp_anc)</f>
        <v/>
      </c>
      <c r="T145" s="31">
        <f>T144*(1+i_exp_anc)</f>
        <v/>
      </c>
      <c r="U145" s="31">
        <f>U144*(1+i_exp_anc)</f>
        <v/>
      </c>
      <c r="V145" s="31">
        <f>V144*(1+i_exp_anc)</f>
        <v/>
      </c>
      <c r="W145" s="31">
        <f>W144*(1+i_exp_anc)</f>
        <v/>
      </c>
      <c r="X145" s="31">
        <f>X144*(1+i_exp_anc)</f>
        <v/>
      </c>
      <c r="Y145" s="31">
        <f>Y144*(1+i_exp_anc)</f>
        <v/>
      </c>
      <c r="Z145" s="31">
        <f>Z144*(1+i_exp_anc)</f>
        <v/>
      </c>
      <c r="AA145" s="31">
        <f>AA144*(1+i_exp_anc)</f>
        <v/>
      </c>
      <c r="AB145" s="31">
        <f>AB144*(1+i_exp_anc)</f>
        <v/>
      </c>
      <c r="AC145" s="31">
        <f>AC144*(1+i_exp_anc)</f>
        <v/>
      </c>
      <c r="AD145" s="31">
        <f>AD144*(1+i_exp_anc)</f>
        <v/>
      </c>
      <c r="AE145" s="31">
        <f>AE144*(1+i_exp_anc)</f>
        <v/>
      </c>
      <c r="AF145" s="31">
        <f>AF144*(1+i_exp_anc)</f>
        <v/>
      </c>
      <c r="AG145" s="31">
        <f>AG144*(1+i_exp_anc)</f>
        <v/>
      </c>
      <c r="AH145" s="31">
        <f>AH144*(1+i_exp_anc)</f>
        <v/>
      </c>
      <c r="AI145" s="31">
        <f>AI144*(1+i_exp_anc)</f>
        <v/>
      </c>
    </row>
    <row r="146">
      <c r="B146" s="2" t="inlineStr">
        <is>
          <t xml:space="preserve">  Operating cost</t>
        </is>
      </c>
      <c r="D146" s="19">
        <f>D140*i_exp_fix*i_exp_cap*D72+i_exp_var*D145</f>
        <v/>
      </c>
      <c r="E146" s="19">
        <f>E140*i_exp_fix*i_exp_cap*E72+i_exp_var*E145</f>
        <v/>
      </c>
      <c r="F146" s="19">
        <f>F140*i_exp_fix*i_exp_cap*F72+i_exp_var*F145</f>
        <v/>
      </c>
      <c r="G146" s="19">
        <f>G140*i_exp_fix*i_exp_cap*G72+i_exp_var*G145</f>
        <v/>
      </c>
      <c r="H146" s="19">
        <f>H140*i_exp_fix*i_exp_cap*H72+i_exp_var*H145</f>
        <v/>
      </c>
      <c r="I146" s="19">
        <f>I140*i_exp_fix*i_exp_cap*I72+i_exp_var*I145</f>
        <v/>
      </c>
      <c r="J146" s="19">
        <f>J140*i_exp_fix*i_exp_cap*J72+i_exp_var*J145</f>
        <v/>
      </c>
      <c r="K146" s="19">
        <f>K140*i_exp_fix*i_exp_cap*K72+i_exp_var*K145</f>
        <v/>
      </c>
      <c r="L146" s="19">
        <f>L140*i_exp_fix*i_exp_cap*L72+i_exp_var*L145</f>
        <v/>
      </c>
      <c r="M146" s="19">
        <f>M140*i_exp_fix*i_exp_cap*M72+i_exp_var*M145</f>
        <v/>
      </c>
      <c r="N146" s="19">
        <f>N140*i_exp_fix*i_exp_cap*N72+i_exp_var*N145</f>
        <v/>
      </c>
      <c r="O146" s="19">
        <f>O140*i_exp_fix*i_exp_cap*O72+i_exp_var*O145</f>
        <v/>
      </c>
      <c r="P146" s="19">
        <f>P140*i_exp_fix*i_exp_cap*P72+i_exp_var*P145</f>
        <v/>
      </c>
      <c r="Q146" s="19">
        <f>Q140*i_exp_fix*i_exp_cap*Q72+i_exp_var*Q145</f>
        <v/>
      </c>
      <c r="R146" s="19">
        <f>R140*i_exp_fix*i_exp_cap*R72+i_exp_var*R145</f>
        <v/>
      </c>
      <c r="S146" s="19">
        <f>S140*i_exp_fix*i_exp_cap*S72+i_exp_var*S145</f>
        <v/>
      </c>
      <c r="T146" s="19">
        <f>T140*i_exp_fix*i_exp_cap*T72+i_exp_var*T145</f>
        <v/>
      </c>
      <c r="U146" s="19">
        <f>U140*i_exp_fix*i_exp_cap*U72+i_exp_var*U145</f>
        <v/>
      </c>
      <c r="V146" s="19">
        <f>V140*i_exp_fix*i_exp_cap*V72+i_exp_var*V145</f>
        <v/>
      </c>
      <c r="W146" s="19">
        <f>W140*i_exp_fix*i_exp_cap*W72+i_exp_var*W145</f>
        <v/>
      </c>
      <c r="X146" s="19">
        <f>X140*i_exp_fix*i_exp_cap*X72+i_exp_var*X145</f>
        <v/>
      </c>
      <c r="Y146" s="19">
        <f>Y140*i_exp_fix*i_exp_cap*Y72+i_exp_var*Y145</f>
        <v/>
      </c>
      <c r="Z146" s="19">
        <f>Z140*i_exp_fix*i_exp_cap*Z72+i_exp_var*Z145</f>
        <v/>
      </c>
      <c r="AA146" s="19">
        <f>AA140*i_exp_fix*i_exp_cap*AA72+i_exp_var*AA145</f>
        <v/>
      </c>
      <c r="AB146" s="19">
        <f>AB140*i_exp_fix*i_exp_cap*AB72+i_exp_var*AB145</f>
        <v/>
      </c>
      <c r="AC146" s="19">
        <f>AC140*i_exp_fix*i_exp_cap*AC72+i_exp_var*AC145</f>
        <v/>
      </c>
      <c r="AD146" s="19">
        <f>AD140*i_exp_fix*i_exp_cap*AD72+i_exp_var*AD145</f>
        <v/>
      </c>
      <c r="AE146" s="19">
        <f>AE140*i_exp_fix*i_exp_cap*AE72+i_exp_var*AE145</f>
        <v/>
      </c>
      <c r="AF146" s="19">
        <f>AF140*i_exp_fix*i_exp_cap*AF72+i_exp_var*AF145</f>
        <v/>
      </c>
      <c r="AG146" s="19">
        <f>AG140*i_exp_fix*i_exp_cap*AG72+i_exp_var*AG145</f>
        <v/>
      </c>
      <c r="AH146" s="19">
        <f>AH140*i_exp_fix*i_exp_cap*AH72+i_exp_var*AH145</f>
        <v/>
      </c>
      <c r="AI146" s="19">
        <f>AI140*i_exp_fix*i_exp_cap*AI72+i_exp_var*AI145</f>
        <v/>
      </c>
    </row>
    <row r="147">
      <c r="B147" s="3" t="inlineStr">
        <is>
          <t xml:space="preserve">  EBITDA</t>
        </is>
      </c>
      <c r="D147" s="31">
        <f>D145-D146</f>
        <v/>
      </c>
      <c r="E147" s="31">
        <f>E145-E146</f>
        <v/>
      </c>
      <c r="F147" s="31">
        <f>F145-F146</f>
        <v/>
      </c>
      <c r="G147" s="31">
        <f>G145-G146</f>
        <v/>
      </c>
      <c r="H147" s="31">
        <f>H145-H146</f>
        <v/>
      </c>
      <c r="I147" s="31">
        <f>I145-I146</f>
        <v/>
      </c>
      <c r="J147" s="31">
        <f>J145-J146</f>
        <v/>
      </c>
      <c r="K147" s="31">
        <f>K145-K146</f>
        <v/>
      </c>
      <c r="L147" s="31">
        <f>L145-L146</f>
        <v/>
      </c>
      <c r="M147" s="31">
        <f>M145-M146</f>
        <v/>
      </c>
      <c r="N147" s="31">
        <f>N145-N146</f>
        <v/>
      </c>
      <c r="O147" s="31">
        <f>O145-O146</f>
        <v/>
      </c>
      <c r="P147" s="31">
        <f>P145-P146</f>
        <v/>
      </c>
      <c r="Q147" s="31">
        <f>Q145-Q146</f>
        <v/>
      </c>
      <c r="R147" s="31">
        <f>R145-R146</f>
        <v/>
      </c>
      <c r="S147" s="31">
        <f>S145-S146</f>
        <v/>
      </c>
      <c r="T147" s="31">
        <f>T145-T146</f>
        <v/>
      </c>
      <c r="U147" s="31">
        <f>U145-U146</f>
        <v/>
      </c>
      <c r="V147" s="31">
        <f>V145-V146</f>
        <v/>
      </c>
      <c r="W147" s="31">
        <f>W145-W146</f>
        <v/>
      </c>
      <c r="X147" s="31">
        <f>X145-X146</f>
        <v/>
      </c>
      <c r="Y147" s="31">
        <f>Y145-Y146</f>
        <v/>
      </c>
      <c r="Z147" s="31">
        <f>Z145-Z146</f>
        <v/>
      </c>
      <c r="AA147" s="31">
        <f>AA145-AA146</f>
        <v/>
      </c>
      <c r="AB147" s="31">
        <f>AB145-AB146</f>
        <v/>
      </c>
      <c r="AC147" s="31">
        <f>AC145-AC146</f>
        <v/>
      </c>
      <c r="AD147" s="31">
        <f>AD145-AD146</f>
        <v/>
      </c>
      <c r="AE147" s="31">
        <f>AE145-AE146</f>
        <v/>
      </c>
      <c r="AF147" s="31">
        <f>AF145-AF146</f>
        <v/>
      </c>
      <c r="AG147" s="31">
        <f>AG145-AG146</f>
        <v/>
      </c>
      <c r="AH147" s="31">
        <f>AH145-AH146</f>
        <v/>
      </c>
      <c r="AI147" s="31">
        <f>AI145-AI146</f>
        <v/>
      </c>
    </row>
    <row r="148">
      <c r="B148" s="2" t="inlineStr">
        <is>
          <t xml:space="preserve">  Maintenance capex</t>
        </is>
      </c>
      <c r="D148" s="19">
        <f>D140*i_exp_mc*i_exp_cap*D72</f>
        <v/>
      </c>
      <c r="E148" s="19">
        <f>E140*i_exp_mc*i_exp_cap*E72</f>
        <v/>
      </c>
      <c r="F148" s="19">
        <f>F140*i_exp_mc*i_exp_cap*F72</f>
        <v/>
      </c>
      <c r="G148" s="19">
        <f>G140*i_exp_mc*i_exp_cap*G72</f>
        <v/>
      </c>
      <c r="H148" s="19">
        <f>H140*i_exp_mc*i_exp_cap*H72</f>
        <v/>
      </c>
      <c r="I148" s="19">
        <f>I140*i_exp_mc*i_exp_cap*I72</f>
        <v/>
      </c>
      <c r="J148" s="19">
        <f>J140*i_exp_mc*i_exp_cap*J72</f>
        <v/>
      </c>
      <c r="K148" s="19">
        <f>K140*i_exp_mc*i_exp_cap*K72</f>
        <v/>
      </c>
      <c r="L148" s="19">
        <f>L140*i_exp_mc*i_exp_cap*L72</f>
        <v/>
      </c>
      <c r="M148" s="19">
        <f>M140*i_exp_mc*i_exp_cap*M72</f>
        <v/>
      </c>
      <c r="N148" s="19">
        <f>N140*i_exp_mc*i_exp_cap*N72</f>
        <v/>
      </c>
      <c r="O148" s="19">
        <f>O140*i_exp_mc*i_exp_cap*O72</f>
        <v/>
      </c>
      <c r="P148" s="19">
        <f>P140*i_exp_mc*i_exp_cap*P72</f>
        <v/>
      </c>
      <c r="Q148" s="19">
        <f>Q140*i_exp_mc*i_exp_cap*Q72</f>
        <v/>
      </c>
      <c r="R148" s="19">
        <f>R140*i_exp_mc*i_exp_cap*R72</f>
        <v/>
      </c>
      <c r="S148" s="19">
        <f>S140*i_exp_mc*i_exp_cap*S72</f>
        <v/>
      </c>
      <c r="T148" s="19">
        <f>T140*i_exp_mc*i_exp_cap*T72</f>
        <v/>
      </c>
      <c r="U148" s="19">
        <f>U140*i_exp_mc*i_exp_cap*U72</f>
        <v/>
      </c>
      <c r="V148" s="19">
        <f>V140*i_exp_mc*i_exp_cap*V72</f>
        <v/>
      </c>
      <c r="W148" s="19">
        <f>W140*i_exp_mc*i_exp_cap*W72</f>
        <v/>
      </c>
      <c r="X148" s="19">
        <f>X140*i_exp_mc*i_exp_cap*X72</f>
        <v/>
      </c>
      <c r="Y148" s="19">
        <f>Y140*i_exp_mc*i_exp_cap*Y72</f>
        <v/>
      </c>
      <c r="Z148" s="19">
        <f>Z140*i_exp_mc*i_exp_cap*Z72</f>
        <v/>
      </c>
      <c r="AA148" s="19">
        <f>AA140*i_exp_mc*i_exp_cap*AA72</f>
        <v/>
      </c>
      <c r="AB148" s="19">
        <f>AB140*i_exp_mc*i_exp_cap*AB72</f>
        <v/>
      </c>
      <c r="AC148" s="19">
        <f>AC140*i_exp_mc*i_exp_cap*AC72</f>
        <v/>
      </c>
      <c r="AD148" s="19">
        <f>AD140*i_exp_mc*i_exp_cap*AD72</f>
        <v/>
      </c>
      <c r="AE148" s="19">
        <f>AE140*i_exp_mc*i_exp_cap*AE72</f>
        <v/>
      </c>
      <c r="AF148" s="19">
        <f>AF140*i_exp_mc*i_exp_cap*AF72</f>
        <v/>
      </c>
      <c r="AG148" s="19">
        <f>AG140*i_exp_mc*i_exp_cap*AG72</f>
        <v/>
      </c>
      <c r="AH148" s="19">
        <f>AH140*i_exp_mc*i_exp_cap*AH72</f>
        <v/>
      </c>
      <c r="AI148" s="19">
        <f>AI140*i_exp_mc*i_exp_cap*AI72</f>
        <v/>
      </c>
    </row>
    <row r="150">
      <c r="B150" s="5" t="inlineStr">
        <is>
          <t>Consolidated</t>
        </is>
      </c>
    </row>
    <row r="151">
      <c r="B151" s="2" t="inlineStr">
        <is>
          <t>Revenue</t>
        </is>
      </c>
      <c r="D151" s="19">
        <f>D85+D101+D116+D131+D145</f>
        <v/>
      </c>
      <c r="E151" s="19">
        <f>E85+E101+E116+E131+E145</f>
        <v/>
      </c>
      <c r="F151" s="19">
        <f>F85+F101+F116+F131+F145</f>
        <v/>
      </c>
      <c r="G151" s="19">
        <f>G85+G101+G116+G131+G145</f>
        <v/>
      </c>
      <c r="H151" s="19">
        <f>H85+H101+H116+H131+H145</f>
        <v/>
      </c>
      <c r="I151" s="19">
        <f>I85+I101+I116+I131+I145</f>
        <v/>
      </c>
      <c r="J151" s="19">
        <f>J85+J101+J116+J131+J145</f>
        <v/>
      </c>
      <c r="K151" s="19">
        <f>K85+K101+K116+K131+K145</f>
        <v/>
      </c>
      <c r="L151" s="19">
        <f>L85+L101+L116+L131+L145</f>
        <v/>
      </c>
      <c r="M151" s="19">
        <f>M85+M101+M116+M131+M145</f>
        <v/>
      </c>
      <c r="N151" s="19">
        <f>N85+N101+N116+N131+N145</f>
        <v/>
      </c>
      <c r="O151" s="19">
        <f>O85+O101+O116+O131+O145</f>
        <v/>
      </c>
      <c r="P151" s="19">
        <f>P85+P101+P116+P131+P145</f>
        <v/>
      </c>
      <c r="Q151" s="19">
        <f>Q85+Q101+Q116+Q131+Q145</f>
        <v/>
      </c>
      <c r="R151" s="19">
        <f>R85+R101+R116+R131+R145</f>
        <v/>
      </c>
      <c r="S151" s="19">
        <f>S85+S101+S116+S131+S145</f>
        <v/>
      </c>
      <c r="T151" s="19">
        <f>T85+T101+T116+T131+T145</f>
        <v/>
      </c>
      <c r="U151" s="19">
        <f>U85+U101+U116+U131+U145</f>
        <v/>
      </c>
      <c r="V151" s="19">
        <f>V85+V101+V116+V131+V145</f>
        <v/>
      </c>
      <c r="W151" s="19">
        <f>W85+W101+W116+W131+W145</f>
        <v/>
      </c>
      <c r="X151" s="19">
        <f>X85+X101+X116+X131+X145</f>
        <v/>
      </c>
      <c r="Y151" s="19">
        <f>Y85+Y101+Y116+Y131+Y145</f>
        <v/>
      </c>
      <c r="Z151" s="19">
        <f>Z85+Z101+Z116+Z131+Z145</f>
        <v/>
      </c>
      <c r="AA151" s="19">
        <f>AA85+AA101+AA116+AA131+AA145</f>
        <v/>
      </c>
      <c r="AB151" s="19">
        <f>AB85+AB101+AB116+AB131+AB145</f>
        <v/>
      </c>
      <c r="AC151" s="19">
        <f>AC85+AC101+AC116+AC131+AC145</f>
        <v/>
      </c>
      <c r="AD151" s="19">
        <f>AD85+AD101+AD116+AD131+AD145</f>
        <v/>
      </c>
      <c r="AE151" s="19">
        <f>AE85+AE101+AE116+AE131+AE145</f>
        <v/>
      </c>
      <c r="AF151" s="19">
        <f>AF85+AF101+AF116+AF131+AF145</f>
        <v/>
      </c>
      <c r="AG151" s="19">
        <f>AG85+AG101+AG116+AG131+AG145</f>
        <v/>
      </c>
      <c r="AH151" s="19">
        <f>AH85+AH101+AH116+AH131+AH145</f>
        <v/>
      </c>
      <c r="AI151" s="19">
        <f>AI85+AI101+AI116+AI131+AI145</f>
        <v/>
      </c>
    </row>
    <row r="152">
      <c r="B152" s="2" t="inlineStr">
        <is>
          <t>Business unit EBITDA (with the expansion)</t>
        </is>
      </c>
      <c r="D152" s="19">
        <f>D90+D105+D120+D136+D147</f>
        <v/>
      </c>
      <c r="E152" s="19">
        <f>E90+E105+E120+E136+E147</f>
        <v/>
      </c>
      <c r="F152" s="19">
        <f>F90+F105+F120+F136+F147</f>
        <v/>
      </c>
      <c r="G152" s="19">
        <f>G90+G105+G120+G136+G147</f>
        <v/>
      </c>
      <c r="H152" s="19">
        <f>H90+H105+H120+H136+H147</f>
        <v/>
      </c>
      <c r="I152" s="19">
        <f>I90+I105+I120+I136+I147</f>
        <v/>
      </c>
      <c r="J152" s="19">
        <f>J90+J105+J120+J136+J147</f>
        <v/>
      </c>
      <c r="K152" s="19">
        <f>K90+K105+K120+K136+K147</f>
        <v/>
      </c>
      <c r="L152" s="19">
        <f>L90+L105+L120+L136+L147</f>
        <v/>
      </c>
      <c r="M152" s="19">
        <f>M90+M105+M120+M136+M147</f>
        <v/>
      </c>
      <c r="N152" s="19">
        <f>N90+N105+N120+N136+N147</f>
        <v/>
      </c>
      <c r="O152" s="19">
        <f>O90+O105+O120+O136+O147</f>
        <v/>
      </c>
      <c r="P152" s="19">
        <f>P90+P105+P120+P136+P147</f>
        <v/>
      </c>
      <c r="Q152" s="19">
        <f>Q90+Q105+Q120+Q136+Q147</f>
        <v/>
      </c>
      <c r="R152" s="19">
        <f>R90+R105+R120+R136+R147</f>
        <v/>
      </c>
      <c r="S152" s="19">
        <f>S90+S105+S120+S136+S147</f>
        <v/>
      </c>
      <c r="T152" s="19">
        <f>T90+T105+T120+T136+T147</f>
        <v/>
      </c>
      <c r="U152" s="19">
        <f>U90+U105+U120+U136+U147</f>
        <v/>
      </c>
      <c r="V152" s="19">
        <f>V90+V105+V120+V136+V147</f>
        <v/>
      </c>
      <c r="W152" s="19">
        <f>W90+W105+W120+W136+W147</f>
        <v/>
      </c>
      <c r="X152" s="19">
        <f>X90+X105+X120+X136+X147</f>
        <v/>
      </c>
      <c r="Y152" s="19">
        <f>Y90+Y105+Y120+Y136+Y147</f>
        <v/>
      </c>
      <c r="Z152" s="19">
        <f>Z90+Z105+Z120+Z136+Z147</f>
        <v/>
      </c>
      <c r="AA152" s="19">
        <f>AA90+AA105+AA120+AA136+AA147</f>
        <v/>
      </c>
      <c r="AB152" s="19">
        <f>AB90+AB105+AB120+AB136+AB147</f>
        <v/>
      </c>
      <c r="AC152" s="19">
        <f>AC90+AC105+AC120+AC136+AC147</f>
        <v/>
      </c>
      <c r="AD152" s="19">
        <f>AD90+AD105+AD120+AD136+AD147</f>
        <v/>
      </c>
      <c r="AE152" s="19">
        <f>AE90+AE105+AE120+AE136+AE147</f>
        <v/>
      </c>
      <c r="AF152" s="19">
        <f>AF90+AF105+AF120+AF136+AF147</f>
        <v/>
      </c>
      <c r="AG152" s="19">
        <f>AG90+AG105+AG120+AG136+AG147</f>
        <v/>
      </c>
      <c r="AH152" s="19">
        <f>AH90+AH105+AH120+AH136+AH147</f>
        <v/>
      </c>
      <c r="AI152" s="19">
        <f>AI90+AI105+AI120+AI136+AI147</f>
        <v/>
      </c>
    </row>
    <row r="153">
      <c r="B153" s="2" t="inlineStr">
        <is>
          <t>Corporate costs</t>
        </is>
      </c>
      <c r="D153" s="19">
        <f>i_corp*D72*IF(OR(Bids!$C$69=1,D$3&lt;=i_conc_end),1,i_corp_after_w)+IF(D$3&gt;=i_mitig_start,Bids!$C$71*D72,0)</f>
        <v/>
      </c>
      <c r="E153" s="19">
        <f>i_corp*E72*IF(OR(Bids!$C$69=1,E$3&lt;=i_conc_end),1,i_corp_after_w)+IF(E$3&gt;=i_mitig_start,Bids!$C$71*E72,0)</f>
        <v/>
      </c>
      <c r="F153" s="19">
        <f>i_corp*F72*IF(OR(Bids!$C$69=1,F$3&lt;=i_conc_end),1,i_corp_after_w)+IF(F$3&gt;=i_mitig_start,Bids!$C$71*F72,0)</f>
        <v/>
      </c>
      <c r="G153" s="19">
        <f>i_corp*G72*IF(OR(Bids!$C$69=1,G$3&lt;=i_conc_end),1,i_corp_after_w)+IF(G$3&gt;=i_mitig_start,Bids!$C$71*G72,0)</f>
        <v/>
      </c>
      <c r="H153" s="19">
        <f>i_corp*H72*IF(OR(Bids!$C$69=1,H$3&lt;=i_conc_end),1,i_corp_after_w)+IF(H$3&gt;=i_mitig_start,Bids!$C$71*H72,0)</f>
        <v/>
      </c>
      <c r="I153" s="19">
        <f>i_corp*I72*IF(OR(Bids!$C$69=1,I$3&lt;=i_conc_end),1,i_corp_after_w)+IF(I$3&gt;=i_mitig_start,Bids!$C$71*I72,0)</f>
        <v/>
      </c>
      <c r="J153" s="19">
        <f>i_corp*J72*IF(OR(Bids!$C$69=1,J$3&lt;=i_conc_end),1,i_corp_after_w)+IF(J$3&gt;=i_mitig_start,Bids!$C$71*J72,0)</f>
        <v/>
      </c>
      <c r="K153" s="19">
        <f>i_corp*K72*IF(OR(Bids!$C$69=1,K$3&lt;=i_conc_end),1,i_corp_after_w)+IF(K$3&gt;=i_mitig_start,Bids!$C$71*K72,0)</f>
        <v/>
      </c>
      <c r="L153" s="19">
        <f>i_corp*L72*IF(OR(Bids!$C$69=1,L$3&lt;=i_conc_end),1,i_corp_after_w)+IF(L$3&gt;=i_mitig_start,Bids!$C$71*L72,0)</f>
        <v/>
      </c>
      <c r="M153" s="19">
        <f>i_corp*M72*IF(OR(Bids!$C$69=1,M$3&lt;=i_conc_end),1,i_corp_after_w)+IF(M$3&gt;=i_mitig_start,Bids!$C$71*M72,0)</f>
        <v/>
      </c>
      <c r="N153" s="19">
        <f>i_corp*N72*IF(OR(Bids!$C$69=1,N$3&lt;=i_conc_end),1,i_corp_after_w)+IF(N$3&gt;=i_mitig_start,Bids!$C$71*N72,0)</f>
        <v/>
      </c>
      <c r="O153" s="19">
        <f>i_corp*O72*IF(OR(Bids!$C$69=1,O$3&lt;=i_conc_end),1,i_corp_after_w)+IF(O$3&gt;=i_mitig_start,Bids!$C$71*O72,0)</f>
        <v/>
      </c>
      <c r="P153" s="19">
        <f>i_corp*P72*IF(OR(Bids!$C$69=1,P$3&lt;=i_conc_end),1,i_corp_after_w)+IF(P$3&gt;=i_mitig_start,Bids!$C$71*P72,0)</f>
        <v/>
      </c>
      <c r="Q153" s="19">
        <f>i_corp*Q72*IF(OR(Bids!$C$69=1,Q$3&lt;=i_conc_end),1,i_corp_after_w)+IF(Q$3&gt;=i_mitig_start,Bids!$C$71*Q72,0)</f>
        <v/>
      </c>
      <c r="R153" s="19">
        <f>i_corp*R72*IF(OR(Bids!$C$69=1,R$3&lt;=i_conc_end),1,i_corp_after_w)+IF(R$3&gt;=i_mitig_start,Bids!$C$71*R72,0)</f>
        <v/>
      </c>
      <c r="S153" s="19">
        <f>i_corp*S72*IF(OR(Bids!$C$69=1,S$3&lt;=i_conc_end),1,i_corp_after_w)+IF(S$3&gt;=i_mitig_start,Bids!$C$71*S72,0)</f>
        <v/>
      </c>
      <c r="T153" s="19">
        <f>i_corp*T72*IF(OR(Bids!$C$69=1,T$3&lt;=i_conc_end),1,i_corp_after_w)+IF(T$3&gt;=i_mitig_start,Bids!$C$71*T72,0)</f>
        <v/>
      </c>
      <c r="U153" s="19">
        <f>i_corp*U72*IF(OR(Bids!$C$69=1,U$3&lt;=i_conc_end),1,i_corp_after_w)+IF(U$3&gt;=i_mitig_start,Bids!$C$71*U72,0)</f>
        <v/>
      </c>
      <c r="V153" s="19">
        <f>i_corp*V72*IF(OR(Bids!$C$69=1,V$3&lt;=i_conc_end),1,i_corp_after_w)+IF(V$3&gt;=i_mitig_start,Bids!$C$71*V72,0)</f>
        <v/>
      </c>
      <c r="W153" s="19">
        <f>i_corp*W72*IF(OR(Bids!$C$69=1,W$3&lt;=i_conc_end),1,i_corp_after_w)+IF(W$3&gt;=i_mitig_start,Bids!$C$71*W72,0)</f>
        <v/>
      </c>
      <c r="X153" s="19">
        <f>i_corp*X72*IF(OR(Bids!$C$69=1,X$3&lt;=i_conc_end),1,i_corp_after_w)+IF(X$3&gt;=i_mitig_start,Bids!$C$71*X72,0)</f>
        <v/>
      </c>
      <c r="Y153" s="19">
        <f>i_corp*Y72*IF(OR(Bids!$C$69=1,Y$3&lt;=i_conc_end),1,i_corp_after_w)+IF(Y$3&gt;=i_mitig_start,Bids!$C$71*Y72,0)</f>
        <v/>
      </c>
      <c r="Z153" s="19">
        <f>i_corp*Z72*IF(OR(Bids!$C$69=1,Z$3&lt;=i_conc_end),1,i_corp_after_w)+IF(Z$3&gt;=i_mitig_start,Bids!$C$71*Z72,0)</f>
        <v/>
      </c>
      <c r="AA153" s="19">
        <f>i_corp*AA72*IF(OR(Bids!$C$69=1,AA$3&lt;=i_conc_end),1,i_corp_after_w)+IF(AA$3&gt;=i_mitig_start,Bids!$C$71*AA72,0)</f>
        <v/>
      </c>
      <c r="AB153" s="19">
        <f>i_corp*AB72*IF(OR(Bids!$C$69=1,AB$3&lt;=i_conc_end),1,i_corp_after_w)+IF(AB$3&gt;=i_mitig_start,Bids!$C$71*AB72,0)</f>
        <v/>
      </c>
      <c r="AC153" s="19">
        <f>i_corp*AC72*IF(OR(Bids!$C$69=1,AC$3&lt;=i_conc_end),1,i_corp_after_w)+IF(AC$3&gt;=i_mitig_start,Bids!$C$71*AC72,0)</f>
        <v/>
      </c>
      <c r="AD153" s="19">
        <f>i_corp*AD72*IF(OR(Bids!$C$69=1,AD$3&lt;=i_conc_end),1,i_corp_after_w)+IF(AD$3&gt;=i_mitig_start,Bids!$C$71*AD72,0)</f>
        <v/>
      </c>
      <c r="AE153" s="19">
        <f>i_corp*AE72*IF(OR(Bids!$C$69=1,AE$3&lt;=i_conc_end),1,i_corp_after_w)+IF(AE$3&gt;=i_mitig_start,Bids!$C$71*AE72,0)</f>
        <v/>
      </c>
      <c r="AF153" s="19">
        <f>i_corp*AF72*IF(OR(Bids!$C$69=1,AF$3&lt;=i_conc_end),1,i_corp_after_w)+IF(AF$3&gt;=i_mitig_start,Bids!$C$71*AF72,0)</f>
        <v/>
      </c>
      <c r="AG153" s="19">
        <f>i_corp*AG72*IF(OR(Bids!$C$69=1,AG$3&lt;=i_conc_end),1,i_corp_after_w)+IF(AG$3&gt;=i_mitig_start,Bids!$C$71*AG72,0)</f>
        <v/>
      </c>
      <c r="AH153" s="19">
        <f>i_corp*AH72*IF(OR(Bids!$C$69=1,AH$3&lt;=i_conc_end),1,i_corp_after_w)+IF(AH$3&gt;=i_mitig_start,Bids!$C$71*AH72,0)</f>
        <v/>
      </c>
      <c r="AI153" s="19">
        <f>i_corp*AI72*IF(OR(Bids!$C$69=1,AI$3&lt;=i_conc_end),1,i_corp_after_w)+IF(AI$3&gt;=i_mitig_start,Bids!$C$71*AI72,0)</f>
        <v/>
      </c>
    </row>
    <row r="154">
      <c r="B154" s="3" t="inlineStr">
        <is>
          <t>EBITDA</t>
        </is>
      </c>
      <c r="D154" s="31">
        <f>D152-D153</f>
        <v/>
      </c>
      <c r="E154" s="31">
        <f>E152-E153</f>
        <v/>
      </c>
      <c r="F154" s="31">
        <f>F152-F153</f>
        <v/>
      </c>
      <c r="G154" s="31">
        <f>G152-G153</f>
        <v/>
      </c>
      <c r="H154" s="31">
        <f>H152-H153</f>
        <v/>
      </c>
      <c r="I154" s="31">
        <f>I152-I153</f>
        <v/>
      </c>
      <c r="J154" s="31">
        <f>J152-J153</f>
        <v/>
      </c>
      <c r="K154" s="31">
        <f>K152-K153</f>
        <v/>
      </c>
      <c r="L154" s="31">
        <f>L152-L153</f>
        <v/>
      </c>
      <c r="M154" s="31">
        <f>M152-M153</f>
        <v/>
      </c>
      <c r="N154" s="31">
        <f>N152-N153</f>
        <v/>
      </c>
      <c r="O154" s="31">
        <f>O152-O153</f>
        <v/>
      </c>
      <c r="P154" s="31">
        <f>P152-P153</f>
        <v/>
      </c>
      <c r="Q154" s="31">
        <f>Q152-Q153</f>
        <v/>
      </c>
      <c r="R154" s="31">
        <f>R152-R153</f>
        <v/>
      </c>
      <c r="S154" s="31">
        <f>S152-S153</f>
        <v/>
      </c>
      <c r="T154" s="31">
        <f>T152-T153</f>
        <v/>
      </c>
      <c r="U154" s="31">
        <f>U152-U153</f>
        <v/>
      </c>
      <c r="V154" s="31">
        <f>V152-V153</f>
        <v/>
      </c>
      <c r="W154" s="31">
        <f>W152-W153</f>
        <v/>
      </c>
      <c r="X154" s="31">
        <f>X152-X153</f>
        <v/>
      </c>
      <c r="Y154" s="31">
        <f>Y152-Y153</f>
        <v/>
      </c>
      <c r="Z154" s="31">
        <f>Z152-Z153</f>
        <v/>
      </c>
      <c r="AA154" s="31">
        <f>AA152-AA153</f>
        <v/>
      </c>
      <c r="AB154" s="31">
        <f>AB152-AB153</f>
        <v/>
      </c>
      <c r="AC154" s="31">
        <f>AC152-AC153</f>
        <v/>
      </c>
      <c r="AD154" s="31">
        <f>AD152-AD153</f>
        <v/>
      </c>
      <c r="AE154" s="31">
        <f>AE152-AE153</f>
        <v/>
      </c>
      <c r="AF154" s="31">
        <f>AF152-AF153</f>
        <v/>
      </c>
      <c r="AG154" s="31">
        <f>AG152-AG153</f>
        <v/>
      </c>
      <c r="AH154" s="31">
        <f>AH152-AH153</f>
        <v/>
      </c>
      <c r="AI154" s="31">
        <f>AI152-AI153</f>
        <v/>
      </c>
    </row>
    <row r="155">
      <c r="B155" s="2" t="inlineStr">
        <is>
          <t>Maintenance capex</t>
        </is>
      </c>
      <c r="D155" s="19">
        <f>D91+D106+D121+D137+D148</f>
        <v/>
      </c>
      <c r="E155" s="19">
        <f>E91+E106+E121+E137+E148</f>
        <v/>
      </c>
      <c r="F155" s="19">
        <f>F91+F106+F121+F137+F148</f>
        <v/>
      </c>
      <c r="G155" s="19">
        <f>G91+G106+G121+G137+G148</f>
        <v/>
      </c>
      <c r="H155" s="19">
        <f>H91+H106+H121+H137+H148</f>
        <v/>
      </c>
      <c r="I155" s="19">
        <f>I91+I106+I121+I137+I148</f>
        <v/>
      </c>
      <c r="J155" s="19">
        <f>J91+J106+J121+J137+J148</f>
        <v/>
      </c>
      <c r="K155" s="19">
        <f>K91+K106+K121+K137+K148</f>
        <v/>
      </c>
      <c r="L155" s="19">
        <f>L91+L106+L121+L137+L148</f>
        <v/>
      </c>
      <c r="M155" s="19">
        <f>M91+M106+M121+M137+M148</f>
        <v/>
      </c>
      <c r="N155" s="19">
        <f>N91+N106+N121+N137+N148</f>
        <v/>
      </c>
      <c r="O155" s="19">
        <f>O91+O106+O121+O137+O148</f>
        <v/>
      </c>
      <c r="P155" s="19">
        <f>P91+P106+P121+P137+P148</f>
        <v/>
      </c>
      <c r="Q155" s="19">
        <f>Q91+Q106+Q121+Q137+Q148</f>
        <v/>
      </c>
      <c r="R155" s="19">
        <f>R91+R106+R121+R137+R148</f>
        <v/>
      </c>
      <c r="S155" s="19">
        <f>S91+S106+S121+S137+S148</f>
        <v/>
      </c>
      <c r="T155" s="19">
        <f>T91+T106+T121+T137+T148</f>
        <v/>
      </c>
      <c r="U155" s="19">
        <f>U91+U106+U121+U137+U148</f>
        <v/>
      </c>
      <c r="V155" s="19">
        <f>V91+V106+V121+V137+V148</f>
        <v/>
      </c>
      <c r="W155" s="19">
        <f>W91+W106+W121+W137+W148</f>
        <v/>
      </c>
      <c r="X155" s="19">
        <f>X91+X106+X121+X137+X148</f>
        <v/>
      </c>
      <c r="Y155" s="19">
        <f>Y91+Y106+Y121+Y137+Y148</f>
        <v/>
      </c>
      <c r="Z155" s="19">
        <f>Z91+Z106+Z121+Z137+Z148</f>
        <v/>
      </c>
      <c r="AA155" s="19">
        <f>AA91+AA106+AA121+AA137+AA148</f>
        <v/>
      </c>
      <c r="AB155" s="19">
        <f>AB91+AB106+AB121+AB137+AB148</f>
        <v/>
      </c>
      <c r="AC155" s="19">
        <f>AC91+AC106+AC121+AC137+AC148</f>
        <v/>
      </c>
      <c r="AD155" s="19">
        <f>AD91+AD106+AD121+AD137+AD148</f>
        <v/>
      </c>
      <c r="AE155" s="19">
        <f>AE91+AE106+AE121+AE137+AE148</f>
        <v/>
      </c>
      <c r="AF155" s="19">
        <f>AF91+AF106+AF121+AF137+AF148</f>
        <v/>
      </c>
      <c r="AG155" s="19">
        <f>AG91+AG106+AG121+AG137+AG148</f>
        <v/>
      </c>
      <c r="AH155" s="19">
        <f>AH91+AH106+AH121+AH137+AH148</f>
        <v/>
      </c>
      <c r="AI155" s="19">
        <f>AI91+AI106+AI121+AI137+AI148</f>
        <v/>
      </c>
    </row>
    <row r="156">
      <c r="B156" s="2" t="inlineStr">
        <is>
          <t>Growth capex</t>
        </is>
      </c>
      <c r="D156" s="19">
        <f>D139</f>
        <v/>
      </c>
      <c r="E156" s="19">
        <f>E139</f>
        <v/>
      </c>
      <c r="F156" s="19">
        <f>F139</f>
        <v/>
      </c>
      <c r="G156" s="19">
        <f>G139</f>
        <v/>
      </c>
      <c r="H156" s="19">
        <f>H139</f>
        <v/>
      </c>
      <c r="I156" s="19">
        <f>I139</f>
        <v/>
      </c>
      <c r="J156" s="19">
        <f>J139</f>
        <v/>
      </c>
      <c r="K156" s="19">
        <f>K139</f>
        <v/>
      </c>
      <c r="L156" s="19">
        <f>L139</f>
        <v/>
      </c>
      <c r="M156" s="19">
        <f>M139</f>
        <v/>
      </c>
      <c r="N156" s="19">
        <f>N139</f>
        <v/>
      </c>
      <c r="O156" s="19">
        <f>O139</f>
        <v/>
      </c>
      <c r="P156" s="19">
        <f>P139</f>
        <v/>
      </c>
      <c r="Q156" s="19">
        <f>Q139</f>
        <v/>
      </c>
      <c r="R156" s="19">
        <f>R139</f>
        <v/>
      </c>
      <c r="S156" s="19">
        <f>S139</f>
        <v/>
      </c>
      <c r="T156" s="19">
        <f>T139</f>
        <v/>
      </c>
      <c r="U156" s="19">
        <f>U139</f>
        <v/>
      </c>
      <c r="V156" s="19">
        <f>V139</f>
        <v/>
      </c>
      <c r="W156" s="19">
        <f>W139</f>
        <v/>
      </c>
      <c r="X156" s="19">
        <f>X139</f>
        <v/>
      </c>
      <c r="Y156" s="19">
        <f>Y139</f>
        <v/>
      </c>
      <c r="Z156" s="19">
        <f>Z139</f>
        <v/>
      </c>
      <c r="AA156" s="19">
        <f>AA139</f>
        <v/>
      </c>
      <c r="AB156" s="19">
        <f>AB139</f>
        <v/>
      </c>
      <c r="AC156" s="19">
        <f>AC139</f>
        <v/>
      </c>
      <c r="AD156" s="19">
        <f>AD139</f>
        <v/>
      </c>
      <c r="AE156" s="19">
        <f>AE139</f>
        <v/>
      </c>
      <c r="AF156" s="19">
        <f>AF139</f>
        <v/>
      </c>
      <c r="AG156" s="19">
        <f>AG139</f>
        <v/>
      </c>
      <c r="AH156" s="19">
        <f>AH139</f>
        <v/>
      </c>
      <c r="AI156" s="19">
        <f>AI139</f>
        <v/>
      </c>
    </row>
    <row r="157">
      <c r="B157" s="2" t="inlineStr">
        <is>
          <t>Tax depreciation</t>
        </is>
      </c>
      <c r="D157" s="19">
        <f>D155+IF(D$3&lt;=i_tax_dep_end,i_tax_dep_extra,0)</f>
        <v/>
      </c>
      <c r="E157" s="19">
        <f>E155+IF(E$3&lt;=i_tax_dep_end,i_tax_dep_extra,0)</f>
        <v/>
      </c>
      <c r="F157" s="19">
        <f>F155+IF(F$3&lt;=i_tax_dep_end,i_tax_dep_extra,0)</f>
        <v/>
      </c>
      <c r="G157" s="19">
        <f>G155+IF(G$3&lt;=i_tax_dep_end,i_tax_dep_extra,0)</f>
        <v/>
      </c>
      <c r="H157" s="19">
        <f>H155+IF(H$3&lt;=i_tax_dep_end,i_tax_dep_extra,0)</f>
        <v/>
      </c>
      <c r="I157" s="19">
        <f>I155+IF(I$3&lt;=i_tax_dep_end,i_tax_dep_extra,0)</f>
        <v/>
      </c>
      <c r="J157" s="19">
        <f>J155+IF(J$3&lt;=i_tax_dep_end,i_tax_dep_extra,0)</f>
        <v/>
      </c>
      <c r="K157" s="19">
        <f>K155+IF(K$3&lt;=i_tax_dep_end,i_tax_dep_extra,0)</f>
        <v/>
      </c>
      <c r="L157" s="19">
        <f>L155+IF(L$3&lt;=i_tax_dep_end,i_tax_dep_extra,0)</f>
        <v/>
      </c>
      <c r="M157" s="19">
        <f>M155+IF(M$3&lt;=i_tax_dep_end,i_tax_dep_extra,0)</f>
        <v/>
      </c>
      <c r="N157" s="19">
        <f>N155+IF(N$3&lt;=i_tax_dep_end,i_tax_dep_extra,0)</f>
        <v/>
      </c>
      <c r="O157" s="19">
        <f>O155+IF(O$3&lt;=i_tax_dep_end,i_tax_dep_extra,0)</f>
        <v/>
      </c>
      <c r="P157" s="19">
        <f>P155+IF(P$3&lt;=i_tax_dep_end,i_tax_dep_extra,0)</f>
        <v/>
      </c>
      <c r="Q157" s="19">
        <f>Q155+IF(Q$3&lt;=i_tax_dep_end,i_tax_dep_extra,0)</f>
        <v/>
      </c>
      <c r="R157" s="19">
        <f>R155+IF(R$3&lt;=i_tax_dep_end,i_tax_dep_extra,0)</f>
        <v/>
      </c>
      <c r="S157" s="19">
        <f>S155+IF(S$3&lt;=i_tax_dep_end,i_tax_dep_extra,0)</f>
        <v/>
      </c>
      <c r="T157" s="19">
        <f>T155+IF(T$3&lt;=i_tax_dep_end,i_tax_dep_extra,0)</f>
        <v/>
      </c>
      <c r="U157" s="19">
        <f>U155+IF(U$3&lt;=i_tax_dep_end,i_tax_dep_extra,0)</f>
        <v/>
      </c>
      <c r="V157" s="19">
        <f>V155+IF(V$3&lt;=i_tax_dep_end,i_tax_dep_extra,0)</f>
        <v/>
      </c>
      <c r="W157" s="19">
        <f>W155+IF(W$3&lt;=i_tax_dep_end,i_tax_dep_extra,0)</f>
        <v/>
      </c>
      <c r="X157" s="19">
        <f>X155+IF(X$3&lt;=i_tax_dep_end,i_tax_dep_extra,0)</f>
        <v/>
      </c>
      <c r="Y157" s="19">
        <f>Y155+IF(Y$3&lt;=i_tax_dep_end,i_tax_dep_extra,0)</f>
        <v/>
      </c>
      <c r="Z157" s="19">
        <f>Z155+IF(Z$3&lt;=i_tax_dep_end,i_tax_dep_extra,0)</f>
        <v/>
      </c>
      <c r="AA157" s="19">
        <f>AA155+IF(AA$3&lt;=i_tax_dep_end,i_tax_dep_extra,0)</f>
        <v/>
      </c>
      <c r="AB157" s="19">
        <f>AB155+IF(AB$3&lt;=i_tax_dep_end,i_tax_dep_extra,0)</f>
        <v/>
      </c>
      <c r="AC157" s="19">
        <f>AC155+IF(AC$3&lt;=i_tax_dep_end,i_tax_dep_extra,0)</f>
        <v/>
      </c>
      <c r="AD157" s="19">
        <f>AD155+IF(AD$3&lt;=i_tax_dep_end,i_tax_dep_extra,0)</f>
        <v/>
      </c>
      <c r="AE157" s="19">
        <f>AE155+IF(AE$3&lt;=i_tax_dep_end,i_tax_dep_extra,0)</f>
        <v/>
      </c>
      <c r="AF157" s="19">
        <f>AF155+IF(AF$3&lt;=i_tax_dep_end,i_tax_dep_extra,0)</f>
        <v/>
      </c>
      <c r="AG157" s="19">
        <f>AG155+IF(AG$3&lt;=i_tax_dep_end,i_tax_dep_extra,0)</f>
        <v/>
      </c>
      <c r="AH157" s="19">
        <f>AH155+IF(AH$3&lt;=i_tax_dep_end,i_tax_dep_extra,0)</f>
        <v/>
      </c>
      <c r="AI157" s="19">
        <f>AI155+IF(AI$3&lt;=i_tax_dep_end,i_tax_dep_extra,0)</f>
        <v/>
      </c>
    </row>
    <row r="158">
      <c r="B158" s="2" t="inlineStr">
        <is>
          <t>Unlevered cash tax</t>
        </is>
      </c>
      <c r="D158" s="19">
        <f>i_tax*MAX(0,D154-D157)</f>
        <v/>
      </c>
      <c r="E158" s="19">
        <f>i_tax*MAX(0,E154-E157)</f>
        <v/>
      </c>
      <c r="F158" s="19">
        <f>i_tax*MAX(0,F154-F157)</f>
        <v/>
      </c>
      <c r="G158" s="19">
        <f>i_tax*MAX(0,G154-G157)</f>
        <v/>
      </c>
      <c r="H158" s="19">
        <f>i_tax*MAX(0,H154-H157)</f>
        <v/>
      </c>
      <c r="I158" s="19">
        <f>i_tax*MAX(0,I154-I157)</f>
        <v/>
      </c>
      <c r="J158" s="19">
        <f>i_tax*MAX(0,J154-J157)</f>
        <v/>
      </c>
      <c r="K158" s="19">
        <f>i_tax*MAX(0,K154-K157)</f>
        <v/>
      </c>
      <c r="L158" s="19">
        <f>i_tax*MAX(0,L154-L157)</f>
        <v/>
      </c>
      <c r="M158" s="19">
        <f>i_tax*MAX(0,M154-M157)</f>
        <v/>
      </c>
      <c r="N158" s="19">
        <f>i_tax*MAX(0,N154-N157)</f>
        <v/>
      </c>
      <c r="O158" s="19">
        <f>i_tax*MAX(0,O154-O157)</f>
        <v/>
      </c>
      <c r="P158" s="19">
        <f>i_tax*MAX(0,P154-P157)</f>
        <v/>
      </c>
      <c r="Q158" s="19">
        <f>i_tax*MAX(0,Q154-Q157)</f>
        <v/>
      </c>
      <c r="R158" s="19">
        <f>i_tax*MAX(0,R154-R157)</f>
        <v/>
      </c>
      <c r="S158" s="19">
        <f>i_tax*MAX(0,S154-S157)</f>
        <v/>
      </c>
      <c r="T158" s="19">
        <f>i_tax*MAX(0,T154-T157)</f>
        <v/>
      </c>
      <c r="U158" s="19">
        <f>i_tax*MAX(0,U154-U157)</f>
        <v/>
      </c>
      <c r="V158" s="19">
        <f>i_tax*MAX(0,V154-V157)</f>
        <v/>
      </c>
      <c r="W158" s="19">
        <f>i_tax*MAX(0,W154-W157)</f>
        <v/>
      </c>
      <c r="X158" s="19">
        <f>i_tax*MAX(0,X154-X157)</f>
        <v/>
      </c>
      <c r="Y158" s="19">
        <f>i_tax*MAX(0,Y154-Y157)</f>
        <v/>
      </c>
      <c r="Z158" s="19">
        <f>i_tax*MAX(0,Z154-Z157)</f>
        <v/>
      </c>
      <c r="AA158" s="19">
        <f>i_tax*MAX(0,AA154-AA157)</f>
        <v/>
      </c>
      <c r="AB158" s="19">
        <f>i_tax*MAX(0,AB154-AB157)</f>
        <v/>
      </c>
      <c r="AC158" s="19">
        <f>i_tax*MAX(0,AC154-AC157)</f>
        <v/>
      </c>
      <c r="AD158" s="19">
        <f>i_tax*MAX(0,AD154-AD157)</f>
        <v/>
      </c>
      <c r="AE158" s="19">
        <f>i_tax*MAX(0,AE154-AE157)</f>
        <v/>
      </c>
      <c r="AF158" s="19">
        <f>i_tax*MAX(0,AF154-AF157)</f>
        <v/>
      </c>
      <c r="AG158" s="19">
        <f>i_tax*MAX(0,AG154-AG157)</f>
        <v/>
      </c>
      <c r="AH158" s="19">
        <f>i_tax*MAX(0,AH154-AH157)</f>
        <v/>
      </c>
      <c r="AI158" s="19">
        <f>i_tax*MAX(0,AI154-AI157)</f>
        <v/>
      </c>
    </row>
    <row r="159">
      <c r="B159" s="2" t="inlineStr">
        <is>
          <t>Westerhaven handback works</t>
        </is>
      </c>
      <c r="D159" s="19">
        <f>IF(AND(Bids!$C$69=0,D$3=i_conc_end),i_handback*D72,0)</f>
        <v/>
      </c>
      <c r="E159" s="19">
        <f>IF(AND(Bids!$C$69=0,E$3=i_conc_end),i_handback*E72,0)</f>
        <v/>
      </c>
      <c r="F159" s="19">
        <f>IF(AND(Bids!$C$69=0,F$3=i_conc_end),i_handback*F72,0)</f>
        <v/>
      </c>
      <c r="G159" s="19">
        <f>IF(AND(Bids!$C$69=0,G$3=i_conc_end),i_handback*G72,0)</f>
        <v/>
      </c>
      <c r="H159" s="19">
        <f>IF(AND(Bids!$C$69=0,H$3=i_conc_end),i_handback*H72,0)</f>
        <v/>
      </c>
      <c r="I159" s="19">
        <f>IF(AND(Bids!$C$69=0,I$3=i_conc_end),i_handback*I72,0)</f>
        <v/>
      </c>
      <c r="J159" s="19">
        <f>IF(AND(Bids!$C$69=0,J$3=i_conc_end),i_handback*J72,0)</f>
        <v/>
      </c>
      <c r="K159" s="19">
        <f>IF(AND(Bids!$C$69=0,K$3=i_conc_end),i_handback*K72,0)</f>
        <v/>
      </c>
      <c r="L159" s="19">
        <f>IF(AND(Bids!$C$69=0,L$3=i_conc_end),i_handback*L72,0)</f>
        <v/>
      </c>
      <c r="M159" s="19">
        <f>IF(AND(Bids!$C$69=0,M$3=i_conc_end),i_handback*M72,0)</f>
        <v/>
      </c>
      <c r="N159" s="19">
        <f>IF(AND(Bids!$C$69=0,N$3=i_conc_end),i_handback*N72,0)</f>
        <v/>
      </c>
      <c r="O159" s="19">
        <f>IF(AND(Bids!$C$69=0,O$3=i_conc_end),i_handback*O72,0)</f>
        <v/>
      </c>
      <c r="P159" s="19">
        <f>IF(AND(Bids!$C$69=0,P$3=i_conc_end),i_handback*P72,0)</f>
        <v/>
      </c>
      <c r="Q159" s="19">
        <f>IF(AND(Bids!$C$69=0,Q$3=i_conc_end),i_handback*Q72,0)</f>
        <v/>
      </c>
      <c r="R159" s="19">
        <f>IF(AND(Bids!$C$69=0,R$3=i_conc_end),i_handback*R72,0)</f>
        <v/>
      </c>
      <c r="S159" s="19">
        <f>IF(AND(Bids!$C$69=0,S$3=i_conc_end),i_handback*S72,0)</f>
        <v/>
      </c>
      <c r="T159" s="19">
        <f>IF(AND(Bids!$C$69=0,T$3=i_conc_end),i_handback*T72,0)</f>
        <v/>
      </c>
      <c r="U159" s="19">
        <f>IF(AND(Bids!$C$69=0,U$3=i_conc_end),i_handback*U72,0)</f>
        <v/>
      </c>
      <c r="V159" s="19">
        <f>IF(AND(Bids!$C$69=0,V$3=i_conc_end),i_handback*V72,0)</f>
        <v/>
      </c>
      <c r="W159" s="19">
        <f>IF(AND(Bids!$C$69=0,W$3=i_conc_end),i_handback*W72,0)</f>
        <v/>
      </c>
      <c r="X159" s="19">
        <f>IF(AND(Bids!$C$69=0,X$3=i_conc_end),i_handback*X72,0)</f>
        <v/>
      </c>
      <c r="Y159" s="19">
        <f>IF(AND(Bids!$C$69=0,Y$3=i_conc_end),i_handback*Y72,0)</f>
        <v/>
      </c>
      <c r="Z159" s="19">
        <f>IF(AND(Bids!$C$69=0,Z$3=i_conc_end),i_handback*Z72,0)</f>
        <v/>
      </c>
      <c r="AA159" s="19">
        <f>IF(AND(Bids!$C$69=0,AA$3=i_conc_end),i_handback*AA72,0)</f>
        <v/>
      </c>
      <c r="AB159" s="19">
        <f>IF(AND(Bids!$C$69=0,AB$3=i_conc_end),i_handback*AB72,0)</f>
        <v/>
      </c>
      <c r="AC159" s="19">
        <f>IF(AND(Bids!$C$69=0,AC$3=i_conc_end),i_handback*AC72,0)</f>
        <v/>
      </c>
      <c r="AD159" s="19">
        <f>IF(AND(Bids!$C$69=0,AD$3=i_conc_end),i_handback*AD72,0)</f>
        <v/>
      </c>
      <c r="AE159" s="19">
        <f>IF(AND(Bids!$C$69=0,AE$3=i_conc_end),i_handback*AE72,0)</f>
        <v/>
      </c>
      <c r="AF159" s="19">
        <f>IF(AND(Bids!$C$69=0,AF$3=i_conc_end),i_handback*AF72,0)</f>
        <v/>
      </c>
      <c r="AG159" s="19">
        <f>IF(AND(Bids!$C$69=0,AG$3=i_conc_end),i_handback*AG72,0)</f>
        <v/>
      </c>
      <c r="AH159" s="19">
        <f>IF(AND(Bids!$C$69=0,AH$3=i_conc_end),i_handback*AH72,0)</f>
        <v/>
      </c>
      <c r="AI159" s="19">
        <f>IF(AND(Bids!$C$69=0,AI$3=i_conc_end),i_handback*AI72,0)</f>
        <v/>
      </c>
    </row>
    <row r="160">
      <c r="B160" s="3" t="inlineStr">
        <is>
          <t>Free cash flow (unlevered)</t>
        </is>
      </c>
      <c r="D160" s="31">
        <f>D154-D155-D156-D158-D159</f>
        <v/>
      </c>
      <c r="E160" s="31">
        <f>E154-E155-E156-E158-E159</f>
        <v/>
      </c>
      <c r="F160" s="31">
        <f>F154-F155-F156-F158-F159</f>
        <v/>
      </c>
      <c r="G160" s="31">
        <f>G154-G155-G156-G158-G159</f>
        <v/>
      </c>
      <c r="H160" s="31">
        <f>H154-H155-H156-H158-H159</f>
        <v/>
      </c>
      <c r="I160" s="31">
        <f>I154-I155-I156-I158-I159</f>
        <v/>
      </c>
      <c r="J160" s="31">
        <f>J154-J155-J156-J158-J159</f>
        <v/>
      </c>
      <c r="K160" s="31">
        <f>K154-K155-K156-K158-K159</f>
        <v/>
      </c>
      <c r="L160" s="31">
        <f>L154-L155-L156-L158-L159</f>
        <v/>
      </c>
      <c r="M160" s="31">
        <f>M154-M155-M156-M158-M159</f>
        <v/>
      </c>
      <c r="N160" s="31">
        <f>N154-N155-N156-N158-N159</f>
        <v/>
      </c>
      <c r="O160" s="31">
        <f>O154-O155-O156-O158-O159</f>
        <v/>
      </c>
      <c r="P160" s="31">
        <f>P154-P155-P156-P158-P159</f>
        <v/>
      </c>
      <c r="Q160" s="31">
        <f>Q154-Q155-Q156-Q158-Q159</f>
        <v/>
      </c>
      <c r="R160" s="31">
        <f>R154-R155-R156-R158-R159</f>
        <v/>
      </c>
      <c r="S160" s="31">
        <f>S154-S155-S156-S158-S159</f>
        <v/>
      </c>
      <c r="T160" s="31">
        <f>T154-T155-T156-T158-T159</f>
        <v/>
      </c>
      <c r="U160" s="31">
        <f>U154-U155-U156-U158-U159</f>
        <v/>
      </c>
      <c r="V160" s="31">
        <f>V154-V155-V156-V158-V159</f>
        <v/>
      </c>
      <c r="W160" s="31">
        <f>W154-W155-W156-W158-W159</f>
        <v/>
      </c>
      <c r="X160" s="31">
        <f>X154-X155-X156-X158-X159</f>
        <v/>
      </c>
      <c r="Y160" s="31">
        <f>Y154-Y155-Y156-Y158-Y159</f>
        <v/>
      </c>
      <c r="Z160" s="31">
        <f>Z154-Z155-Z156-Z158-Z159</f>
        <v/>
      </c>
      <c r="AA160" s="31">
        <f>AA154-AA155-AA156-AA158-AA159</f>
        <v/>
      </c>
      <c r="AB160" s="31">
        <f>AB154-AB155-AB156-AB158-AB159</f>
        <v/>
      </c>
      <c r="AC160" s="31">
        <f>AC154-AC155-AC156-AC158-AC159</f>
        <v/>
      </c>
      <c r="AD160" s="31">
        <f>AD154-AD155-AD156-AD158-AD159</f>
        <v/>
      </c>
      <c r="AE160" s="31">
        <f>AE154-AE155-AE156-AE158-AE159</f>
        <v/>
      </c>
      <c r="AF160" s="31">
        <f>AF154-AF155-AF156-AF158-AF159</f>
        <v/>
      </c>
      <c r="AG160" s="31">
        <f>AG154-AG155-AG156-AG158-AG159</f>
        <v/>
      </c>
      <c r="AH160" s="31">
        <f>AH154-AH155-AH156-AH158-AH159</f>
        <v/>
      </c>
      <c r="AI160" s="31">
        <f>AI154-AI155-AI156-AI158-AI159</f>
        <v/>
      </c>
    </row>
    <row r="161">
      <c r="B161" s="2" t="inlineStr">
        <is>
          <t>Present value at the discount rate (2027 to 2056)</t>
        </is>
      </c>
      <c r="D161" s="19">
        <f>IF(AND(D$3&gt;i_base_year,D$3&lt;=i_last),D160/(1+i_r)^D$4,0)</f>
        <v/>
      </c>
      <c r="E161" s="19">
        <f>IF(AND(E$3&gt;i_base_year,E$3&lt;=i_last),E160/(1+i_r)^E$4,0)</f>
        <v/>
      </c>
      <c r="F161" s="19">
        <f>IF(AND(F$3&gt;i_base_year,F$3&lt;=i_last),F160/(1+i_r)^F$4,0)</f>
        <v/>
      </c>
      <c r="G161" s="19">
        <f>IF(AND(G$3&gt;i_base_year,G$3&lt;=i_last),G160/(1+i_r)^G$4,0)</f>
        <v/>
      </c>
      <c r="H161" s="19">
        <f>IF(AND(H$3&gt;i_base_year,H$3&lt;=i_last),H160/(1+i_r)^H$4,0)</f>
        <v/>
      </c>
      <c r="I161" s="19">
        <f>IF(AND(I$3&gt;i_base_year,I$3&lt;=i_last),I160/(1+i_r)^I$4,0)</f>
        <v/>
      </c>
      <c r="J161" s="19">
        <f>IF(AND(J$3&gt;i_base_year,J$3&lt;=i_last),J160/(1+i_r)^J$4,0)</f>
        <v/>
      </c>
      <c r="K161" s="19">
        <f>IF(AND(K$3&gt;i_base_year,K$3&lt;=i_last),K160/(1+i_r)^K$4,0)</f>
        <v/>
      </c>
      <c r="L161" s="19">
        <f>IF(AND(L$3&gt;i_base_year,L$3&lt;=i_last),L160/(1+i_r)^L$4,0)</f>
        <v/>
      </c>
      <c r="M161" s="19">
        <f>IF(AND(M$3&gt;i_base_year,M$3&lt;=i_last),M160/(1+i_r)^M$4,0)</f>
        <v/>
      </c>
      <c r="N161" s="19">
        <f>IF(AND(N$3&gt;i_base_year,N$3&lt;=i_last),N160/(1+i_r)^N$4,0)</f>
        <v/>
      </c>
      <c r="O161" s="19">
        <f>IF(AND(O$3&gt;i_base_year,O$3&lt;=i_last),O160/(1+i_r)^O$4,0)</f>
        <v/>
      </c>
      <c r="P161" s="19">
        <f>IF(AND(P$3&gt;i_base_year,P$3&lt;=i_last),P160/(1+i_r)^P$4,0)</f>
        <v/>
      </c>
      <c r="Q161" s="19">
        <f>IF(AND(Q$3&gt;i_base_year,Q$3&lt;=i_last),Q160/(1+i_r)^Q$4,0)</f>
        <v/>
      </c>
      <c r="R161" s="19">
        <f>IF(AND(R$3&gt;i_base_year,R$3&lt;=i_last),R160/(1+i_r)^R$4,0)</f>
        <v/>
      </c>
      <c r="S161" s="19">
        <f>IF(AND(S$3&gt;i_base_year,S$3&lt;=i_last),S160/(1+i_r)^S$4,0)</f>
        <v/>
      </c>
      <c r="T161" s="19">
        <f>IF(AND(T$3&gt;i_base_year,T$3&lt;=i_last),T160/(1+i_r)^T$4,0)</f>
        <v/>
      </c>
      <c r="U161" s="19">
        <f>IF(AND(U$3&gt;i_base_year,U$3&lt;=i_last),U160/(1+i_r)^U$4,0)</f>
        <v/>
      </c>
      <c r="V161" s="19">
        <f>IF(AND(V$3&gt;i_base_year,V$3&lt;=i_last),V160/(1+i_r)^V$4,0)</f>
        <v/>
      </c>
      <c r="W161" s="19">
        <f>IF(AND(W$3&gt;i_base_year,W$3&lt;=i_last),W160/(1+i_r)^W$4,0)</f>
        <v/>
      </c>
      <c r="X161" s="19">
        <f>IF(AND(X$3&gt;i_base_year,X$3&lt;=i_last),X160/(1+i_r)^X$4,0)</f>
        <v/>
      </c>
      <c r="Y161" s="19">
        <f>IF(AND(Y$3&gt;i_base_year,Y$3&lt;=i_last),Y160/(1+i_r)^Y$4,0)</f>
        <v/>
      </c>
      <c r="Z161" s="19">
        <f>IF(AND(Z$3&gt;i_base_year,Z$3&lt;=i_last),Z160/(1+i_r)^Z$4,0)</f>
        <v/>
      </c>
      <c r="AA161" s="19">
        <f>IF(AND(AA$3&gt;i_base_year,AA$3&lt;=i_last),AA160/(1+i_r)^AA$4,0)</f>
        <v/>
      </c>
      <c r="AB161" s="19">
        <f>IF(AND(AB$3&gt;i_base_year,AB$3&lt;=i_last),AB160/(1+i_r)^AB$4,0)</f>
        <v/>
      </c>
      <c r="AC161" s="19">
        <f>IF(AND(AC$3&gt;i_base_year,AC$3&lt;=i_last),AC160/(1+i_r)^AC$4,0)</f>
        <v/>
      </c>
      <c r="AD161" s="19">
        <f>IF(AND(AD$3&gt;i_base_year,AD$3&lt;=i_last),AD160/(1+i_r)^AD$4,0)</f>
        <v/>
      </c>
      <c r="AE161" s="19">
        <f>IF(AND(AE$3&gt;i_base_year,AE$3&lt;=i_last),AE160/(1+i_r)^AE$4,0)</f>
        <v/>
      </c>
      <c r="AF161" s="19">
        <f>IF(AND(AF$3&gt;i_base_year,AF$3&lt;=i_last),AF160/(1+i_r)^AF$4,0)</f>
        <v/>
      </c>
      <c r="AG161" s="19">
        <f>IF(AND(AG$3&gt;i_base_year,AG$3&lt;=i_last),AG160/(1+i_r)^AG$4,0)</f>
        <v/>
      </c>
      <c r="AH161" s="19">
        <f>IF(AND(AH$3&gt;i_base_year,AH$3&lt;=i_last),AH160/(1+i_r)^AH$4,0)</f>
        <v/>
      </c>
      <c r="AI161" s="19">
        <f>IF(AND(AI$3&gt;i_base_year,AI$3&lt;=i_last),AI160/(1+i_r)^AI$4,0)</f>
        <v/>
      </c>
    </row>
    <row r="162">
      <c r="B162" s="2" t="inlineStr">
        <is>
          <t>Present value of 2027 to 2056 free cash flow</t>
        </is>
      </c>
      <c r="C162" s="19">
        <f>SUM(D161:AI161)</f>
        <v/>
      </c>
    </row>
    <row r="163">
      <c r="B163" s="2" t="inlineStr">
        <is>
          <t>Terminal value at the end of 2056 (on 2057 free cash flow)</t>
        </is>
      </c>
      <c r="C163" s="19">
        <f>AI160/(i_r-i_g)</f>
        <v/>
      </c>
    </row>
    <row r="164">
      <c r="B164" s="2" t="inlineStr">
        <is>
          <t>Present value of the terminal value</t>
        </is>
      </c>
      <c r="C164" s="19">
        <f>C163/(1+i_r)^(i_last-i_base_year)</f>
        <v/>
      </c>
    </row>
    <row r="165">
      <c r="B165" s="3" t="inlineStr">
        <is>
          <t>Enterprise value at 31 December 2026</t>
        </is>
      </c>
      <c r="C165" s="31">
        <f>C162+C164</f>
        <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B1:AL473"/>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12"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 width="11" customWidth="1" min="36" max="36"/>
    <col width="11" customWidth="1" min="37" max="37"/>
    <col width="11" customWidth="1" min="38" max="38"/>
  </cols>
  <sheetData>
    <row r="1">
      <c r="B1" s="1" t="inlineStr">
        <is>
          <t>Approvals: the filing map and the cost of delay (chapter 13)</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c r="AJ3" s="5" t="inlineStr">
        <is>
          <t>Closing</t>
        </is>
      </c>
      <c r="AK3" s="5" t="inlineStr">
        <is>
          <t>Minority sale</t>
        </is>
      </c>
      <c r="AL3" s="5" t="inlineStr">
        <is>
          <t>Exit</t>
        </is>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Case figures used by the tests</t>
        </is>
      </c>
      <c r="C6" s="6" t="n"/>
    </row>
    <row r="7">
      <c r="B7" s="2" t="inlineStr">
        <is>
          <t>Corvane 2026 revenue in EUR m (all terminals)</t>
        </is>
      </c>
      <c r="C7" s="34">
        <f>Platform!$D$7/i_eurusd</f>
        <v/>
      </c>
    </row>
    <row r="8">
      <c r="B8" s="2" t="inlineStr">
        <is>
          <t>Corvane EU turnover in EUR m (Netherlands)</t>
        </is>
      </c>
      <c r="C8" s="34">
        <f>Platform!$C$146</f>
        <v/>
      </c>
    </row>
    <row r="9">
      <c r="B9" s="2" t="inlineStr">
        <is>
          <t>Thamesbridge turnover in GBP m</t>
        </is>
      </c>
      <c r="C9" s="34">
        <f>Platform!$C$148</f>
        <v/>
      </c>
    </row>
    <row r="10">
      <c r="B10" s="2" t="inlineStr">
        <is>
          <t>HSR: value of securities acquired (equity price, $m)</t>
        </is>
      </c>
      <c r="C10" s="34">
        <f>Price!$C$19</f>
        <v/>
      </c>
    </row>
    <row r="11">
      <c r="B11" s="2" t="inlineStr">
        <is>
          <t>HSR filing fee ($m)</t>
        </is>
      </c>
      <c r="C11" s="39">
        <f>Financing!$C$14</f>
        <v/>
      </c>
    </row>
    <row r="12">
      <c r="B12" s="3" t="inlineStr">
        <is>
          <t>Regime</t>
        </is>
      </c>
      <c r="C12" s="3" t="inlineStr">
        <is>
          <t>Result on the case inputs</t>
        </is>
      </c>
      <c r="H12" s="3" t="inlineStr">
        <is>
          <t>Statutory timing</t>
        </is>
      </c>
    </row>
    <row r="13">
      <c r="B13" s="2" t="inlineStr">
        <is>
          <t>EU merger control (joint control by Northgate and Laurentide)</t>
        </is>
      </c>
      <c r="C13" s="2">
        <f>IF(AND(i_ng_world+i_la_world+C7&gt;i_eumr_world,(i_ng_eu&gt;i_eumr_eu)+(i_la_eu&gt;i_eumr_eu)+(C8&gt;i_eumr_eu)&gt;=2),"Thresholds met: notify the Commission (simplified procedure expected)","Below the thresholds")</f>
        <v/>
      </c>
      <c r="H13" s="4" t="inlineStr">
        <is>
          <t>Pre-notification April to June; Phase I 25 working days</t>
        </is>
      </c>
    </row>
    <row r="14">
      <c r="B14" s="2" t="inlineStr">
        <is>
          <t>Foreign Subsidies Regulation</t>
        </is>
      </c>
      <c r="C14" s="2">
        <f>IF(C8&gt;=i_fsr_thr,"Notification required","Below the EUR 500 million threshold: no notification")</f>
        <v/>
      </c>
      <c r="H14" s="4" t="inlineStr">
        <is>
          <t>Ex officio powers remain</t>
        </is>
      </c>
    </row>
    <row r="15">
      <c r="B15" s="2" t="inlineStr">
        <is>
          <t>UK merger control (CMA)</t>
        </is>
      </c>
      <c r="C15" s="2">
        <f>IF(C9&gt;i_cma_thr,"Turnover test met","Turnover test not met; no 25 percent share of supply: no filing")</f>
        <v/>
      </c>
      <c r="H15" s="4" t="inlineStr">
        <is>
          <t>None</t>
        </is>
      </c>
    </row>
    <row r="16">
      <c r="B16" s="2" t="inlineStr">
        <is>
          <t>UK National Security and Investment Act</t>
        </is>
      </c>
      <c r="C16" s="2" t="inlineStr">
        <is>
          <t>Mandatory notification (fuel storage above the downstream oil thresholds, case assumption)</t>
        </is>
      </c>
      <c r="H16" s="4" t="inlineStr">
        <is>
          <t>30 working days; call-in adds 45</t>
        </is>
      </c>
    </row>
    <row r="17">
      <c r="B17" s="2" t="inlineStr">
        <is>
          <t>US HSR</t>
        </is>
      </c>
      <c r="C17" s="2">
        <f>IF(C10&gt;=INDEX(i_hsr_lo,1),"Filing required; fee "&amp;TEXT(C11*1000,"#,##0")&amp;" thousand dollars","No filing")</f>
        <v/>
      </c>
      <c r="H17" s="4" t="inlineStr">
        <is>
          <t>30 days</t>
        </is>
      </c>
    </row>
    <row r="18">
      <c r="B18" s="2" t="inlineStr">
        <is>
          <t>CFIUS</t>
        </is>
      </c>
      <c r="C18" s="2" t="inlineStr">
        <is>
          <t>Voluntary declaration (Aldara and Laurentide are foreign persons; not covered critical infrastructure on the parties' analysis)</t>
        </is>
      </c>
      <c r="H18" s="4" t="inlineStr">
        <is>
          <t>30 days; full notice 45 plus 45</t>
        </is>
      </c>
    </row>
    <row r="19">
      <c r="B19" s="2" t="inlineStr">
        <is>
          <t>Netherlands (Vifo Act)</t>
        </is>
      </c>
      <c r="C19" s="2" t="inlineStr">
        <is>
          <t>Not designated vital providers (case assumption): no filing</t>
        </is>
      </c>
      <c r="H19" s="4" t="inlineStr">
        <is>
          <t>Revised EU FDI rules from 17 January 2028</t>
        </is>
      </c>
    </row>
    <row r="21">
      <c r="B21" s="5" t="inlineStr">
        <is>
          <t>Delay cases</t>
        </is>
      </c>
      <c r="C21" s="5" t="inlineStr">
        <is>
          <t>Closing (t)</t>
        </is>
      </c>
      <c r="D21" s="5" t="inlineStr">
        <is>
          <t>Ticking fee</t>
        </is>
      </c>
      <c r="E21" s="5" t="inlineStr">
        <is>
          <t>Commitment fees</t>
        </is>
      </c>
      <c r="F21" s="5" t="inlineStr">
        <is>
          <t>Box cash</t>
        </is>
      </c>
      <c r="G21" s="5" t="inlineStr">
        <is>
          <t>Equity</t>
        </is>
      </c>
      <c r="H21" s="5" t="inlineStr">
        <is>
          <t>Levered IRR</t>
        </is>
      </c>
      <c r="I21" s="5" t="inlineStr">
        <is>
          <t>Unlevered IRR</t>
        </is>
      </c>
      <c r="J21" s="5" t="inlineStr">
        <is>
          <t>Mitigation</t>
        </is>
      </c>
    </row>
    <row r="22">
      <c r="B22" s="2" t="inlineStr">
        <is>
          <t>base: 30 September 2027</t>
        </is>
      </c>
      <c r="C22" s="24">
        <f>Approvals!$C$150</f>
        <v/>
      </c>
      <c r="D22" s="19">
        <f>Approvals!$C$164</f>
        <v/>
      </c>
      <c r="E22" s="19">
        <f>Approvals!$C$182</f>
        <v/>
      </c>
      <c r="F22" s="19">
        <f>Approvals!$C$167</f>
        <v/>
      </c>
      <c r="G22" s="19">
        <f>Approvals!$C$196</f>
        <v/>
      </c>
      <c r="H22" s="23">
        <f>Approvals!$C$217</f>
        <v/>
      </c>
      <c r="I22" s="23">
        <f>Approvals!$C$218</f>
        <v/>
      </c>
      <c r="J22" s="19">
        <f>Inputs!$D$201</f>
        <v/>
      </c>
    </row>
    <row r="23">
      <c r="B23" s="2" t="inlineStr">
        <is>
          <t>CFIUS full notice and NSIA call-in: 31 December 2027</t>
        </is>
      </c>
      <c r="C23" s="24">
        <f>Approvals!$C$232</f>
        <v/>
      </c>
      <c r="D23" s="19">
        <f>Approvals!$C$246</f>
        <v/>
      </c>
      <c r="E23" s="19">
        <f>Approvals!$C$264</f>
        <v/>
      </c>
      <c r="F23" s="19">
        <f>Approvals!$C$249</f>
        <v/>
      </c>
      <c r="G23" s="19">
        <f>Approvals!$C$278</f>
        <v/>
      </c>
      <c r="H23" s="23">
        <f>Approvals!$C$299</f>
        <v/>
      </c>
      <c r="I23" s="23">
        <f>Approvals!$C$300</f>
        <v/>
      </c>
      <c r="J23" s="19">
        <f>Inputs!$D$202</f>
        <v/>
      </c>
    </row>
    <row r="24">
      <c r="B24" s="2" t="inlineStr">
        <is>
          <t>as above, with a CFIUS mitigation agreement</t>
        </is>
      </c>
      <c r="C24" s="24">
        <f>Approvals!$C$314</f>
        <v/>
      </c>
      <c r="D24" s="19">
        <f>Approvals!$C$328</f>
        <v/>
      </c>
      <c r="E24" s="19">
        <f>Approvals!$C$346</f>
        <v/>
      </c>
      <c r="F24" s="19">
        <f>Approvals!$C$331</f>
        <v/>
      </c>
      <c r="G24" s="19">
        <f>Approvals!$C$360</f>
        <v/>
      </c>
      <c r="H24" s="23">
        <f>Approvals!$C$381</f>
        <v/>
      </c>
      <c r="I24" s="23">
        <f>Approvals!$C$382</f>
        <v/>
      </c>
      <c r="J24" s="19">
        <f>Inputs!$D$203</f>
        <v/>
      </c>
    </row>
    <row r="25">
      <c r="B25" s="2" t="inlineStr">
        <is>
          <t>long stop date: 31 March 2028</t>
        </is>
      </c>
      <c r="C25" s="24">
        <f>Approvals!$C$396</f>
        <v/>
      </c>
      <c r="D25" s="19">
        <f>Approvals!$C$410</f>
        <v/>
      </c>
      <c r="E25" s="19">
        <f>Approvals!$C$428</f>
        <v/>
      </c>
      <c r="F25" s="19">
        <f>Approvals!$C$413</f>
        <v/>
      </c>
      <c r="G25" s="19">
        <f>Approvals!$C$442</f>
        <v/>
      </c>
      <c r="H25" s="23">
        <f>Approvals!$C$463</f>
        <v/>
      </c>
      <c r="I25" s="23">
        <f>Approvals!$C$464</f>
        <v/>
      </c>
      <c r="J25" s="19">
        <f>Inputs!$D$204</f>
        <v/>
      </c>
    </row>
    <row r="26">
      <c r="B26" s="2" t="inlineStr">
        <is>
          <t>Box cash a year, share of the equity price (against the ticking fee)</t>
        </is>
      </c>
      <c r="C26" s="21">
        <f>Price!$C$32</f>
        <v/>
      </c>
    </row>
    <row r="40">
      <c r="B40" s="5" t="inlineStr">
        <is>
          <t>Platform case: buyer's base case with the mitigation compliance cost</t>
        </is>
      </c>
    </row>
    <row r="41">
      <c r="B41" s="4" t="inlineStr">
        <is>
          <t>Inflation</t>
        </is>
      </c>
      <c r="C41" s="27">
        <f>Inputs!$R$219</f>
        <v/>
      </c>
    </row>
    <row r="42">
      <c r="B42" s="4" t="inlineStr">
        <is>
          <t>Buyer's recontracting rates (1) or seller's plan rates (0)</t>
        </is>
      </c>
      <c r="C42" s="26">
        <f>Inputs!$R$220</f>
        <v/>
      </c>
    </row>
    <row r="43">
      <c r="B43" s="4" t="inlineStr">
        <is>
          <t>Largest Westerhaven customer leaves (1/0)</t>
        </is>
      </c>
      <c r="C43" s="26">
        <f>Inputs!$R$221</f>
        <v/>
      </c>
    </row>
    <row r="44">
      <c r="B44" s="4" t="inlineStr">
        <is>
          <t>Jetty 3 refurbishment (1/0)</t>
        </is>
      </c>
      <c r="C44" s="26">
        <f>Inputs!$R$222</f>
        <v/>
      </c>
    </row>
    <row r="45">
      <c r="B45" s="4" t="inlineStr">
        <is>
          <t>Sabine Bend extra insurance (1/0)</t>
        </is>
      </c>
      <c r="C45" s="26">
        <f>Inputs!$R$223</f>
        <v/>
      </c>
    </row>
    <row r="46">
      <c r="B46" s="4" t="inlineStr">
        <is>
          <t>Expansion built (1/0)</t>
        </is>
      </c>
      <c r="C46" s="26">
        <f>Inputs!$R$224</f>
        <v/>
      </c>
    </row>
    <row r="47">
      <c r="B47" s="4" t="inlineStr">
        <is>
          <t>Occupancy shift from 2027</t>
        </is>
      </c>
      <c r="C47" s="27">
        <f>Inputs!$R$225</f>
        <v/>
      </c>
    </row>
    <row r="48">
      <c r="B48" s="4" t="inlineStr">
        <is>
          <t>Recontracting shift</t>
        </is>
      </c>
      <c r="C48" s="27">
        <f>Inputs!$R$226</f>
        <v/>
      </c>
    </row>
    <row r="49">
      <c r="B49" s="4" t="inlineStr">
        <is>
          <t>Concession renewed (1/0)</t>
        </is>
      </c>
      <c r="C49" s="26">
        <f>Inputs!$R$227</f>
        <v/>
      </c>
    </row>
    <row r="50">
      <c r="B50" s="4" t="inlineStr">
        <is>
          <t>Westerhaven capacity multiplier</t>
        </is>
      </c>
      <c r="C50" s="28">
        <f>Inputs!$R$228</f>
        <v/>
      </c>
    </row>
    <row r="51">
      <c r="B51" s="4" t="inlineStr">
        <is>
          <t>Extra yearly cost from 2028 ($m, 2026 dollars)</t>
        </is>
      </c>
      <c r="C51" s="29">
        <f>Inputs!$R$229</f>
        <v/>
      </c>
    </row>
    <row r="52">
      <c r="B52" s="2" t="inlineStr">
        <is>
          <t>Cost index (inflation)</t>
        </is>
      </c>
      <c r="D52" s="30">
        <f>(1+Approvals!$C$41)^D$4</f>
        <v/>
      </c>
      <c r="E52" s="30">
        <f>(1+Approvals!$C$41)^E$4</f>
        <v/>
      </c>
      <c r="F52" s="30">
        <f>(1+Approvals!$C$41)^F$4</f>
        <v/>
      </c>
      <c r="G52" s="30">
        <f>(1+Approvals!$C$41)^G$4</f>
        <v/>
      </c>
      <c r="H52" s="30">
        <f>(1+Approvals!$C$41)^H$4</f>
        <v/>
      </c>
      <c r="I52" s="30">
        <f>(1+Approvals!$C$41)^I$4</f>
        <v/>
      </c>
      <c r="J52" s="30">
        <f>(1+Approvals!$C$41)^J$4</f>
        <v/>
      </c>
      <c r="K52" s="30">
        <f>(1+Approvals!$C$41)^K$4</f>
        <v/>
      </c>
      <c r="L52" s="30">
        <f>(1+Approvals!$C$41)^L$4</f>
        <v/>
      </c>
      <c r="M52" s="30">
        <f>(1+Approvals!$C$41)^M$4</f>
        <v/>
      </c>
      <c r="N52" s="30">
        <f>(1+Approvals!$C$41)^N$4</f>
        <v/>
      </c>
      <c r="O52" s="30">
        <f>(1+Approvals!$C$41)^O$4</f>
        <v/>
      </c>
      <c r="P52" s="30">
        <f>(1+Approvals!$C$41)^P$4</f>
        <v/>
      </c>
      <c r="Q52" s="30">
        <f>(1+Approvals!$C$41)^Q$4</f>
        <v/>
      </c>
      <c r="R52" s="30">
        <f>(1+Approvals!$C$41)^R$4</f>
        <v/>
      </c>
      <c r="S52" s="30">
        <f>(1+Approvals!$C$41)^S$4</f>
        <v/>
      </c>
      <c r="T52" s="30">
        <f>(1+Approvals!$C$41)^T$4</f>
        <v/>
      </c>
      <c r="U52" s="30">
        <f>(1+Approvals!$C$41)^U$4</f>
        <v/>
      </c>
      <c r="V52" s="30">
        <f>(1+Approvals!$C$41)^V$4</f>
        <v/>
      </c>
      <c r="W52" s="30">
        <f>(1+Approvals!$C$41)^W$4</f>
        <v/>
      </c>
      <c r="X52" s="30">
        <f>(1+Approvals!$C$41)^X$4</f>
        <v/>
      </c>
      <c r="Y52" s="30">
        <f>(1+Approvals!$C$41)^Y$4</f>
        <v/>
      </c>
      <c r="Z52" s="30">
        <f>(1+Approvals!$C$41)^Z$4</f>
        <v/>
      </c>
      <c r="AA52" s="30">
        <f>(1+Approvals!$C$41)^AA$4</f>
        <v/>
      </c>
      <c r="AB52" s="30">
        <f>(1+Approvals!$C$41)^AB$4</f>
        <v/>
      </c>
      <c r="AC52" s="30">
        <f>(1+Approvals!$C$41)^AC$4</f>
        <v/>
      </c>
      <c r="AD52" s="30">
        <f>(1+Approvals!$C$41)^AD$4</f>
        <v/>
      </c>
      <c r="AE52" s="30">
        <f>(1+Approvals!$C$41)^AE$4</f>
        <v/>
      </c>
      <c r="AF52" s="30">
        <f>(1+Approvals!$C$41)^AF$4</f>
        <v/>
      </c>
      <c r="AG52" s="30">
        <f>(1+Approvals!$C$41)^AG$4</f>
        <v/>
      </c>
      <c r="AH52" s="30">
        <f>(1+Approvals!$C$41)^AH$4</f>
        <v/>
      </c>
      <c r="AI52" s="30">
        <f>(1+Approvals!$C$41)^AI$4</f>
        <v/>
      </c>
    </row>
    <row r="53">
      <c r="B53" s="2" t="inlineStr">
        <is>
          <t>Rate index (inflation x pass-through)</t>
        </is>
      </c>
      <c r="D53" s="30">
        <f>(1+Approvals!$C$41*i_index_share)^D$4</f>
        <v/>
      </c>
      <c r="E53" s="30">
        <f>(1+Approvals!$C$41*i_index_share)^E$4</f>
        <v/>
      </c>
      <c r="F53" s="30">
        <f>(1+Approvals!$C$41*i_index_share)^F$4</f>
        <v/>
      </c>
      <c r="G53" s="30">
        <f>(1+Approvals!$C$41*i_index_share)^G$4</f>
        <v/>
      </c>
      <c r="H53" s="30">
        <f>(1+Approvals!$C$41*i_index_share)^H$4</f>
        <v/>
      </c>
      <c r="I53" s="30">
        <f>(1+Approvals!$C$41*i_index_share)^I$4</f>
        <v/>
      </c>
      <c r="J53" s="30">
        <f>(1+Approvals!$C$41*i_index_share)^J$4</f>
        <v/>
      </c>
      <c r="K53" s="30">
        <f>(1+Approvals!$C$41*i_index_share)^K$4</f>
        <v/>
      </c>
      <c r="L53" s="30">
        <f>(1+Approvals!$C$41*i_index_share)^L$4</f>
        <v/>
      </c>
      <c r="M53" s="30">
        <f>(1+Approvals!$C$41*i_index_share)^M$4</f>
        <v/>
      </c>
      <c r="N53" s="30">
        <f>(1+Approvals!$C$41*i_index_share)^N$4</f>
        <v/>
      </c>
      <c r="O53" s="30">
        <f>(1+Approvals!$C$41*i_index_share)^O$4</f>
        <v/>
      </c>
      <c r="P53" s="30">
        <f>(1+Approvals!$C$41*i_index_share)^P$4</f>
        <v/>
      </c>
      <c r="Q53" s="30">
        <f>(1+Approvals!$C$41*i_index_share)^Q$4</f>
        <v/>
      </c>
      <c r="R53" s="30">
        <f>(1+Approvals!$C$41*i_index_share)^R$4</f>
        <v/>
      </c>
      <c r="S53" s="30">
        <f>(1+Approvals!$C$41*i_index_share)^S$4</f>
        <v/>
      </c>
      <c r="T53" s="30">
        <f>(1+Approvals!$C$41*i_index_share)^T$4</f>
        <v/>
      </c>
      <c r="U53" s="30">
        <f>(1+Approvals!$C$41*i_index_share)^U$4</f>
        <v/>
      </c>
      <c r="V53" s="30">
        <f>(1+Approvals!$C$41*i_index_share)^V$4</f>
        <v/>
      </c>
      <c r="W53" s="30">
        <f>(1+Approvals!$C$41*i_index_share)^W$4</f>
        <v/>
      </c>
      <c r="X53" s="30">
        <f>(1+Approvals!$C$41*i_index_share)^X$4</f>
        <v/>
      </c>
      <c r="Y53" s="30">
        <f>(1+Approvals!$C$41*i_index_share)^Y$4</f>
        <v/>
      </c>
      <c r="Z53" s="30">
        <f>(1+Approvals!$C$41*i_index_share)^Z$4</f>
        <v/>
      </c>
      <c r="AA53" s="30">
        <f>(1+Approvals!$C$41*i_index_share)^AA$4</f>
        <v/>
      </c>
      <c r="AB53" s="30">
        <f>(1+Approvals!$C$41*i_index_share)^AB$4</f>
        <v/>
      </c>
      <c r="AC53" s="30">
        <f>(1+Approvals!$C$41*i_index_share)^AC$4</f>
        <v/>
      </c>
      <c r="AD53" s="30">
        <f>(1+Approvals!$C$41*i_index_share)^AD$4</f>
        <v/>
      </c>
      <c r="AE53" s="30">
        <f>(1+Approvals!$C$41*i_index_share)^AE$4</f>
        <v/>
      </c>
      <c r="AF53" s="30">
        <f>(1+Approvals!$C$41*i_index_share)^AF$4</f>
        <v/>
      </c>
      <c r="AG53" s="30">
        <f>(1+Approvals!$C$41*i_index_share)^AG$4</f>
        <v/>
      </c>
      <c r="AH53" s="30">
        <f>(1+Approvals!$C$41*i_index_share)^AH$4</f>
        <v/>
      </c>
      <c r="AI53" s="30">
        <f>(1+Approvals!$C$41*i_index_share)^AI$4</f>
        <v/>
      </c>
    </row>
    <row r="54">
      <c r="B54" s="3" t="inlineStr">
        <is>
          <t>Westerhaven</t>
        </is>
      </c>
    </row>
    <row r="55">
      <c r="B55" s="2" t="inlineStr">
        <is>
          <t xml:space="preserve">  Concession in force (1/0)</t>
        </is>
      </c>
      <c r="D55" s="22">
        <f>IF(Approvals!$C$49=1,1,IF(D$3&lt;=i_conc_end,1,0))</f>
        <v/>
      </c>
      <c r="E55" s="22">
        <f>IF(Approvals!$C$49=1,1,IF(E$3&lt;=i_conc_end,1,0))</f>
        <v/>
      </c>
      <c r="F55" s="22">
        <f>IF(Approvals!$C$49=1,1,IF(F$3&lt;=i_conc_end,1,0))</f>
        <v/>
      </c>
      <c r="G55" s="22">
        <f>IF(Approvals!$C$49=1,1,IF(G$3&lt;=i_conc_end,1,0))</f>
        <v/>
      </c>
      <c r="H55" s="22">
        <f>IF(Approvals!$C$49=1,1,IF(H$3&lt;=i_conc_end,1,0))</f>
        <v/>
      </c>
      <c r="I55" s="22">
        <f>IF(Approvals!$C$49=1,1,IF(I$3&lt;=i_conc_end,1,0))</f>
        <v/>
      </c>
      <c r="J55" s="22">
        <f>IF(Approvals!$C$49=1,1,IF(J$3&lt;=i_conc_end,1,0))</f>
        <v/>
      </c>
      <c r="K55" s="22">
        <f>IF(Approvals!$C$49=1,1,IF(K$3&lt;=i_conc_end,1,0))</f>
        <v/>
      </c>
      <c r="L55" s="22">
        <f>IF(Approvals!$C$49=1,1,IF(L$3&lt;=i_conc_end,1,0))</f>
        <v/>
      </c>
      <c r="M55" s="22">
        <f>IF(Approvals!$C$49=1,1,IF(M$3&lt;=i_conc_end,1,0))</f>
        <v/>
      </c>
      <c r="N55" s="22">
        <f>IF(Approvals!$C$49=1,1,IF(N$3&lt;=i_conc_end,1,0))</f>
        <v/>
      </c>
      <c r="O55" s="22">
        <f>IF(Approvals!$C$49=1,1,IF(O$3&lt;=i_conc_end,1,0))</f>
        <v/>
      </c>
      <c r="P55" s="22">
        <f>IF(Approvals!$C$49=1,1,IF(P$3&lt;=i_conc_end,1,0))</f>
        <v/>
      </c>
      <c r="Q55" s="22">
        <f>IF(Approvals!$C$49=1,1,IF(Q$3&lt;=i_conc_end,1,0))</f>
        <v/>
      </c>
      <c r="R55" s="22">
        <f>IF(Approvals!$C$49=1,1,IF(R$3&lt;=i_conc_end,1,0))</f>
        <v/>
      </c>
      <c r="S55" s="22">
        <f>IF(Approvals!$C$49=1,1,IF(S$3&lt;=i_conc_end,1,0))</f>
        <v/>
      </c>
      <c r="T55" s="22">
        <f>IF(Approvals!$C$49=1,1,IF(T$3&lt;=i_conc_end,1,0))</f>
        <v/>
      </c>
      <c r="U55" s="22">
        <f>IF(Approvals!$C$49=1,1,IF(U$3&lt;=i_conc_end,1,0))</f>
        <v/>
      </c>
      <c r="V55" s="22">
        <f>IF(Approvals!$C$49=1,1,IF(V$3&lt;=i_conc_end,1,0))</f>
        <v/>
      </c>
      <c r="W55" s="22">
        <f>IF(Approvals!$C$49=1,1,IF(W$3&lt;=i_conc_end,1,0))</f>
        <v/>
      </c>
      <c r="X55" s="22">
        <f>IF(Approvals!$C$49=1,1,IF(X$3&lt;=i_conc_end,1,0))</f>
        <v/>
      </c>
      <c r="Y55" s="22">
        <f>IF(Approvals!$C$49=1,1,IF(Y$3&lt;=i_conc_end,1,0))</f>
        <v/>
      </c>
      <c r="Z55" s="22">
        <f>IF(Approvals!$C$49=1,1,IF(Z$3&lt;=i_conc_end,1,0))</f>
        <v/>
      </c>
      <c r="AA55" s="22">
        <f>IF(Approvals!$C$49=1,1,IF(AA$3&lt;=i_conc_end,1,0))</f>
        <v/>
      </c>
      <c r="AB55" s="22">
        <f>IF(Approvals!$C$49=1,1,IF(AB$3&lt;=i_conc_end,1,0))</f>
        <v/>
      </c>
      <c r="AC55" s="22">
        <f>IF(Approvals!$C$49=1,1,IF(AC$3&lt;=i_conc_end,1,0))</f>
        <v/>
      </c>
      <c r="AD55" s="22">
        <f>IF(Approvals!$C$49=1,1,IF(AD$3&lt;=i_conc_end,1,0))</f>
        <v/>
      </c>
      <c r="AE55" s="22">
        <f>IF(Approvals!$C$49=1,1,IF(AE$3&lt;=i_conc_end,1,0))</f>
        <v/>
      </c>
      <c r="AF55" s="22">
        <f>IF(Approvals!$C$49=1,1,IF(AF$3&lt;=i_conc_end,1,0))</f>
        <v/>
      </c>
      <c r="AG55" s="22">
        <f>IF(Approvals!$C$49=1,1,IF(AG$3&lt;=i_conc_end,1,0))</f>
        <v/>
      </c>
      <c r="AH55" s="22">
        <f>IF(Approvals!$C$49=1,1,IF(AH$3&lt;=i_conc_end,1,0))</f>
        <v/>
      </c>
      <c r="AI55" s="22">
        <f>IF(Approvals!$C$49=1,1,IF(AI$3&lt;=i_conc_end,1,0))</f>
        <v/>
      </c>
    </row>
    <row r="56">
      <c r="B56" s="2" t="inlineStr">
        <is>
          <t xml:space="preserve">  Capacity in service (million m3)</t>
        </is>
      </c>
      <c r="D56" s="24">
        <f>i_W_cap*Approvals!$C$50*D55</f>
        <v/>
      </c>
      <c r="E56" s="24">
        <f>i_W_cap*Approvals!$C$50*E55</f>
        <v/>
      </c>
      <c r="F56" s="24">
        <f>i_W_cap*Approvals!$C$50*F55</f>
        <v/>
      </c>
      <c r="G56" s="24">
        <f>i_W_cap*Approvals!$C$50*G55</f>
        <v/>
      </c>
      <c r="H56" s="24">
        <f>i_W_cap*Approvals!$C$50*H55</f>
        <v/>
      </c>
      <c r="I56" s="24">
        <f>i_W_cap*Approvals!$C$50*I55</f>
        <v/>
      </c>
      <c r="J56" s="24">
        <f>i_W_cap*Approvals!$C$50*J55</f>
        <v/>
      </c>
      <c r="K56" s="24">
        <f>i_W_cap*Approvals!$C$50*K55</f>
        <v/>
      </c>
      <c r="L56" s="24">
        <f>i_W_cap*Approvals!$C$50*L55</f>
        <v/>
      </c>
      <c r="M56" s="24">
        <f>i_W_cap*Approvals!$C$50*M55</f>
        <v/>
      </c>
      <c r="N56" s="24">
        <f>i_W_cap*Approvals!$C$50*N55</f>
        <v/>
      </c>
      <c r="O56" s="24">
        <f>i_W_cap*Approvals!$C$50*O55</f>
        <v/>
      </c>
      <c r="P56" s="24">
        <f>i_W_cap*Approvals!$C$50*P55</f>
        <v/>
      </c>
      <c r="Q56" s="24">
        <f>i_W_cap*Approvals!$C$50*Q55</f>
        <v/>
      </c>
      <c r="R56" s="24">
        <f>i_W_cap*Approvals!$C$50*R55</f>
        <v/>
      </c>
      <c r="S56" s="24">
        <f>i_W_cap*Approvals!$C$50*S55</f>
        <v/>
      </c>
      <c r="T56" s="24">
        <f>i_W_cap*Approvals!$C$50*T55</f>
        <v/>
      </c>
      <c r="U56" s="24">
        <f>i_W_cap*Approvals!$C$50*U55</f>
        <v/>
      </c>
      <c r="V56" s="24">
        <f>i_W_cap*Approvals!$C$50*V55</f>
        <v/>
      </c>
      <c r="W56" s="24">
        <f>i_W_cap*Approvals!$C$50*W55</f>
        <v/>
      </c>
      <c r="X56" s="24">
        <f>i_W_cap*Approvals!$C$50*X55</f>
        <v/>
      </c>
      <c r="Y56" s="24">
        <f>i_W_cap*Approvals!$C$50*Y55</f>
        <v/>
      </c>
      <c r="Z56" s="24">
        <f>i_W_cap*Approvals!$C$50*Z55</f>
        <v/>
      </c>
      <c r="AA56" s="24">
        <f>i_W_cap*Approvals!$C$50*AA55</f>
        <v/>
      </c>
      <c r="AB56" s="24">
        <f>i_W_cap*Approvals!$C$50*AB55</f>
        <v/>
      </c>
      <c r="AC56" s="24">
        <f>i_W_cap*Approvals!$C$50*AC55</f>
        <v/>
      </c>
      <c r="AD56" s="24">
        <f>i_W_cap*Approvals!$C$50*AD55</f>
        <v/>
      </c>
      <c r="AE56" s="24">
        <f>i_W_cap*Approvals!$C$50*AE55</f>
        <v/>
      </c>
      <c r="AF56" s="24">
        <f>i_W_cap*Approvals!$C$50*AF55</f>
        <v/>
      </c>
      <c r="AG56" s="24">
        <f>i_W_cap*Approvals!$C$50*AG55</f>
        <v/>
      </c>
      <c r="AH56" s="24">
        <f>i_W_cap*Approvals!$C$50*AH55</f>
        <v/>
      </c>
      <c r="AI56" s="24">
        <f>i_W_cap*Approvals!$C$50*AI55</f>
        <v/>
      </c>
    </row>
    <row r="57">
      <c r="B57" s="2" t="inlineStr">
        <is>
          <t xml:space="preserve">  Share on contracts signed before 2027</t>
        </is>
      </c>
      <c r="D57" s="21">
        <f>SUMIF(i_book_years,D$3,i_W_book)</f>
        <v/>
      </c>
      <c r="E57" s="21">
        <f>SUMIF(i_book_years,E$3,i_W_book)</f>
        <v/>
      </c>
      <c r="F57" s="21">
        <f>SUMIF(i_book_years,F$3,i_W_book)</f>
        <v/>
      </c>
      <c r="G57" s="21">
        <f>SUMIF(i_book_years,G$3,i_W_book)</f>
        <v/>
      </c>
      <c r="H57" s="21">
        <f>SUMIF(i_book_years,H$3,i_W_book)</f>
        <v/>
      </c>
      <c r="I57" s="21">
        <f>SUMIF(i_book_years,I$3,i_W_book)</f>
        <v/>
      </c>
      <c r="J57" s="21">
        <f>SUMIF(i_book_years,J$3,i_W_book)</f>
        <v/>
      </c>
      <c r="K57" s="21">
        <f>SUMIF(i_book_years,K$3,i_W_book)</f>
        <v/>
      </c>
      <c r="L57" s="21">
        <f>SUMIF(i_book_years,L$3,i_W_book)</f>
        <v/>
      </c>
      <c r="M57" s="21">
        <f>SUMIF(i_book_years,M$3,i_W_book)</f>
        <v/>
      </c>
      <c r="N57" s="21">
        <f>SUMIF(i_book_years,N$3,i_W_book)</f>
        <v/>
      </c>
      <c r="O57" s="21">
        <f>SUMIF(i_book_years,O$3,i_W_book)</f>
        <v/>
      </c>
      <c r="P57" s="21">
        <f>SUMIF(i_book_years,P$3,i_W_book)</f>
        <v/>
      </c>
      <c r="Q57" s="21">
        <f>SUMIF(i_book_years,Q$3,i_W_book)</f>
        <v/>
      </c>
      <c r="R57" s="21">
        <f>SUMIF(i_book_years,R$3,i_W_book)</f>
        <v/>
      </c>
      <c r="S57" s="21">
        <f>SUMIF(i_book_years,S$3,i_W_book)</f>
        <v/>
      </c>
      <c r="T57" s="21">
        <f>SUMIF(i_book_years,T$3,i_W_book)</f>
        <v/>
      </c>
      <c r="U57" s="21">
        <f>SUMIF(i_book_years,U$3,i_W_book)</f>
        <v/>
      </c>
      <c r="V57" s="21">
        <f>SUMIF(i_book_years,V$3,i_W_book)</f>
        <v/>
      </c>
      <c r="W57" s="21">
        <f>SUMIF(i_book_years,W$3,i_W_book)</f>
        <v/>
      </c>
      <c r="X57" s="21">
        <f>SUMIF(i_book_years,X$3,i_W_book)</f>
        <v/>
      </c>
      <c r="Y57" s="21">
        <f>SUMIF(i_book_years,Y$3,i_W_book)</f>
        <v/>
      </c>
      <c r="Z57" s="21">
        <f>SUMIF(i_book_years,Z$3,i_W_book)</f>
        <v/>
      </c>
      <c r="AA57" s="21">
        <f>SUMIF(i_book_years,AA$3,i_W_book)</f>
        <v/>
      </c>
      <c r="AB57" s="21">
        <f>SUMIF(i_book_years,AB$3,i_W_book)</f>
        <v/>
      </c>
      <c r="AC57" s="21">
        <f>SUMIF(i_book_years,AC$3,i_W_book)</f>
        <v/>
      </c>
      <c r="AD57" s="21">
        <f>SUMIF(i_book_years,AD$3,i_W_book)</f>
        <v/>
      </c>
      <c r="AE57" s="21">
        <f>SUMIF(i_book_years,AE$3,i_W_book)</f>
        <v/>
      </c>
      <c r="AF57" s="21">
        <f>SUMIF(i_book_years,AF$3,i_W_book)</f>
        <v/>
      </c>
      <c r="AG57" s="21">
        <f>SUMIF(i_book_years,AG$3,i_W_book)</f>
        <v/>
      </c>
      <c r="AH57" s="21">
        <f>SUMIF(i_book_years,AH$3,i_W_book)</f>
        <v/>
      </c>
      <c r="AI57" s="21">
        <f>SUMIF(i_book_years,AI$3,i_W_book)</f>
        <v/>
      </c>
    </row>
    <row r="58">
      <c r="B58" s="2" t="inlineStr">
        <is>
          <t xml:space="preserve">  Recontracting factor against current rates</t>
        </is>
      </c>
      <c r="D58" s="21">
        <f>IF(D$4=0,0,IF(Approvals!$C$42=1,i_W_mtm,i_W_mtm_plan)+Approvals!$C$48)</f>
        <v/>
      </c>
      <c r="E58" s="21">
        <f>IF(E$4=0,0,IF(Approvals!$C$42=1,i_W_mtm,i_W_mtm_plan)+Approvals!$C$48)</f>
        <v/>
      </c>
      <c r="F58" s="21">
        <f>IF(F$4=0,0,IF(Approvals!$C$42=1,i_W_mtm,i_W_mtm_plan)+Approvals!$C$48)</f>
        <v/>
      </c>
      <c r="G58" s="21">
        <f>IF(G$4=0,0,IF(Approvals!$C$42=1,i_W_mtm,i_W_mtm_plan)+Approvals!$C$48)</f>
        <v/>
      </c>
      <c r="H58" s="21">
        <f>IF(H$4=0,0,IF(Approvals!$C$42=1,i_W_mtm,i_W_mtm_plan)+Approvals!$C$48)</f>
        <v/>
      </c>
      <c r="I58" s="21">
        <f>IF(I$4=0,0,IF(Approvals!$C$42=1,i_W_mtm,i_W_mtm_plan)+Approvals!$C$48)</f>
        <v/>
      </c>
      <c r="J58" s="21">
        <f>IF(J$4=0,0,IF(Approvals!$C$42=1,i_W_mtm,i_W_mtm_plan)+Approvals!$C$48)</f>
        <v/>
      </c>
      <c r="K58" s="21">
        <f>IF(K$4=0,0,IF(Approvals!$C$42=1,i_W_mtm,i_W_mtm_plan)+Approvals!$C$48)</f>
        <v/>
      </c>
      <c r="L58" s="21">
        <f>IF(L$4=0,0,IF(Approvals!$C$42=1,i_W_mtm,i_W_mtm_plan)+Approvals!$C$48)</f>
        <v/>
      </c>
      <c r="M58" s="21">
        <f>IF(M$4=0,0,IF(Approvals!$C$42=1,i_W_mtm,i_W_mtm_plan)+Approvals!$C$48)</f>
        <v/>
      </c>
      <c r="N58" s="21">
        <f>IF(N$4=0,0,IF(Approvals!$C$42=1,i_W_mtm,i_W_mtm_plan)+Approvals!$C$48)</f>
        <v/>
      </c>
      <c r="O58" s="21">
        <f>IF(O$4=0,0,IF(Approvals!$C$42=1,i_W_mtm,i_W_mtm_plan)+Approvals!$C$48)</f>
        <v/>
      </c>
      <c r="P58" s="21">
        <f>IF(P$4=0,0,IF(Approvals!$C$42=1,i_W_mtm,i_W_mtm_plan)+Approvals!$C$48)</f>
        <v/>
      </c>
      <c r="Q58" s="21">
        <f>IF(Q$4=0,0,IF(Approvals!$C$42=1,i_W_mtm,i_W_mtm_plan)+Approvals!$C$48)</f>
        <v/>
      </c>
      <c r="R58" s="21">
        <f>IF(R$4=0,0,IF(Approvals!$C$42=1,i_W_mtm,i_W_mtm_plan)+Approvals!$C$48)</f>
        <v/>
      </c>
      <c r="S58" s="21">
        <f>IF(S$4=0,0,IF(Approvals!$C$42=1,i_W_mtm,i_W_mtm_plan)+Approvals!$C$48)</f>
        <v/>
      </c>
      <c r="T58" s="21">
        <f>IF(T$4=0,0,IF(Approvals!$C$42=1,i_W_mtm,i_W_mtm_plan)+Approvals!$C$48)</f>
        <v/>
      </c>
      <c r="U58" s="21">
        <f>IF(U$4=0,0,IF(Approvals!$C$42=1,i_W_mtm,i_W_mtm_plan)+Approvals!$C$48)</f>
        <v/>
      </c>
      <c r="V58" s="21">
        <f>IF(V$4=0,0,IF(Approvals!$C$42=1,i_W_mtm,i_W_mtm_plan)+Approvals!$C$48)</f>
        <v/>
      </c>
      <c r="W58" s="21">
        <f>IF(W$4=0,0,IF(Approvals!$C$42=1,i_W_mtm,i_W_mtm_plan)+Approvals!$C$48)</f>
        <v/>
      </c>
      <c r="X58" s="21">
        <f>IF(X$4=0,0,IF(Approvals!$C$42=1,i_W_mtm,i_W_mtm_plan)+Approvals!$C$48)</f>
        <v/>
      </c>
      <c r="Y58" s="21">
        <f>IF(Y$4=0,0,IF(Approvals!$C$42=1,i_W_mtm,i_W_mtm_plan)+Approvals!$C$48)</f>
        <v/>
      </c>
      <c r="Z58" s="21">
        <f>IF(Z$4=0,0,IF(Approvals!$C$42=1,i_W_mtm,i_W_mtm_plan)+Approvals!$C$48)</f>
        <v/>
      </c>
      <c r="AA58" s="21">
        <f>IF(AA$4=0,0,IF(Approvals!$C$42=1,i_W_mtm,i_W_mtm_plan)+Approvals!$C$48)</f>
        <v/>
      </c>
      <c r="AB58" s="21">
        <f>IF(AB$4=0,0,IF(Approvals!$C$42=1,i_W_mtm,i_W_mtm_plan)+Approvals!$C$48)</f>
        <v/>
      </c>
      <c r="AC58" s="21">
        <f>IF(AC$4=0,0,IF(Approvals!$C$42=1,i_W_mtm,i_W_mtm_plan)+Approvals!$C$48)</f>
        <v/>
      </c>
      <c r="AD58" s="21">
        <f>IF(AD$4=0,0,IF(Approvals!$C$42=1,i_W_mtm,i_W_mtm_plan)+Approvals!$C$48)</f>
        <v/>
      </c>
      <c r="AE58" s="21">
        <f>IF(AE$4=0,0,IF(Approvals!$C$42=1,i_W_mtm,i_W_mtm_plan)+Approvals!$C$48)</f>
        <v/>
      </c>
      <c r="AF58" s="21">
        <f>IF(AF$4=0,0,IF(Approvals!$C$42=1,i_W_mtm,i_W_mtm_plan)+Approvals!$C$48)</f>
        <v/>
      </c>
      <c r="AG58" s="21">
        <f>IF(AG$4=0,0,IF(Approvals!$C$42=1,i_W_mtm,i_W_mtm_plan)+Approvals!$C$48)</f>
        <v/>
      </c>
      <c r="AH58" s="21">
        <f>IF(AH$4=0,0,IF(Approvals!$C$42=1,i_W_mtm,i_W_mtm_plan)+Approvals!$C$48)</f>
        <v/>
      </c>
      <c r="AI58" s="21">
        <f>IF(AI$4=0,0,IF(Approvals!$C$42=1,i_W_mtm,i_W_mtm_plan)+Approvals!$C$48)</f>
        <v/>
      </c>
    </row>
    <row r="59">
      <c r="B59" s="2" t="inlineStr">
        <is>
          <t xml:space="preserve">  Average rate ($ per m3 per month)</t>
        </is>
      </c>
      <c r="D59" s="24">
        <f>i_W_rate*D53*(D57+(1-D57)*(1+D58))</f>
        <v/>
      </c>
      <c r="E59" s="24">
        <f>i_W_rate*E53*(E57+(1-E57)*(1+E58))</f>
        <v/>
      </c>
      <c r="F59" s="24">
        <f>i_W_rate*F53*(F57+(1-F57)*(1+F58))</f>
        <v/>
      </c>
      <c r="G59" s="24">
        <f>i_W_rate*G53*(G57+(1-G57)*(1+G58))</f>
        <v/>
      </c>
      <c r="H59" s="24">
        <f>i_W_rate*H53*(H57+(1-H57)*(1+H58))</f>
        <v/>
      </c>
      <c r="I59" s="24">
        <f>i_W_rate*I53*(I57+(1-I57)*(1+I58))</f>
        <v/>
      </c>
      <c r="J59" s="24">
        <f>i_W_rate*J53*(J57+(1-J57)*(1+J58))</f>
        <v/>
      </c>
      <c r="K59" s="24">
        <f>i_W_rate*K53*(K57+(1-K57)*(1+K58))</f>
        <v/>
      </c>
      <c r="L59" s="24">
        <f>i_W_rate*L53*(L57+(1-L57)*(1+L58))</f>
        <v/>
      </c>
      <c r="M59" s="24">
        <f>i_W_rate*M53*(M57+(1-M57)*(1+M58))</f>
        <v/>
      </c>
      <c r="N59" s="24">
        <f>i_W_rate*N53*(N57+(1-N57)*(1+N58))</f>
        <v/>
      </c>
      <c r="O59" s="24">
        <f>i_W_rate*O53*(O57+(1-O57)*(1+O58))</f>
        <v/>
      </c>
      <c r="P59" s="24">
        <f>i_W_rate*P53*(P57+(1-P57)*(1+P58))</f>
        <v/>
      </c>
      <c r="Q59" s="24">
        <f>i_W_rate*Q53*(Q57+(1-Q57)*(1+Q58))</f>
        <v/>
      </c>
      <c r="R59" s="24">
        <f>i_W_rate*R53*(R57+(1-R57)*(1+R58))</f>
        <v/>
      </c>
      <c r="S59" s="24">
        <f>i_W_rate*S53*(S57+(1-S57)*(1+S58))</f>
        <v/>
      </c>
      <c r="T59" s="24">
        <f>i_W_rate*T53*(T57+(1-T57)*(1+T58))</f>
        <v/>
      </c>
      <c r="U59" s="24">
        <f>i_W_rate*U53*(U57+(1-U57)*(1+U58))</f>
        <v/>
      </c>
      <c r="V59" s="24">
        <f>i_W_rate*V53*(V57+(1-V57)*(1+V58))</f>
        <v/>
      </c>
      <c r="W59" s="24">
        <f>i_W_rate*W53*(W57+(1-W57)*(1+W58))</f>
        <v/>
      </c>
      <c r="X59" s="24">
        <f>i_W_rate*X53*(X57+(1-X57)*(1+X58))</f>
        <v/>
      </c>
      <c r="Y59" s="24">
        <f>i_W_rate*Y53*(Y57+(1-Y57)*(1+Y58))</f>
        <v/>
      </c>
      <c r="Z59" s="24">
        <f>i_W_rate*Z53*(Z57+(1-Z57)*(1+Z58))</f>
        <v/>
      </c>
      <c r="AA59" s="24">
        <f>i_W_rate*AA53*(AA57+(1-AA57)*(1+AA58))</f>
        <v/>
      </c>
      <c r="AB59" s="24">
        <f>i_W_rate*AB53*(AB57+(1-AB57)*(1+AB58))</f>
        <v/>
      </c>
      <c r="AC59" s="24">
        <f>i_W_rate*AC53*(AC57+(1-AC57)*(1+AC58))</f>
        <v/>
      </c>
      <c r="AD59" s="24">
        <f>i_W_rate*AD53*(AD57+(1-AD57)*(1+AD58))</f>
        <v/>
      </c>
      <c r="AE59" s="24">
        <f>i_W_rate*AE53*(AE57+(1-AE57)*(1+AE58))</f>
        <v/>
      </c>
      <c r="AF59" s="24">
        <f>i_W_rate*AF53*(AF57+(1-AF57)*(1+AF58))</f>
        <v/>
      </c>
      <c r="AG59" s="24">
        <f>i_W_rate*AG53*(AG57+(1-AG57)*(1+AG58))</f>
        <v/>
      </c>
      <c r="AH59" s="24">
        <f>i_W_rate*AH53*(AH57+(1-AH57)*(1+AH58))</f>
        <v/>
      </c>
      <c r="AI59" s="24">
        <f>i_W_rate*AI53*(AI57+(1-AI57)*(1+AI58))</f>
        <v/>
      </c>
    </row>
    <row r="60">
      <c r="B60" s="2" t="inlineStr">
        <is>
          <t xml:space="preserve">  Occupancy after the transition decline and floor</t>
        </is>
      </c>
      <c r="D60" s="21">
        <f>IF(D$3&gt;i_trans_start,MAX(i_W_floor,i_W_occ-i_W_dec*(D$3-i_trans_start)),i_W_occ)</f>
        <v/>
      </c>
      <c r="E60" s="21">
        <f>IF(E$3&gt;i_trans_start,MAX(i_W_floor,i_W_occ-i_W_dec*(E$3-i_trans_start)),i_W_occ)</f>
        <v/>
      </c>
      <c r="F60" s="21">
        <f>IF(F$3&gt;i_trans_start,MAX(i_W_floor,i_W_occ-i_W_dec*(F$3-i_trans_start)),i_W_occ)</f>
        <v/>
      </c>
      <c r="G60" s="21">
        <f>IF(G$3&gt;i_trans_start,MAX(i_W_floor,i_W_occ-i_W_dec*(G$3-i_trans_start)),i_W_occ)</f>
        <v/>
      </c>
      <c r="H60" s="21">
        <f>IF(H$3&gt;i_trans_start,MAX(i_W_floor,i_W_occ-i_W_dec*(H$3-i_trans_start)),i_W_occ)</f>
        <v/>
      </c>
      <c r="I60" s="21">
        <f>IF(I$3&gt;i_trans_start,MAX(i_W_floor,i_W_occ-i_W_dec*(I$3-i_trans_start)),i_W_occ)</f>
        <v/>
      </c>
      <c r="J60" s="21">
        <f>IF(J$3&gt;i_trans_start,MAX(i_W_floor,i_W_occ-i_W_dec*(J$3-i_trans_start)),i_W_occ)</f>
        <v/>
      </c>
      <c r="K60" s="21">
        <f>IF(K$3&gt;i_trans_start,MAX(i_W_floor,i_W_occ-i_W_dec*(K$3-i_trans_start)),i_W_occ)</f>
        <v/>
      </c>
      <c r="L60" s="21">
        <f>IF(L$3&gt;i_trans_start,MAX(i_W_floor,i_W_occ-i_W_dec*(L$3-i_trans_start)),i_W_occ)</f>
        <v/>
      </c>
      <c r="M60" s="21">
        <f>IF(M$3&gt;i_trans_start,MAX(i_W_floor,i_W_occ-i_W_dec*(M$3-i_trans_start)),i_W_occ)</f>
        <v/>
      </c>
      <c r="N60" s="21">
        <f>IF(N$3&gt;i_trans_start,MAX(i_W_floor,i_W_occ-i_W_dec*(N$3-i_trans_start)),i_W_occ)</f>
        <v/>
      </c>
      <c r="O60" s="21">
        <f>IF(O$3&gt;i_trans_start,MAX(i_W_floor,i_W_occ-i_W_dec*(O$3-i_trans_start)),i_W_occ)</f>
        <v/>
      </c>
      <c r="P60" s="21">
        <f>IF(P$3&gt;i_trans_start,MAX(i_W_floor,i_W_occ-i_W_dec*(P$3-i_trans_start)),i_W_occ)</f>
        <v/>
      </c>
      <c r="Q60" s="21">
        <f>IF(Q$3&gt;i_trans_start,MAX(i_W_floor,i_W_occ-i_W_dec*(Q$3-i_trans_start)),i_W_occ)</f>
        <v/>
      </c>
      <c r="R60" s="21">
        <f>IF(R$3&gt;i_trans_start,MAX(i_W_floor,i_W_occ-i_W_dec*(R$3-i_trans_start)),i_W_occ)</f>
        <v/>
      </c>
      <c r="S60" s="21">
        <f>IF(S$3&gt;i_trans_start,MAX(i_W_floor,i_W_occ-i_W_dec*(S$3-i_trans_start)),i_W_occ)</f>
        <v/>
      </c>
      <c r="T60" s="21">
        <f>IF(T$3&gt;i_trans_start,MAX(i_W_floor,i_W_occ-i_W_dec*(T$3-i_trans_start)),i_W_occ)</f>
        <v/>
      </c>
      <c r="U60" s="21">
        <f>IF(U$3&gt;i_trans_start,MAX(i_W_floor,i_W_occ-i_W_dec*(U$3-i_trans_start)),i_W_occ)</f>
        <v/>
      </c>
      <c r="V60" s="21">
        <f>IF(V$3&gt;i_trans_start,MAX(i_W_floor,i_W_occ-i_W_dec*(V$3-i_trans_start)),i_W_occ)</f>
        <v/>
      </c>
      <c r="W60" s="21">
        <f>IF(W$3&gt;i_trans_start,MAX(i_W_floor,i_W_occ-i_W_dec*(W$3-i_trans_start)),i_W_occ)</f>
        <v/>
      </c>
      <c r="X60" s="21">
        <f>IF(X$3&gt;i_trans_start,MAX(i_W_floor,i_W_occ-i_W_dec*(X$3-i_trans_start)),i_W_occ)</f>
        <v/>
      </c>
      <c r="Y60" s="21">
        <f>IF(Y$3&gt;i_trans_start,MAX(i_W_floor,i_W_occ-i_W_dec*(Y$3-i_trans_start)),i_W_occ)</f>
        <v/>
      </c>
      <c r="Z60" s="21">
        <f>IF(Z$3&gt;i_trans_start,MAX(i_W_floor,i_W_occ-i_W_dec*(Z$3-i_trans_start)),i_W_occ)</f>
        <v/>
      </c>
      <c r="AA60" s="21">
        <f>IF(AA$3&gt;i_trans_start,MAX(i_W_floor,i_W_occ-i_W_dec*(AA$3-i_trans_start)),i_W_occ)</f>
        <v/>
      </c>
      <c r="AB60" s="21">
        <f>IF(AB$3&gt;i_trans_start,MAX(i_W_floor,i_W_occ-i_W_dec*(AB$3-i_trans_start)),i_W_occ)</f>
        <v/>
      </c>
      <c r="AC60" s="21">
        <f>IF(AC$3&gt;i_trans_start,MAX(i_W_floor,i_W_occ-i_W_dec*(AC$3-i_trans_start)),i_W_occ)</f>
        <v/>
      </c>
      <c r="AD60" s="21">
        <f>IF(AD$3&gt;i_trans_start,MAX(i_W_floor,i_W_occ-i_W_dec*(AD$3-i_trans_start)),i_W_occ)</f>
        <v/>
      </c>
      <c r="AE60" s="21">
        <f>IF(AE$3&gt;i_trans_start,MAX(i_W_floor,i_W_occ-i_W_dec*(AE$3-i_trans_start)),i_W_occ)</f>
        <v/>
      </c>
      <c r="AF60" s="21">
        <f>IF(AF$3&gt;i_trans_start,MAX(i_W_floor,i_W_occ-i_W_dec*(AF$3-i_trans_start)),i_W_occ)</f>
        <v/>
      </c>
      <c r="AG60" s="21">
        <f>IF(AG$3&gt;i_trans_start,MAX(i_W_floor,i_W_occ-i_W_dec*(AG$3-i_trans_start)),i_W_occ)</f>
        <v/>
      </c>
      <c r="AH60" s="21">
        <f>IF(AH$3&gt;i_trans_start,MAX(i_W_floor,i_W_occ-i_W_dec*(AH$3-i_trans_start)),i_W_occ)</f>
        <v/>
      </c>
      <c r="AI60" s="21">
        <f>IF(AI$3&gt;i_trans_start,MAX(i_W_floor,i_W_occ-i_W_dec*(AI$3-i_trans_start)),i_W_occ)</f>
        <v/>
      </c>
    </row>
    <row r="61">
      <c r="B61" s="2" t="inlineStr">
        <is>
          <t xml:space="preserve">  Customer loss (points)</t>
        </is>
      </c>
      <c r="D61" s="21">
        <f>Approvals!$C$43*SUMIF(i_dip_years,D$3,i_dip_vals)</f>
        <v/>
      </c>
      <c r="E61" s="21">
        <f>Approvals!$C$43*SUMIF(i_dip_years,E$3,i_dip_vals)</f>
        <v/>
      </c>
      <c r="F61" s="21">
        <f>Approvals!$C$43*SUMIF(i_dip_years,F$3,i_dip_vals)</f>
        <v/>
      </c>
      <c r="G61" s="21">
        <f>Approvals!$C$43*SUMIF(i_dip_years,G$3,i_dip_vals)</f>
        <v/>
      </c>
      <c r="H61" s="21">
        <f>Approvals!$C$43*SUMIF(i_dip_years,H$3,i_dip_vals)</f>
        <v/>
      </c>
      <c r="I61" s="21">
        <f>Approvals!$C$43*SUMIF(i_dip_years,I$3,i_dip_vals)</f>
        <v/>
      </c>
      <c r="J61" s="21">
        <f>Approvals!$C$43*SUMIF(i_dip_years,J$3,i_dip_vals)</f>
        <v/>
      </c>
      <c r="K61" s="21">
        <f>Approvals!$C$43*SUMIF(i_dip_years,K$3,i_dip_vals)</f>
        <v/>
      </c>
      <c r="L61" s="21">
        <f>Approvals!$C$43*SUMIF(i_dip_years,L$3,i_dip_vals)</f>
        <v/>
      </c>
      <c r="M61" s="21">
        <f>Approvals!$C$43*SUMIF(i_dip_years,M$3,i_dip_vals)</f>
        <v/>
      </c>
      <c r="N61" s="21">
        <f>Approvals!$C$43*SUMIF(i_dip_years,N$3,i_dip_vals)</f>
        <v/>
      </c>
      <c r="O61" s="21">
        <f>Approvals!$C$43*SUMIF(i_dip_years,O$3,i_dip_vals)</f>
        <v/>
      </c>
      <c r="P61" s="21">
        <f>Approvals!$C$43*SUMIF(i_dip_years,P$3,i_dip_vals)</f>
        <v/>
      </c>
      <c r="Q61" s="21">
        <f>Approvals!$C$43*SUMIF(i_dip_years,Q$3,i_dip_vals)</f>
        <v/>
      </c>
      <c r="R61" s="21">
        <f>Approvals!$C$43*SUMIF(i_dip_years,R$3,i_dip_vals)</f>
        <v/>
      </c>
      <c r="S61" s="21">
        <f>Approvals!$C$43*SUMIF(i_dip_years,S$3,i_dip_vals)</f>
        <v/>
      </c>
      <c r="T61" s="21">
        <f>Approvals!$C$43*SUMIF(i_dip_years,T$3,i_dip_vals)</f>
        <v/>
      </c>
      <c r="U61" s="21">
        <f>Approvals!$C$43*SUMIF(i_dip_years,U$3,i_dip_vals)</f>
        <v/>
      </c>
      <c r="V61" s="21">
        <f>Approvals!$C$43*SUMIF(i_dip_years,V$3,i_dip_vals)</f>
        <v/>
      </c>
      <c r="W61" s="21">
        <f>Approvals!$C$43*SUMIF(i_dip_years,W$3,i_dip_vals)</f>
        <v/>
      </c>
      <c r="X61" s="21">
        <f>Approvals!$C$43*SUMIF(i_dip_years,X$3,i_dip_vals)</f>
        <v/>
      </c>
      <c r="Y61" s="21">
        <f>Approvals!$C$43*SUMIF(i_dip_years,Y$3,i_dip_vals)</f>
        <v/>
      </c>
      <c r="Z61" s="21">
        <f>Approvals!$C$43*SUMIF(i_dip_years,Z$3,i_dip_vals)</f>
        <v/>
      </c>
      <c r="AA61" s="21">
        <f>Approvals!$C$43*SUMIF(i_dip_years,AA$3,i_dip_vals)</f>
        <v/>
      </c>
      <c r="AB61" s="21">
        <f>Approvals!$C$43*SUMIF(i_dip_years,AB$3,i_dip_vals)</f>
        <v/>
      </c>
      <c r="AC61" s="21">
        <f>Approvals!$C$43*SUMIF(i_dip_years,AC$3,i_dip_vals)</f>
        <v/>
      </c>
      <c r="AD61" s="21">
        <f>Approvals!$C$43*SUMIF(i_dip_years,AD$3,i_dip_vals)</f>
        <v/>
      </c>
      <c r="AE61" s="21">
        <f>Approvals!$C$43*SUMIF(i_dip_years,AE$3,i_dip_vals)</f>
        <v/>
      </c>
      <c r="AF61" s="21">
        <f>Approvals!$C$43*SUMIF(i_dip_years,AF$3,i_dip_vals)</f>
        <v/>
      </c>
      <c r="AG61" s="21">
        <f>Approvals!$C$43*SUMIF(i_dip_years,AG$3,i_dip_vals)</f>
        <v/>
      </c>
      <c r="AH61" s="21">
        <f>Approvals!$C$43*SUMIF(i_dip_years,AH$3,i_dip_vals)</f>
        <v/>
      </c>
      <c r="AI61" s="21">
        <f>Approvals!$C$43*SUMIF(i_dip_years,AI$3,i_dip_vals)</f>
        <v/>
      </c>
    </row>
    <row r="62">
      <c r="B62" s="2" t="inlineStr">
        <is>
          <t xml:space="preserve">  Occupancy (with the shift switch from 2027)</t>
        </is>
      </c>
      <c r="D62" s="21">
        <f>IF(D$4&gt;0,MIN(1,D60-D61+Approvals!$C$47),D60-D61)</f>
        <v/>
      </c>
      <c r="E62" s="21">
        <f>IF(E$4&gt;0,MIN(1,E60-E61+Approvals!$C$47),E60-E61)</f>
        <v/>
      </c>
      <c r="F62" s="21">
        <f>IF(F$4&gt;0,MIN(1,F60-F61+Approvals!$C$47),F60-F61)</f>
        <v/>
      </c>
      <c r="G62" s="21">
        <f>IF(G$4&gt;0,MIN(1,G60-G61+Approvals!$C$47),G60-G61)</f>
        <v/>
      </c>
      <c r="H62" s="21">
        <f>IF(H$4&gt;0,MIN(1,H60-H61+Approvals!$C$47),H60-H61)</f>
        <v/>
      </c>
      <c r="I62" s="21">
        <f>IF(I$4&gt;0,MIN(1,I60-I61+Approvals!$C$47),I60-I61)</f>
        <v/>
      </c>
      <c r="J62" s="21">
        <f>IF(J$4&gt;0,MIN(1,J60-J61+Approvals!$C$47),J60-J61)</f>
        <v/>
      </c>
      <c r="K62" s="21">
        <f>IF(K$4&gt;0,MIN(1,K60-K61+Approvals!$C$47),K60-K61)</f>
        <v/>
      </c>
      <c r="L62" s="21">
        <f>IF(L$4&gt;0,MIN(1,L60-L61+Approvals!$C$47),L60-L61)</f>
        <v/>
      </c>
      <c r="M62" s="21">
        <f>IF(M$4&gt;0,MIN(1,M60-M61+Approvals!$C$47),M60-M61)</f>
        <v/>
      </c>
      <c r="N62" s="21">
        <f>IF(N$4&gt;0,MIN(1,N60-N61+Approvals!$C$47),N60-N61)</f>
        <v/>
      </c>
      <c r="O62" s="21">
        <f>IF(O$4&gt;0,MIN(1,O60-O61+Approvals!$C$47),O60-O61)</f>
        <v/>
      </c>
      <c r="P62" s="21">
        <f>IF(P$4&gt;0,MIN(1,P60-P61+Approvals!$C$47),P60-P61)</f>
        <v/>
      </c>
      <c r="Q62" s="21">
        <f>IF(Q$4&gt;0,MIN(1,Q60-Q61+Approvals!$C$47),Q60-Q61)</f>
        <v/>
      </c>
      <c r="R62" s="21">
        <f>IF(R$4&gt;0,MIN(1,R60-R61+Approvals!$C$47),R60-R61)</f>
        <v/>
      </c>
      <c r="S62" s="21">
        <f>IF(S$4&gt;0,MIN(1,S60-S61+Approvals!$C$47),S60-S61)</f>
        <v/>
      </c>
      <c r="T62" s="21">
        <f>IF(T$4&gt;0,MIN(1,T60-T61+Approvals!$C$47),T60-T61)</f>
        <v/>
      </c>
      <c r="U62" s="21">
        <f>IF(U$4&gt;0,MIN(1,U60-U61+Approvals!$C$47),U60-U61)</f>
        <v/>
      </c>
      <c r="V62" s="21">
        <f>IF(V$4&gt;0,MIN(1,V60-V61+Approvals!$C$47),V60-V61)</f>
        <v/>
      </c>
      <c r="W62" s="21">
        <f>IF(W$4&gt;0,MIN(1,W60-W61+Approvals!$C$47),W60-W61)</f>
        <v/>
      </c>
      <c r="X62" s="21">
        <f>IF(X$4&gt;0,MIN(1,X60-X61+Approvals!$C$47),X60-X61)</f>
        <v/>
      </c>
      <c r="Y62" s="21">
        <f>IF(Y$4&gt;0,MIN(1,Y60-Y61+Approvals!$C$47),Y60-Y61)</f>
        <v/>
      </c>
      <c r="Z62" s="21">
        <f>IF(Z$4&gt;0,MIN(1,Z60-Z61+Approvals!$C$47),Z60-Z61)</f>
        <v/>
      </c>
      <c r="AA62" s="21">
        <f>IF(AA$4&gt;0,MIN(1,AA60-AA61+Approvals!$C$47),AA60-AA61)</f>
        <v/>
      </c>
      <c r="AB62" s="21">
        <f>IF(AB$4&gt;0,MIN(1,AB60-AB61+Approvals!$C$47),AB60-AB61)</f>
        <v/>
      </c>
      <c r="AC62" s="21">
        <f>IF(AC$4&gt;0,MIN(1,AC60-AC61+Approvals!$C$47),AC60-AC61)</f>
        <v/>
      </c>
      <c r="AD62" s="21">
        <f>IF(AD$4&gt;0,MIN(1,AD60-AD61+Approvals!$C$47),AD60-AD61)</f>
        <v/>
      </c>
      <c r="AE62" s="21">
        <f>IF(AE$4&gt;0,MIN(1,AE60-AE61+Approvals!$C$47),AE60-AE61)</f>
        <v/>
      </c>
      <c r="AF62" s="21">
        <f>IF(AF$4&gt;0,MIN(1,AF60-AF61+Approvals!$C$47),AF60-AF61)</f>
        <v/>
      </c>
      <c r="AG62" s="21">
        <f>IF(AG$4&gt;0,MIN(1,AG60-AG61+Approvals!$C$47),AG60-AG61)</f>
        <v/>
      </c>
      <c r="AH62" s="21">
        <f>IF(AH$4&gt;0,MIN(1,AH60-AH61+Approvals!$C$47),AH60-AH61)</f>
        <v/>
      </c>
      <c r="AI62" s="21">
        <f>IF(AI$4&gt;0,MIN(1,AI60-AI61+Approvals!$C$47),AI60-AI61)</f>
        <v/>
      </c>
    </row>
    <row r="63">
      <c r="B63" s="2" t="inlineStr">
        <is>
          <t xml:space="preserve">  Storage revenue</t>
        </is>
      </c>
      <c r="D63" s="19">
        <f>D56*D59*12*D62</f>
        <v/>
      </c>
      <c r="E63" s="19">
        <f>E56*E59*12*E62</f>
        <v/>
      </c>
      <c r="F63" s="19">
        <f>F56*F59*12*F62</f>
        <v/>
      </c>
      <c r="G63" s="19">
        <f>G56*G59*12*G62</f>
        <v/>
      </c>
      <c r="H63" s="19">
        <f>H56*H59*12*H62</f>
        <v/>
      </c>
      <c r="I63" s="19">
        <f>I56*I59*12*I62</f>
        <v/>
      </c>
      <c r="J63" s="19">
        <f>J56*J59*12*J62</f>
        <v/>
      </c>
      <c r="K63" s="19">
        <f>K56*K59*12*K62</f>
        <v/>
      </c>
      <c r="L63" s="19">
        <f>L56*L59*12*L62</f>
        <v/>
      </c>
      <c r="M63" s="19">
        <f>M56*M59*12*M62</f>
        <v/>
      </c>
      <c r="N63" s="19">
        <f>N56*N59*12*N62</f>
        <v/>
      </c>
      <c r="O63" s="19">
        <f>O56*O59*12*O62</f>
        <v/>
      </c>
      <c r="P63" s="19">
        <f>P56*P59*12*P62</f>
        <v/>
      </c>
      <c r="Q63" s="19">
        <f>Q56*Q59*12*Q62</f>
        <v/>
      </c>
      <c r="R63" s="19">
        <f>R56*R59*12*R62</f>
        <v/>
      </c>
      <c r="S63" s="19">
        <f>S56*S59*12*S62</f>
        <v/>
      </c>
      <c r="T63" s="19">
        <f>T56*T59*12*T62</f>
        <v/>
      </c>
      <c r="U63" s="19">
        <f>U56*U59*12*U62</f>
        <v/>
      </c>
      <c r="V63" s="19">
        <f>V56*V59*12*V62</f>
        <v/>
      </c>
      <c r="W63" s="19">
        <f>W56*W59*12*W62</f>
        <v/>
      </c>
      <c r="X63" s="19">
        <f>X56*X59*12*X62</f>
        <v/>
      </c>
      <c r="Y63" s="19">
        <f>Y56*Y59*12*Y62</f>
        <v/>
      </c>
      <c r="Z63" s="19">
        <f>Z56*Z59*12*Z62</f>
        <v/>
      </c>
      <c r="AA63" s="19">
        <f>AA56*AA59*12*AA62</f>
        <v/>
      </c>
      <c r="AB63" s="19">
        <f>AB56*AB59*12*AB62</f>
        <v/>
      </c>
      <c r="AC63" s="19">
        <f>AC56*AC59*12*AC62</f>
        <v/>
      </c>
      <c r="AD63" s="19">
        <f>AD56*AD59*12*AD62</f>
        <v/>
      </c>
      <c r="AE63" s="19">
        <f>AE56*AE59*12*AE62</f>
        <v/>
      </c>
      <c r="AF63" s="19">
        <f>AF56*AF59*12*AF62</f>
        <v/>
      </c>
      <c r="AG63" s="19">
        <f>AG56*AG59*12*AG62</f>
        <v/>
      </c>
      <c r="AH63" s="19">
        <f>AH56*AH59*12*AH62</f>
        <v/>
      </c>
      <c r="AI63" s="19">
        <f>AI56*AI59*12*AI62</f>
        <v/>
      </c>
    </row>
    <row r="64">
      <c r="B64" s="2" t="inlineStr">
        <is>
          <t xml:space="preserve">  Ancillary and throughput revenue</t>
        </is>
      </c>
      <c r="D64" s="19">
        <f>D63*i_W_anc</f>
        <v/>
      </c>
      <c r="E64" s="19">
        <f>E63*i_W_anc</f>
        <v/>
      </c>
      <c r="F64" s="19">
        <f>F63*i_W_anc</f>
        <v/>
      </c>
      <c r="G64" s="19">
        <f>G63*i_W_anc</f>
        <v/>
      </c>
      <c r="H64" s="19">
        <f>H63*i_W_anc</f>
        <v/>
      </c>
      <c r="I64" s="19">
        <f>I63*i_W_anc</f>
        <v/>
      </c>
      <c r="J64" s="19">
        <f>J63*i_W_anc</f>
        <v/>
      </c>
      <c r="K64" s="19">
        <f>K63*i_W_anc</f>
        <v/>
      </c>
      <c r="L64" s="19">
        <f>L63*i_W_anc</f>
        <v/>
      </c>
      <c r="M64" s="19">
        <f>M63*i_W_anc</f>
        <v/>
      </c>
      <c r="N64" s="19">
        <f>N63*i_W_anc</f>
        <v/>
      </c>
      <c r="O64" s="19">
        <f>O63*i_W_anc</f>
        <v/>
      </c>
      <c r="P64" s="19">
        <f>P63*i_W_anc</f>
        <v/>
      </c>
      <c r="Q64" s="19">
        <f>Q63*i_W_anc</f>
        <v/>
      </c>
      <c r="R64" s="19">
        <f>R63*i_W_anc</f>
        <v/>
      </c>
      <c r="S64" s="19">
        <f>S63*i_W_anc</f>
        <v/>
      </c>
      <c r="T64" s="19">
        <f>T63*i_W_anc</f>
        <v/>
      </c>
      <c r="U64" s="19">
        <f>U63*i_W_anc</f>
        <v/>
      </c>
      <c r="V64" s="19">
        <f>V63*i_W_anc</f>
        <v/>
      </c>
      <c r="W64" s="19">
        <f>W63*i_W_anc</f>
        <v/>
      </c>
      <c r="X64" s="19">
        <f>X63*i_W_anc</f>
        <v/>
      </c>
      <c r="Y64" s="19">
        <f>Y63*i_W_anc</f>
        <v/>
      </c>
      <c r="Z64" s="19">
        <f>Z63*i_W_anc</f>
        <v/>
      </c>
      <c r="AA64" s="19">
        <f>AA63*i_W_anc</f>
        <v/>
      </c>
      <c r="AB64" s="19">
        <f>AB63*i_W_anc</f>
        <v/>
      </c>
      <c r="AC64" s="19">
        <f>AC63*i_W_anc</f>
        <v/>
      </c>
      <c r="AD64" s="19">
        <f>AD63*i_W_anc</f>
        <v/>
      </c>
      <c r="AE64" s="19">
        <f>AE63*i_W_anc</f>
        <v/>
      </c>
      <c r="AF64" s="19">
        <f>AF63*i_W_anc</f>
        <v/>
      </c>
      <c r="AG64" s="19">
        <f>AG63*i_W_anc</f>
        <v/>
      </c>
      <c r="AH64" s="19">
        <f>AH63*i_W_anc</f>
        <v/>
      </c>
      <c r="AI64" s="19">
        <f>AI63*i_W_anc</f>
        <v/>
      </c>
    </row>
    <row r="65">
      <c r="B65" s="3" t="inlineStr">
        <is>
          <t xml:space="preserve">  Revenue</t>
        </is>
      </c>
      <c r="D65" s="31">
        <f>D63+D64</f>
        <v/>
      </c>
      <c r="E65" s="31">
        <f>E63+E64</f>
        <v/>
      </c>
      <c r="F65" s="31">
        <f>F63+F64</f>
        <v/>
      </c>
      <c r="G65" s="31">
        <f>G63+G64</f>
        <v/>
      </c>
      <c r="H65" s="31">
        <f>H63+H64</f>
        <v/>
      </c>
      <c r="I65" s="31">
        <f>I63+I64</f>
        <v/>
      </c>
      <c r="J65" s="31">
        <f>J63+J64</f>
        <v/>
      </c>
      <c r="K65" s="31">
        <f>K63+K64</f>
        <v/>
      </c>
      <c r="L65" s="31">
        <f>L63+L64</f>
        <v/>
      </c>
      <c r="M65" s="31">
        <f>M63+M64</f>
        <v/>
      </c>
      <c r="N65" s="31">
        <f>N63+N64</f>
        <v/>
      </c>
      <c r="O65" s="31">
        <f>O63+O64</f>
        <v/>
      </c>
      <c r="P65" s="31">
        <f>P63+P64</f>
        <v/>
      </c>
      <c r="Q65" s="31">
        <f>Q63+Q64</f>
        <v/>
      </c>
      <c r="R65" s="31">
        <f>R63+R64</f>
        <v/>
      </c>
      <c r="S65" s="31">
        <f>S63+S64</f>
        <v/>
      </c>
      <c r="T65" s="31">
        <f>T63+T64</f>
        <v/>
      </c>
      <c r="U65" s="31">
        <f>U63+U64</f>
        <v/>
      </c>
      <c r="V65" s="31">
        <f>V63+V64</f>
        <v/>
      </c>
      <c r="W65" s="31">
        <f>W63+W64</f>
        <v/>
      </c>
      <c r="X65" s="31">
        <f>X63+X64</f>
        <v/>
      </c>
      <c r="Y65" s="31">
        <f>Y63+Y64</f>
        <v/>
      </c>
      <c r="Z65" s="31">
        <f>Z63+Z64</f>
        <v/>
      </c>
      <c r="AA65" s="31">
        <f>AA63+AA64</f>
        <v/>
      </c>
      <c r="AB65" s="31">
        <f>AB63+AB64</f>
        <v/>
      </c>
      <c r="AC65" s="31">
        <f>AC63+AC64</f>
        <v/>
      </c>
      <c r="AD65" s="31">
        <f>AD63+AD64</f>
        <v/>
      </c>
      <c r="AE65" s="31">
        <f>AE63+AE64</f>
        <v/>
      </c>
      <c r="AF65" s="31">
        <f>AF63+AF64</f>
        <v/>
      </c>
      <c r="AG65" s="31">
        <f>AG63+AG64</f>
        <v/>
      </c>
      <c r="AH65" s="31">
        <f>AH63+AH64</f>
        <v/>
      </c>
      <c r="AI65" s="31">
        <f>AI63+AI64</f>
        <v/>
      </c>
    </row>
    <row r="66">
      <c r="B66" s="2" t="inlineStr">
        <is>
          <t xml:space="preserve">  Fixed cost</t>
        </is>
      </c>
      <c r="D66" s="19">
        <f>D56*i_W_fix*D52</f>
        <v/>
      </c>
      <c r="E66" s="19">
        <f>E56*i_W_fix*E52</f>
        <v/>
      </c>
      <c r="F66" s="19">
        <f>F56*i_W_fix*F52</f>
        <v/>
      </c>
      <c r="G66" s="19">
        <f>G56*i_W_fix*G52</f>
        <v/>
      </c>
      <c r="H66" s="19">
        <f>H56*i_W_fix*H52</f>
        <v/>
      </c>
      <c r="I66" s="19">
        <f>I56*i_W_fix*I52</f>
        <v/>
      </c>
      <c r="J66" s="19">
        <f>J56*i_W_fix*J52</f>
        <v/>
      </c>
      <c r="K66" s="19">
        <f>K56*i_W_fix*K52</f>
        <v/>
      </c>
      <c r="L66" s="19">
        <f>L56*i_W_fix*L52</f>
        <v/>
      </c>
      <c r="M66" s="19">
        <f>M56*i_W_fix*M52</f>
        <v/>
      </c>
      <c r="N66" s="19">
        <f>N56*i_W_fix*N52</f>
        <v/>
      </c>
      <c r="O66" s="19">
        <f>O56*i_W_fix*O52</f>
        <v/>
      </c>
      <c r="P66" s="19">
        <f>P56*i_W_fix*P52</f>
        <v/>
      </c>
      <c r="Q66" s="19">
        <f>Q56*i_W_fix*Q52</f>
        <v/>
      </c>
      <c r="R66" s="19">
        <f>R56*i_W_fix*R52</f>
        <v/>
      </c>
      <c r="S66" s="19">
        <f>S56*i_W_fix*S52</f>
        <v/>
      </c>
      <c r="T66" s="19">
        <f>T56*i_W_fix*T52</f>
        <v/>
      </c>
      <c r="U66" s="19">
        <f>U56*i_W_fix*U52</f>
        <v/>
      </c>
      <c r="V66" s="19">
        <f>V56*i_W_fix*V52</f>
        <v/>
      </c>
      <c r="W66" s="19">
        <f>W56*i_W_fix*W52</f>
        <v/>
      </c>
      <c r="X66" s="19">
        <f>X56*i_W_fix*X52</f>
        <v/>
      </c>
      <c r="Y66" s="19">
        <f>Y56*i_W_fix*Y52</f>
        <v/>
      </c>
      <c r="Z66" s="19">
        <f>Z56*i_W_fix*Z52</f>
        <v/>
      </c>
      <c r="AA66" s="19">
        <f>AA56*i_W_fix*AA52</f>
        <v/>
      </c>
      <c r="AB66" s="19">
        <f>AB56*i_W_fix*AB52</f>
        <v/>
      </c>
      <c r="AC66" s="19">
        <f>AC56*i_W_fix*AC52</f>
        <v/>
      </c>
      <c r="AD66" s="19">
        <f>AD56*i_W_fix*AD52</f>
        <v/>
      </c>
      <c r="AE66" s="19">
        <f>AE56*i_W_fix*AE52</f>
        <v/>
      </c>
      <c r="AF66" s="19">
        <f>AF56*i_W_fix*AF52</f>
        <v/>
      </c>
      <c r="AG66" s="19">
        <f>AG56*i_W_fix*AG52</f>
        <v/>
      </c>
      <c r="AH66" s="19">
        <f>AH56*i_W_fix*AH52</f>
        <v/>
      </c>
      <c r="AI66" s="19">
        <f>AI56*i_W_fix*AI52</f>
        <v/>
      </c>
    </row>
    <row r="67">
      <c r="B67" s="2" t="inlineStr">
        <is>
          <t xml:space="preserve">  Variable cost</t>
        </is>
      </c>
      <c r="D67" s="19">
        <f>i_W_var*D65</f>
        <v/>
      </c>
      <c r="E67" s="19">
        <f>i_W_var*E65</f>
        <v/>
      </c>
      <c r="F67" s="19">
        <f>i_W_var*F65</f>
        <v/>
      </c>
      <c r="G67" s="19">
        <f>i_W_var*G65</f>
        <v/>
      </c>
      <c r="H67" s="19">
        <f>i_W_var*H65</f>
        <v/>
      </c>
      <c r="I67" s="19">
        <f>i_W_var*I65</f>
        <v/>
      </c>
      <c r="J67" s="19">
        <f>i_W_var*J65</f>
        <v/>
      </c>
      <c r="K67" s="19">
        <f>i_W_var*K65</f>
        <v/>
      </c>
      <c r="L67" s="19">
        <f>i_W_var*L65</f>
        <v/>
      </c>
      <c r="M67" s="19">
        <f>i_W_var*M65</f>
        <v/>
      </c>
      <c r="N67" s="19">
        <f>i_W_var*N65</f>
        <v/>
      </c>
      <c r="O67" s="19">
        <f>i_W_var*O65</f>
        <v/>
      </c>
      <c r="P67" s="19">
        <f>i_W_var*P65</f>
        <v/>
      </c>
      <c r="Q67" s="19">
        <f>i_W_var*Q65</f>
        <v/>
      </c>
      <c r="R67" s="19">
        <f>i_W_var*R65</f>
        <v/>
      </c>
      <c r="S67" s="19">
        <f>i_W_var*S65</f>
        <v/>
      </c>
      <c r="T67" s="19">
        <f>i_W_var*T65</f>
        <v/>
      </c>
      <c r="U67" s="19">
        <f>i_W_var*U65</f>
        <v/>
      </c>
      <c r="V67" s="19">
        <f>i_W_var*V65</f>
        <v/>
      </c>
      <c r="W67" s="19">
        <f>i_W_var*W65</f>
        <v/>
      </c>
      <c r="X67" s="19">
        <f>i_W_var*X65</f>
        <v/>
      </c>
      <c r="Y67" s="19">
        <f>i_W_var*Y65</f>
        <v/>
      </c>
      <c r="Z67" s="19">
        <f>i_W_var*Z65</f>
        <v/>
      </c>
      <c r="AA67" s="19">
        <f>i_W_var*AA65</f>
        <v/>
      </c>
      <c r="AB67" s="19">
        <f>i_W_var*AB65</f>
        <v/>
      </c>
      <c r="AC67" s="19">
        <f>i_W_var*AC65</f>
        <v/>
      </c>
      <c r="AD67" s="19">
        <f>i_W_var*AD65</f>
        <v/>
      </c>
      <c r="AE67" s="19">
        <f>i_W_var*AE65</f>
        <v/>
      </c>
      <c r="AF67" s="19">
        <f>i_W_var*AF65</f>
        <v/>
      </c>
      <c r="AG67" s="19">
        <f>i_W_var*AG65</f>
        <v/>
      </c>
      <c r="AH67" s="19">
        <f>i_W_var*AH65</f>
        <v/>
      </c>
      <c r="AI67" s="19">
        <f>i_W_var*AI65</f>
        <v/>
      </c>
    </row>
    <row r="68">
      <c r="B68" s="2" t="inlineStr">
        <is>
          <t xml:space="preserve">  Concession fee</t>
        </is>
      </c>
      <c r="D68" s="19">
        <f>IF(AND(Approvals!$C$49=1,D$3&gt;i_conc_end),i_renew_fee,i_W_fee)*D65</f>
        <v/>
      </c>
      <c r="E68" s="19">
        <f>IF(AND(Approvals!$C$49=1,E$3&gt;i_conc_end),i_renew_fee,i_W_fee)*E65</f>
        <v/>
      </c>
      <c r="F68" s="19">
        <f>IF(AND(Approvals!$C$49=1,F$3&gt;i_conc_end),i_renew_fee,i_W_fee)*F65</f>
        <v/>
      </c>
      <c r="G68" s="19">
        <f>IF(AND(Approvals!$C$49=1,G$3&gt;i_conc_end),i_renew_fee,i_W_fee)*G65</f>
        <v/>
      </c>
      <c r="H68" s="19">
        <f>IF(AND(Approvals!$C$49=1,H$3&gt;i_conc_end),i_renew_fee,i_W_fee)*H65</f>
        <v/>
      </c>
      <c r="I68" s="19">
        <f>IF(AND(Approvals!$C$49=1,I$3&gt;i_conc_end),i_renew_fee,i_W_fee)*I65</f>
        <v/>
      </c>
      <c r="J68" s="19">
        <f>IF(AND(Approvals!$C$49=1,J$3&gt;i_conc_end),i_renew_fee,i_W_fee)*J65</f>
        <v/>
      </c>
      <c r="K68" s="19">
        <f>IF(AND(Approvals!$C$49=1,K$3&gt;i_conc_end),i_renew_fee,i_W_fee)*K65</f>
        <v/>
      </c>
      <c r="L68" s="19">
        <f>IF(AND(Approvals!$C$49=1,L$3&gt;i_conc_end),i_renew_fee,i_W_fee)*L65</f>
        <v/>
      </c>
      <c r="M68" s="19">
        <f>IF(AND(Approvals!$C$49=1,M$3&gt;i_conc_end),i_renew_fee,i_W_fee)*M65</f>
        <v/>
      </c>
      <c r="N68" s="19">
        <f>IF(AND(Approvals!$C$49=1,N$3&gt;i_conc_end),i_renew_fee,i_W_fee)*N65</f>
        <v/>
      </c>
      <c r="O68" s="19">
        <f>IF(AND(Approvals!$C$49=1,O$3&gt;i_conc_end),i_renew_fee,i_W_fee)*O65</f>
        <v/>
      </c>
      <c r="P68" s="19">
        <f>IF(AND(Approvals!$C$49=1,P$3&gt;i_conc_end),i_renew_fee,i_W_fee)*P65</f>
        <v/>
      </c>
      <c r="Q68" s="19">
        <f>IF(AND(Approvals!$C$49=1,Q$3&gt;i_conc_end),i_renew_fee,i_W_fee)*Q65</f>
        <v/>
      </c>
      <c r="R68" s="19">
        <f>IF(AND(Approvals!$C$49=1,R$3&gt;i_conc_end),i_renew_fee,i_W_fee)*R65</f>
        <v/>
      </c>
      <c r="S68" s="19">
        <f>IF(AND(Approvals!$C$49=1,S$3&gt;i_conc_end),i_renew_fee,i_W_fee)*S65</f>
        <v/>
      </c>
      <c r="T68" s="19">
        <f>IF(AND(Approvals!$C$49=1,T$3&gt;i_conc_end),i_renew_fee,i_W_fee)*T65</f>
        <v/>
      </c>
      <c r="U68" s="19">
        <f>IF(AND(Approvals!$C$49=1,U$3&gt;i_conc_end),i_renew_fee,i_W_fee)*U65</f>
        <v/>
      </c>
      <c r="V68" s="19">
        <f>IF(AND(Approvals!$C$49=1,V$3&gt;i_conc_end),i_renew_fee,i_W_fee)*V65</f>
        <v/>
      </c>
      <c r="W68" s="19">
        <f>IF(AND(Approvals!$C$49=1,W$3&gt;i_conc_end),i_renew_fee,i_W_fee)*W65</f>
        <v/>
      </c>
      <c r="X68" s="19">
        <f>IF(AND(Approvals!$C$49=1,X$3&gt;i_conc_end),i_renew_fee,i_W_fee)*X65</f>
        <v/>
      </c>
      <c r="Y68" s="19">
        <f>IF(AND(Approvals!$C$49=1,Y$3&gt;i_conc_end),i_renew_fee,i_W_fee)*Y65</f>
        <v/>
      </c>
      <c r="Z68" s="19">
        <f>IF(AND(Approvals!$C$49=1,Z$3&gt;i_conc_end),i_renew_fee,i_W_fee)*Z65</f>
        <v/>
      </c>
      <c r="AA68" s="19">
        <f>IF(AND(Approvals!$C$49=1,AA$3&gt;i_conc_end),i_renew_fee,i_W_fee)*AA65</f>
        <v/>
      </c>
      <c r="AB68" s="19">
        <f>IF(AND(Approvals!$C$49=1,AB$3&gt;i_conc_end),i_renew_fee,i_W_fee)*AB65</f>
        <v/>
      </c>
      <c r="AC68" s="19">
        <f>IF(AND(Approvals!$C$49=1,AC$3&gt;i_conc_end),i_renew_fee,i_W_fee)*AC65</f>
        <v/>
      </c>
      <c r="AD68" s="19">
        <f>IF(AND(Approvals!$C$49=1,AD$3&gt;i_conc_end),i_renew_fee,i_W_fee)*AD65</f>
        <v/>
      </c>
      <c r="AE68" s="19">
        <f>IF(AND(Approvals!$C$49=1,AE$3&gt;i_conc_end),i_renew_fee,i_W_fee)*AE65</f>
        <v/>
      </c>
      <c r="AF68" s="19">
        <f>IF(AND(Approvals!$C$49=1,AF$3&gt;i_conc_end),i_renew_fee,i_W_fee)*AF65</f>
        <v/>
      </c>
      <c r="AG68" s="19">
        <f>IF(AND(Approvals!$C$49=1,AG$3&gt;i_conc_end),i_renew_fee,i_W_fee)*AG65</f>
        <v/>
      </c>
      <c r="AH68" s="19">
        <f>IF(AND(Approvals!$C$49=1,AH$3&gt;i_conc_end),i_renew_fee,i_W_fee)*AH65</f>
        <v/>
      </c>
      <c r="AI68" s="19">
        <f>IF(AND(Approvals!$C$49=1,AI$3&gt;i_conc_end),i_renew_fee,i_W_fee)*AI65</f>
        <v/>
      </c>
    </row>
    <row r="69">
      <c r="B69" s="2" t="inlineStr">
        <is>
          <t xml:space="preserve">  Operating cost</t>
        </is>
      </c>
      <c r="D69" s="19">
        <f>D66+D67+D68</f>
        <v/>
      </c>
      <c r="E69" s="19">
        <f>E66+E67+E68</f>
        <v/>
      </c>
      <c r="F69" s="19">
        <f>F66+F67+F68</f>
        <v/>
      </c>
      <c r="G69" s="19">
        <f>G66+G67+G68</f>
        <v/>
      </c>
      <c r="H69" s="19">
        <f>H66+H67+H68</f>
        <v/>
      </c>
      <c r="I69" s="19">
        <f>I66+I67+I68</f>
        <v/>
      </c>
      <c r="J69" s="19">
        <f>J66+J67+J68</f>
        <v/>
      </c>
      <c r="K69" s="19">
        <f>K66+K67+K68</f>
        <v/>
      </c>
      <c r="L69" s="19">
        <f>L66+L67+L68</f>
        <v/>
      </c>
      <c r="M69" s="19">
        <f>M66+M67+M68</f>
        <v/>
      </c>
      <c r="N69" s="19">
        <f>N66+N67+N68</f>
        <v/>
      </c>
      <c r="O69" s="19">
        <f>O66+O67+O68</f>
        <v/>
      </c>
      <c r="P69" s="19">
        <f>P66+P67+P68</f>
        <v/>
      </c>
      <c r="Q69" s="19">
        <f>Q66+Q67+Q68</f>
        <v/>
      </c>
      <c r="R69" s="19">
        <f>R66+R67+R68</f>
        <v/>
      </c>
      <c r="S69" s="19">
        <f>S66+S67+S68</f>
        <v/>
      </c>
      <c r="T69" s="19">
        <f>T66+T67+T68</f>
        <v/>
      </c>
      <c r="U69" s="19">
        <f>U66+U67+U68</f>
        <v/>
      </c>
      <c r="V69" s="19">
        <f>V66+V67+V68</f>
        <v/>
      </c>
      <c r="W69" s="19">
        <f>W66+W67+W68</f>
        <v/>
      </c>
      <c r="X69" s="19">
        <f>X66+X67+X68</f>
        <v/>
      </c>
      <c r="Y69" s="19">
        <f>Y66+Y67+Y68</f>
        <v/>
      </c>
      <c r="Z69" s="19">
        <f>Z66+Z67+Z68</f>
        <v/>
      </c>
      <c r="AA69" s="19">
        <f>AA66+AA67+AA68</f>
        <v/>
      </c>
      <c r="AB69" s="19">
        <f>AB66+AB67+AB68</f>
        <v/>
      </c>
      <c r="AC69" s="19">
        <f>AC66+AC67+AC68</f>
        <v/>
      </c>
      <c r="AD69" s="19">
        <f>AD66+AD67+AD68</f>
        <v/>
      </c>
      <c r="AE69" s="19">
        <f>AE66+AE67+AE68</f>
        <v/>
      </c>
      <c r="AF69" s="19">
        <f>AF66+AF67+AF68</f>
        <v/>
      </c>
      <c r="AG69" s="19">
        <f>AG66+AG67+AG68</f>
        <v/>
      </c>
      <c r="AH69" s="19">
        <f>AH66+AH67+AH68</f>
        <v/>
      </c>
      <c r="AI69" s="19">
        <f>AI66+AI67+AI68</f>
        <v/>
      </c>
    </row>
    <row r="70">
      <c r="B70" s="3" t="inlineStr">
        <is>
          <t xml:space="preserve">  EBITDA</t>
        </is>
      </c>
      <c r="D70" s="31">
        <f>D65-D69</f>
        <v/>
      </c>
      <c r="E70" s="31">
        <f>E65-E69</f>
        <v/>
      </c>
      <c r="F70" s="31">
        <f>F65-F69</f>
        <v/>
      </c>
      <c r="G70" s="31">
        <f>G65-G69</f>
        <v/>
      </c>
      <c r="H70" s="31">
        <f>H65-H69</f>
        <v/>
      </c>
      <c r="I70" s="31">
        <f>I65-I69</f>
        <v/>
      </c>
      <c r="J70" s="31">
        <f>J65-J69</f>
        <v/>
      </c>
      <c r="K70" s="31">
        <f>K65-K69</f>
        <v/>
      </c>
      <c r="L70" s="31">
        <f>L65-L69</f>
        <v/>
      </c>
      <c r="M70" s="31">
        <f>M65-M69</f>
        <v/>
      </c>
      <c r="N70" s="31">
        <f>N65-N69</f>
        <v/>
      </c>
      <c r="O70" s="31">
        <f>O65-O69</f>
        <v/>
      </c>
      <c r="P70" s="31">
        <f>P65-P69</f>
        <v/>
      </c>
      <c r="Q70" s="31">
        <f>Q65-Q69</f>
        <v/>
      </c>
      <c r="R70" s="31">
        <f>R65-R69</f>
        <v/>
      </c>
      <c r="S70" s="31">
        <f>S65-S69</f>
        <v/>
      </c>
      <c r="T70" s="31">
        <f>T65-T69</f>
        <v/>
      </c>
      <c r="U70" s="31">
        <f>U65-U69</f>
        <v/>
      </c>
      <c r="V70" s="31">
        <f>V65-V69</f>
        <v/>
      </c>
      <c r="W70" s="31">
        <f>W65-W69</f>
        <v/>
      </c>
      <c r="X70" s="31">
        <f>X65-X69</f>
        <v/>
      </c>
      <c r="Y70" s="31">
        <f>Y65-Y69</f>
        <v/>
      </c>
      <c r="Z70" s="31">
        <f>Z65-Z69</f>
        <v/>
      </c>
      <c r="AA70" s="31">
        <f>AA65-AA69</f>
        <v/>
      </c>
      <c r="AB70" s="31">
        <f>AB65-AB69</f>
        <v/>
      </c>
      <c r="AC70" s="31">
        <f>AC65-AC69</f>
        <v/>
      </c>
      <c r="AD70" s="31">
        <f>AD65-AD69</f>
        <v/>
      </c>
      <c r="AE70" s="31">
        <f>AE65-AE69</f>
        <v/>
      </c>
      <c r="AF70" s="31">
        <f>AF65-AF69</f>
        <v/>
      </c>
      <c r="AG70" s="31">
        <f>AG65-AG69</f>
        <v/>
      </c>
      <c r="AH70" s="31">
        <f>AH65-AH69</f>
        <v/>
      </c>
      <c r="AI70" s="31">
        <f>AI65-AI69</f>
        <v/>
      </c>
    </row>
    <row r="71">
      <c r="B71" s="2" t="inlineStr">
        <is>
          <t xml:space="preserve">  Maintenance capex (with jetty 3)</t>
        </is>
      </c>
      <c r="D71" s="19">
        <f>D56*i_W_mc*D52+D55*Approvals!$C$44*SUMIF(i_jetty_years,D$3,i_jetty_vals)*D52</f>
        <v/>
      </c>
      <c r="E71" s="19">
        <f>E56*i_W_mc*E52+E55*Approvals!$C$44*SUMIF(i_jetty_years,E$3,i_jetty_vals)*E52</f>
        <v/>
      </c>
      <c r="F71" s="19">
        <f>F56*i_W_mc*F52+F55*Approvals!$C$44*SUMIF(i_jetty_years,F$3,i_jetty_vals)*F52</f>
        <v/>
      </c>
      <c r="G71" s="19">
        <f>G56*i_W_mc*G52+G55*Approvals!$C$44*SUMIF(i_jetty_years,G$3,i_jetty_vals)*G52</f>
        <v/>
      </c>
      <c r="H71" s="19">
        <f>H56*i_W_mc*H52+H55*Approvals!$C$44*SUMIF(i_jetty_years,H$3,i_jetty_vals)*H52</f>
        <v/>
      </c>
      <c r="I71" s="19">
        <f>I56*i_W_mc*I52+I55*Approvals!$C$44*SUMIF(i_jetty_years,I$3,i_jetty_vals)*I52</f>
        <v/>
      </c>
      <c r="J71" s="19">
        <f>J56*i_W_mc*J52+J55*Approvals!$C$44*SUMIF(i_jetty_years,J$3,i_jetty_vals)*J52</f>
        <v/>
      </c>
      <c r="K71" s="19">
        <f>K56*i_W_mc*K52+K55*Approvals!$C$44*SUMIF(i_jetty_years,K$3,i_jetty_vals)*K52</f>
        <v/>
      </c>
      <c r="L71" s="19">
        <f>L56*i_W_mc*L52+L55*Approvals!$C$44*SUMIF(i_jetty_years,L$3,i_jetty_vals)*L52</f>
        <v/>
      </c>
      <c r="M71" s="19">
        <f>M56*i_W_mc*M52+M55*Approvals!$C$44*SUMIF(i_jetty_years,M$3,i_jetty_vals)*M52</f>
        <v/>
      </c>
      <c r="N71" s="19">
        <f>N56*i_W_mc*N52+N55*Approvals!$C$44*SUMIF(i_jetty_years,N$3,i_jetty_vals)*N52</f>
        <v/>
      </c>
      <c r="O71" s="19">
        <f>O56*i_W_mc*O52+O55*Approvals!$C$44*SUMIF(i_jetty_years,O$3,i_jetty_vals)*O52</f>
        <v/>
      </c>
      <c r="P71" s="19">
        <f>P56*i_W_mc*P52+P55*Approvals!$C$44*SUMIF(i_jetty_years,P$3,i_jetty_vals)*P52</f>
        <v/>
      </c>
      <c r="Q71" s="19">
        <f>Q56*i_W_mc*Q52+Q55*Approvals!$C$44*SUMIF(i_jetty_years,Q$3,i_jetty_vals)*Q52</f>
        <v/>
      </c>
      <c r="R71" s="19">
        <f>R56*i_W_mc*R52+R55*Approvals!$C$44*SUMIF(i_jetty_years,R$3,i_jetty_vals)*R52</f>
        <v/>
      </c>
      <c r="S71" s="19">
        <f>S56*i_W_mc*S52+S55*Approvals!$C$44*SUMIF(i_jetty_years,S$3,i_jetty_vals)*S52</f>
        <v/>
      </c>
      <c r="T71" s="19">
        <f>T56*i_W_mc*T52+T55*Approvals!$C$44*SUMIF(i_jetty_years,T$3,i_jetty_vals)*T52</f>
        <v/>
      </c>
      <c r="U71" s="19">
        <f>U56*i_W_mc*U52+U55*Approvals!$C$44*SUMIF(i_jetty_years,U$3,i_jetty_vals)*U52</f>
        <v/>
      </c>
      <c r="V71" s="19">
        <f>V56*i_W_mc*V52+V55*Approvals!$C$44*SUMIF(i_jetty_years,V$3,i_jetty_vals)*V52</f>
        <v/>
      </c>
      <c r="W71" s="19">
        <f>W56*i_W_mc*W52+W55*Approvals!$C$44*SUMIF(i_jetty_years,W$3,i_jetty_vals)*W52</f>
        <v/>
      </c>
      <c r="X71" s="19">
        <f>X56*i_W_mc*X52+X55*Approvals!$C$44*SUMIF(i_jetty_years,X$3,i_jetty_vals)*X52</f>
        <v/>
      </c>
      <c r="Y71" s="19">
        <f>Y56*i_W_mc*Y52+Y55*Approvals!$C$44*SUMIF(i_jetty_years,Y$3,i_jetty_vals)*Y52</f>
        <v/>
      </c>
      <c r="Z71" s="19">
        <f>Z56*i_W_mc*Z52+Z55*Approvals!$C$44*SUMIF(i_jetty_years,Z$3,i_jetty_vals)*Z52</f>
        <v/>
      </c>
      <c r="AA71" s="19">
        <f>AA56*i_W_mc*AA52+AA55*Approvals!$C$44*SUMIF(i_jetty_years,AA$3,i_jetty_vals)*AA52</f>
        <v/>
      </c>
      <c r="AB71" s="19">
        <f>AB56*i_W_mc*AB52+AB55*Approvals!$C$44*SUMIF(i_jetty_years,AB$3,i_jetty_vals)*AB52</f>
        <v/>
      </c>
      <c r="AC71" s="19">
        <f>AC56*i_W_mc*AC52+AC55*Approvals!$C$44*SUMIF(i_jetty_years,AC$3,i_jetty_vals)*AC52</f>
        <v/>
      </c>
      <c r="AD71" s="19">
        <f>AD56*i_W_mc*AD52+AD55*Approvals!$C$44*SUMIF(i_jetty_years,AD$3,i_jetty_vals)*AD52</f>
        <v/>
      </c>
      <c r="AE71" s="19">
        <f>AE56*i_W_mc*AE52+AE55*Approvals!$C$44*SUMIF(i_jetty_years,AE$3,i_jetty_vals)*AE52</f>
        <v/>
      </c>
      <c r="AF71" s="19">
        <f>AF56*i_W_mc*AF52+AF55*Approvals!$C$44*SUMIF(i_jetty_years,AF$3,i_jetty_vals)*AF52</f>
        <v/>
      </c>
      <c r="AG71" s="19">
        <f>AG56*i_W_mc*AG52+AG55*Approvals!$C$44*SUMIF(i_jetty_years,AG$3,i_jetty_vals)*AG52</f>
        <v/>
      </c>
      <c r="AH71" s="19">
        <f>AH56*i_W_mc*AH52+AH55*Approvals!$C$44*SUMIF(i_jetty_years,AH$3,i_jetty_vals)*AH52</f>
        <v/>
      </c>
      <c r="AI71" s="19">
        <f>AI56*i_W_mc*AI52+AI55*Approvals!$C$44*SUMIF(i_jetty_years,AI$3,i_jetty_vals)*AI52</f>
        <v/>
      </c>
    </row>
    <row r="72">
      <c r="B72" s="3" t="inlineStr">
        <is>
          <t>Rhine Inland</t>
        </is>
      </c>
    </row>
    <row r="73">
      <c r="B73" s="2" t="inlineStr">
        <is>
          <t xml:space="preserve">  Capacity in service (million m3)</t>
        </is>
      </c>
      <c r="D73" s="24">
        <f>i_R_cap</f>
        <v/>
      </c>
      <c r="E73" s="24">
        <f>i_R_cap</f>
        <v/>
      </c>
      <c r="F73" s="24">
        <f>i_R_cap</f>
        <v/>
      </c>
      <c r="G73" s="24">
        <f>i_R_cap</f>
        <v/>
      </c>
      <c r="H73" s="24">
        <f>i_R_cap</f>
        <v/>
      </c>
      <c r="I73" s="24">
        <f>i_R_cap</f>
        <v/>
      </c>
      <c r="J73" s="24">
        <f>i_R_cap</f>
        <v/>
      </c>
      <c r="K73" s="24">
        <f>i_R_cap</f>
        <v/>
      </c>
      <c r="L73" s="24">
        <f>i_R_cap</f>
        <v/>
      </c>
      <c r="M73" s="24">
        <f>i_R_cap</f>
        <v/>
      </c>
      <c r="N73" s="24">
        <f>i_R_cap</f>
        <v/>
      </c>
      <c r="O73" s="24">
        <f>i_R_cap</f>
        <v/>
      </c>
      <c r="P73" s="24">
        <f>i_R_cap</f>
        <v/>
      </c>
      <c r="Q73" s="24">
        <f>i_R_cap</f>
        <v/>
      </c>
      <c r="R73" s="24">
        <f>i_R_cap</f>
        <v/>
      </c>
      <c r="S73" s="24">
        <f>i_R_cap</f>
        <v/>
      </c>
      <c r="T73" s="24">
        <f>i_R_cap</f>
        <v/>
      </c>
      <c r="U73" s="24">
        <f>i_R_cap</f>
        <v/>
      </c>
      <c r="V73" s="24">
        <f>i_R_cap</f>
        <v/>
      </c>
      <c r="W73" s="24">
        <f>i_R_cap</f>
        <v/>
      </c>
      <c r="X73" s="24">
        <f>i_R_cap</f>
        <v/>
      </c>
      <c r="Y73" s="24">
        <f>i_R_cap</f>
        <v/>
      </c>
      <c r="Z73" s="24">
        <f>i_R_cap</f>
        <v/>
      </c>
      <c r="AA73" s="24">
        <f>i_R_cap</f>
        <v/>
      </c>
      <c r="AB73" s="24">
        <f>i_R_cap</f>
        <v/>
      </c>
      <c r="AC73" s="24">
        <f>i_R_cap</f>
        <v/>
      </c>
      <c r="AD73" s="24">
        <f>i_R_cap</f>
        <v/>
      </c>
      <c r="AE73" s="24">
        <f>i_R_cap</f>
        <v/>
      </c>
      <c r="AF73" s="24">
        <f>i_R_cap</f>
        <v/>
      </c>
      <c r="AG73" s="24">
        <f>i_R_cap</f>
        <v/>
      </c>
      <c r="AH73" s="24">
        <f>i_R_cap</f>
        <v/>
      </c>
      <c r="AI73" s="24">
        <f>i_R_cap</f>
        <v/>
      </c>
    </row>
    <row r="74">
      <c r="B74" s="2" t="inlineStr">
        <is>
          <t xml:space="preserve">  Share on contracts signed before 2027</t>
        </is>
      </c>
      <c r="D74" s="21">
        <f>SUMIF(i_book_years,D$3,i_R_book)</f>
        <v/>
      </c>
      <c r="E74" s="21">
        <f>SUMIF(i_book_years,E$3,i_R_book)</f>
        <v/>
      </c>
      <c r="F74" s="21">
        <f>SUMIF(i_book_years,F$3,i_R_book)</f>
        <v/>
      </c>
      <c r="G74" s="21">
        <f>SUMIF(i_book_years,G$3,i_R_book)</f>
        <v/>
      </c>
      <c r="H74" s="21">
        <f>SUMIF(i_book_years,H$3,i_R_book)</f>
        <v/>
      </c>
      <c r="I74" s="21">
        <f>SUMIF(i_book_years,I$3,i_R_book)</f>
        <v/>
      </c>
      <c r="J74" s="21">
        <f>SUMIF(i_book_years,J$3,i_R_book)</f>
        <v/>
      </c>
      <c r="K74" s="21">
        <f>SUMIF(i_book_years,K$3,i_R_book)</f>
        <v/>
      </c>
      <c r="L74" s="21">
        <f>SUMIF(i_book_years,L$3,i_R_book)</f>
        <v/>
      </c>
      <c r="M74" s="21">
        <f>SUMIF(i_book_years,M$3,i_R_book)</f>
        <v/>
      </c>
      <c r="N74" s="21">
        <f>SUMIF(i_book_years,N$3,i_R_book)</f>
        <v/>
      </c>
      <c r="O74" s="21">
        <f>SUMIF(i_book_years,O$3,i_R_book)</f>
        <v/>
      </c>
      <c r="P74" s="21">
        <f>SUMIF(i_book_years,P$3,i_R_book)</f>
        <v/>
      </c>
      <c r="Q74" s="21">
        <f>SUMIF(i_book_years,Q$3,i_R_book)</f>
        <v/>
      </c>
      <c r="R74" s="21">
        <f>SUMIF(i_book_years,R$3,i_R_book)</f>
        <v/>
      </c>
      <c r="S74" s="21">
        <f>SUMIF(i_book_years,S$3,i_R_book)</f>
        <v/>
      </c>
      <c r="T74" s="21">
        <f>SUMIF(i_book_years,T$3,i_R_book)</f>
        <v/>
      </c>
      <c r="U74" s="21">
        <f>SUMIF(i_book_years,U$3,i_R_book)</f>
        <v/>
      </c>
      <c r="V74" s="21">
        <f>SUMIF(i_book_years,V$3,i_R_book)</f>
        <v/>
      </c>
      <c r="W74" s="21">
        <f>SUMIF(i_book_years,W$3,i_R_book)</f>
        <v/>
      </c>
      <c r="X74" s="21">
        <f>SUMIF(i_book_years,X$3,i_R_book)</f>
        <v/>
      </c>
      <c r="Y74" s="21">
        <f>SUMIF(i_book_years,Y$3,i_R_book)</f>
        <v/>
      </c>
      <c r="Z74" s="21">
        <f>SUMIF(i_book_years,Z$3,i_R_book)</f>
        <v/>
      </c>
      <c r="AA74" s="21">
        <f>SUMIF(i_book_years,AA$3,i_R_book)</f>
        <v/>
      </c>
      <c r="AB74" s="21">
        <f>SUMIF(i_book_years,AB$3,i_R_book)</f>
        <v/>
      </c>
      <c r="AC74" s="21">
        <f>SUMIF(i_book_years,AC$3,i_R_book)</f>
        <v/>
      </c>
      <c r="AD74" s="21">
        <f>SUMIF(i_book_years,AD$3,i_R_book)</f>
        <v/>
      </c>
      <c r="AE74" s="21">
        <f>SUMIF(i_book_years,AE$3,i_R_book)</f>
        <v/>
      </c>
      <c r="AF74" s="21">
        <f>SUMIF(i_book_years,AF$3,i_R_book)</f>
        <v/>
      </c>
      <c r="AG74" s="21">
        <f>SUMIF(i_book_years,AG$3,i_R_book)</f>
        <v/>
      </c>
      <c r="AH74" s="21">
        <f>SUMIF(i_book_years,AH$3,i_R_book)</f>
        <v/>
      </c>
      <c r="AI74" s="21">
        <f>SUMIF(i_book_years,AI$3,i_R_book)</f>
        <v/>
      </c>
    </row>
    <row r="75">
      <c r="B75" s="2" t="inlineStr">
        <is>
          <t xml:space="preserve">  Recontracting factor against current rates</t>
        </is>
      </c>
      <c r="D75" s="21">
        <f>IF(D$4=0,0,IF(Approvals!$C$42=1,i_R_mtm,i_R_mtm_plan)+Approvals!$C$48)</f>
        <v/>
      </c>
      <c r="E75" s="21">
        <f>IF(E$4=0,0,IF(Approvals!$C$42=1,i_R_mtm,i_R_mtm_plan)+Approvals!$C$48)</f>
        <v/>
      </c>
      <c r="F75" s="21">
        <f>IF(F$4=0,0,IF(Approvals!$C$42=1,i_R_mtm,i_R_mtm_plan)+Approvals!$C$48)</f>
        <v/>
      </c>
      <c r="G75" s="21">
        <f>IF(G$4=0,0,IF(Approvals!$C$42=1,i_R_mtm,i_R_mtm_plan)+Approvals!$C$48)</f>
        <v/>
      </c>
      <c r="H75" s="21">
        <f>IF(H$4=0,0,IF(Approvals!$C$42=1,i_R_mtm,i_R_mtm_plan)+Approvals!$C$48)</f>
        <v/>
      </c>
      <c r="I75" s="21">
        <f>IF(I$4=0,0,IF(Approvals!$C$42=1,i_R_mtm,i_R_mtm_plan)+Approvals!$C$48)</f>
        <v/>
      </c>
      <c r="J75" s="21">
        <f>IF(J$4=0,0,IF(Approvals!$C$42=1,i_R_mtm,i_R_mtm_plan)+Approvals!$C$48)</f>
        <v/>
      </c>
      <c r="K75" s="21">
        <f>IF(K$4=0,0,IF(Approvals!$C$42=1,i_R_mtm,i_R_mtm_plan)+Approvals!$C$48)</f>
        <v/>
      </c>
      <c r="L75" s="21">
        <f>IF(L$4=0,0,IF(Approvals!$C$42=1,i_R_mtm,i_R_mtm_plan)+Approvals!$C$48)</f>
        <v/>
      </c>
      <c r="M75" s="21">
        <f>IF(M$4=0,0,IF(Approvals!$C$42=1,i_R_mtm,i_R_mtm_plan)+Approvals!$C$48)</f>
        <v/>
      </c>
      <c r="N75" s="21">
        <f>IF(N$4=0,0,IF(Approvals!$C$42=1,i_R_mtm,i_R_mtm_plan)+Approvals!$C$48)</f>
        <v/>
      </c>
      <c r="O75" s="21">
        <f>IF(O$4=0,0,IF(Approvals!$C$42=1,i_R_mtm,i_R_mtm_plan)+Approvals!$C$48)</f>
        <v/>
      </c>
      <c r="P75" s="21">
        <f>IF(P$4=0,0,IF(Approvals!$C$42=1,i_R_mtm,i_R_mtm_plan)+Approvals!$C$48)</f>
        <v/>
      </c>
      <c r="Q75" s="21">
        <f>IF(Q$4=0,0,IF(Approvals!$C$42=1,i_R_mtm,i_R_mtm_plan)+Approvals!$C$48)</f>
        <v/>
      </c>
      <c r="R75" s="21">
        <f>IF(R$4=0,0,IF(Approvals!$C$42=1,i_R_mtm,i_R_mtm_plan)+Approvals!$C$48)</f>
        <v/>
      </c>
      <c r="S75" s="21">
        <f>IF(S$4=0,0,IF(Approvals!$C$42=1,i_R_mtm,i_R_mtm_plan)+Approvals!$C$48)</f>
        <v/>
      </c>
      <c r="T75" s="21">
        <f>IF(T$4=0,0,IF(Approvals!$C$42=1,i_R_mtm,i_R_mtm_plan)+Approvals!$C$48)</f>
        <v/>
      </c>
      <c r="U75" s="21">
        <f>IF(U$4=0,0,IF(Approvals!$C$42=1,i_R_mtm,i_R_mtm_plan)+Approvals!$C$48)</f>
        <v/>
      </c>
      <c r="V75" s="21">
        <f>IF(V$4=0,0,IF(Approvals!$C$42=1,i_R_mtm,i_R_mtm_plan)+Approvals!$C$48)</f>
        <v/>
      </c>
      <c r="W75" s="21">
        <f>IF(W$4=0,0,IF(Approvals!$C$42=1,i_R_mtm,i_R_mtm_plan)+Approvals!$C$48)</f>
        <v/>
      </c>
      <c r="X75" s="21">
        <f>IF(X$4=0,0,IF(Approvals!$C$42=1,i_R_mtm,i_R_mtm_plan)+Approvals!$C$48)</f>
        <v/>
      </c>
      <c r="Y75" s="21">
        <f>IF(Y$4=0,0,IF(Approvals!$C$42=1,i_R_mtm,i_R_mtm_plan)+Approvals!$C$48)</f>
        <v/>
      </c>
      <c r="Z75" s="21">
        <f>IF(Z$4=0,0,IF(Approvals!$C$42=1,i_R_mtm,i_R_mtm_plan)+Approvals!$C$48)</f>
        <v/>
      </c>
      <c r="AA75" s="21">
        <f>IF(AA$4=0,0,IF(Approvals!$C$42=1,i_R_mtm,i_R_mtm_plan)+Approvals!$C$48)</f>
        <v/>
      </c>
      <c r="AB75" s="21">
        <f>IF(AB$4=0,0,IF(Approvals!$C$42=1,i_R_mtm,i_R_mtm_plan)+Approvals!$C$48)</f>
        <v/>
      </c>
      <c r="AC75" s="21">
        <f>IF(AC$4=0,0,IF(Approvals!$C$42=1,i_R_mtm,i_R_mtm_plan)+Approvals!$C$48)</f>
        <v/>
      </c>
      <c r="AD75" s="21">
        <f>IF(AD$4=0,0,IF(Approvals!$C$42=1,i_R_mtm,i_R_mtm_plan)+Approvals!$C$48)</f>
        <v/>
      </c>
      <c r="AE75" s="21">
        <f>IF(AE$4=0,0,IF(Approvals!$C$42=1,i_R_mtm,i_R_mtm_plan)+Approvals!$C$48)</f>
        <v/>
      </c>
      <c r="AF75" s="21">
        <f>IF(AF$4=0,0,IF(Approvals!$C$42=1,i_R_mtm,i_R_mtm_plan)+Approvals!$C$48)</f>
        <v/>
      </c>
      <c r="AG75" s="21">
        <f>IF(AG$4=0,0,IF(Approvals!$C$42=1,i_R_mtm,i_R_mtm_plan)+Approvals!$C$48)</f>
        <v/>
      </c>
      <c r="AH75" s="21">
        <f>IF(AH$4=0,0,IF(Approvals!$C$42=1,i_R_mtm,i_R_mtm_plan)+Approvals!$C$48)</f>
        <v/>
      </c>
      <c r="AI75" s="21">
        <f>IF(AI$4=0,0,IF(Approvals!$C$42=1,i_R_mtm,i_R_mtm_plan)+Approvals!$C$48)</f>
        <v/>
      </c>
    </row>
    <row r="76">
      <c r="B76" s="2" t="inlineStr">
        <is>
          <t xml:space="preserve">  Average rate ($ per m3 per month)</t>
        </is>
      </c>
      <c r="D76" s="24">
        <f>i_R_rate*D53*(D74+(1-D74)*(1+D75))</f>
        <v/>
      </c>
      <c r="E76" s="24">
        <f>i_R_rate*E53*(E74+(1-E74)*(1+E75))</f>
        <v/>
      </c>
      <c r="F76" s="24">
        <f>i_R_rate*F53*(F74+(1-F74)*(1+F75))</f>
        <v/>
      </c>
      <c r="G76" s="24">
        <f>i_R_rate*G53*(G74+(1-G74)*(1+G75))</f>
        <v/>
      </c>
      <c r="H76" s="24">
        <f>i_R_rate*H53*(H74+(1-H74)*(1+H75))</f>
        <v/>
      </c>
      <c r="I76" s="24">
        <f>i_R_rate*I53*(I74+(1-I74)*(1+I75))</f>
        <v/>
      </c>
      <c r="J76" s="24">
        <f>i_R_rate*J53*(J74+(1-J74)*(1+J75))</f>
        <v/>
      </c>
      <c r="K76" s="24">
        <f>i_R_rate*K53*(K74+(1-K74)*(1+K75))</f>
        <v/>
      </c>
      <c r="L76" s="24">
        <f>i_R_rate*L53*(L74+(1-L74)*(1+L75))</f>
        <v/>
      </c>
      <c r="M76" s="24">
        <f>i_R_rate*M53*(M74+(1-M74)*(1+M75))</f>
        <v/>
      </c>
      <c r="N76" s="24">
        <f>i_R_rate*N53*(N74+(1-N74)*(1+N75))</f>
        <v/>
      </c>
      <c r="O76" s="24">
        <f>i_R_rate*O53*(O74+(1-O74)*(1+O75))</f>
        <v/>
      </c>
      <c r="P76" s="24">
        <f>i_R_rate*P53*(P74+(1-P74)*(1+P75))</f>
        <v/>
      </c>
      <c r="Q76" s="24">
        <f>i_R_rate*Q53*(Q74+(1-Q74)*(1+Q75))</f>
        <v/>
      </c>
      <c r="R76" s="24">
        <f>i_R_rate*R53*(R74+(1-R74)*(1+R75))</f>
        <v/>
      </c>
      <c r="S76" s="24">
        <f>i_R_rate*S53*(S74+(1-S74)*(1+S75))</f>
        <v/>
      </c>
      <c r="T76" s="24">
        <f>i_R_rate*T53*(T74+(1-T74)*(1+T75))</f>
        <v/>
      </c>
      <c r="U76" s="24">
        <f>i_R_rate*U53*(U74+(1-U74)*(1+U75))</f>
        <v/>
      </c>
      <c r="V76" s="24">
        <f>i_R_rate*V53*(V74+(1-V74)*(1+V75))</f>
        <v/>
      </c>
      <c r="W76" s="24">
        <f>i_R_rate*W53*(W74+(1-W74)*(1+W75))</f>
        <v/>
      </c>
      <c r="X76" s="24">
        <f>i_R_rate*X53*(X74+(1-X74)*(1+X75))</f>
        <v/>
      </c>
      <c r="Y76" s="24">
        <f>i_R_rate*Y53*(Y74+(1-Y74)*(1+Y75))</f>
        <v/>
      </c>
      <c r="Z76" s="24">
        <f>i_R_rate*Z53*(Z74+(1-Z74)*(1+Z75))</f>
        <v/>
      </c>
      <c r="AA76" s="24">
        <f>i_R_rate*AA53*(AA74+(1-AA74)*(1+AA75))</f>
        <v/>
      </c>
      <c r="AB76" s="24">
        <f>i_R_rate*AB53*(AB74+(1-AB74)*(1+AB75))</f>
        <v/>
      </c>
      <c r="AC76" s="24">
        <f>i_R_rate*AC53*(AC74+(1-AC74)*(1+AC75))</f>
        <v/>
      </c>
      <c r="AD76" s="24">
        <f>i_R_rate*AD53*(AD74+(1-AD74)*(1+AD75))</f>
        <v/>
      </c>
      <c r="AE76" s="24">
        <f>i_R_rate*AE53*(AE74+(1-AE74)*(1+AE75))</f>
        <v/>
      </c>
      <c r="AF76" s="24">
        <f>i_R_rate*AF53*(AF74+(1-AF74)*(1+AF75))</f>
        <v/>
      </c>
      <c r="AG76" s="24">
        <f>i_R_rate*AG53*(AG74+(1-AG74)*(1+AG75))</f>
        <v/>
      </c>
      <c r="AH76" s="24">
        <f>i_R_rate*AH53*(AH74+(1-AH74)*(1+AH75))</f>
        <v/>
      </c>
      <c r="AI76" s="24">
        <f>i_R_rate*AI53*(AI74+(1-AI74)*(1+AI75))</f>
        <v/>
      </c>
    </row>
    <row r="77">
      <c r="B77" s="2" t="inlineStr">
        <is>
          <t xml:space="preserve">  Occupancy after the transition decline and floor</t>
        </is>
      </c>
      <c r="D77" s="21">
        <f>IF(D$3&gt;i_trans_start,MAX(i_R_floor,i_R_occ-i_R_dec*(D$3-i_trans_start)),i_R_occ)</f>
        <v/>
      </c>
      <c r="E77" s="21">
        <f>IF(E$3&gt;i_trans_start,MAX(i_R_floor,i_R_occ-i_R_dec*(E$3-i_trans_start)),i_R_occ)</f>
        <v/>
      </c>
      <c r="F77" s="21">
        <f>IF(F$3&gt;i_trans_start,MAX(i_R_floor,i_R_occ-i_R_dec*(F$3-i_trans_start)),i_R_occ)</f>
        <v/>
      </c>
      <c r="G77" s="21">
        <f>IF(G$3&gt;i_trans_start,MAX(i_R_floor,i_R_occ-i_R_dec*(G$3-i_trans_start)),i_R_occ)</f>
        <v/>
      </c>
      <c r="H77" s="21">
        <f>IF(H$3&gt;i_trans_start,MAX(i_R_floor,i_R_occ-i_R_dec*(H$3-i_trans_start)),i_R_occ)</f>
        <v/>
      </c>
      <c r="I77" s="21">
        <f>IF(I$3&gt;i_trans_start,MAX(i_R_floor,i_R_occ-i_R_dec*(I$3-i_trans_start)),i_R_occ)</f>
        <v/>
      </c>
      <c r="J77" s="21">
        <f>IF(J$3&gt;i_trans_start,MAX(i_R_floor,i_R_occ-i_R_dec*(J$3-i_trans_start)),i_R_occ)</f>
        <v/>
      </c>
      <c r="K77" s="21">
        <f>IF(K$3&gt;i_trans_start,MAX(i_R_floor,i_R_occ-i_R_dec*(K$3-i_trans_start)),i_R_occ)</f>
        <v/>
      </c>
      <c r="L77" s="21">
        <f>IF(L$3&gt;i_trans_start,MAX(i_R_floor,i_R_occ-i_R_dec*(L$3-i_trans_start)),i_R_occ)</f>
        <v/>
      </c>
      <c r="M77" s="21">
        <f>IF(M$3&gt;i_trans_start,MAX(i_R_floor,i_R_occ-i_R_dec*(M$3-i_trans_start)),i_R_occ)</f>
        <v/>
      </c>
      <c r="N77" s="21">
        <f>IF(N$3&gt;i_trans_start,MAX(i_R_floor,i_R_occ-i_R_dec*(N$3-i_trans_start)),i_R_occ)</f>
        <v/>
      </c>
      <c r="O77" s="21">
        <f>IF(O$3&gt;i_trans_start,MAX(i_R_floor,i_R_occ-i_R_dec*(O$3-i_trans_start)),i_R_occ)</f>
        <v/>
      </c>
      <c r="P77" s="21">
        <f>IF(P$3&gt;i_trans_start,MAX(i_R_floor,i_R_occ-i_R_dec*(P$3-i_trans_start)),i_R_occ)</f>
        <v/>
      </c>
      <c r="Q77" s="21">
        <f>IF(Q$3&gt;i_trans_start,MAX(i_R_floor,i_R_occ-i_R_dec*(Q$3-i_trans_start)),i_R_occ)</f>
        <v/>
      </c>
      <c r="R77" s="21">
        <f>IF(R$3&gt;i_trans_start,MAX(i_R_floor,i_R_occ-i_R_dec*(R$3-i_trans_start)),i_R_occ)</f>
        <v/>
      </c>
      <c r="S77" s="21">
        <f>IF(S$3&gt;i_trans_start,MAX(i_R_floor,i_R_occ-i_R_dec*(S$3-i_trans_start)),i_R_occ)</f>
        <v/>
      </c>
      <c r="T77" s="21">
        <f>IF(T$3&gt;i_trans_start,MAX(i_R_floor,i_R_occ-i_R_dec*(T$3-i_trans_start)),i_R_occ)</f>
        <v/>
      </c>
      <c r="U77" s="21">
        <f>IF(U$3&gt;i_trans_start,MAX(i_R_floor,i_R_occ-i_R_dec*(U$3-i_trans_start)),i_R_occ)</f>
        <v/>
      </c>
      <c r="V77" s="21">
        <f>IF(V$3&gt;i_trans_start,MAX(i_R_floor,i_R_occ-i_R_dec*(V$3-i_trans_start)),i_R_occ)</f>
        <v/>
      </c>
      <c r="W77" s="21">
        <f>IF(W$3&gt;i_trans_start,MAX(i_R_floor,i_R_occ-i_R_dec*(W$3-i_trans_start)),i_R_occ)</f>
        <v/>
      </c>
      <c r="X77" s="21">
        <f>IF(X$3&gt;i_trans_start,MAX(i_R_floor,i_R_occ-i_R_dec*(X$3-i_trans_start)),i_R_occ)</f>
        <v/>
      </c>
      <c r="Y77" s="21">
        <f>IF(Y$3&gt;i_trans_start,MAX(i_R_floor,i_R_occ-i_R_dec*(Y$3-i_trans_start)),i_R_occ)</f>
        <v/>
      </c>
      <c r="Z77" s="21">
        <f>IF(Z$3&gt;i_trans_start,MAX(i_R_floor,i_R_occ-i_R_dec*(Z$3-i_trans_start)),i_R_occ)</f>
        <v/>
      </c>
      <c r="AA77" s="21">
        <f>IF(AA$3&gt;i_trans_start,MAX(i_R_floor,i_R_occ-i_R_dec*(AA$3-i_trans_start)),i_R_occ)</f>
        <v/>
      </c>
      <c r="AB77" s="21">
        <f>IF(AB$3&gt;i_trans_start,MAX(i_R_floor,i_R_occ-i_R_dec*(AB$3-i_trans_start)),i_R_occ)</f>
        <v/>
      </c>
      <c r="AC77" s="21">
        <f>IF(AC$3&gt;i_trans_start,MAX(i_R_floor,i_R_occ-i_R_dec*(AC$3-i_trans_start)),i_R_occ)</f>
        <v/>
      </c>
      <c r="AD77" s="21">
        <f>IF(AD$3&gt;i_trans_start,MAX(i_R_floor,i_R_occ-i_R_dec*(AD$3-i_trans_start)),i_R_occ)</f>
        <v/>
      </c>
      <c r="AE77" s="21">
        <f>IF(AE$3&gt;i_trans_start,MAX(i_R_floor,i_R_occ-i_R_dec*(AE$3-i_trans_start)),i_R_occ)</f>
        <v/>
      </c>
      <c r="AF77" s="21">
        <f>IF(AF$3&gt;i_trans_start,MAX(i_R_floor,i_R_occ-i_R_dec*(AF$3-i_trans_start)),i_R_occ)</f>
        <v/>
      </c>
      <c r="AG77" s="21">
        <f>IF(AG$3&gt;i_trans_start,MAX(i_R_floor,i_R_occ-i_R_dec*(AG$3-i_trans_start)),i_R_occ)</f>
        <v/>
      </c>
      <c r="AH77" s="21">
        <f>IF(AH$3&gt;i_trans_start,MAX(i_R_floor,i_R_occ-i_R_dec*(AH$3-i_trans_start)),i_R_occ)</f>
        <v/>
      </c>
      <c r="AI77" s="21">
        <f>IF(AI$3&gt;i_trans_start,MAX(i_R_floor,i_R_occ-i_R_dec*(AI$3-i_trans_start)),i_R_occ)</f>
        <v/>
      </c>
    </row>
    <row r="78">
      <c r="B78" s="2" t="inlineStr">
        <is>
          <t xml:space="preserve">  Occupancy (with the shift switch from 2027)</t>
        </is>
      </c>
      <c r="D78" s="21">
        <f>IF(D$4&gt;0,MIN(1,D77+Approvals!$C$47),D77)</f>
        <v/>
      </c>
      <c r="E78" s="21">
        <f>IF(E$4&gt;0,MIN(1,E77+Approvals!$C$47),E77)</f>
        <v/>
      </c>
      <c r="F78" s="21">
        <f>IF(F$4&gt;0,MIN(1,F77+Approvals!$C$47),F77)</f>
        <v/>
      </c>
      <c r="G78" s="21">
        <f>IF(G$4&gt;0,MIN(1,G77+Approvals!$C$47),G77)</f>
        <v/>
      </c>
      <c r="H78" s="21">
        <f>IF(H$4&gt;0,MIN(1,H77+Approvals!$C$47),H77)</f>
        <v/>
      </c>
      <c r="I78" s="21">
        <f>IF(I$4&gt;0,MIN(1,I77+Approvals!$C$47),I77)</f>
        <v/>
      </c>
      <c r="J78" s="21">
        <f>IF(J$4&gt;0,MIN(1,J77+Approvals!$C$47),J77)</f>
        <v/>
      </c>
      <c r="K78" s="21">
        <f>IF(K$4&gt;0,MIN(1,K77+Approvals!$C$47),K77)</f>
        <v/>
      </c>
      <c r="L78" s="21">
        <f>IF(L$4&gt;0,MIN(1,L77+Approvals!$C$47),L77)</f>
        <v/>
      </c>
      <c r="M78" s="21">
        <f>IF(M$4&gt;0,MIN(1,M77+Approvals!$C$47),M77)</f>
        <v/>
      </c>
      <c r="N78" s="21">
        <f>IF(N$4&gt;0,MIN(1,N77+Approvals!$C$47),N77)</f>
        <v/>
      </c>
      <c r="O78" s="21">
        <f>IF(O$4&gt;0,MIN(1,O77+Approvals!$C$47),O77)</f>
        <v/>
      </c>
      <c r="P78" s="21">
        <f>IF(P$4&gt;0,MIN(1,P77+Approvals!$C$47),P77)</f>
        <v/>
      </c>
      <c r="Q78" s="21">
        <f>IF(Q$4&gt;0,MIN(1,Q77+Approvals!$C$47),Q77)</f>
        <v/>
      </c>
      <c r="R78" s="21">
        <f>IF(R$4&gt;0,MIN(1,R77+Approvals!$C$47),R77)</f>
        <v/>
      </c>
      <c r="S78" s="21">
        <f>IF(S$4&gt;0,MIN(1,S77+Approvals!$C$47),S77)</f>
        <v/>
      </c>
      <c r="T78" s="21">
        <f>IF(T$4&gt;0,MIN(1,T77+Approvals!$C$47),T77)</f>
        <v/>
      </c>
      <c r="U78" s="21">
        <f>IF(U$4&gt;0,MIN(1,U77+Approvals!$C$47),U77)</f>
        <v/>
      </c>
      <c r="V78" s="21">
        <f>IF(V$4&gt;0,MIN(1,V77+Approvals!$C$47),V77)</f>
        <v/>
      </c>
      <c r="W78" s="21">
        <f>IF(W$4&gt;0,MIN(1,W77+Approvals!$C$47),W77)</f>
        <v/>
      </c>
      <c r="X78" s="21">
        <f>IF(X$4&gt;0,MIN(1,X77+Approvals!$C$47),X77)</f>
        <v/>
      </c>
      <c r="Y78" s="21">
        <f>IF(Y$4&gt;0,MIN(1,Y77+Approvals!$C$47),Y77)</f>
        <v/>
      </c>
      <c r="Z78" s="21">
        <f>IF(Z$4&gt;0,MIN(1,Z77+Approvals!$C$47),Z77)</f>
        <v/>
      </c>
      <c r="AA78" s="21">
        <f>IF(AA$4&gt;0,MIN(1,AA77+Approvals!$C$47),AA77)</f>
        <v/>
      </c>
      <c r="AB78" s="21">
        <f>IF(AB$4&gt;0,MIN(1,AB77+Approvals!$C$47),AB77)</f>
        <v/>
      </c>
      <c r="AC78" s="21">
        <f>IF(AC$4&gt;0,MIN(1,AC77+Approvals!$C$47),AC77)</f>
        <v/>
      </c>
      <c r="AD78" s="21">
        <f>IF(AD$4&gt;0,MIN(1,AD77+Approvals!$C$47),AD77)</f>
        <v/>
      </c>
      <c r="AE78" s="21">
        <f>IF(AE$4&gt;0,MIN(1,AE77+Approvals!$C$47),AE77)</f>
        <v/>
      </c>
      <c r="AF78" s="21">
        <f>IF(AF$4&gt;0,MIN(1,AF77+Approvals!$C$47),AF77)</f>
        <v/>
      </c>
      <c r="AG78" s="21">
        <f>IF(AG$4&gt;0,MIN(1,AG77+Approvals!$C$47),AG77)</f>
        <v/>
      </c>
      <c r="AH78" s="21">
        <f>IF(AH$4&gt;0,MIN(1,AH77+Approvals!$C$47),AH77)</f>
        <v/>
      </c>
      <c r="AI78" s="21">
        <f>IF(AI$4&gt;0,MIN(1,AI77+Approvals!$C$47),AI77)</f>
        <v/>
      </c>
    </row>
    <row r="79">
      <c r="B79" s="2" t="inlineStr">
        <is>
          <t xml:space="preserve">  Storage revenue</t>
        </is>
      </c>
      <c r="D79" s="19">
        <f>D73*D76*12*D78</f>
        <v/>
      </c>
      <c r="E79" s="19">
        <f>E73*E76*12*E78</f>
        <v/>
      </c>
      <c r="F79" s="19">
        <f>F73*F76*12*F78</f>
        <v/>
      </c>
      <c r="G79" s="19">
        <f>G73*G76*12*G78</f>
        <v/>
      </c>
      <c r="H79" s="19">
        <f>H73*H76*12*H78</f>
        <v/>
      </c>
      <c r="I79" s="19">
        <f>I73*I76*12*I78</f>
        <v/>
      </c>
      <c r="J79" s="19">
        <f>J73*J76*12*J78</f>
        <v/>
      </c>
      <c r="K79" s="19">
        <f>K73*K76*12*K78</f>
        <v/>
      </c>
      <c r="L79" s="19">
        <f>L73*L76*12*L78</f>
        <v/>
      </c>
      <c r="M79" s="19">
        <f>M73*M76*12*M78</f>
        <v/>
      </c>
      <c r="N79" s="19">
        <f>N73*N76*12*N78</f>
        <v/>
      </c>
      <c r="O79" s="19">
        <f>O73*O76*12*O78</f>
        <v/>
      </c>
      <c r="P79" s="19">
        <f>P73*P76*12*P78</f>
        <v/>
      </c>
      <c r="Q79" s="19">
        <f>Q73*Q76*12*Q78</f>
        <v/>
      </c>
      <c r="R79" s="19">
        <f>R73*R76*12*R78</f>
        <v/>
      </c>
      <c r="S79" s="19">
        <f>S73*S76*12*S78</f>
        <v/>
      </c>
      <c r="T79" s="19">
        <f>T73*T76*12*T78</f>
        <v/>
      </c>
      <c r="U79" s="19">
        <f>U73*U76*12*U78</f>
        <v/>
      </c>
      <c r="V79" s="19">
        <f>V73*V76*12*V78</f>
        <v/>
      </c>
      <c r="W79" s="19">
        <f>W73*W76*12*W78</f>
        <v/>
      </c>
      <c r="X79" s="19">
        <f>X73*X76*12*X78</f>
        <v/>
      </c>
      <c r="Y79" s="19">
        <f>Y73*Y76*12*Y78</f>
        <v/>
      </c>
      <c r="Z79" s="19">
        <f>Z73*Z76*12*Z78</f>
        <v/>
      </c>
      <c r="AA79" s="19">
        <f>AA73*AA76*12*AA78</f>
        <v/>
      </c>
      <c r="AB79" s="19">
        <f>AB73*AB76*12*AB78</f>
        <v/>
      </c>
      <c r="AC79" s="19">
        <f>AC73*AC76*12*AC78</f>
        <v/>
      </c>
      <c r="AD79" s="19">
        <f>AD73*AD76*12*AD78</f>
        <v/>
      </c>
      <c r="AE79" s="19">
        <f>AE73*AE76*12*AE78</f>
        <v/>
      </c>
      <c r="AF79" s="19">
        <f>AF73*AF76*12*AF78</f>
        <v/>
      </c>
      <c r="AG79" s="19">
        <f>AG73*AG76*12*AG78</f>
        <v/>
      </c>
      <c r="AH79" s="19">
        <f>AH73*AH76*12*AH78</f>
        <v/>
      </c>
      <c r="AI79" s="19">
        <f>AI73*AI76*12*AI78</f>
        <v/>
      </c>
    </row>
    <row r="80">
      <c r="B80" s="2" t="inlineStr">
        <is>
          <t xml:space="preserve">  Ancillary and throughput revenue</t>
        </is>
      </c>
      <c r="D80" s="19">
        <f>D79*i_R_anc</f>
        <v/>
      </c>
      <c r="E80" s="19">
        <f>E79*i_R_anc</f>
        <v/>
      </c>
      <c r="F80" s="19">
        <f>F79*i_R_anc</f>
        <v/>
      </c>
      <c r="G80" s="19">
        <f>G79*i_R_anc</f>
        <v/>
      </c>
      <c r="H80" s="19">
        <f>H79*i_R_anc</f>
        <v/>
      </c>
      <c r="I80" s="19">
        <f>I79*i_R_anc</f>
        <v/>
      </c>
      <c r="J80" s="19">
        <f>J79*i_R_anc</f>
        <v/>
      </c>
      <c r="K80" s="19">
        <f>K79*i_R_anc</f>
        <v/>
      </c>
      <c r="L80" s="19">
        <f>L79*i_R_anc</f>
        <v/>
      </c>
      <c r="M80" s="19">
        <f>M79*i_R_anc</f>
        <v/>
      </c>
      <c r="N80" s="19">
        <f>N79*i_R_anc</f>
        <v/>
      </c>
      <c r="O80" s="19">
        <f>O79*i_R_anc</f>
        <v/>
      </c>
      <c r="P80" s="19">
        <f>P79*i_R_anc</f>
        <v/>
      </c>
      <c r="Q80" s="19">
        <f>Q79*i_R_anc</f>
        <v/>
      </c>
      <c r="R80" s="19">
        <f>R79*i_R_anc</f>
        <v/>
      </c>
      <c r="S80" s="19">
        <f>S79*i_R_anc</f>
        <v/>
      </c>
      <c r="T80" s="19">
        <f>T79*i_R_anc</f>
        <v/>
      </c>
      <c r="U80" s="19">
        <f>U79*i_R_anc</f>
        <v/>
      </c>
      <c r="V80" s="19">
        <f>V79*i_R_anc</f>
        <v/>
      </c>
      <c r="W80" s="19">
        <f>W79*i_R_anc</f>
        <v/>
      </c>
      <c r="X80" s="19">
        <f>X79*i_R_anc</f>
        <v/>
      </c>
      <c r="Y80" s="19">
        <f>Y79*i_R_anc</f>
        <v/>
      </c>
      <c r="Z80" s="19">
        <f>Z79*i_R_anc</f>
        <v/>
      </c>
      <c r="AA80" s="19">
        <f>AA79*i_R_anc</f>
        <v/>
      </c>
      <c r="AB80" s="19">
        <f>AB79*i_R_anc</f>
        <v/>
      </c>
      <c r="AC80" s="19">
        <f>AC79*i_R_anc</f>
        <v/>
      </c>
      <c r="AD80" s="19">
        <f>AD79*i_R_anc</f>
        <v/>
      </c>
      <c r="AE80" s="19">
        <f>AE79*i_R_anc</f>
        <v/>
      </c>
      <c r="AF80" s="19">
        <f>AF79*i_R_anc</f>
        <v/>
      </c>
      <c r="AG80" s="19">
        <f>AG79*i_R_anc</f>
        <v/>
      </c>
      <c r="AH80" s="19">
        <f>AH79*i_R_anc</f>
        <v/>
      </c>
      <c r="AI80" s="19">
        <f>AI79*i_R_anc</f>
        <v/>
      </c>
    </row>
    <row r="81">
      <c r="B81" s="3" t="inlineStr">
        <is>
          <t xml:space="preserve">  Revenue</t>
        </is>
      </c>
      <c r="D81" s="31">
        <f>D79+D80</f>
        <v/>
      </c>
      <c r="E81" s="31">
        <f>E79+E80</f>
        <v/>
      </c>
      <c r="F81" s="31">
        <f>F79+F80</f>
        <v/>
      </c>
      <c r="G81" s="31">
        <f>G79+G80</f>
        <v/>
      </c>
      <c r="H81" s="31">
        <f>H79+H80</f>
        <v/>
      </c>
      <c r="I81" s="31">
        <f>I79+I80</f>
        <v/>
      </c>
      <c r="J81" s="31">
        <f>J79+J80</f>
        <v/>
      </c>
      <c r="K81" s="31">
        <f>K79+K80</f>
        <v/>
      </c>
      <c r="L81" s="31">
        <f>L79+L80</f>
        <v/>
      </c>
      <c r="M81" s="31">
        <f>M79+M80</f>
        <v/>
      </c>
      <c r="N81" s="31">
        <f>N79+N80</f>
        <v/>
      </c>
      <c r="O81" s="31">
        <f>O79+O80</f>
        <v/>
      </c>
      <c r="P81" s="31">
        <f>P79+P80</f>
        <v/>
      </c>
      <c r="Q81" s="31">
        <f>Q79+Q80</f>
        <v/>
      </c>
      <c r="R81" s="31">
        <f>R79+R80</f>
        <v/>
      </c>
      <c r="S81" s="31">
        <f>S79+S80</f>
        <v/>
      </c>
      <c r="T81" s="31">
        <f>T79+T80</f>
        <v/>
      </c>
      <c r="U81" s="31">
        <f>U79+U80</f>
        <v/>
      </c>
      <c r="V81" s="31">
        <f>V79+V80</f>
        <v/>
      </c>
      <c r="W81" s="31">
        <f>W79+W80</f>
        <v/>
      </c>
      <c r="X81" s="31">
        <f>X79+X80</f>
        <v/>
      </c>
      <c r="Y81" s="31">
        <f>Y79+Y80</f>
        <v/>
      </c>
      <c r="Z81" s="31">
        <f>Z79+Z80</f>
        <v/>
      </c>
      <c r="AA81" s="31">
        <f>AA79+AA80</f>
        <v/>
      </c>
      <c r="AB81" s="31">
        <f>AB79+AB80</f>
        <v/>
      </c>
      <c r="AC81" s="31">
        <f>AC79+AC80</f>
        <v/>
      </c>
      <c r="AD81" s="31">
        <f>AD79+AD80</f>
        <v/>
      </c>
      <c r="AE81" s="31">
        <f>AE79+AE80</f>
        <v/>
      </c>
      <c r="AF81" s="31">
        <f>AF79+AF80</f>
        <v/>
      </c>
      <c r="AG81" s="31">
        <f>AG79+AG80</f>
        <v/>
      </c>
      <c r="AH81" s="31">
        <f>AH79+AH80</f>
        <v/>
      </c>
      <c r="AI81" s="31">
        <f>AI79+AI80</f>
        <v/>
      </c>
    </row>
    <row r="82">
      <c r="B82" s="2" t="inlineStr">
        <is>
          <t xml:space="preserve">  Fixed cost</t>
        </is>
      </c>
      <c r="D82" s="19">
        <f>D73*i_R_fix*D52</f>
        <v/>
      </c>
      <c r="E82" s="19">
        <f>E73*i_R_fix*E52</f>
        <v/>
      </c>
      <c r="F82" s="19">
        <f>F73*i_R_fix*F52</f>
        <v/>
      </c>
      <c r="G82" s="19">
        <f>G73*i_R_fix*G52</f>
        <v/>
      </c>
      <c r="H82" s="19">
        <f>H73*i_R_fix*H52</f>
        <v/>
      </c>
      <c r="I82" s="19">
        <f>I73*i_R_fix*I52</f>
        <v/>
      </c>
      <c r="J82" s="19">
        <f>J73*i_R_fix*J52</f>
        <v/>
      </c>
      <c r="K82" s="19">
        <f>K73*i_R_fix*K52</f>
        <v/>
      </c>
      <c r="L82" s="19">
        <f>L73*i_R_fix*L52</f>
        <v/>
      </c>
      <c r="M82" s="19">
        <f>M73*i_R_fix*M52</f>
        <v/>
      </c>
      <c r="N82" s="19">
        <f>N73*i_R_fix*N52</f>
        <v/>
      </c>
      <c r="O82" s="19">
        <f>O73*i_R_fix*O52</f>
        <v/>
      </c>
      <c r="P82" s="19">
        <f>P73*i_R_fix*P52</f>
        <v/>
      </c>
      <c r="Q82" s="19">
        <f>Q73*i_R_fix*Q52</f>
        <v/>
      </c>
      <c r="R82" s="19">
        <f>R73*i_R_fix*R52</f>
        <v/>
      </c>
      <c r="S82" s="19">
        <f>S73*i_R_fix*S52</f>
        <v/>
      </c>
      <c r="T82" s="19">
        <f>T73*i_R_fix*T52</f>
        <v/>
      </c>
      <c r="U82" s="19">
        <f>U73*i_R_fix*U52</f>
        <v/>
      </c>
      <c r="V82" s="19">
        <f>V73*i_R_fix*V52</f>
        <v/>
      </c>
      <c r="W82" s="19">
        <f>W73*i_R_fix*W52</f>
        <v/>
      </c>
      <c r="X82" s="19">
        <f>X73*i_R_fix*X52</f>
        <v/>
      </c>
      <c r="Y82" s="19">
        <f>Y73*i_R_fix*Y52</f>
        <v/>
      </c>
      <c r="Z82" s="19">
        <f>Z73*i_R_fix*Z52</f>
        <v/>
      </c>
      <c r="AA82" s="19">
        <f>AA73*i_R_fix*AA52</f>
        <v/>
      </c>
      <c r="AB82" s="19">
        <f>AB73*i_R_fix*AB52</f>
        <v/>
      </c>
      <c r="AC82" s="19">
        <f>AC73*i_R_fix*AC52</f>
        <v/>
      </c>
      <c r="AD82" s="19">
        <f>AD73*i_R_fix*AD52</f>
        <v/>
      </c>
      <c r="AE82" s="19">
        <f>AE73*i_R_fix*AE52</f>
        <v/>
      </c>
      <c r="AF82" s="19">
        <f>AF73*i_R_fix*AF52</f>
        <v/>
      </c>
      <c r="AG82" s="19">
        <f>AG73*i_R_fix*AG52</f>
        <v/>
      </c>
      <c r="AH82" s="19">
        <f>AH73*i_R_fix*AH52</f>
        <v/>
      </c>
      <c r="AI82" s="19">
        <f>AI73*i_R_fix*AI52</f>
        <v/>
      </c>
    </row>
    <row r="83">
      <c r="B83" s="2" t="inlineStr">
        <is>
          <t xml:space="preserve">  Variable cost</t>
        </is>
      </c>
      <c r="D83" s="19">
        <f>i_R_var*D81</f>
        <v/>
      </c>
      <c r="E83" s="19">
        <f>i_R_var*E81</f>
        <v/>
      </c>
      <c r="F83" s="19">
        <f>i_R_var*F81</f>
        <v/>
      </c>
      <c r="G83" s="19">
        <f>i_R_var*G81</f>
        <v/>
      </c>
      <c r="H83" s="19">
        <f>i_R_var*H81</f>
        <v/>
      </c>
      <c r="I83" s="19">
        <f>i_R_var*I81</f>
        <v/>
      </c>
      <c r="J83" s="19">
        <f>i_R_var*J81</f>
        <v/>
      </c>
      <c r="K83" s="19">
        <f>i_R_var*K81</f>
        <v/>
      </c>
      <c r="L83" s="19">
        <f>i_R_var*L81</f>
        <v/>
      </c>
      <c r="M83" s="19">
        <f>i_R_var*M81</f>
        <v/>
      </c>
      <c r="N83" s="19">
        <f>i_R_var*N81</f>
        <v/>
      </c>
      <c r="O83" s="19">
        <f>i_R_var*O81</f>
        <v/>
      </c>
      <c r="P83" s="19">
        <f>i_R_var*P81</f>
        <v/>
      </c>
      <c r="Q83" s="19">
        <f>i_R_var*Q81</f>
        <v/>
      </c>
      <c r="R83" s="19">
        <f>i_R_var*R81</f>
        <v/>
      </c>
      <c r="S83" s="19">
        <f>i_R_var*S81</f>
        <v/>
      </c>
      <c r="T83" s="19">
        <f>i_R_var*T81</f>
        <v/>
      </c>
      <c r="U83" s="19">
        <f>i_R_var*U81</f>
        <v/>
      </c>
      <c r="V83" s="19">
        <f>i_R_var*V81</f>
        <v/>
      </c>
      <c r="W83" s="19">
        <f>i_R_var*W81</f>
        <v/>
      </c>
      <c r="X83" s="19">
        <f>i_R_var*X81</f>
        <v/>
      </c>
      <c r="Y83" s="19">
        <f>i_R_var*Y81</f>
        <v/>
      </c>
      <c r="Z83" s="19">
        <f>i_R_var*Z81</f>
        <v/>
      </c>
      <c r="AA83" s="19">
        <f>i_R_var*AA81</f>
        <v/>
      </c>
      <c r="AB83" s="19">
        <f>i_R_var*AB81</f>
        <v/>
      </c>
      <c r="AC83" s="19">
        <f>i_R_var*AC81</f>
        <v/>
      </c>
      <c r="AD83" s="19">
        <f>i_R_var*AD81</f>
        <v/>
      </c>
      <c r="AE83" s="19">
        <f>i_R_var*AE81</f>
        <v/>
      </c>
      <c r="AF83" s="19">
        <f>i_R_var*AF81</f>
        <v/>
      </c>
      <c r="AG83" s="19">
        <f>i_R_var*AG81</f>
        <v/>
      </c>
      <c r="AH83" s="19">
        <f>i_R_var*AH81</f>
        <v/>
      </c>
      <c r="AI83" s="19">
        <f>i_R_var*AI81</f>
        <v/>
      </c>
    </row>
    <row r="84">
      <c r="B84" s="2" t="inlineStr">
        <is>
          <t xml:space="preserve">  Operating cost</t>
        </is>
      </c>
      <c r="D84" s="19">
        <f>D82+D83</f>
        <v/>
      </c>
      <c r="E84" s="19">
        <f>E82+E83</f>
        <v/>
      </c>
      <c r="F84" s="19">
        <f>F82+F83</f>
        <v/>
      </c>
      <c r="G84" s="19">
        <f>G82+G83</f>
        <v/>
      </c>
      <c r="H84" s="19">
        <f>H82+H83</f>
        <v/>
      </c>
      <c r="I84" s="19">
        <f>I82+I83</f>
        <v/>
      </c>
      <c r="J84" s="19">
        <f>J82+J83</f>
        <v/>
      </c>
      <c r="K84" s="19">
        <f>K82+K83</f>
        <v/>
      </c>
      <c r="L84" s="19">
        <f>L82+L83</f>
        <v/>
      </c>
      <c r="M84" s="19">
        <f>M82+M83</f>
        <v/>
      </c>
      <c r="N84" s="19">
        <f>N82+N83</f>
        <v/>
      </c>
      <c r="O84" s="19">
        <f>O82+O83</f>
        <v/>
      </c>
      <c r="P84" s="19">
        <f>P82+P83</f>
        <v/>
      </c>
      <c r="Q84" s="19">
        <f>Q82+Q83</f>
        <v/>
      </c>
      <c r="R84" s="19">
        <f>R82+R83</f>
        <v/>
      </c>
      <c r="S84" s="19">
        <f>S82+S83</f>
        <v/>
      </c>
      <c r="T84" s="19">
        <f>T82+T83</f>
        <v/>
      </c>
      <c r="U84" s="19">
        <f>U82+U83</f>
        <v/>
      </c>
      <c r="V84" s="19">
        <f>V82+V83</f>
        <v/>
      </c>
      <c r="W84" s="19">
        <f>W82+W83</f>
        <v/>
      </c>
      <c r="X84" s="19">
        <f>X82+X83</f>
        <v/>
      </c>
      <c r="Y84" s="19">
        <f>Y82+Y83</f>
        <v/>
      </c>
      <c r="Z84" s="19">
        <f>Z82+Z83</f>
        <v/>
      </c>
      <c r="AA84" s="19">
        <f>AA82+AA83</f>
        <v/>
      </c>
      <c r="AB84" s="19">
        <f>AB82+AB83</f>
        <v/>
      </c>
      <c r="AC84" s="19">
        <f>AC82+AC83</f>
        <v/>
      </c>
      <c r="AD84" s="19">
        <f>AD82+AD83</f>
        <v/>
      </c>
      <c r="AE84" s="19">
        <f>AE82+AE83</f>
        <v/>
      </c>
      <c r="AF84" s="19">
        <f>AF82+AF83</f>
        <v/>
      </c>
      <c r="AG84" s="19">
        <f>AG82+AG83</f>
        <v/>
      </c>
      <c r="AH84" s="19">
        <f>AH82+AH83</f>
        <v/>
      </c>
      <c r="AI84" s="19">
        <f>AI82+AI83</f>
        <v/>
      </c>
    </row>
    <row r="85">
      <c r="B85" s="3" t="inlineStr">
        <is>
          <t xml:space="preserve">  EBITDA</t>
        </is>
      </c>
      <c r="D85" s="31">
        <f>D81-D84</f>
        <v/>
      </c>
      <c r="E85" s="31">
        <f>E81-E84</f>
        <v/>
      </c>
      <c r="F85" s="31">
        <f>F81-F84</f>
        <v/>
      </c>
      <c r="G85" s="31">
        <f>G81-G84</f>
        <v/>
      </c>
      <c r="H85" s="31">
        <f>H81-H84</f>
        <v/>
      </c>
      <c r="I85" s="31">
        <f>I81-I84</f>
        <v/>
      </c>
      <c r="J85" s="31">
        <f>J81-J84</f>
        <v/>
      </c>
      <c r="K85" s="31">
        <f>K81-K84</f>
        <v/>
      </c>
      <c r="L85" s="31">
        <f>L81-L84</f>
        <v/>
      </c>
      <c r="M85" s="31">
        <f>M81-M84</f>
        <v/>
      </c>
      <c r="N85" s="31">
        <f>N81-N84</f>
        <v/>
      </c>
      <c r="O85" s="31">
        <f>O81-O84</f>
        <v/>
      </c>
      <c r="P85" s="31">
        <f>P81-P84</f>
        <v/>
      </c>
      <c r="Q85" s="31">
        <f>Q81-Q84</f>
        <v/>
      </c>
      <c r="R85" s="31">
        <f>R81-R84</f>
        <v/>
      </c>
      <c r="S85" s="31">
        <f>S81-S84</f>
        <v/>
      </c>
      <c r="T85" s="31">
        <f>T81-T84</f>
        <v/>
      </c>
      <c r="U85" s="31">
        <f>U81-U84</f>
        <v/>
      </c>
      <c r="V85" s="31">
        <f>V81-V84</f>
        <v/>
      </c>
      <c r="W85" s="31">
        <f>W81-W84</f>
        <v/>
      </c>
      <c r="X85" s="31">
        <f>X81-X84</f>
        <v/>
      </c>
      <c r="Y85" s="31">
        <f>Y81-Y84</f>
        <v/>
      </c>
      <c r="Z85" s="31">
        <f>Z81-Z84</f>
        <v/>
      </c>
      <c r="AA85" s="31">
        <f>AA81-AA84</f>
        <v/>
      </c>
      <c r="AB85" s="31">
        <f>AB81-AB84</f>
        <v/>
      </c>
      <c r="AC85" s="31">
        <f>AC81-AC84</f>
        <v/>
      </c>
      <c r="AD85" s="31">
        <f>AD81-AD84</f>
        <v/>
      </c>
      <c r="AE85" s="31">
        <f>AE81-AE84</f>
        <v/>
      </c>
      <c r="AF85" s="31">
        <f>AF81-AF84</f>
        <v/>
      </c>
      <c r="AG85" s="31">
        <f>AG81-AG84</f>
        <v/>
      </c>
      <c r="AH85" s="31">
        <f>AH81-AH84</f>
        <v/>
      </c>
      <c r="AI85" s="31">
        <f>AI81-AI84</f>
        <v/>
      </c>
    </row>
    <row r="86">
      <c r="B86" s="2" t="inlineStr">
        <is>
          <t xml:space="preserve">  Maintenance capex</t>
        </is>
      </c>
      <c r="D86" s="19">
        <f>D73*i_R_mc*D52</f>
        <v/>
      </c>
      <c r="E86" s="19">
        <f>E73*i_R_mc*E52</f>
        <v/>
      </c>
      <c r="F86" s="19">
        <f>F73*i_R_mc*F52</f>
        <v/>
      </c>
      <c r="G86" s="19">
        <f>G73*i_R_mc*G52</f>
        <v/>
      </c>
      <c r="H86" s="19">
        <f>H73*i_R_mc*H52</f>
        <v/>
      </c>
      <c r="I86" s="19">
        <f>I73*i_R_mc*I52</f>
        <v/>
      </c>
      <c r="J86" s="19">
        <f>J73*i_R_mc*J52</f>
        <v/>
      </c>
      <c r="K86" s="19">
        <f>K73*i_R_mc*K52</f>
        <v/>
      </c>
      <c r="L86" s="19">
        <f>L73*i_R_mc*L52</f>
        <v/>
      </c>
      <c r="M86" s="19">
        <f>M73*i_R_mc*M52</f>
        <v/>
      </c>
      <c r="N86" s="19">
        <f>N73*i_R_mc*N52</f>
        <v/>
      </c>
      <c r="O86" s="19">
        <f>O73*i_R_mc*O52</f>
        <v/>
      </c>
      <c r="P86" s="19">
        <f>P73*i_R_mc*P52</f>
        <v/>
      </c>
      <c r="Q86" s="19">
        <f>Q73*i_R_mc*Q52</f>
        <v/>
      </c>
      <c r="R86" s="19">
        <f>R73*i_R_mc*R52</f>
        <v/>
      </c>
      <c r="S86" s="19">
        <f>S73*i_R_mc*S52</f>
        <v/>
      </c>
      <c r="T86" s="19">
        <f>T73*i_R_mc*T52</f>
        <v/>
      </c>
      <c r="U86" s="19">
        <f>U73*i_R_mc*U52</f>
        <v/>
      </c>
      <c r="V86" s="19">
        <f>V73*i_R_mc*V52</f>
        <v/>
      </c>
      <c r="W86" s="19">
        <f>W73*i_R_mc*W52</f>
        <v/>
      </c>
      <c r="X86" s="19">
        <f>X73*i_R_mc*X52</f>
        <v/>
      </c>
      <c r="Y86" s="19">
        <f>Y73*i_R_mc*Y52</f>
        <v/>
      </c>
      <c r="Z86" s="19">
        <f>Z73*i_R_mc*Z52</f>
        <v/>
      </c>
      <c r="AA86" s="19">
        <f>AA73*i_R_mc*AA52</f>
        <v/>
      </c>
      <c r="AB86" s="19">
        <f>AB73*i_R_mc*AB52</f>
        <v/>
      </c>
      <c r="AC86" s="19">
        <f>AC73*i_R_mc*AC52</f>
        <v/>
      </c>
      <c r="AD86" s="19">
        <f>AD73*i_R_mc*AD52</f>
        <v/>
      </c>
      <c r="AE86" s="19">
        <f>AE73*i_R_mc*AE52</f>
        <v/>
      </c>
      <c r="AF86" s="19">
        <f>AF73*i_R_mc*AF52</f>
        <v/>
      </c>
      <c r="AG86" s="19">
        <f>AG73*i_R_mc*AG52</f>
        <v/>
      </c>
      <c r="AH86" s="19">
        <f>AH73*i_R_mc*AH52</f>
        <v/>
      </c>
      <c r="AI86" s="19">
        <f>AI73*i_R_mc*AI52</f>
        <v/>
      </c>
    </row>
    <row r="87">
      <c r="B87" s="3" t="inlineStr">
        <is>
          <t>Thamesbridge</t>
        </is>
      </c>
    </row>
    <row r="88">
      <c r="B88" s="2" t="inlineStr">
        <is>
          <t xml:space="preserve">  Capacity in service (million m3)</t>
        </is>
      </c>
      <c r="D88" s="24">
        <f>i_T_cap</f>
        <v/>
      </c>
      <c r="E88" s="24">
        <f>i_T_cap</f>
        <v/>
      </c>
      <c r="F88" s="24">
        <f>i_T_cap</f>
        <v/>
      </c>
      <c r="G88" s="24">
        <f>i_T_cap</f>
        <v/>
      </c>
      <c r="H88" s="24">
        <f>i_T_cap</f>
        <v/>
      </c>
      <c r="I88" s="24">
        <f>i_T_cap</f>
        <v/>
      </c>
      <c r="J88" s="24">
        <f>i_T_cap</f>
        <v/>
      </c>
      <c r="K88" s="24">
        <f>i_T_cap</f>
        <v/>
      </c>
      <c r="L88" s="24">
        <f>i_T_cap</f>
        <v/>
      </c>
      <c r="M88" s="24">
        <f>i_T_cap</f>
        <v/>
      </c>
      <c r="N88" s="24">
        <f>i_T_cap</f>
        <v/>
      </c>
      <c r="O88" s="24">
        <f>i_T_cap</f>
        <v/>
      </c>
      <c r="P88" s="24">
        <f>i_T_cap</f>
        <v/>
      </c>
      <c r="Q88" s="24">
        <f>i_T_cap</f>
        <v/>
      </c>
      <c r="R88" s="24">
        <f>i_T_cap</f>
        <v/>
      </c>
      <c r="S88" s="24">
        <f>i_T_cap</f>
        <v/>
      </c>
      <c r="T88" s="24">
        <f>i_T_cap</f>
        <v/>
      </c>
      <c r="U88" s="24">
        <f>i_T_cap</f>
        <v/>
      </c>
      <c r="V88" s="24">
        <f>i_T_cap</f>
        <v/>
      </c>
      <c r="W88" s="24">
        <f>i_T_cap</f>
        <v/>
      </c>
      <c r="X88" s="24">
        <f>i_T_cap</f>
        <v/>
      </c>
      <c r="Y88" s="24">
        <f>i_T_cap</f>
        <v/>
      </c>
      <c r="Z88" s="24">
        <f>i_T_cap</f>
        <v/>
      </c>
      <c r="AA88" s="24">
        <f>i_T_cap</f>
        <v/>
      </c>
      <c r="AB88" s="24">
        <f>i_T_cap</f>
        <v/>
      </c>
      <c r="AC88" s="24">
        <f>i_T_cap</f>
        <v/>
      </c>
      <c r="AD88" s="24">
        <f>i_T_cap</f>
        <v/>
      </c>
      <c r="AE88" s="24">
        <f>i_T_cap</f>
        <v/>
      </c>
      <c r="AF88" s="24">
        <f>i_T_cap</f>
        <v/>
      </c>
      <c r="AG88" s="24">
        <f>i_T_cap</f>
        <v/>
      </c>
      <c r="AH88" s="24">
        <f>i_T_cap</f>
        <v/>
      </c>
      <c r="AI88" s="24">
        <f>i_T_cap</f>
        <v/>
      </c>
    </row>
    <row r="89">
      <c r="B89" s="2" t="inlineStr">
        <is>
          <t xml:space="preserve">  Share on contracts signed before 2027</t>
        </is>
      </c>
      <c r="D89" s="21">
        <f>SUMIF(i_book_years,D$3,i_T_book)</f>
        <v/>
      </c>
      <c r="E89" s="21">
        <f>SUMIF(i_book_years,E$3,i_T_book)</f>
        <v/>
      </c>
      <c r="F89" s="21">
        <f>SUMIF(i_book_years,F$3,i_T_book)</f>
        <v/>
      </c>
      <c r="G89" s="21">
        <f>SUMIF(i_book_years,G$3,i_T_book)</f>
        <v/>
      </c>
      <c r="H89" s="21">
        <f>SUMIF(i_book_years,H$3,i_T_book)</f>
        <v/>
      </c>
      <c r="I89" s="21">
        <f>SUMIF(i_book_years,I$3,i_T_book)</f>
        <v/>
      </c>
      <c r="J89" s="21">
        <f>SUMIF(i_book_years,J$3,i_T_book)</f>
        <v/>
      </c>
      <c r="K89" s="21">
        <f>SUMIF(i_book_years,K$3,i_T_book)</f>
        <v/>
      </c>
      <c r="L89" s="21">
        <f>SUMIF(i_book_years,L$3,i_T_book)</f>
        <v/>
      </c>
      <c r="M89" s="21">
        <f>SUMIF(i_book_years,M$3,i_T_book)</f>
        <v/>
      </c>
      <c r="N89" s="21">
        <f>SUMIF(i_book_years,N$3,i_T_book)</f>
        <v/>
      </c>
      <c r="O89" s="21">
        <f>SUMIF(i_book_years,O$3,i_T_book)</f>
        <v/>
      </c>
      <c r="P89" s="21">
        <f>SUMIF(i_book_years,P$3,i_T_book)</f>
        <v/>
      </c>
      <c r="Q89" s="21">
        <f>SUMIF(i_book_years,Q$3,i_T_book)</f>
        <v/>
      </c>
      <c r="R89" s="21">
        <f>SUMIF(i_book_years,R$3,i_T_book)</f>
        <v/>
      </c>
      <c r="S89" s="21">
        <f>SUMIF(i_book_years,S$3,i_T_book)</f>
        <v/>
      </c>
      <c r="T89" s="21">
        <f>SUMIF(i_book_years,T$3,i_T_book)</f>
        <v/>
      </c>
      <c r="U89" s="21">
        <f>SUMIF(i_book_years,U$3,i_T_book)</f>
        <v/>
      </c>
      <c r="V89" s="21">
        <f>SUMIF(i_book_years,V$3,i_T_book)</f>
        <v/>
      </c>
      <c r="W89" s="21">
        <f>SUMIF(i_book_years,W$3,i_T_book)</f>
        <v/>
      </c>
      <c r="X89" s="21">
        <f>SUMIF(i_book_years,X$3,i_T_book)</f>
        <v/>
      </c>
      <c r="Y89" s="21">
        <f>SUMIF(i_book_years,Y$3,i_T_book)</f>
        <v/>
      </c>
      <c r="Z89" s="21">
        <f>SUMIF(i_book_years,Z$3,i_T_book)</f>
        <v/>
      </c>
      <c r="AA89" s="21">
        <f>SUMIF(i_book_years,AA$3,i_T_book)</f>
        <v/>
      </c>
      <c r="AB89" s="21">
        <f>SUMIF(i_book_years,AB$3,i_T_book)</f>
        <v/>
      </c>
      <c r="AC89" s="21">
        <f>SUMIF(i_book_years,AC$3,i_T_book)</f>
        <v/>
      </c>
      <c r="AD89" s="21">
        <f>SUMIF(i_book_years,AD$3,i_T_book)</f>
        <v/>
      </c>
      <c r="AE89" s="21">
        <f>SUMIF(i_book_years,AE$3,i_T_book)</f>
        <v/>
      </c>
      <c r="AF89" s="21">
        <f>SUMIF(i_book_years,AF$3,i_T_book)</f>
        <v/>
      </c>
      <c r="AG89" s="21">
        <f>SUMIF(i_book_years,AG$3,i_T_book)</f>
        <v/>
      </c>
      <c r="AH89" s="21">
        <f>SUMIF(i_book_years,AH$3,i_T_book)</f>
        <v/>
      </c>
      <c r="AI89" s="21">
        <f>SUMIF(i_book_years,AI$3,i_T_book)</f>
        <v/>
      </c>
    </row>
    <row r="90">
      <c r="B90" s="2" t="inlineStr">
        <is>
          <t xml:space="preserve">  Recontracting factor against current rates</t>
        </is>
      </c>
      <c r="D90" s="21">
        <f>IF(D$4=0,0,IF(Approvals!$C$42=1,i_T_mtm,i_T_mtm_plan)+Approvals!$C$48)</f>
        <v/>
      </c>
      <c r="E90" s="21">
        <f>IF(E$4=0,0,IF(Approvals!$C$42=1,i_T_mtm,i_T_mtm_plan)+Approvals!$C$48)</f>
        <v/>
      </c>
      <c r="F90" s="21">
        <f>IF(F$4=0,0,IF(Approvals!$C$42=1,i_T_mtm,i_T_mtm_plan)+Approvals!$C$48)</f>
        <v/>
      </c>
      <c r="G90" s="21">
        <f>IF(G$4=0,0,IF(Approvals!$C$42=1,i_T_mtm,i_T_mtm_plan)+Approvals!$C$48)</f>
        <v/>
      </c>
      <c r="H90" s="21">
        <f>IF(H$4=0,0,IF(Approvals!$C$42=1,i_T_mtm,i_T_mtm_plan)+Approvals!$C$48)</f>
        <v/>
      </c>
      <c r="I90" s="21">
        <f>IF(I$4=0,0,IF(Approvals!$C$42=1,i_T_mtm,i_T_mtm_plan)+Approvals!$C$48)</f>
        <v/>
      </c>
      <c r="J90" s="21">
        <f>IF(J$4=0,0,IF(Approvals!$C$42=1,i_T_mtm,i_T_mtm_plan)+Approvals!$C$48)</f>
        <v/>
      </c>
      <c r="K90" s="21">
        <f>IF(K$4=0,0,IF(Approvals!$C$42=1,i_T_mtm,i_T_mtm_plan)+Approvals!$C$48)</f>
        <v/>
      </c>
      <c r="L90" s="21">
        <f>IF(L$4=0,0,IF(Approvals!$C$42=1,i_T_mtm,i_T_mtm_plan)+Approvals!$C$48)</f>
        <v/>
      </c>
      <c r="M90" s="21">
        <f>IF(M$4=0,0,IF(Approvals!$C$42=1,i_T_mtm,i_T_mtm_plan)+Approvals!$C$48)</f>
        <v/>
      </c>
      <c r="N90" s="21">
        <f>IF(N$4=0,0,IF(Approvals!$C$42=1,i_T_mtm,i_T_mtm_plan)+Approvals!$C$48)</f>
        <v/>
      </c>
      <c r="O90" s="21">
        <f>IF(O$4=0,0,IF(Approvals!$C$42=1,i_T_mtm,i_T_mtm_plan)+Approvals!$C$48)</f>
        <v/>
      </c>
      <c r="P90" s="21">
        <f>IF(P$4=0,0,IF(Approvals!$C$42=1,i_T_mtm,i_T_mtm_plan)+Approvals!$C$48)</f>
        <v/>
      </c>
      <c r="Q90" s="21">
        <f>IF(Q$4=0,0,IF(Approvals!$C$42=1,i_T_mtm,i_T_mtm_plan)+Approvals!$C$48)</f>
        <v/>
      </c>
      <c r="R90" s="21">
        <f>IF(R$4=0,0,IF(Approvals!$C$42=1,i_T_mtm,i_T_mtm_plan)+Approvals!$C$48)</f>
        <v/>
      </c>
      <c r="S90" s="21">
        <f>IF(S$4=0,0,IF(Approvals!$C$42=1,i_T_mtm,i_T_mtm_plan)+Approvals!$C$48)</f>
        <v/>
      </c>
      <c r="T90" s="21">
        <f>IF(T$4=0,0,IF(Approvals!$C$42=1,i_T_mtm,i_T_mtm_plan)+Approvals!$C$48)</f>
        <v/>
      </c>
      <c r="U90" s="21">
        <f>IF(U$4=0,0,IF(Approvals!$C$42=1,i_T_mtm,i_T_mtm_plan)+Approvals!$C$48)</f>
        <v/>
      </c>
      <c r="V90" s="21">
        <f>IF(V$4=0,0,IF(Approvals!$C$42=1,i_T_mtm,i_T_mtm_plan)+Approvals!$C$48)</f>
        <v/>
      </c>
      <c r="W90" s="21">
        <f>IF(W$4=0,0,IF(Approvals!$C$42=1,i_T_mtm,i_T_mtm_plan)+Approvals!$C$48)</f>
        <v/>
      </c>
      <c r="X90" s="21">
        <f>IF(X$4=0,0,IF(Approvals!$C$42=1,i_T_mtm,i_T_mtm_plan)+Approvals!$C$48)</f>
        <v/>
      </c>
      <c r="Y90" s="21">
        <f>IF(Y$4=0,0,IF(Approvals!$C$42=1,i_T_mtm,i_T_mtm_plan)+Approvals!$C$48)</f>
        <v/>
      </c>
      <c r="Z90" s="21">
        <f>IF(Z$4=0,0,IF(Approvals!$C$42=1,i_T_mtm,i_T_mtm_plan)+Approvals!$C$48)</f>
        <v/>
      </c>
      <c r="AA90" s="21">
        <f>IF(AA$4=0,0,IF(Approvals!$C$42=1,i_T_mtm,i_T_mtm_plan)+Approvals!$C$48)</f>
        <v/>
      </c>
      <c r="AB90" s="21">
        <f>IF(AB$4=0,0,IF(Approvals!$C$42=1,i_T_mtm,i_T_mtm_plan)+Approvals!$C$48)</f>
        <v/>
      </c>
      <c r="AC90" s="21">
        <f>IF(AC$4=0,0,IF(Approvals!$C$42=1,i_T_mtm,i_T_mtm_plan)+Approvals!$C$48)</f>
        <v/>
      </c>
      <c r="AD90" s="21">
        <f>IF(AD$4=0,0,IF(Approvals!$C$42=1,i_T_mtm,i_T_mtm_plan)+Approvals!$C$48)</f>
        <v/>
      </c>
      <c r="AE90" s="21">
        <f>IF(AE$4=0,0,IF(Approvals!$C$42=1,i_T_mtm,i_T_mtm_plan)+Approvals!$C$48)</f>
        <v/>
      </c>
      <c r="AF90" s="21">
        <f>IF(AF$4=0,0,IF(Approvals!$C$42=1,i_T_mtm,i_T_mtm_plan)+Approvals!$C$48)</f>
        <v/>
      </c>
      <c r="AG90" s="21">
        <f>IF(AG$4=0,0,IF(Approvals!$C$42=1,i_T_mtm,i_T_mtm_plan)+Approvals!$C$48)</f>
        <v/>
      </c>
      <c r="AH90" s="21">
        <f>IF(AH$4=0,0,IF(Approvals!$C$42=1,i_T_mtm,i_T_mtm_plan)+Approvals!$C$48)</f>
        <v/>
      </c>
      <c r="AI90" s="21">
        <f>IF(AI$4=0,0,IF(Approvals!$C$42=1,i_T_mtm,i_T_mtm_plan)+Approvals!$C$48)</f>
        <v/>
      </c>
    </row>
    <row r="91">
      <c r="B91" s="2" t="inlineStr">
        <is>
          <t xml:space="preserve">  Average rate ($ per m3 per month)</t>
        </is>
      </c>
      <c r="D91" s="24">
        <f>i_T_rate*D53*(D89+(1-D89)*(1+D90))</f>
        <v/>
      </c>
      <c r="E91" s="24">
        <f>i_T_rate*E53*(E89+(1-E89)*(1+E90))</f>
        <v/>
      </c>
      <c r="F91" s="24">
        <f>i_T_rate*F53*(F89+(1-F89)*(1+F90))</f>
        <v/>
      </c>
      <c r="G91" s="24">
        <f>i_T_rate*G53*(G89+(1-G89)*(1+G90))</f>
        <v/>
      </c>
      <c r="H91" s="24">
        <f>i_T_rate*H53*(H89+(1-H89)*(1+H90))</f>
        <v/>
      </c>
      <c r="I91" s="24">
        <f>i_T_rate*I53*(I89+(1-I89)*(1+I90))</f>
        <v/>
      </c>
      <c r="J91" s="24">
        <f>i_T_rate*J53*(J89+(1-J89)*(1+J90))</f>
        <v/>
      </c>
      <c r="K91" s="24">
        <f>i_T_rate*K53*(K89+(1-K89)*(1+K90))</f>
        <v/>
      </c>
      <c r="L91" s="24">
        <f>i_T_rate*L53*(L89+(1-L89)*(1+L90))</f>
        <v/>
      </c>
      <c r="M91" s="24">
        <f>i_T_rate*M53*(M89+(1-M89)*(1+M90))</f>
        <v/>
      </c>
      <c r="N91" s="24">
        <f>i_T_rate*N53*(N89+(1-N89)*(1+N90))</f>
        <v/>
      </c>
      <c r="O91" s="24">
        <f>i_T_rate*O53*(O89+(1-O89)*(1+O90))</f>
        <v/>
      </c>
      <c r="P91" s="24">
        <f>i_T_rate*P53*(P89+(1-P89)*(1+P90))</f>
        <v/>
      </c>
      <c r="Q91" s="24">
        <f>i_T_rate*Q53*(Q89+(1-Q89)*(1+Q90))</f>
        <v/>
      </c>
      <c r="R91" s="24">
        <f>i_T_rate*R53*(R89+(1-R89)*(1+R90))</f>
        <v/>
      </c>
      <c r="S91" s="24">
        <f>i_T_rate*S53*(S89+(1-S89)*(1+S90))</f>
        <v/>
      </c>
      <c r="T91" s="24">
        <f>i_T_rate*T53*(T89+(1-T89)*(1+T90))</f>
        <v/>
      </c>
      <c r="U91" s="24">
        <f>i_T_rate*U53*(U89+(1-U89)*(1+U90))</f>
        <v/>
      </c>
      <c r="V91" s="24">
        <f>i_T_rate*V53*(V89+(1-V89)*(1+V90))</f>
        <v/>
      </c>
      <c r="W91" s="24">
        <f>i_T_rate*W53*(W89+(1-W89)*(1+W90))</f>
        <v/>
      </c>
      <c r="X91" s="24">
        <f>i_T_rate*X53*(X89+(1-X89)*(1+X90))</f>
        <v/>
      </c>
      <c r="Y91" s="24">
        <f>i_T_rate*Y53*(Y89+(1-Y89)*(1+Y90))</f>
        <v/>
      </c>
      <c r="Z91" s="24">
        <f>i_T_rate*Z53*(Z89+(1-Z89)*(1+Z90))</f>
        <v/>
      </c>
      <c r="AA91" s="24">
        <f>i_T_rate*AA53*(AA89+(1-AA89)*(1+AA90))</f>
        <v/>
      </c>
      <c r="AB91" s="24">
        <f>i_T_rate*AB53*(AB89+(1-AB89)*(1+AB90))</f>
        <v/>
      </c>
      <c r="AC91" s="24">
        <f>i_T_rate*AC53*(AC89+(1-AC89)*(1+AC90))</f>
        <v/>
      </c>
      <c r="AD91" s="24">
        <f>i_T_rate*AD53*(AD89+(1-AD89)*(1+AD90))</f>
        <v/>
      </c>
      <c r="AE91" s="24">
        <f>i_T_rate*AE53*(AE89+(1-AE89)*(1+AE90))</f>
        <v/>
      </c>
      <c r="AF91" s="24">
        <f>i_T_rate*AF53*(AF89+(1-AF89)*(1+AF90))</f>
        <v/>
      </c>
      <c r="AG91" s="24">
        <f>i_T_rate*AG53*(AG89+(1-AG89)*(1+AG90))</f>
        <v/>
      </c>
      <c r="AH91" s="24">
        <f>i_T_rate*AH53*(AH89+(1-AH89)*(1+AH90))</f>
        <v/>
      </c>
      <c r="AI91" s="24">
        <f>i_T_rate*AI53*(AI89+(1-AI89)*(1+AI90))</f>
        <v/>
      </c>
    </row>
    <row r="92">
      <c r="B92" s="2" t="inlineStr">
        <is>
          <t xml:space="preserve">  Occupancy after the transition decline and floor</t>
        </is>
      </c>
      <c r="D92" s="21">
        <f>IF(D$3&gt;i_trans_start,MAX(i_T_floor,i_T_occ-i_T_dec*(D$3-i_trans_start)),i_T_occ)</f>
        <v/>
      </c>
      <c r="E92" s="21">
        <f>IF(E$3&gt;i_trans_start,MAX(i_T_floor,i_T_occ-i_T_dec*(E$3-i_trans_start)),i_T_occ)</f>
        <v/>
      </c>
      <c r="F92" s="21">
        <f>IF(F$3&gt;i_trans_start,MAX(i_T_floor,i_T_occ-i_T_dec*(F$3-i_trans_start)),i_T_occ)</f>
        <v/>
      </c>
      <c r="G92" s="21">
        <f>IF(G$3&gt;i_trans_start,MAX(i_T_floor,i_T_occ-i_T_dec*(G$3-i_trans_start)),i_T_occ)</f>
        <v/>
      </c>
      <c r="H92" s="21">
        <f>IF(H$3&gt;i_trans_start,MAX(i_T_floor,i_T_occ-i_T_dec*(H$3-i_trans_start)),i_T_occ)</f>
        <v/>
      </c>
      <c r="I92" s="21">
        <f>IF(I$3&gt;i_trans_start,MAX(i_T_floor,i_T_occ-i_T_dec*(I$3-i_trans_start)),i_T_occ)</f>
        <v/>
      </c>
      <c r="J92" s="21">
        <f>IF(J$3&gt;i_trans_start,MAX(i_T_floor,i_T_occ-i_T_dec*(J$3-i_trans_start)),i_T_occ)</f>
        <v/>
      </c>
      <c r="K92" s="21">
        <f>IF(K$3&gt;i_trans_start,MAX(i_T_floor,i_T_occ-i_T_dec*(K$3-i_trans_start)),i_T_occ)</f>
        <v/>
      </c>
      <c r="L92" s="21">
        <f>IF(L$3&gt;i_trans_start,MAX(i_T_floor,i_T_occ-i_T_dec*(L$3-i_trans_start)),i_T_occ)</f>
        <v/>
      </c>
      <c r="M92" s="21">
        <f>IF(M$3&gt;i_trans_start,MAX(i_T_floor,i_T_occ-i_T_dec*(M$3-i_trans_start)),i_T_occ)</f>
        <v/>
      </c>
      <c r="N92" s="21">
        <f>IF(N$3&gt;i_trans_start,MAX(i_T_floor,i_T_occ-i_T_dec*(N$3-i_trans_start)),i_T_occ)</f>
        <v/>
      </c>
      <c r="O92" s="21">
        <f>IF(O$3&gt;i_trans_start,MAX(i_T_floor,i_T_occ-i_T_dec*(O$3-i_trans_start)),i_T_occ)</f>
        <v/>
      </c>
      <c r="P92" s="21">
        <f>IF(P$3&gt;i_trans_start,MAX(i_T_floor,i_T_occ-i_T_dec*(P$3-i_trans_start)),i_T_occ)</f>
        <v/>
      </c>
      <c r="Q92" s="21">
        <f>IF(Q$3&gt;i_trans_start,MAX(i_T_floor,i_T_occ-i_T_dec*(Q$3-i_trans_start)),i_T_occ)</f>
        <v/>
      </c>
      <c r="R92" s="21">
        <f>IF(R$3&gt;i_trans_start,MAX(i_T_floor,i_T_occ-i_T_dec*(R$3-i_trans_start)),i_T_occ)</f>
        <v/>
      </c>
      <c r="S92" s="21">
        <f>IF(S$3&gt;i_trans_start,MAX(i_T_floor,i_T_occ-i_T_dec*(S$3-i_trans_start)),i_T_occ)</f>
        <v/>
      </c>
      <c r="T92" s="21">
        <f>IF(T$3&gt;i_trans_start,MAX(i_T_floor,i_T_occ-i_T_dec*(T$3-i_trans_start)),i_T_occ)</f>
        <v/>
      </c>
      <c r="U92" s="21">
        <f>IF(U$3&gt;i_trans_start,MAX(i_T_floor,i_T_occ-i_T_dec*(U$3-i_trans_start)),i_T_occ)</f>
        <v/>
      </c>
      <c r="V92" s="21">
        <f>IF(V$3&gt;i_trans_start,MAX(i_T_floor,i_T_occ-i_T_dec*(V$3-i_trans_start)),i_T_occ)</f>
        <v/>
      </c>
      <c r="W92" s="21">
        <f>IF(W$3&gt;i_trans_start,MAX(i_T_floor,i_T_occ-i_T_dec*(W$3-i_trans_start)),i_T_occ)</f>
        <v/>
      </c>
      <c r="X92" s="21">
        <f>IF(X$3&gt;i_trans_start,MAX(i_T_floor,i_T_occ-i_T_dec*(X$3-i_trans_start)),i_T_occ)</f>
        <v/>
      </c>
      <c r="Y92" s="21">
        <f>IF(Y$3&gt;i_trans_start,MAX(i_T_floor,i_T_occ-i_T_dec*(Y$3-i_trans_start)),i_T_occ)</f>
        <v/>
      </c>
      <c r="Z92" s="21">
        <f>IF(Z$3&gt;i_trans_start,MAX(i_T_floor,i_T_occ-i_T_dec*(Z$3-i_trans_start)),i_T_occ)</f>
        <v/>
      </c>
      <c r="AA92" s="21">
        <f>IF(AA$3&gt;i_trans_start,MAX(i_T_floor,i_T_occ-i_T_dec*(AA$3-i_trans_start)),i_T_occ)</f>
        <v/>
      </c>
      <c r="AB92" s="21">
        <f>IF(AB$3&gt;i_trans_start,MAX(i_T_floor,i_T_occ-i_T_dec*(AB$3-i_trans_start)),i_T_occ)</f>
        <v/>
      </c>
      <c r="AC92" s="21">
        <f>IF(AC$3&gt;i_trans_start,MAX(i_T_floor,i_T_occ-i_T_dec*(AC$3-i_trans_start)),i_T_occ)</f>
        <v/>
      </c>
      <c r="AD92" s="21">
        <f>IF(AD$3&gt;i_trans_start,MAX(i_T_floor,i_T_occ-i_T_dec*(AD$3-i_trans_start)),i_T_occ)</f>
        <v/>
      </c>
      <c r="AE92" s="21">
        <f>IF(AE$3&gt;i_trans_start,MAX(i_T_floor,i_T_occ-i_T_dec*(AE$3-i_trans_start)),i_T_occ)</f>
        <v/>
      </c>
      <c r="AF92" s="21">
        <f>IF(AF$3&gt;i_trans_start,MAX(i_T_floor,i_T_occ-i_T_dec*(AF$3-i_trans_start)),i_T_occ)</f>
        <v/>
      </c>
      <c r="AG92" s="21">
        <f>IF(AG$3&gt;i_trans_start,MAX(i_T_floor,i_T_occ-i_T_dec*(AG$3-i_trans_start)),i_T_occ)</f>
        <v/>
      </c>
      <c r="AH92" s="21">
        <f>IF(AH$3&gt;i_trans_start,MAX(i_T_floor,i_T_occ-i_T_dec*(AH$3-i_trans_start)),i_T_occ)</f>
        <v/>
      </c>
      <c r="AI92" s="21">
        <f>IF(AI$3&gt;i_trans_start,MAX(i_T_floor,i_T_occ-i_T_dec*(AI$3-i_trans_start)),i_T_occ)</f>
        <v/>
      </c>
    </row>
    <row r="93">
      <c r="B93" s="2" t="inlineStr">
        <is>
          <t xml:space="preserve">  Occupancy (with the shift switch from 2027)</t>
        </is>
      </c>
      <c r="D93" s="21">
        <f>IF(D$4&gt;0,MIN(1,D92+Approvals!$C$47),D92)</f>
        <v/>
      </c>
      <c r="E93" s="21">
        <f>IF(E$4&gt;0,MIN(1,E92+Approvals!$C$47),E92)</f>
        <v/>
      </c>
      <c r="F93" s="21">
        <f>IF(F$4&gt;0,MIN(1,F92+Approvals!$C$47),F92)</f>
        <v/>
      </c>
      <c r="G93" s="21">
        <f>IF(G$4&gt;0,MIN(1,G92+Approvals!$C$47),G92)</f>
        <v/>
      </c>
      <c r="H93" s="21">
        <f>IF(H$4&gt;0,MIN(1,H92+Approvals!$C$47),H92)</f>
        <v/>
      </c>
      <c r="I93" s="21">
        <f>IF(I$4&gt;0,MIN(1,I92+Approvals!$C$47),I92)</f>
        <v/>
      </c>
      <c r="J93" s="21">
        <f>IF(J$4&gt;0,MIN(1,J92+Approvals!$C$47),J92)</f>
        <v/>
      </c>
      <c r="K93" s="21">
        <f>IF(K$4&gt;0,MIN(1,K92+Approvals!$C$47),K92)</f>
        <v/>
      </c>
      <c r="L93" s="21">
        <f>IF(L$4&gt;0,MIN(1,L92+Approvals!$C$47),L92)</f>
        <v/>
      </c>
      <c r="M93" s="21">
        <f>IF(M$4&gt;0,MIN(1,M92+Approvals!$C$47),M92)</f>
        <v/>
      </c>
      <c r="N93" s="21">
        <f>IF(N$4&gt;0,MIN(1,N92+Approvals!$C$47),N92)</f>
        <v/>
      </c>
      <c r="O93" s="21">
        <f>IF(O$4&gt;0,MIN(1,O92+Approvals!$C$47),O92)</f>
        <v/>
      </c>
      <c r="P93" s="21">
        <f>IF(P$4&gt;0,MIN(1,P92+Approvals!$C$47),P92)</f>
        <v/>
      </c>
      <c r="Q93" s="21">
        <f>IF(Q$4&gt;0,MIN(1,Q92+Approvals!$C$47),Q92)</f>
        <v/>
      </c>
      <c r="R93" s="21">
        <f>IF(R$4&gt;0,MIN(1,R92+Approvals!$C$47),R92)</f>
        <v/>
      </c>
      <c r="S93" s="21">
        <f>IF(S$4&gt;0,MIN(1,S92+Approvals!$C$47),S92)</f>
        <v/>
      </c>
      <c r="T93" s="21">
        <f>IF(T$4&gt;0,MIN(1,T92+Approvals!$C$47),T92)</f>
        <v/>
      </c>
      <c r="U93" s="21">
        <f>IF(U$4&gt;0,MIN(1,U92+Approvals!$C$47),U92)</f>
        <v/>
      </c>
      <c r="V93" s="21">
        <f>IF(V$4&gt;0,MIN(1,V92+Approvals!$C$47),V92)</f>
        <v/>
      </c>
      <c r="W93" s="21">
        <f>IF(W$4&gt;0,MIN(1,W92+Approvals!$C$47),W92)</f>
        <v/>
      </c>
      <c r="X93" s="21">
        <f>IF(X$4&gt;0,MIN(1,X92+Approvals!$C$47),X92)</f>
        <v/>
      </c>
      <c r="Y93" s="21">
        <f>IF(Y$4&gt;0,MIN(1,Y92+Approvals!$C$47),Y92)</f>
        <v/>
      </c>
      <c r="Z93" s="21">
        <f>IF(Z$4&gt;0,MIN(1,Z92+Approvals!$C$47),Z92)</f>
        <v/>
      </c>
      <c r="AA93" s="21">
        <f>IF(AA$4&gt;0,MIN(1,AA92+Approvals!$C$47),AA92)</f>
        <v/>
      </c>
      <c r="AB93" s="21">
        <f>IF(AB$4&gt;0,MIN(1,AB92+Approvals!$C$47),AB92)</f>
        <v/>
      </c>
      <c r="AC93" s="21">
        <f>IF(AC$4&gt;0,MIN(1,AC92+Approvals!$C$47),AC92)</f>
        <v/>
      </c>
      <c r="AD93" s="21">
        <f>IF(AD$4&gt;0,MIN(1,AD92+Approvals!$C$47),AD92)</f>
        <v/>
      </c>
      <c r="AE93" s="21">
        <f>IF(AE$4&gt;0,MIN(1,AE92+Approvals!$C$47),AE92)</f>
        <v/>
      </c>
      <c r="AF93" s="21">
        <f>IF(AF$4&gt;0,MIN(1,AF92+Approvals!$C$47),AF92)</f>
        <v/>
      </c>
      <c r="AG93" s="21">
        <f>IF(AG$4&gt;0,MIN(1,AG92+Approvals!$C$47),AG92)</f>
        <v/>
      </c>
      <c r="AH93" s="21">
        <f>IF(AH$4&gt;0,MIN(1,AH92+Approvals!$C$47),AH92)</f>
        <v/>
      </c>
      <c r="AI93" s="21">
        <f>IF(AI$4&gt;0,MIN(1,AI92+Approvals!$C$47),AI92)</f>
        <v/>
      </c>
    </row>
    <row r="94">
      <c r="B94" s="2" t="inlineStr">
        <is>
          <t xml:space="preserve">  Storage revenue</t>
        </is>
      </c>
      <c r="D94" s="19">
        <f>D88*D91*12*D93</f>
        <v/>
      </c>
      <c r="E94" s="19">
        <f>E88*E91*12*E93</f>
        <v/>
      </c>
      <c r="F94" s="19">
        <f>F88*F91*12*F93</f>
        <v/>
      </c>
      <c r="G94" s="19">
        <f>G88*G91*12*G93</f>
        <v/>
      </c>
      <c r="H94" s="19">
        <f>H88*H91*12*H93</f>
        <v/>
      </c>
      <c r="I94" s="19">
        <f>I88*I91*12*I93</f>
        <v/>
      </c>
      <c r="J94" s="19">
        <f>J88*J91*12*J93</f>
        <v/>
      </c>
      <c r="K94" s="19">
        <f>K88*K91*12*K93</f>
        <v/>
      </c>
      <c r="L94" s="19">
        <f>L88*L91*12*L93</f>
        <v/>
      </c>
      <c r="M94" s="19">
        <f>M88*M91*12*M93</f>
        <v/>
      </c>
      <c r="N94" s="19">
        <f>N88*N91*12*N93</f>
        <v/>
      </c>
      <c r="O94" s="19">
        <f>O88*O91*12*O93</f>
        <v/>
      </c>
      <c r="P94" s="19">
        <f>P88*P91*12*P93</f>
        <v/>
      </c>
      <c r="Q94" s="19">
        <f>Q88*Q91*12*Q93</f>
        <v/>
      </c>
      <c r="R94" s="19">
        <f>R88*R91*12*R93</f>
        <v/>
      </c>
      <c r="S94" s="19">
        <f>S88*S91*12*S93</f>
        <v/>
      </c>
      <c r="T94" s="19">
        <f>T88*T91*12*T93</f>
        <v/>
      </c>
      <c r="U94" s="19">
        <f>U88*U91*12*U93</f>
        <v/>
      </c>
      <c r="V94" s="19">
        <f>V88*V91*12*V93</f>
        <v/>
      </c>
      <c r="W94" s="19">
        <f>W88*W91*12*W93</f>
        <v/>
      </c>
      <c r="X94" s="19">
        <f>X88*X91*12*X93</f>
        <v/>
      </c>
      <c r="Y94" s="19">
        <f>Y88*Y91*12*Y93</f>
        <v/>
      </c>
      <c r="Z94" s="19">
        <f>Z88*Z91*12*Z93</f>
        <v/>
      </c>
      <c r="AA94" s="19">
        <f>AA88*AA91*12*AA93</f>
        <v/>
      </c>
      <c r="AB94" s="19">
        <f>AB88*AB91*12*AB93</f>
        <v/>
      </c>
      <c r="AC94" s="19">
        <f>AC88*AC91*12*AC93</f>
        <v/>
      </c>
      <c r="AD94" s="19">
        <f>AD88*AD91*12*AD93</f>
        <v/>
      </c>
      <c r="AE94" s="19">
        <f>AE88*AE91*12*AE93</f>
        <v/>
      </c>
      <c r="AF94" s="19">
        <f>AF88*AF91*12*AF93</f>
        <v/>
      </c>
      <c r="AG94" s="19">
        <f>AG88*AG91*12*AG93</f>
        <v/>
      </c>
      <c r="AH94" s="19">
        <f>AH88*AH91*12*AH93</f>
        <v/>
      </c>
      <c r="AI94" s="19">
        <f>AI88*AI91*12*AI93</f>
        <v/>
      </c>
    </row>
    <row r="95">
      <c r="B95" s="2" t="inlineStr">
        <is>
          <t xml:space="preserve">  Ancillary and throughput revenue</t>
        </is>
      </c>
      <c r="D95" s="19">
        <f>D94*i_T_anc</f>
        <v/>
      </c>
      <c r="E95" s="19">
        <f>E94*i_T_anc</f>
        <v/>
      </c>
      <c r="F95" s="19">
        <f>F94*i_T_anc</f>
        <v/>
      </c>
      <c r="G95" s="19">
        <f>G94*i_T_anc</f>
        <v/>
      </c>
      <c r="H95" s="19">
        <f>H94*i_T_anc</f>
        <v/>
      </c>
      <c r="I95" s="19">
        <f>I94*i_T_anc</f>
        <v/>
      </c>
      <c r="J95" s="19">
        <f>J94*i_T_anc</f>
        <v/>
      </c>
      <c r="K95" s="19">
        <f>K94*i_T_anc</f>
        <v/>
      </c>
      <c r="L95" s="19">
        <f>L94*i_T_anc</f>
        <v/>
      </c>
      <c r="M95" s="19">
        <f>M94*i_T_anc</f>
        <v/>
      </c>
      <c r="N95" s="19">
        <f>N94*i_T_anc</f>
        <v/>
      </c>
      <c r="O95" s="19">
        <f>O94*i_T_anc</f>
        <v/>
      </c>
      <c r="P95" s="19">
        <f>P94*i_T_anc</f>
        <v/>
      </c>
      <c r="Q95" s="19">
        <f>Q94*i_T_anc</f>
        <v/>
      </c>
      <c r="R95" s="19">
        <f>R94*i_T_anc</f>
        <v/>
      </c>
      <c r="S95" s="19">
        <f>S94*i_T_anc</f>
        <v/>
      </c>
      <c r="T95" s="19">
        <f>T94*i_T_anc</f>
        <v/>
      </c>
      <c r="U95" s="19">
        <f>U94*i_T_anc</f>
        <v/>
      </c>
      <c r="V95" s="19">
        <f>V94*i_T_anc</f>
        <v/>
      </c>
      <c r="W95" s="19">
        <f>W94*i_T_anc</f>
        <v/>
      </c>
      <c r="X95" s="19">
        <f>X94*i_T_anc</f>
        <v/>
      </c>
      <c r="Y95" s="19">
        <f>Y94*i_T_anc</f>
        <v/>
      </c>
      <c r="Z95" s="19">
        <f>Z94*i_T_anc</f>
        <v/>
      </c>
      <c r="AA95" s="19">
        <f>AA94*i_T_anc</f>
        <v/>
      </c>
      <c r="AB95" s="19">
        <f>AB94*i_T_anc</f>
        <v/>
      </c>
      <c r="AC95" s="19">
        <f>AC94*i_T_anc</f>
        <v/>
      </c>
      <c r="AD95" s="19">
        <f>AD94*i_T_anc</f>
        <v/>
      </c>
      <c r="AE95" s="19">
        <f>AE94*i_T_anc</f>
        <v/>
      </c>
      <c r="AF95" s="19">
        <f>AF94*i_T_anc</f>
        <v/>
      </c>
      <c r="AG95" s="19">
        <f>AG94*i_T_anc</f>
        <v/>
      </c>
      <c r="AH95" s="19">
        <f>AH94*i_T_anc</f>
        <v/>
      </c>
      <c r="AI95" s="19">
        <f>AI94*i_T_anc</f>
        <v/>
      </c>
    </row>
    <row r="96">
      <c r="B96" s="3" t="inlineStr">
        <is>
          <t xml:space="preserve">  Revenue</t>
        </is>
      </c>
      <c r="D96" s="31">
        <f>D94+D95</f>
        <v/>
      </c>
      <c r="E96" s="31">
        <f>E94+E95</f>
        <v/>
      </c>
      <c r="F96" s="31">
        <f>F94+F95</f>
        <v/>
      </c>
      <c r="G96" s="31">
        <f>G94+G95</f>
        <v/>
      </c>
      <c r="H96" s="31">
        <f>H94+H95</f>
        <v/>
      </c>
      <c r="I96" s="31">
        <f>I94+I95</f>
        <v/>
      </c>
      <c r="J96" s="31">
        <f>J94+J95</f>
        <v/>
      </c>
      <c r="K96" s="31">
        <f>K94+K95</f>
        <v/>
      </c>
      <c r="L96" s="31">
        <f>L94+L95</f>
        <v/>
      </c>
      <c r="M96" s="31">
        <f>M94+M95</f>
        <v/>
      </c>
      <c r="N96" s="31">
        <f>N94+N95</f>
        <v/>
      </c>
      <c r="O96" s="31">
        <f>O94+O95</f>
        <v/>
      </c>
      <c r="P96" s="31">
        <f>P94+P95</f>
        <v/>
      </c>
      <c r="Q96" s="31">
        <f>Q94+Q95</f>
        <v/>
      </c>
      <c r="R96" s="31">
        <f>R94+R95</f>
        <v/>
      </c>
      <c r="S96" s="31">
        <f>S94+S95</f>
        <v/>
      </c>
      <c r="T96" s="31">
        <f>T94+T95</f>
        <v/>
      </c>
      <c r="U96" s="31">
        <f>U94+U95</f>
        <v/>
      </c>
      <c r="V96" s="31">
        <f>V94+V95</f>
        <v/>
      </c>
      <c r="W96" s="31">
        <f>W94+W95</f>
        <v/>
      </c>
      <c r="X96" s="31">
        <f>X94+X95</f>
        <v/>
      </c>
      <c r="Y96" s="31">
        <f>Y94+Y95</f>
        <v/>
      </c>
      <c r="Z96" s="31">
        <f>Z94+Z95</f>
        <v/>
      </c>
      <c r="AA96" s="31">
        <f>AA94+AA95</f>
        <v/>
      </c>
      <c r="AB96" s="31">
        <f>AB94+AB95</f>
        <v/>
      </c>
      <c r="AC96" s="31">
        <f>AC94+AC95</f>
        <v/>
      </c>
      <c r="AD96" s="31">
        <f>AD94+AD95</f>
        <v/>
      </c>
      <c r="AE96" s="31">
        <f>AE94+AE95</f>
        <v/>
      </c>
      <c r="AF96" s="31">
        <f>AF94+AF95</f>
        <v/>
      </c>
      <c r="AG96" s="31">
        <f>AG94+AG95</f>
        <v/>
      </c>
      <c r="AH96" s="31">
        <f>AH94+AH95</f>
        <v/>
      </c>
      <c r="AI96" s="31">
        <f>AI94+AI95</f>
        <v/>
      </c>
    </row>
    <row r="97">
      <c r="B97" s="2" t="inlineStr">
        <is>
          <t xml:space="preserve">  Fixed cost</t>
        </is>
      </c>
      <c r="D97" s="19">
        <f>D88*i_T_fix*D52</f>
        <v/>
      </c>
      <c r="E97" s="19">
        <f>E88*i_T_fix*E52</f>
        <v/>
      </c>
      <c r="F97" s="19">
        <f>F88*i_T_fix*F52</f>
        <v/>
      </c>
      <c r="G97" s="19">
        <f>G88*i_T_fix*G52</f>
        <v/>
      </c>
      <c r="H97" s="19">
        <f>H88*i_T_fix*H52</f>
        <v/>
      </c>
      <c r="I97" s="19">
        <f>I88*i_T_fix*I52</f>
        <v/>
      </c>
      <c r="J97" s="19">
        <f>J88*i_T_fix*J52</f>
        <v/>
      </c>
      <c r="K97" s="19">
        <f>K88*i_T_fix*K52</f>
        <v/>
      </c>
      <c r="L97" s="19">
        <f>L88*i_T_fix*L52</f>
        <v/>
      </c>
      <c r="M97" s="19">
        <f>M88*i_T_fix*M52</f>
        <v/>
      </c>
      <c r="N97" s="19">
        <f>N88*i_T_fix*N52</f>
        <v/>
      </c>
      <c r="O97" s="19">
        <f>O88*i_T_fix*O52</f>
        <v/>
      </c>
      <c r="P97" s="19">
        <f>P88*i_T_fix*P52</f>
        <v/>
      </c>
      <c r="Q97" s="19">
        <f>Q88*i_T_fix*Q52</f>
        <v/>
      </c>
      <c r="R97" s="19">
        <f>R88*i_T_fix*R52</f>
        <v/>
      </c>
      <c r="S97" s="19">
        <f>S88*i_T_fix*S52</f>
        <v/>
      </c>
      <c r="T97" s="19">
        <f>T88*i_T_fix*T52</f>
        <v/>
      </c>
      <c r="U97" s="19">
        <f>U88*i_T_fix*U52</f>
        <v/>
      </c>
      <c r="V97" s="19">
        <f>V88*i_T_fix*V52</f>
        <v/>
      </c>
      <c r="W97" s="19">
        <f>W88*i_T_fix*W52</f>
        <v/>
      </c>
      <c r="X97" s="19">
        <f>X88*i_T_fix*X52</f>
        <v/>
      </c>
      <c r="Y97" s="19">
        <f>Y88*i_T_fix*Y52</f>
        <v/>
      </c>
      <c r="Z97" s="19">
        <f>Z88*i_T_fix*Z52</f>
        <v/>
      </c>
      <c r="AA97" s="19">
        <f>AA88*i_T_fix*AA52</f>
        <v/>
      </c>
      <c r="AB97" s="19">
        <f>AB88*i_T_fix*AB52</f>
        <v/>
      </c>
      <c r="AC97" s="19">
        <f>AC88*i_T_fix*AC52</f>
        <v/>
      </c>
      <c r="AD97" s="19">
        <f>AD88*i_T_fix*AD52</f>
        <v/>
      </c>
      <c r="AE97" s="19">
        <f>AE88*i_T_fix*AE52</f>
        <v/>
      </c>
      <c r="AF97" s="19">
        <f>AF88*i_T_fix*AF52</f>
        <v/>
      </c>
      <c r="AG97" s="19">
        <f>AG88*i_T_fix*AG52</f>
        <v/>
      </c>
      <c r="AH97" s="19">
        <f>AH88*i_T_fix*AH52</f>
        <v/>
      </c>
      <c r="AI97" s="19">
        <f>AI88*i_T_fix*AI52</f>
        <v/>
      </c>
    </row>
    <row r="98">
      <c r="B98" s="2" t="inlineStr">
        <is>
          <t xml:space="preserve">  Variable cost</t>
        </is>
      </c>
      <c r="D98" s="19">
        <f>i_T_var*D96</f>
        <v/>
      </c>
      <c r="E98" s="19">
        <f>i_T_var*E96</f>
        <v/>
      </c>
      <c r="F98" s="19">
        <f>i_T_var*F96</f>
        <v/>
      </c>
      <c r="G98" s="19">
        <f>i_T_var*G96</f>
        <v/>
      </c>
      <c r="H98" s="19">
        <f>i_T_var*H96</f>
        <v/>
      </c>
      <c r="I98" s="19">
        <f>i_T_var*I96</f>
        <v/>
      </c>
      <c r="J98" s="19">
        <f>i_T_var*J96</f>
        <v/>
      </c>
      <c r="K98" s="19">
        <f>i_T_var*K96</f>
        <v/>
      </c>
      <c r="L98" s="19">
        <f>i_T_var*L96</f>
        <v/>
      </c>
      <c r="M98" s="19">
        <f>i_T_var*M96</f>
        <v/>
      </c>
      <c r="N98" s="19">
        <f>i_T_var*N96</f>
        <v/>
      </c>
      <c r="O98" s="19">
        <f>i_T_var*O96</f>
        <v/>
      </c>
      <c r="P98" s="19">
        <f>i_T_var*P96</f>
        <v/>
      </c>
      <c r="Q98" s="19">
        <f>i_T_var*Q96</f>
        <v/>
      </c>
      <c r="R98" s="19">
        <f>i_T_var*R96</f>
        <v/>
      </c>
      <c r="S98" s="19">
        <f>i_T_var*S96</f>
        <v/>
      </c>
      <c r="T98" s="19">
        <f>i_T_var*T96</f>
        <v/>
      </c>
      <c r="U98" s="19">
        <f>i_T_var*U96</f>
        <v/>
      </c>
      <c r="V98" s="19">
        <f>i_T_var*V96</f>
        <v/>
      </c>
      <c r="W98" s="19">
        <f>i_T_var*W96</f>
        <v/>
      </c>
      <c r="X98" s="19">
        <f>i_T_var*X96</f>
        <v/>
      </c>
      <c r="Y98" s="19">
        <f>i_T_var*Y96</f>
        <v/>
      </c>
      <c r="Z98" s="19">
        <f>i_T_var*Z96</f>
        <v/>
      </c>
      <c r="AA98" s="19">
        <f>i_T_var*AA96</f>
        <v/>
      </c>
      <c r="AB98" s="19">
        <f>i_T_var*AB96</f>
        <v/>
      </c>
      <c r="AC98" s="19">
        <f>i_T_var*AC96</f>
        <v/>
      </c>
      <c r="AD98" s="19">
        <f>i_T_var*AD96</f>
        <v/>
      </c>
      <c r="AE98" s="19">
        <f>i_T_var*AE96</f>
        <v/>
      </c>
      <c r="AF98" s="19">
        <f>i_T_var*AF96</f>
        <v/>
      </c>
      <c r="AG98" s="19">
        <f>i_T_var*AG96</f>
        <v/>
      </c>
      <c r="AH98" s="19">
        <f>i_T_var*AH96</f>
        <v/>
      </c>
      <c r="AI98" s="19">
        <f>i_T_var*AI96</f>
        <v/>
      </c>
    </row>
    <row r="99">
      <c r="B99" s="2" t="inlineStr">
        <is>
          <t xml:space="preserve">  Operating cost</t>
        </is>
      </c>
      <c r="D99" s="19">
        <f>D97+D98</f>
        <v/>
      </c>
      <c r="E99" s="19">
        <f>E97+E98</f>
        <v/>
      </c>
      <c r="F99" s="19">
        <f>F97+F98</f>
        <v/>
      </c>
      <c r="G99" s="19">
        <f>G97+G98</f>
        <v/>
      </c>
      <c r="H99" s="19">
        <f>H97+H98</f>
        <v/>
      </c>
      <c r="I99" s="19">
        <f>I97+I98</f>
        <v/>
      </c>
      <c r="J99" s="19">
        <f>J97+J98</f>
        <v/>
      </c>
      <c r="K99" s="19">
        <f>K97+K98</f>
        <v/>
      </c>
      <c r="L99" s="19">
        <f>L97+L98</f>
        <v/>
      </c>
      <c r="M99" s="19">
        <f>M97+M98</f>
        <v/>
      </c>
      <c r="N99" s="19">
        <f>N97+N98</f>
        <v/>
      </c>
      <c r="O99" s="19">
        <f>O97+O98</f>
        <v/>
      </c>
      <c r="P99" s="19">
        <f>P97+P98</f>
        <v/>
      </c>
      <c r="Q99" s="19">
        <f>Q97+Q98</f>
        <v/>
      </c>
      <c r="R99" s="19">
        <f>R97+R98</f>
        <v/>
      </c>
      <c r="S99" s="19">
        <f>S97+S98</f>
        <v/>
      </c>
      <c r="T99" s="19">
        <f>T97+T98</f>
        <v/>
      </c>
      <c r="U99" s="19">
        <f>U97+U98</f>
        <v/>
      </c>
      <c r="V99" s="19">
        <f>V97+V98</f>
        <v/>
      </c>
      <c r="W99" s="19">
        <f>W97+W98</f>
        <v/>
      </c>
      <c r="X99" s="19">
        <f>X97+X98</f>
        <v/>
      </c>
      <c r="Y99" s="19">
        <f>Y97+Y98</f>
        <v/>
      </c>
      <c r="Z99" s="19">
        <f>Z97+Z98</f>
        <v/>
      </c>
      <c r="AA99" s="19">
        <f>AA97+AA98</f>
        <v/>
      </c>
      <c r="AB99" s="19">
        <f>AB97+AB98</f>
        <v/>
      </c>
      <c r="AC99" s="19">
        <f>AC97+AC98</f>
        <v/>
      </c>
      <c r="AD99" s="19">
        <f>AD97+AD98</f>
        <v/>
      </c>
      <c r="AE99" s="19">
        <f>AE97+AE98</f>
        <v/>
      </c>
      <c r="AF99" s="19">
        <f>AF97+AF98</f>
        <v/>
      </c>
      <c r="AG99" s="19">
        <f>AG97+AG98</f>
        <v/>
      </c>
      <c r="AH99" s="19">
        <f>AH97+AH98</f>
        <v/>
      </c>
      <c r="AI99" s="19">
        <f>AI97+AI98</f>
        <v/>
      </c>
    </row>
    <row r="100">
      <c r="B100" s="3" t="inlineStr">
        <is>
          <t xml:space="preserve">  EBITDA</t>
        </is>
      </c>
      <c r="D100" s="31">
        <f>D96-D99</f>
        <v/>
      </c>
      <c r="E100" s="31">
        <f>E96-E99</f>
        <v/>
      </c>
      <c r="F100" s="31">
        <f>F96-F99</f>
        <v/>
      </c>
      <c r="G100" s="31">
        <f>G96-G99</f>
        <v/>
      </c>
      <c r="H100" s="31">
        <f>H96-H99</f>
        <v/>
      </c>
      <c r="I100" s="31">
        <f>I96-I99</f>
        <v/>
      </c>
      <c r="J100" s="31">
        <f>J96-J99</f>
        <v/>
      </c>
      <c r="K100" s="31">
        <f>K96-K99</f>
        <v/>
      </c>
      <c r="L100" s="31">
        <f>L96-L99</f>
        <v/>
      </c>
      <c r="M100" s="31">
        <f>M96-M99</f>
        <v/>
      </c>
      <c r="N100" s="31">
        <f>N96-N99</f>
        <v/>
      </c>
      <c r="O100" s="31">
        <f>O96-O99</f>
        <v/>
      </c>
      <c r="P100" s="31">
        <f>P96-P99</f>
        <v/>
      </c>
      <c r="Q100" s="31">
        <f>Q96-Q99</f>
        <v/>
      </c>
      <c r="R100" s="31">
        <f>R96-R99</f>
        <v/>
      </c>
      <c r="S100" s="31">
        <f>S96-S99</f>
        <v/>
      </c>
      <c r="T100" s="31">
        <f>T96-T99</f>
        <v/>
      </c>
      <c r="U100" s="31">
        <f>U96-U99</f>
        <v/>
      </c>
      <c r="V100" s="31">
        <f>V96-V99</f>
        <v/>
      </c>
      <c r="W100" s="31">
        <f>W96-W99</f>
        <v/>
      </c>
      <c r="X100" s="31">
        <f>X96-X99</f>
        <v/>
      </c>
      <c r="Y100" s="31">
        <f>Y96-Y99</f>
        <v/>
      </c>
      <c r="Z100" s="31">
        <f>Z96-Z99</f>
        <v/>
      </c>
      <c r="AA100" s="31">
        <f>AA96-AA99</f>
        <v/>
      </c>
      <c r="AB100" s="31">
        <f>AB96-AB99</f>
        <v/>
      </c>
      <c r="AC100" s="31">
        <f>AC96-AC99</f>
        <v/>
      </c>
      <c r="AD100" s="31">
        <f>AD96-AD99</f>
        <v/>
      </c>
      <c r="AE100" s="31">
        <f>AE96-AE99</f>
        <v/>
      </c>
      <c r="AF100" s="31">
        <f>AF96-AF99</f>
        <v/>
      </c>
      <c r="AG100" s="31">
        <f>AG96-AG99</f>
        <v/>
      </c>
      <c r="AH100" s="31">
        <f>AH96-AH99</f>
        <v/>
      </c>
      <c r="AI100" s="31">
        <f>AI96-AI99</f>
        <v/>
      </c>
    </row>
    <row r="101">
      <c r="B101" s="2" t="inlineStr">
        <is>
          <t xml:space="preserve">  Maintenance capex</t>
        </is>
      </c>
      <c r="D101" s="19">
        <f>D88*i_T_mc*D52</f>
        <v/>
      </c>
      <c r="E101" s="19">
        <f>E88*i_T_mc*E52</f>
        <v/>
      </c>
      <c r="F101" s="19">
        <f>F88*i_T_mc*F52</f>
        <v/>
      </c>
      <c r="G101" s="19">
        <f>G88*i_T_mc*G52</f>
        <v/>
      </c>
      <c r="H101" s="19">
        <f>H88*i_T_mc*H52</f>
        <v/>
      </c>
      <c r="I101" s="19">
        <f>I88*i_T_mc*I52</f>
        <v/>
      </c>
      <c r="J101" s="19">
        <f>J88*i_T_mc*J52</f>
        <v/>
      </c>
      <c r="K101" s="19">
        <f>K88*i_T_mc*K52</f>
        <v/>
      </c>
      <c r="L101" s="19">
        <f>L88*i_T_mc*L52</f>
        <v/>
      </c>
      <c r="M101" s="19">
        <f>M88*i_T_mc*M52</f>
        <v/>
      </c>
      <c r="N101" s="19">
        <f>N88*i_T_mc*N52</f>
        <v/>
      </c>
      <c r="O101" s="19">
        <f>O88*i_T_mc*O52</f>
        <v/>
      </c>
      <c r="P101" s="19">
        <f>P88*i_T_mc*P52</f>
        <v/>
      </c>
      <c r="Q101" s="19">
        <f>Q88*i_T_mc*Q52</f>
        <v/>
      </c>
      <c r="R101" s="19">
        <f>R88*i_T_mc*R52</f>
        <v/>
      </c>
      <c r="S101" s="19">
        <f>S88*i_T_mc*S52</f>
        <v/>
      </c>
      <c r="T101" s="19">
        <f>T88*i_T_mc*T52</f>
        <v/>
      </c>
      <c r="U101" s="19">
        <f>U88*i_T_mc*U52</f>
        <v/>
      </c>
      <c r="V101" s="19">
        <f>V88*i_T_mc*V52</f>
        <v/>
      </c>
      <c r="W101" s="19">
        <f>W88*i_T_mc*W52</f>
        <v/>
      </c>
      <c r="X101" s="19">
        <f>X88*i_T_mc*X52</f>
        <v/>
      </c>
      <c r="Y101" s="19">
        <f>Y88*i_T_mc*Y52</f>
        <v/>
      </c>
      <c r="Z101" s="19">
        <f>Z88*i_T_mc*Z52</f>
        <v/>
      </c>
      <c r="AA101" s="19">
        <f>AA88*i_T_mc*AA52</f>
        <v/>
      </c>
      <c r="AB101" s="19">
        <f>AB88*i_T_mc*AB52</f>
        <v/>
      </c>
      <c r="AC101" s="19">
        <f>AC88*i_T_mc*AC52</f>
        <v/>
      </c>
      <c r="AD101" s="19">
        <f>AD88*i_T_mc*AD52</f>
        <v/>
      </c>
      <c r="AE101" s="19">
        <f>AE88*i_T_mc*AE52</f>
        <v/>
      </c>
      <c r="AF101" s="19">
        <f>AF88*i_T_mc*AF52</f>
        <v/>
      </c>
      <c r="AG101" s="19">
        <f>AG88*i_T_mc*AG52</f>
        <v/>
      </c>
      <c r="AH101" s="19">
        <f>AH88*i_T_mc*AH52</f>
        <v/>
      </c>
      <c r="AI101" s="19">
        <f>AI88*i_T_mc*AI52</f>
        <v/>
      </c>
    </row>
    <row r="102">
      <c r="B102" s="3" t="inlineStr">
        <is>
          <t>Sabine Bend</t>
        </is>
      </c>
    </row>
    <row r="103">
      <c r="B103" s="2" t="inlineStr">
        <is>
          <t xml:space="preserve">  Capacity in service (million m3)</t>
        </is>
      </c>
      <c r="D103" s="24">
        <f>i_G_cap</f>
        <v/>
      </c>
      <c r="E103" s="24">
        <f>i_G_cap</f>
        <v/>
      </c>
      <c r="F103" s="24">
        <f>i_G_cap</f>
        <v/>
      </c>
      <c r="G103" s="24">
        <f>i_G_cap</f>
        <v/>
      </c>
      <c r="H103" s="24">
        <f>i_G_cap</f>
        <v/>
      </c>
      <c r="I103" s="24">
        <f>i_G_cap</f>
        <v/>
      </c>
      <c r="J103" s="24">
        <f>i_G_cap</f>
        <v/>
      </c>
      <c r="K103" s="24">
        <f>i_G_cap</f>
        <v/>
      </c>
      <c r="L103" s="24">
        <f>i_G_cap</f>
        <v/>
      </c>
      <c r="M103" s="24">
        <f>i_G_cap</f>
        <v/>
      </c>
      <c r="N103" s="24">
        <f>i_G_cap</f>
        <v/>
      </c>
      <c r="O103" s="24">
        <f>i_G_cap</f>
        <v/>
      </c>
      <c r="P103" s="24">
        <f>i_G_cap</f>
        <v/>
      </c>
      <c r="Q103" s="24">
        <f>i_G_cap</f>
        <v/>
      </c>
      <c r="R103" s="24">
        <f>i_G_cap</f>
        <v/>
      </c>
      <c r="S103" s="24">
        <f>i_G_cap</f>
        <v/>
      </c>
      <c r="T103" s="24">
        <f>i_G_cap</f>
        <v/>
      </c>
      <c r="U103" s="24">
        <f>i_G_cap</f>
        <v/>
      </c>
      <c r="V103" s="24">
        <f>i_G_cap</f>
        <v/>
      </c>
      <c r="W103" s="24">
        <f>i_G_cap</f>
        <v/>
      </c>
      <c r="X103" s="24">
        <f>i_G_cap</f>
        <v/>
      </c>
      <c r="Y103" s="24">
        <f>i_G_cap</f>
        <v/>
      </c>
      <c r="Z103" s="24">
        <f>i_G_cap</f>
        <v/>
      </c>
      <c r="AA103" s="24">
        <f>i_G_cap</f>
        <v/>
      </c>
      <c r="AB103" s="24">
        <f>i_G_cap</f>
        <v/>
      </c>
      <c r="AC103" s="24">
        <f>i_G_cap</f>
        <v/>
      </c>
      <c r="AD103" s="24">
        <f>i_G_cap</f>
        <v/>
      </c>
      <c r="AE103" s="24">
        <f>i_G_cap</f>
        <v/>
      </c>
      <c r="AF103" s="24">
        <f>i_G_cap</f>
        <v/>
      </c>
      <c r="AG103" s="24">
        <f>i_G_cap</f>
        <v/>
      </c>
      <c r="AH103" s="24">
        <f>i_G_cap</f>
        <v/>
      </c>
      <c r="AI103" s="24">
        <f>i_G_cap</f>
        <v/>
      </c>
    </row>
    <row r="104">
      <c r="B104" s="2" t="inlineStr">
        <is>
          <t xml:space="preserve">  Share on contracts signed before 2027</t>
        </is>
      </c>
      <c r="D104" s="21">
        <f>SUMIF(i_book_years,D$3,i_G_book)</f>
        <v/>
      </c>
      <c r="E104" s="21">
        <f>SUMIF(i_book_years,E$3,i_G_book)</f>
        <v/>
      </c>
      <c r="F104" s="21">
        <f>SUMIF(i_book_years,F$3,i_G_book)</f>
        <v/>
      </c>
      <c r="G104" s="21">
        <f>SUMIF(i_book_years,G$3,i_G_book)</f>
        <v/>
      </c>
      <c r="H104" s="21">
        <f>SUMIF(i_book_years,H$3,i_G_book)</f>
        <v/>
      </c>
      <c r="I104" s="21">
        <f>SUMIF(i_book_years,I$3,i_G_book)</f>
        <v/>
      </c>
      <c r="J104" s="21">
        <f>SUMIF(i_book_years,J$3,i_G_book)</f>
        <v/>
      </c>
      <c r="K104" s="21">
        <f>SUMIF(i_book_years,K$3,i_G_book)</f>
        <v/>
      </c>
      <c r="L104" s="21">
        <f>SUMIF(i_book_years,L$3,i_G_book)</f>
        <v/>
      </c>
      <c r="M104" s="21">
        <f>SUMIF(i_book_years,M$3,i_G_book)</f>
        <v/>
      </c>
      <c r="N104" s="21">
        <f>SUMIF(i_book_years,N$3,i_G_book)</f>
        <v/>
      </c>
      <c r="O104" s="21">
        <f>SUMIF(i_book_years,O$3,i_G_book)</f>
        <v/>
      </c>
      <c r="P104" s="21">
        <f>SUMIF(i_book_years,P$3,i_G_book)</f>
        <v/>
      </c>
      <c r="Q104" s="21">
        <f>SUMIF(i_book_years,Q$3,i_G_book)</f>
        <v/>
      </c>
      <c r="R104" s="21">
        <f>SUMIF(i_book_years,R$3,i_G_book)</f>
        <v/>
      </c>
      <c r="S104" s="21">
        <f>SUMIF(i_book_years,S$3,i_G_book)</f>
        <v/>
      </c>
      <c r="T104" s="21">
        <f>SUMIF(i_book_years,T$3,i_G_book)</f>
        <v/>
      </c>
      <c r="U104" s="21">
        <f>SUMIF(i_book_years,U$3,i_G_book)</f>
        <v/>
      </c>
      <c r="V104" s="21">
        <f>SUMIF(i_book_years,V$3,i_G_book)</f>
        <v/>
      </c>
      <c r="W104" s="21">
        <f>SUMIF(i_book_years,W$3,i_G_book)</f>
        <v/>
      </c>
      <c r="X104" s="21">
        <f>SUMIF(i_book_years,X$3,i_G_book)</f>
        <v/>
      </c>
      <c r="Y104" s="21">
        <f>SUMIF(i_book_years,Y$3,i_G_book)</f>
        <v/>
      </c>
      <c r="Z104" s="21">
        <f>SUMIF(i_book_years,Z$3,i_G_book)</f>
        <v/>
      </c>
      <c r="AA104" s="21">
        <f>SUMIF(i_book_years,AA$3,i_G_book)</f>
        <v/>
      </c>
      <c r="AB104" s="21">
        <f>SUMIF(i_book_years,AB$3,i_G_book)</f>
        <v/>
      </c>
      <c r="AC104" s="21">
        <f>SUMIF(i_book_years,AC$3,i_G_book)</f>
        <v/>
      </c>
      <c r="AD104" s="21">
        <f>SUMIF(i_book_years,AD$3,i_G_book)</f>
        <v/>
      </c>
      <c r="AE104" s="21">
        <f>SUMIF(i_book_years,AE$3,i_G_book)</f>
        <v/>
      </c>
      <c r="AF104" s="21">
        <f>SUMIF(i_book_years,AF$3,i_G_book)</f>
        <v/>
      </c>
      <c r="AG104" s="21">
        <f>SUMIF(i_book_years,AG$3,i_G_book)</f>
        <v/>
      </c>
      <c r="AH104" s="21">
        <f>SUMIF(i_book_years,AH$3,i_G_book)</f>
        <v/>
      </c>
      <c r="AI104" s="21">
        <f>SUMIF(i_book_years,AI$3,i_G_book)</f>
        <v/>
      </c>
    </row>
    <row r="105">
      <c r="B105" s="2" t="inlineStr">
        <is>
          <t xml:space="preserve">  Recontracting factor against current rates</t>
        </is>
      </c>
      <c r="D105" s="21">
        <f>IF(D$4=0,0,IF(Approvals!$C$42=1,i_G_mtm,i_G_mtm_plan)+Approvals!$C$48)</f>
        <v/>
      </c>
      <c r="E105" s="21">
        <f>IF(E$4=0,0,IF(Approvals!$C$42=1,i_G_mtm,i_G_mtm_plan)+Approvals!$C$48)</f>
        <v/>
      </c>
      <c r="F105" s="21">
        <f>IF(F$4=0,0,IF(Approvals!$C$42=1,i_G_mtm,i_G_mtm_plan)+Approvals!$C$48)</f>
        <v/>
      </c>
      <c r="G105" s="21">
        <f>IF(G$4=0,0,IF(Approvals!$C$42=1,i_G_mtm,i_G_mtm_plan)+Approvals!$C$48)</f>
        <v/>
      </c>
      <c r="H105" s="21">
        <f>IF(H$4=0,0,IF(Approvals!$C$42=1,i_G_mtm,i_G_mtm_plan)+Approvals!$C$48)</f>
        <v/>
      </c>
      <c r="I105" s="21">
        <f>IF(I$4=0,0,IF(Approvals!$C$42=1,i_G_mtm,i_G_mtm_plan)+Approvals!$C$48)</f>
        <v/>
      </c>
      <c r="J105" s="21">
        <f>IF(J$4=0,0,IF(Approvals!$C$42=1,i_G_mtm,i_G_mtm_plan)+Approvals!$C$48)</f>
        <v/>
      </c>
      <c r="K105" s="21">
        <f>IF(K$4=0,0,IF(Approvals!$C$42=1,i_G_mtm,i_G_mtm_plan)+Approvals!$C$48)</f>
        <v/>
      </c>
      <c r="L105" s="21">
        <f>IF(L$4=0,0,IF(Approvals!$C$42=1,i_G_mtm,i_G_mtm_plan)+Approvals!$C$48)</f>
        <v/>
      </c>
      <c r="M105" s="21">
        <f>IF(M$4=0,0,IF(Approvals!$C$42=1,i_G_mtm,i_G_mtm_plan)+Approvals!$C$48)</f>
        <v/>
      </c>
      <c r="N105" s="21">
        <f>IF(N$4=0,0,IF(Approvals!$C$42=1,i_G_mtm,i_G_mtm_plan)+Approvals!$C$48)</f>
        <v/>
      </c>
      <c r="O105" s="21">
        <f>IF(O$4=0,0,IF(Approvals!$C$42=1,i_G_mtm,i_G_mtm_plan)+Approvals!$C$48)</f>
        <v/>
      </c>
      <c r="P105" s="21">
        <f>IF(P$4=0,0,IF(Approvals!$C$42=1,i_G_mtm,i_G_mtm_plan)+Approvals!$C$48)</f>
        <v/>
      </c>
      <c r="Q105" s="21">
        <f>IF(Q$4=0,0,IF(Approvals!$C$42=1,i_G_mtm,i_G_mtm_plan)+Approvals!$C$48)</f>
        <v/>
      </c>
      <c r="R105" s="21">
        <f>IF(R$4=0,0,IF(Approvals!$C$42=1,i_G_mtm,i_G_mtm_plan)+Approvals!$C$48)</f>
        <v/>
      </c>
      <c r="S105" s="21">
        <f>IF(S$4=0,0,IF(Approvals!$C$42=1,i_G_mtm,i_G_mtm_plan)+Approvals!$C$48)</f>
        <v/>
      </c>
      <c r="T105" s="21">
        <f>IF(T$4=0,0,IF(Approvals!$C$42=1,i_G_mtm,i_G_mtm_plan)+Approvals!$C$48)</f>
        <v/>
      </c>
      <c r="U105" s="21">
        <f>IF(U$4=0,0,IF(Approvals!$C$42=1,i_G_mtm,i_G_mtm_plan)+Approvals!$C$48)</f>
        <v/>
      </c>
      <c r="V105" s="21">
        <f>IF(V$4=0,0,IF(Approvals!$C$42=1,i_G_mtm,i_G_mtm_plan)+Approvals!$C$48)</f>
        <v/>
      </c>
      <c r="W105" s="21">
        <f>IF(W$4=0,0,IF(Approvals!$C$42=1,i_G_mtm,i_G_mtm_plan)+Approvals!$C$48)</f>
        <v/>
      </c>
      <c r="X105" s="21">
        <f>IF(X$4=0,0,IF(Approvals!$C$42=1,i_G_mtm,i_G_mtm_plan)+Approvals!$C$48)</f>
        <v/>
      </c>
      <c r="Y105" s="21">
        <f>IF(Y$4=0,0,IF(Approvals!$C$42=1,i_G_mtm,i_G_mtm_plan)+Approvals!$C$48)</f>
        <v/>
      </c>
      <c r="Z105" s="21">
        <f>IF(Z$4=0,0,IF(Approvals!$C$42=1,i_G_mtm,i_G_mtm_plan)+Approvals!$C$48)</f>
        <v/>
      </c>
      <c r="AA105" s="21">
        <f>IF(AA$4=0,0,IF(Approvals!$C$42=1,i_G_mtm,i_G_mtm_plan)+Approvals!$C$48)</f>
        <v/>
      </c>
      <c r="AB105" s="21">
        <f>IF(AB$4=0,0,IF(Approvals!$C$42=1,i_G_mtm,i_G_mtm_plan)+Approvals!$C$48)</f>
        <v/>
      </c>
      <c r="AC105" s="21">
        <f>IF(AC$4=0,0,IF(Approvals!$C$42=1,i_G_mtm,i_G_mtm_plan)+Approvals!$C$48)</f>
        <v/>
      </c>
      <c r="AD105" s="21">
        <f>IF(AD$4=0,0,IF(Approvals!$C$42=1,i_G_mtm,i_G_mtm_plan)+Approvals!$C$48)</f>
        <v/>
      </c>
      <c r="AE105" s="21">
        <f>IF(AE$4=0,0,IF(Approvals!$C$42=1,i_G_mtm,i_G_mtm_plan)+Approvals!$C$48)</f>
        <v/>
      </c>
      <c r="AF105" s="21">
        <f>IF(AF$4=0,0,IF(Approvals!$C$42=1,i_G_mtm,i_G_mtm_plan)+Approvals!$C$48)</f>
        <v/>
      </c>
      <c r="AG105" s="21">
        <f>IF(AG$4=0,0,IF(Approvals!$C$42=1,i_G_mtm,i_G_mtm_plan)+Approvals!$C$48)</f>
        <v/>
      </c>
      <c r="AH105" s="21">
        <f>IF(AH$4=0,0,IF(Approvals!$C$42=1,i_G_mtm,i_G_mtm_plan)+Approvals!$C$48)</f>
        <v/>
      </c>
      <c r="AI105" s="21">
        <f>IF(AI$4=0,0,IF(Approvals!$C$42=1,i_G_mtm,i_G_mtm_plan)+Approvals!$C$48)</f>
        <v/>
      </c>
    </row>
    <row r="106">
      <c r="B106" s="2" t="inlineStr">
        <is>
          <t xml:space="preserve">  Average rate ($ per m3 per month)</t>
        </is>
      </c>
      <c r="D106" s="24">
        <f>i_G_rate*D53*(D104+(1-D104)*(1+D105))</f>
        <v/>
      </c>
      <c r="E106" s="24">
        <f>i_G_rate*E53*(E104+(1-E104)*(1+E105))</f>
        <v/>
      </c>
      <c r="F106" s="24">
        <f>i_G_rate*F53*(F104+(1-F104)*(1+F105))</f>
        <v/>
      </c>
      <c r="G106" s="24">
        <f>i_G_rate*G53*(G104+(1-G104)*(1+G105))</f>
        <v/>
      </c>
      <c r="H106" s="24">
        <f>i_G_rate*H53*(H104+(1-H104)*(1+H105))</f>
        <v/>
      </c>
      <c r="I106" s="24">
        <f>i_G_rate*I53*(I104+(1-I104)*(1+I105))</f>
        <v/>
      </c>
      <c r="J106" s="24">
        <f>i_G_rate*J53*(J104+(1-J104)*(1+J105))</f>
        <v/>
      </c>
      <c r="K106" s="24">
        <f>i_G_rate*K53*(K104+(1-K104)*(1+K105))</f>
        <v/>
      </c>
      <c r="L106" s="24">
        <f>i_G_rate*L53*(L104+(1-L104)*(1+L105))</f>
        <v/>
      </c>
      <c r="M106" s="24">
        <f>i_G_rate*M53*(M104+(1-M104)*(1+M105))</f>
        <v/>
      </c>
      <c r="N106" s="24">
        <f>i_G_rate*N53*(N104+(1-N104)*(1+N105))</f>
        <v/>
      </c>
      <c r="O106" s="24">
        <f>i_G_rate*O53*(O104+(1-O104)*(1+O105))</f>
        <v/>
      </c>
      <c r="P106" s="24">
        <f>i_G_rate*P53*(P104+(1-P104)*(1+P105))</f>
        <v/>
      </c>
      <c r="Q106" s="24">
        <f>i_G_rate*Q53*(Q104+(1-Q104)*(1+Q105))</f>
        <v/>
      </c>
      <c r="R106" s="24">
        <f>i_G_rate*R53*(R104+(1-R104)*(1+R105))</f>
        <v/>
      </c>
      <c r="S106" s="24">
        <f>i_G_rate*S53*(S104+(1-S104)*(1+S105))</f>
        <v/>
      </c>
      <c r="T106" s="24">
        <f>i_G_rate*T53*(T104+(1-T104)*(1+T105))</f>
        <v/>
      </c>
      <c r="U106" s="24">
        <f>i_G_rate*U53*(U104+(1-U104)*(1+U105))</f>
        <v/>
      </c>
      <c r="V106" s="24">
        <f>i_G_rate*V53*(V104+(1-V104)*(1+V105))</f>
        <v/>
      </c>
      <c r="W106" s="24">
        <f>i_G_rate*W53*(W104+(1-W104)*(1+W105))</f>
        <v/>
      </c>
      <c r="X106" s="24">
        <f>i_G_rate*X53*(X104+(1-X104)*(1+X105))</f>
        <v/>
      </c>
      <c r="Y106" s="24">
        <f>i_G_rate*Y53*(Y104+(1-Y104)*(1+Y105))</f>
        <v/>
      </c>
      <c r="Z106" s="24">
        <f>i_G_rate*Z53*(Z104+(1-Z104)*(1+Z105))</f>
        <v/>
      </c>
      <c r="AA106" s="24">
        <f>i_G_rate*AA53*(AA104+(1-AA104)*(1+AA105))</f>
        <v/>
      </c>
      <c r="AB106" s="24">
        <f>i_G_rate*AB53*(AB104+(1-AB104)*(1+AB105))</f>
        <v/>
      </c>
      <c r="AC106" s="24">
        <f>i_G_rate*AC53*(AC104+(1-AC104)*(1+AC105))</f>
        <v/>
      </c>
      <c r="AD106" s="24">
        <f>i_G_rate*AD53*(AD104+(1-AD104)*(1+AD105))</f>
        <v/>
      </c>
      <c r="AE106" s="24">
        <f>i_G_rate*AE53*(AE104+(1-AE104)*(1+AE105))</f>
        <v/>
      </c>
      <c r="AF106" s="24">
        <f>i_G_rate*AF53*(AF104+(1-AF104)*(1+AF105))</f>
        <v/>
      </c>
      <c r="AG106" s="24">
        <f>i_G_rate*AG53*(AG104+(1-AG104)*(1+AG105))</f>
        <v/>
      </c>
      <c r="AH106" s="24">
        <f>i_G_rate*AH53*(AH104+(1-AH104)*(1+AH105))</f>
        <v/>
      </c>
      <c r="AI106" s="24">
        <f>i_G_rate*AI53*(AI104+(1-AI104)*(1+AI105))</f>
        <v/>
      </c>
    </row>
    <row r="107">
      <c r="B107" s="2" t="inlineStr">
        <is>
          <t xml:space="preserve">  Occupancy after the transition decline and floor</t>
        </is>
      </c>
      <c r="D107" s="21">
        <f>IF(D$3&gt;i_trans_start,MAX(i_G_floor,i_G_occ-i_G_dec*(D$3-i_trans_start)),i_G_occ)</f>
        <v/>
      </c>
      <c r="E107" s="21">
        <f>IF(E$3&gt;i_trans_start,MAX(i_G_floor,i_G_occ-i_G_dec*(E$3-i_trans_start)),i_G_occ)</f>
        <v/>
      </c>
      <c r="F107" s="21">
        <f>IF(F$3&gt;i_trans_start,MAX(i_G_floor,i_G_occ-i_G_dec*(F$3-i_trans_start)),i_G_occ)</f>
        <v/>
      </c>
      <c r="G107" s="21">
        <f>IF(G$3&gt;i_trans_start,MAX(i_G_floor,i_G_occ-i_G_dec*(G$3-i_trans_start)),i_G_occ)</f>
        <v/>
      </c>
      <c r="H107" s="21">
        <f>IF(H$3&gt;i_trans_start,MAX(i_G_floor,i_G_occ-i_G_dec*(H$3-i_trans_start)),i_G_occ)</f>
        <v/>
      </c>
      <c r="I107" s="21">
        <f>IF(I$3&gt;i_trans_start,MAX(i_G_floor,i_G_occ-i_G_dec*(I$3-i_trans_start)),i_G_occ)</f>
        <v/>
      </c>
      <c r="J107" s="21">
        <f>IF(J$3&gt;i_trans_start,MAX(i_G_floor,i_G_occ-i_G_dec*(J$3-i_trans_start)),i_G_occ)</f>
        <v/>
      </c>
      <c r="K107" s="21">
        <f>IF(K$3&gt;i_trans_start,MAX(i_G_floor,i_G_occ-i_G_dec*(K$3-i_trans_start)),i_G_occ)</f>
        <v/>
      </c>
      <c r="L107" s="21">
        <f>IF(L$3&gt;i_trans_start,MAX(i_G_floor,i_G_occ-i_G_dec*(L$3-i_trans_start)),i_G_occ)</f>
        <v/>
      </c>
      <c r="M107" s="21">
        <f>IF(M$3&gt;i_trans_start,MAX(i_G_floor,i_G_occ-i_G_dec*(M$3-i_trans_start)),i_G_occ)</f>
        <v/>
      </c>
      <c r="N107" s="21">
        <f>IF(N$3&gt;i_trans_start,MAX(i_G_floor,i_G_occ-i_G_dec*(N$3-i_trans_start)),i_G_occ)</f>
        <v/>
      </c>
      <c r="O107" s="21">
        <f>IF(O$3&gt;i_trans_start,MAX(i_G_floor,i_G_occ-i_G_dec*(O$3-i_trans_start)),i_G_occ)</f>
        <v/>
      </c>
      <c r="P107" s="21">
        <f>IF(P$3&gt;i_trans_start,MAX(i_G_floor,i_G_occ-i_G_dec*(P$3-i_trans_start)),i_G_occ)</f>
        <v/>
      </c>
      <c r="Q107" s="21">
        <f>IF(Q$3&gt;i_trans_start,MAX(i_G_floor,i_G_occ-i_G_dec*(Q$3-i_trans_start)),i_G_occ)</f>
        <v/>
      </c>
      <c r="R107" s="21">
        <f>IF(R$3&gt;i_trans_start,MAX(i_G_floor,i_G_occ-i_G_dec*(R$3-i_trans_start)),i_G_occ)</f>
        <v/>
      </c>
      <c r="S107" s="21">
        <f>IF(S$3&gt;i_trans_start,MAX(i_G_floor,i_G_occ-i_G_dec*(S$3-i_trans_start)),i_G_occ)</f>
        <v/>
      </c>
      <c r="T107" s="21">
        <f>IF(T$3&gt;i_trans_start,MAX(i_G_floor,i_G_occ-i_G_dec*(T$3-i_trans_start)),i_G_occ)</f>
        <v/>
      </c>
      <c r="U107" s="21">
        <f>IF(U$3&gt;i_trans_start,MAX(i_G_floor,i_G_occ-i_G_dec*(U$3-i_trans_start)),i_G_occ)</f>
        <v/>
      </c>
      <c r="V107" s="21">
        <f>IF(V$3&gt;i_trans_start,MAX(i_G_floor,i_G_occ-i_G_dec*(V$3-i_trans_start)),i_G_occ)</f>
        <v/>
      </c>
      <c r="W107" s="21">
        <f>IF(W$3&gt;i_trans_start,MAX(i_G_floor,i_G_occ-i_G_dec*(W$3-i_trans_start)),i_G_occ)</f>
        <v/>
      </c>
      <c r="X107" s="21">
        <f>IF(X$3&gt;i_trans_start,MAX(i_G_floor,i_G_occ-i_G_dec*(X$3-i_trans_start)),i_G_occ)</f>
        <v/>
      </c>
      <c r="Y107" s="21">
        <f>IF(Y$3&gt;i_trans_start,MAX(i_G_floor,i_G_occ-i_G_dec*(Y$3-i_trans_start)),i_G_occ)</f>
        <v/>
      </c>
      <c r="Z107" s="21">
        <f>IF(Z$3&gt;i_trans_start,MAX(i_G_floor,i_G_occ-i_G_dec*(Z$3-i_trans_start)),i_G_occ)</f>
        <v/>
      </c>
      <c r="AA107" s="21">
        <f>IF(AA$3&gt;i_trans_start,MAX(i_G_floor,i_G_occ-i_G_dec*(AA$3-i_trans_start)),i_G_occ)</f>
        <v/>
      </c>
      <c r="AB107" s="21">
        <f>IF(AB$3&gt;i_trans_start,MAX(i_G_floor,i_G_occ-i_G_dec*(AB$3-i_trans_start)),i_G_occ)</f>
        <v/>
      </c>
      <c r="AC107" s="21">
        <f>IF(AC$3&gt;i_trans_start,MAX(i_G_floor,i_G_occ-i_G_dec*(AC$3-i_trans_start)),i_G_occ)</f>
        <v/>
      </c>
      <c r="AD107" s="21">
        <f>IF(AD$3&gt;i_trans_start,MAX(i_G_floor,i_G_occ-i_G_dec*(AD$3-i_trans_start)),i_G_occ)</f>
        <v/>
      </c>
      <c r="AE107" s="21">
        <f>IF(AE$3&gt;i_trans_start,MAX(i_G_floor,i_G_occ-i_G_dec*(AE$3-i_trans_start)),i_G_occ)</f>
        <v/>
      </c>
      <c r="AF107" s="21">
        <f>IF(AF$3&gt;i_trans_start,MAX(i_G_floor,i_G_occ-i_G_dec*(AF$3-i_trans_start)),i_G_occ)</f>
        <v/>
      </c>
      <c r="AG107" s="21">
        <f>IF(AG$3&gt;i_trans_start,MAX(i_G_floor,i_G_occ-i_G_dec*(AG$3-i_trans_start)),i_G_occ)</f>
        <v/>
      </c>
      <c r="AH107" s="21">
        <f>IF(AH$3&gt;i_trans_start,MAX(i_G_floor,i_G_occ-i_G_dec*(AH$3-i_trans_start)),i_G_occ)</f>
        <v/>
      </c>
      <c r="AI107" s="21">
        <f>IF(AI$3&gt;i_trans_start,MAX(i_G_floor,i_G_occ-i_G_dec*(AI$3-i_trans_start)),i_G_occ)</f>
        <v/>
      </c>
    </row>
    <row r="108">
      <c r="B108" s="2" t="inlineStr">
        <is>
          <t xml:space="preserve">  Occupancy (with the shift switch from 2027)</t>
        </is>
      </c>
      <c r="D108" s="21">
        <f>IF(D$4&gt;0,MIN(1,D107+Approvals!$C$47),D107)</f>
        <v/>
      </c>
      <c r="E108" s="21">
        <f>IF(E$4&gt;0,MIN(1,E107+Approvals!$C$47),E107)</f>
        <v/>
      </c>
      <c r="F108" s="21">
        <f>IF(F$4&gt;0,MIN(1,F107+Approvals!$C$47),F107)</f>
        <v/>
      </c>
      <c r="G108" s="21">
        <f>IF(G$4&gt;0,MIN(1,G107+Approvals!$C$47),G107)</f>
        <v/>
      </c>
      <c r="H108" s="21">
        <f>IF(H$4&gt;0,MIN(1,H107+Approvals!$C$47),H107)</f>
        <v/>
      </c>
      <c r="I108" s="21">
        <f>IF(I$4&gt;0,MIN(1,I107+Approvals!$C$47),I107)</f>
        <v/>
      </c>
      <c r="J108" s="21">
        <f>IF(J$4&gt;0,MIN(1,J107+Approvals!$C$47),J107)</f>
        <v/>
      </c>
      <c r="K108" s="21">
        <f>IF(K$4&gt;0,MIN(1,K107+Approvals!$C$47),K107)</f>
        <v/>
      </c>
      <c r="L108" s="21">
        <f>IF(L$4&gt;0,MIN(1,L107+Approvals!$C$47),L107)</f>
        <v/>
      </c>
      <c r="M108" s="21">
        <f>IF(M$4&gt;0,MIN(1,M107+Approvals!$C$47),M107)</f>
        <v/>
      </c>
      <c r="N108" s="21">
        <f>IF(N$4&gt;0,MIN(1,N107+Approvals!$C$47),N107)</f>
        <v/>
      </c>
      <c r="O108" s="21">
        <f>IF(O$4&gt;0,MIN(1,O107+Approvals!$C$47),O107)</f>
        <v/>
      </c>
      <c r="P108" s="21">
        <f>IF(P$4&gt;0,MIN(1,P107+Approvals!$C$47),P107)</f>
        <v/>
      </c>
      <c r="Q108" s="21">
        <f>IF(Q$4&gt;0,MIN(1,Q107+Approvals!$C$47),Q107)</f>
        <v/>
      </c>
      <c r="R108" s="21">
        <f>IF(R$4&gt;0,MIN(1,R107+Approvals!$C$47),R107)</f>
        <v/>
      </c>
      <c r="S108" s="21">
        <f>IF(S$4&gt;0,MIN(1,S107+Approvals!$C$47),S107)</f>
        <v/>
      </c>
      <c r="T108" s="21">
        <f>IF(T$4&gt;0,MIN(1,T107+Approvals!$C$47),T107)</f>
        <v/>
      </c>
      <c r="U108" s="21">
        <f>IF(U$4&gt;0,MIN(1,U107+Approvals!$C$47),U107)</f>
        <v/>
      </c>
      <c r="V108" s="21">
        <f>IF(V$4&gt;0,MIN(1,V107+Approvals!$C$47),V107)</f>
        <v/>
      </c>
      <c r="W108" s="21">
        <f>IF(W$4&gt;0,MIN(1,W107+Approvals!$C$47),W107)</f>
        <v/>
      </c>
      <c r="X108" s="21">
        <f>IF(X$4&gt;0,MIN(1,X107+Approvals!$C$47),X107)</f>
        <v/>
      </c>
      <c r="Y108" s="21">
        <f>IF(Y$4&gt;0,MIN(1,Y107+Approvals!$C$47),Y107)</f>
        <v/>
      </c>
      <c r="Z108" s="21">
        <f>IF(Z$4&gt;0,MIN(1,Z107+Approvals!$C$47),Z107)</f>
        <v/>
      </c>
      <c r="AA108" s="21">
        <f>IF(AA$4&gt;0,MIN(1,AA107+Approvals!$C$47),AA107)</f>
        <v/>
      </c>
      <c r="AB108" s="21">
        <f>IF(AB$4&gt;0,MIN(1,AB107+Approvals!$C$47),AB107)</f>
        <v/>
      </c>
      <c r="AC108" s="21">
        <f>IF(AC$4&gt;0,MIN(1,AC107+Approvals!$C$47),AC107)</f>
        <v/>
      </c>
      <c r="AD108" s="21">
        <f>IF(AD$4&gt;0,MIN(1,AD107+Approvals!$C$47),AD107)</f>
        <v/>
      </c>
      <c r="AE108" s="21">
        <f>IF(AE$4&gt;0,MIN(1,AE107+Approvals!$C$47),AE107)</f>
        <v/>
      </c>
      <c r="AF108" s="21">
        <f>IF(AF$4&gt;0,MIN(1,AF107+Approvals!$C$47),AF107)</f>
        <v/>
      </c>
      <c r="AG108" s="21">
        <f>IF(AG$4&gt;0,MIN(1,AG107+Approvals!$C$47),AG107)</f>
        <v/>
      </c>
      <c r="AH108" s="21">
        <f>IF(AH$4&gt;0,MIN(1,AH107+Approvals!$C$47),AH107)</f>
        <v/>
      </c>
      <c r="AI108" s="21">
        <f>IF(AI$4&gt;0,MIN(1,AI107+Approvals!$C$47),AI107)</f>
        <v/>
      </c>
    </row>
    <row r="109">
      <c r="B109" s="2" t="inlineStr">
        <is>
          <t xml:space="preserve">  Storage revenue</t>
        </is>
      </c>
      <c r="D109" s="19">
        <f>D103*D106*12*D108</f>
        <v/>
      </c>
      <c r="E109" s="19">
        <f>E103*E106*12*E108</f>
        <v/>
      </c>
      <c r="F109" s="19">
        <f>F103*F106*12*F108</f>
        <v/>
      </c>
      <c r="G109" s="19">
        <f>G103*G106*12*G108</f>
        <v/>
      </c>
      <c r="H109" s="19">
        <f>H103*H106*12*H108</f>
        <v/>
      </c>
      <c r="I109" s="19">
        <f>I103*I106*12*I108</f>
        <v/>
      </c>
      <c r="J109" s="19">
        <f>J103*J106*12*J108</f>
        <v/>
      </c>
      <c r="K109" s="19">
        <f>K103*K106*12*K108</f>
        <v/>
      </c>
      <c r="L109" s="19">
        <f>L103*L106*12*L108</f>
        <v/>
      </c>
      <c r="M109" s="19">
        <f>M103*M106*12*M108</f>
        <v/>
      </c>
      <c r="N109" s="19">
        <f>N103*N106*12*N108</f>
        <v/>
      </c>
      <c r="O109" s="19">
        <f>O103*O106*12*O108</f>
        <v/>
      </c>
      <c r="P109" s="19">
        <f>P103*P106*12*P108</f>
        <v/>
      </c>
      <c r="Q109" s="19">
        <f>Q103*Q106*12*Q108</f>
        <v/>
      </c>
      <c r="R109" s="19">
        <f>R103*R106*12*R108</f>
        <v/>
      </c>
      <c r="S109" s="19">
        <f>S103*S106*12*S108</f>
        <v/>
      </c>
      <c r="T109" s="19">
        <f>T103*T106*12*T108</f>
        <v/>
      </c>
      <c r="U109" s="19">
        <f>U103*U106*12*U108</f>
        <v/>
      </c>
      <c r="V109" s="19">
        <f>V103*V106*12*V108</f>
        <v/>
      </c>
      <c r="W109" s="19">
        <f>W103*W106*12*W108</f>
        <v/>
      </c>
      <c r="X109" s="19">
        <f>X103*X106*12*X108</f>
        <v/>
      </c>
      <c r="Y109" s="19">
        <f>Y103*Y106*12*Y108</f>
        <v/>
      </c>
      <c r="Z109" s="19">
        <f>Z103*Z106*12*Z108</f>
        <v/>
      </c>
      <c r="AA109" s="19">
        <f>AA103*AA106*12*AA108</f>
        <v/>
      </c>
      <c r="AB109" s="19">
        <f>AB103*AB106*12*AB108</f>
        <v/>
      </c>
      <c r="AC109" s="19">
        <f>AC103*AC106*12*AC108</f>
        <v/>
      </c>
      <c r="AD109" s="19">
        <f>AD103*AD106*12*AD108</f>
        <v/>
      </c>
      <c r="AE109" s="19">
        <f>AE103*AE106*12*AE108</f>
        <v/>
      </c>
      <c r="AF109" s="19">
        <f>AF103*AF106*12*AF108</f>
        <v/>
      </c>
      <c r="AG109" s="19">
        <f>AG103*AG106*12*AG108</f>
        <v/>
      </c>
      <c r="AH109" s="19">
        <f>AH103*AH106*12*AH108</f>
        <v/>
      </c>
      <c r="AI109" s="19">
        <f>AI103*AI106*12*AI108</f>
        <v/>
      </c>
    </row>
    <row r="110">
      <c r="B110" s="2" t="inlineStr">
        <is>
          <t xml:space="preserve">  Ancillary and throughput revenue</t>
        </is>
      </c>
      <c r="D110" s="19">
        <f>D109*i_G_anc</f>
        <v/>
      </c>
      <c r="E110" s="19">
        <f>E109*i_G_anc</f>
        <v/>
      </c>
      <c r="F110" s="19">
        <f>F109*i_G_anc</f>
        <v/>
      </c>
      <c r="G110" s="19">
        <f>G109*i_G_anc</f>
        <v/>
      </c>
      <c r="H110" s="19">
        <f>H109*i_G_anc</f>
        <v/>
      </c>
      <c r="I110" s="19">
        <f>I109*i_G_anc</f>
        <v/>
      </c>
      <c r="J110" s="19">
        <f>J109*i_G_anc</f>
        <v/>
      </c>
      <c r="K110" s="19">
        <f>K109*i_G_anc</f>
        <v/>
      </c>
      <c r="L110" s="19">
        <f>L109*i_G_anc</f>
        <v/>
      </c>
      <c r="M110" s="19">
        <f>M109*i_G_anc</f>
        <v/>
      </c>
      <c r="N110" s="19">
        <f>N109*i_G_anc</f>
        <v/>
      </c>
      <c r="O110" s="19">
        <f>O109*i_G_anc</f>
        <v/>
      </c>
      <c r="P110" s="19">
        <f>P109*i_G_anc</f>
        <v/>
      </c>
      <c r="Q110" s="19">
        <f>Q109*i_G_anc</f>
        <v/>
      </c>
      <c r="R110" s="19">
        <f>R109*i_G_anc</f>
        <v/>
      </c>
      <c r="S110" s="19">
        <f>S109*i_G_anc</f>
        <v/>
      </c>
      <c r="T110" s="19">
        <f>T109*i_G_anc</f>
        <v/>
      </c>
      <c r="U110" s="19">
        <f>U109*i_G_anc</f>
        <v/>
      </c>
      <c r="V110" s="19">
        <f>V109*i_G_anc</f>
        <v/>
      </c>
      <c r="W110" s="19">
        <f>W109*i_G_anc</f>
        <v/>
      </c>
      <c r="X110" s="19">
        <f>X109*i_G_anc</f>
        <v/>
      </c>
      <c r="Y110" s="19">
        <f>Y109*i_G_anc</f>
        <v/>
      </c>
      <c r="Z110" s="19">
        <f>Z109*i_G_anc</f>
        <v/>
      </c>
      <c r="AA110" s="19">
        <f>AA109*i_G_anc</f>
        <v/>
      </c>
      <c r="AB110" s="19">
        <f>AB109*i_G_anc</f>
        <v/>
      </c>
      <c r="AC110" s="19">
        <f>AC109*i_G_anc</f>
        <v/>
      </c>
      <c r="AD110" s="19">
        <f>AD109*i_G_anc</f>
        <v/>
      </c>
      <c r="AE110" s="19">
        <f>AE109*i_G_anc</f>
        <v/>
      </c>
      <c r="AF110" s="19">
        <f>AF109*i_G_anc</f>
        <v/>
      </c>
      <c r="AG110" s="19">
        <f>AG109*i_G_anc</f>
        <v/>
      </c>
      <c r="AH110" s="19">
        <f>AH109*i_G_anc</f>
        <v/>
      </c>
      <c r="AI110" s="19">
        <f>AI109*i_G_anc</f>
        <v/>
      </c>
    </row>
    <row r="111">
      <c r="B111" s="3" t="inlineStr">
        <is>
          <t xml:space="preserve">  Revenue</t>
        </is>
      </c>
      <c r="D111" s="31">
        <f>D109+D110</f>
        <v/>
      </c>
      <c r="E111" s="31">
        <f>E109+E110</f>
        <v/>
      </c>
      <c r="F111" s="31">
        <f>F109+F110</f>
        <v/>
      </c>
      <c r="G111" s="31">
        <f>G109+G110</f>
        <v/>
      </c>
      <c r="H111" s="31">
        <f>H109+H110</f>
        <v/>
      </c>
      <c r="I111" s="31">
        <f>I109+I110</f>
        <v/>
      </c>
      <c r="J111" s="31">
        <f>J109+J110</f>
        <v/>
      </c>
      <c r="K111" s="31">
        <f>K109+K110</f>
        <v/>
      </c>
      <c r="L111" s="31">
        <f>L109+L110</f>
        <v/>
      </c>
      <c r="M111" s="31">
        <f>M109+M110</f>
        <v/>
      </c>
      <c r="N111" s="31">
        <f>N109+N110</f>
        <v/>
      </c>
      <c r="O111" s="31">
        <f>O109+O110</f>
        <v/>
      </c>
      <c r="P111" s="31">
        <f>P109+P110</f>
        <v/>
      </c>
      <c r="Q111" s="31">
        <f>Q109+Q110</f>
        <v/>
      </c>
      <c r="R111" s="31">
        <f>R109+R110</f>
        <v/>
      </c>
      <c r="S111" s="31">
        <f>S109+S110</f>
        <v/>
      </c>
      <c r="T111" s="31">
        <f>T109+T110</f>
        <v/>
      </c>
      <c r="U111" s="31">
        <f>U109+U110</f>
        <v/>
      </c>
      <c r="V111" s="31">
        <f>V109+V110</f>
        <v/>
      </c>
      <c r="W111" s="31">
        <f>W109+W110</f>
        <v/>
      </c>
      <c r="X111" s="31">
        <f>X109+X110</f>
        <v/>
      </c>
      <c r="Y111" s="31">
        <f>Y109+Y110</f>
        <v/>
      </c>
      <c r="Z111" s="31">
        <f>Z109+Z110</f>
        <v/>
      </c>
      <c r="AA111" s="31">
        <f>AA109+AA110</f>
        <v/>
      </c>
      <c r="AB111" s="31">
        <f>AB109+AB110</f>
        <v/>
      </c>
      <c r="AC111" s="31">
        <f>AC109+AC110</f>
        <v/>
      </c>
      <c r="AD111" s="31">
        <f>AD109+AD110</f>
        <v/>
      </c>
      <c r="AE111" s="31">
        <f>AE109+AE110</f>
        <v/>
      </c>
      <c r="AF111" s="31">
        <f>AF109+AF110</f>
        <v/>
      </c>
      <c r="AG111" s="31">
        <f>AG109+AG110</f>
        <v/>
      </c>
      <c r="AH111" s="31">
        <f>AH109+AH110</f>
        <v/>
      </c>
      <c r="AI111" s="31">
        <f>AI109+AI110</f>
        <v/>
      </c>
    </row>
    <row r="112">
      <c r="B112" s="2" t="inlineStr">
        <is>
          <t xml:space="preserve">  Fixed cost</t>
        </is>
      </c>
      <c r="D112" s="19">
        <f>D103*i_G_fix*D52</f>
        <v/>
      </c>
      <c r="E112" s="19">
        <f>E103*i_G_fix*E52</f>
        <v/>
      </c>
      <c r="F112" s="19">
        <f>F103*i_G_fix*F52</f>
        <v/>
      </c>
      <c r="G112" s="19">
        <f>G103*i_G_fix*G52</f>
        <v/>
      </c>
      <c r="H112" s="19">
        <f>H103*i_G_fix*H52</f>
        <v/>
      </c>
      <c r="I112" s="19">
        <f>I103*i_G_fix*I52</f>
        <v/>
      </c>
      <c r="J112" s="19">
        <f>J103*i_G_fix*J52</f>
        <v/>
      </c>
      <c r="K112" s="19">
        <f>K103*i_G_fix*K52</f>
        <v/>
      </c>
      <c r="L112" s="19">
        <f>L103*i_G_fix*L52</f>
        <v/>
      </c>
      <c r="M112" s="19">
        <f>M103*i_G_fix*M52</f>
        <v/>
      </c>
      <c r="N112" s="19">
        <f>N103*i_G_fix*N52</f>
        <v/>
      </c>
      <c r="O112" s="19">
        <f>O103*i_G_fix*O52</f>
        <v/>
      </c>
      <c r="P112" s="19">
        <f>P103*i_G_fix*P52</f>
        <v/>
      </c>
      <c r="Q112" s="19">
        <f>Q103*i_G_fix*Q52</f>
        <v/>
      </c>
      <c r="R112" s="19">
        <f>R103*i_G_fix*R52</f>
        <v/>
      </c>
      <c r="S112" s="19">
        <f>S103*i_G_fix*S52</f>
        <v/>
      </c>
      <c r="T112" s="19">
        <f>T103*i_G_fix*T52</f>
        <v/>
      </c>
      <c r="U112" s="19">
        <f>U103*i_G_fix*U52</f>
        <v/>
      </c>
      <c r="V112" s="19">
        <f>V103*i_G_fix*V52</f>
        <v/>
      </c>
      <c r="W112" s="19">
        <f>W103*i_G_fix*W52</f>
        <v/>
      </c>
      <c r="X112" s="19">
        <f>X103*i_G_fix*X52</f>
        <v/>
      </c>
      <c r="Y112" s="19">
        <f>Y103*i_G_fix*Y52</f>
        <v/>
      </c>
      <c r="Z112" s="19">
        <f>Z103*i_G_fix*Z52</f>
        <v/>
      </c>
      <c r="AA112" s="19">
        <f>AA103*i_G_fix*AA52</f>
        <v/>
      </c>
      <c r="AB112" s="19">
        <f>AB103*i_G_fix*AB52</f>
        <v/>
      </c>
      <c r="AC112" s="19">
        <f>AC103*i_G_fix*AC52</f>
        <v/>
      </c>
      <c r="AD112" s="19">
        <f>AD103*i_G_fix*AD52</f>
        <v/>
      </c>
      <c r="AE112" s="19">
        <f>AE103*i_G_fix*AE52</f>
        <v/>
      </c>
      <c r="AF112" s="19">
        <f>AF103*i_G_fix*AF52</f>
        <v/>
      </c>
      <c r="AG112" s="19">
        <f>AG103*i_G_fix*AG52</f>
        <v/>
      </c>
      <c r="AH112" s="19">
        <f>AH103*i_G_fix*AH52</f>
        <v/>
      </c>
      <c r="AI112" s="19">
        <f>AI103*i_G_fix*AI52</f>
        <v/>
      </c>
    </row>
    <row r="113">
      <c r="B113" s="2" t="inlineStr">
        <is>
          <t xml:space="preserve">  Variable cost</t>
        </is>
      </c>
      <c r="D113" s="19">
        <f>i_G_var*D111</f>
        <v/>
      </c>
      <c r="E113" s="19">
        <f>i_G_var*E111</f>
        <v/>
      </c>
      <c r="F113" s="19">
        <f>i_G_var*F111</f>
        <v/>
      </c>
      <c r="G113" s="19">
        <f>i_G_var*G111</f>
        <v/>
      </c>
      <c r="H113" s="19">
        <f>i_G_var*H111</f>
        <v/>
      </c>
      <c r="I113" s="19">
        <f>i_G_var*I111</f>
        <v/>
      </c>
      <c r="J113" s="19">
        <f>i_G_var*J111</f>
        <v/>
      </c>
      <c r="K113" s="19">
        <f>i_G_var*K111</f>
        <v/>
      </c>
      <c r="L113" s="19">
        <f>i_G_var*L111</f>
        <v/>
      </c>
      <c r="M113" s="19">
        <f>i_G_var*M111</f>
        <v/>
      </c>
      <c r="N113" s="19">
        <f>i_G_var*N111</f>
        <v/>
      </c>
      <c r="O113" s="19">
        <f>i_G_var*O111</f>
        <v/>
      </c>
      <c r="P113" s="19">
        <f>i_G_var*P111</f>
        <v/>
      </c>
      <c r="Q113" s="19">
        <f>i_G_var*Q111</f>
        <v/>
      </c>
      <c r="R113" s="19">
        <f>i_G_var*R111</f>
        <v/>
      </c>
      <c r="S113" s="19">
        <f>i_G_var*S111</f>
        <v/>
      </c>
      <c r="T113" s="19">
        <f>i_G_var*T111</f>
        <v/>
      </c>
      <c r="U113" s="19">
        <f>i_G_var*U111</f>
        <v/>
      </c>
      <c r="V113" s="19">
        <f>i_G_var*V111</f>
        <v/>
      </c>
      <c r="W113" s="19">
        <f>i_G_var*W111</f>
        <v/>
      </c>
      <c r="X113" s="19">
        <f>i_G_var*X111</f>
        <v/>
      </c>
      <c r="Y113" s="19">
        <f>i_G_var*Y111</f>
        <v/>
      </c>
      <c r="Z113" s="19">
        <f>i_G_var*Z111</f>
        <v/>
      </c>
      <c r="AA113" s="19">
        <f>i_G_var*AA111</f>
        <v/>
      </c>
      <c r="AB113" s="19">
        <f>i_G_var*AB111</f>
        <v/>
      </c>
      <c r="AC113" s="19">
        <f>i_G_var*AC111</f>
        <v/>
      </c>
      <c r="AD113" s="19">
        <f>i_G_var*AD111</f>
        <v/>
      </c>
      <c r="AE113" s="19">
        <f>i_G_var*AE111</f>
        <v/>
      </c>
      <c r="AF113" s="19">
        <f>i_G_var*AF111</f>
        <v/>
      </c>
      <c r="AG113" s="19">
        <f>i_G_var*AG111</f>
        <v/>
      </c>
      <c r="AH113" s="19">
        <f>i_G_var*AH111</f>
        <v/>
      </c>
      <c r="AI113" s="19">
        <f>i_G_var*AI111</f>
        <v/>
      </c>
    </row>
    <row r="114">
      <c r="B114" s="2" t="inlineStr">
        <is>
          <t xml:space="preserve">  Extra windstorm insurance</t>
        </is>
      </c>
      <c r="D114" s="19">
        <f>IF(D$4&gt;0,Approvals!$C$45*i_g_ins*D52,0)</f>
        <v/>
      </c>
      <c r="E114" s="19">
        <f>IF(E$4&gt;0,Approvals!$C$45*i_g_ins*E52,0)</f>
        <v/>
      </c>
      <c r="F114" s="19">
        <f>IF(F$4&gt;0,Approvals!$C$45*i_g_ins*F52,0)</f>
        <v/>
      </c>
      <c r="G114" s="19">
        <f>IF(G$4&gt;0,Approvals!$C$45*i_g_ins*G52,0)</f>
        <v/>
      </c>
      <c r="H114" s="19">
        <f>IF(H$4&gt;0,Approvals!$C$45*i_g_ins*H52,0)</f>
        <v/>
      </c>
      <c r="I114" s="19">
        <f>IF(I$4&gt;0,Approvals!$C$45*i_g_ins*I52,0)</f>
        <v/>
      </c>
      <c r="J114" s="19">
        <f>IF(J$4&gt;0,Approvals!$C$45*i_g_ins*J52,0)</f>
        <v/>
      </c>
      <c r="K114" s="19">
        <f>IF(K$4&gt;0,Approvals!$C$45*i_g_ins*K52,0)</f>
        <v/>
      </c>
      <c r="L114" s="19">
        <f>IF(L$4&gt;0,Approvals!$C$45*i_g_ins*L52,0)</f>
        <v/>
      </c>
      <c r="M114" s="19">
        <f>IF(M$4&gt;0,Approvals!$C$45*i_g_ins*M52,0)</f>
        <v/>
      </c>
      <c r="N114" s="19">
        <f>IF(N$4&gt;0,Approvals!$C$45*i_g_ins*N52,0)</f>
        <v/>
      </c>
      <c r="O114" s="19">
        <f>IF(O$4&gt;0,Approvals!$C$45*i_g_ins*O52,0)</f>
        <v/>
      </c>
      <c r="P114" s="19">
        <f>IF(P$4&gt;0,Approvals!$C$45*i_g_ins*P52,0)</f>
        <v/>
      </c>
      <c r="Q114" s="19">
        <f>IF(Q$4&gt;0,Approvals!$C$45*i_g_ins*Q52,0)</f>
        <v/>
      </c>
      <c r="R114" s="19">
        <f>IF(R$4&gt;0,Approvals!$C$45*i_g_ins*R52,0)</f>
        <v/>
      </c>
      <c r="S114" s="19">
        <f>IF(S$4&gt;0,Approvals!$C$45*i_g_ins*S52,0)</f>
        <v/>
      </c>
      <c r="T114" s="19">
        <f>IF(T$4&gt;0,Approvals!$C$45*i_g_ins*T52,0)</f>
        <v/>
      </c>
      <c r="U114" s="19">
        <f>IF(U$4&gt;0,Approvals!$C$45*i_g_ins*U52,0)</f>
        <v/>
      </c>
      <c r="V114" s="19">
        <f>IF(V$4&gt;0,Approvals!$C$45*i_g_ins*V52,0)</f>
        <v/>
      </c>
      <c r="W114" s="19">
        <f>IF(W$4&gt;0,Approvals!$C$45*i_g_ins*W52,0)</f>
        <v/>
      </c>
      <c r="X114" s="19">
        <f>IF(X$4&gt;0,Approvals!$C$45*i_g_ins*X52,0)</f>
        <v/>
      </c>
      <c r="Y114" s="19">
        <f>IF(Y$4&gt;0,Approvals!$C$45*i_g_ins*Y52,0)</f>
        <v/>
      </c>
      <c r="Z114" s="19">
        <f>IF(Z$4&gt;0,Approvals!$C$45*i_g_ins*Z52,0)</f>
        <v/>
      </c>
      <c r="AA114" s="19">
        <f>IF(AA$4&gt;0,Approvals!$C$45*i_g_ins*AA52,0)</f>
        <v/>
      </c>
      <c r="AB114" s="19">
        <f>IF(AB$4&gt;0,Approvals!$C$45*i_g_ins*AB52,0)</f>
        <v/>
      </c>
      <c r="AC114" s="19">
        <f>IF(AC$4&gt;0,Approvals!$C$45*i_g_ins*AC52,0)</f>
        <v/>
      </c>
      <c r="AD114" s="19">
        <f>IF(AD$4&gt;0,Approvals!$C$45*i_g_ins*AD52,0)</f>
        <v/>
      </c>
      <c r="AE114" s="19">
        <f>IF(AE$4&gt;0,Approvals!$C$45*i_g_ins*AE52,0)</f>
        <v/>
      </c>
      <c r="AF114" s="19">
        <f>IF(AF$4&gt;0,Approvals!$C$45*i_g_ins*AF52,0)</f>
        <v/>
      </c>
      <c r="AG114" s="19">
        <f>IF(AG$4&gt;0,Approvals!$C$45*i_g_ins*AG52,0)</f>
        <v/>
      </c>
      <c r="AH114" s="19">
        <f>IF(AH$4&gt;0,Approvals!$C$45*i_g_ins*AH52,0)</f>
        <v/>
      </c>
      <c r="AI114" s="19">
        <f>IF(AI$4&gt;0,Approvals!$C$45*i_g_ins*AI52,0)</f>
        <v/>
      </c>
    </row>
    <row r="115">
      <c r="B115" s="2" t="inlineStr">
        <is>
          <t xml:space="preserve">  Operating cost</t>
        </is>
      </c>
      <c r="D115" s="19">
        <f>D112+D113+D114</f>
        <v/>
      </c>
      <c r="E115" s="19">
        <f>E112+E113+E114</f>
        <v/>
      </c>
      <c r="F115" s="19">
        <f>F112+F113+F114</f>
        <v/>
      </c>
      <c r="G115" s="19">
        <f>G112+G113+G114</f>
        <v/>
      </c>
      <c r="H115" s="19">
        <f>H112+H113+H114</f>
        <v/>
      </c>
      <c r="I115" s="19">
        <f>I112+I113+I114</f>
        <v/>
      </c>
      <c r="J115" s="19">
        <f>J112+J113+J114</f>
        <v/>
      </c>
      <c r="K115" s="19">
        <f>K112+K113+K114</f>
        <v/>
      </c>
      <c r="L115" s="19">
        <f>L112+L113+L114</f>
        <v/>
      </c>
      <c r="M115" s="19">
        <f>M112+M113+M114</f>
        <v/>
      </c>
      <c r="N115" s="19">
        <f>N112+N113+N114</f>
        <v/>
      </c>
      <c r="O115" s="19">
        <f>O112+O113+O114</f>
        <v/>
      </c>
      <c r="P115" s="19">
        <f>P112+P113+P114</f>
        <v/>
      </c>
      <c r="Q115" s="19">
        <f>Q112+Q113+Q114</f>
        <v/>
      </c>
      <c r="R115" s="19">
        <f>R112+R113+R114</f>
        <v/>
      </c>
      <c r="S115" s="19">
        <f>S112+S113+S114</f>
        <v/>
      </c>
      <c r="T115" s="19">
        <f>T112+T113+T114</f>
        <v/>
      </c>
      <c r="U115" s="19">
        <f>U112+U113+U114</f>
        <v/>
      </c>
      <c r="V115" s="19">
        <f>V112+V113+V114</f>
        <v/>
      </c>
      <c r="W115" s="19">
        <f>W112+W113+W114</f>
        <v/>
      </c>
      <c r="X115" s="19">
        <f>X112+X113+X114</f>
        <v/>
      </c>
      <c r="Y115" s="19">
        <f>Y112+Y113+Y114</f>
        <v/>
      </c>
      <c r="Z115" s="19">
        <f>Z112+Z113+Z114</f>
        <v/>
      </c>
      <c r="AA115" s="19">
        <f>AA112+AA113+AA114</f>
        <v/>
      </c>
      <c r="AB115" s="19">
        <f>AB112+AB113+AB114</f>
        <v/>
      </c>
      <c r="AC115" s="19">
        <f>AC112+AC113+AC114</f>
        <v/>
      </c>
      <c r="AD115" s="19">
        <f>AD112+AD113+AD114</f>
        <v/>
      </c>
      <c r="AE115" s="19">
        <f>AE112+AE113+AE114</f>
        <v/>
      </c>
      <c r="AF115" s="19">
        <f>AF112+AF113+AF114</f>
        <v/>
      </c>
      <c r="AG115" s="19">
        <f>AG112+AG113+AG114</f>
        <v/>
      </c>
      <c r="AH115" s="19">
        <f>AH112+AH113+AH114</f>
        <v/>
      </c>
      <c r="AI115" s="19">
        <f>AI112+AI113+AI114</f>
        <v/>
      </c>
    </row>
    <row r="116">
      <c r="B116" s="3" t="inlineStr">
        <is>
          <t xml:space="preserve">  EBITDA</t>
        </is>
      </c>
      <c r="D116" s="31">
        <f>D111-D115</f>
        <v/>
      </c>
      <c r="E116" s="31">
        <f>E111-E115</f>
        <v/>
      </c>
      <c r="F116" s="31">
        <f>F111-F115</f>
        <v/>
      </c>
      <c r="G116" s="31">
        <f>G111-G115</f>
        <v/>
      </c>
      <c r="H116" s="31">
        <f>H111-H115</f>
        <v/>
      </c>
      <c r="I116" s="31">
        <f>I111-I115</f>
        <v/>
      </c>
      <c r="J116" s="31">
        <f>J111-J115</f>
        <v/>
      </c>
      <c r="K116" s="31">
        <f>K111-K115</f>
        <v/>
      </c>
      <c r="L116" s="31">
        <f>L111-L115</f>
        <v/>
      </c>
      <c r="M116" s="31">
        <f>M111-M115</f>
        <v/>
      </c>
      <c r="N116" s="31">
        <f>N111-N115</f>
        <v/>
      </c>
      <c r="O116" s="31">
        <f>O111-O115</f>
        <v/>
      </c>
      <c r="P116" s="31">
        <f>P111-P115</f>
        <v/>
      </c>
      <c r="Q116" s="31">
        <f>Q111-Q115</f>
        <v/>
      </c>
      <c r="R116" s="31">
        <f>R111-R115</f>
        <v/>
      </c>
      <c r="S116" s="31">
        <f>S111-S115</f>
        <v/>
      </c>
      <c r="T116" s="31">
        <f>T111-T115</f>
        <v/>
      </c>
      <c r="U116" s="31">
        <f>U111-U115</f>
        <v/>
      </c>
      <c r="V116" s="31">
        <f>V111-V115</f>
        <v/>
      </c>
      <c r="W116" s="31">
        <f>W111-W115</f>
        <v/>
      </c>
      <c r="X116" s="31">
        <f>X111-X115</f>
        <v/>
      </c>
      <c r="Y116" s="31">
        <f>Y111-Y115</f>
        <v/>
      </c>
      <c r="Z116" s="31">
        <f>Z111-Z115</f>
        <v/>
      </c>
      <c r="AA116" s="31">
        <f>AA111-AA115</f>
        <v/>
      </c>
      <c r="AB116" s="31">
        <f>AB111-AB115</f>
        <v/>
      </c>
      <c r="AC116" s="31">
        <f>AC111-AC115</f>
        <v/>
      </c>
      <c r="AD116" s="31">
        <f>AD111-AD115</f>
        <v/>
      </c>
      <c r="AE116" s="31">
        <f>AE111-AE115</f>
        <v/>
      </c>
      <c r="AF116" s="31">
        <f>AF111-AF115</f>
        <v/>
      </c>
      <c r="AG116" s="31">
        <f>AG111-AG115</f>
        <v/>
      </c>
      <c r="AH116" s="31">
        <f>AH111-AH115</f>
        <v/>
      </c>
      <c r="AI116" s="31">
        <f>AI111-AI115</f>
        <v/>
      </c>
    </row>
    <row r="117">
      <c r="B117" s="2" t="inlineStr">
        <is>
          <t xml:space="preserve">  Maintenance capex</t>
        </is>
      </c>
      <c r="D117" s="19">
        <f>D103*i_G_mc*D52</f>
        <v/>
      </c>
      <c r="E117" s="19">
        <f>E103*i_G_mc*E52</f>
        <v/>
      </c>
      <c r="F117" s="19">
        <f>F103*i_G_mc*F52</f>
        <v/>
      </c>
      <c r="G117" s="19">
        <f>G103*i_G_mc*G52</f>
        <v/>
      </c>
      <c r="H117" s="19">
        <f>H103*i_G_mc*H52</f>
        <v/>
      </c>
      <c r="I117" s="19">
        <f>I103*i_G_mc*I52</f>
        <v/>
      </c>
      <c r="J117" s="19">
        <f>J103*i_G_mc*J52</f>
        <v/>
      </c>
      <c r="K117" s="19">
        <f>K103*i_G_mc*K52</f>
        <v/>
      </c>
      <c r="L117" s="19">
        <f>L103*i_G_mc*L52</f>
        <v/>
      </c>
      <c r="M117" s="19">
        <f>M103*i_G_mc*M52</f>
        <v/>
      </c>
      <c r="N117" s="19">
        <f>N103*i_G_mc*N52</f>
        <v/>
      </c>
      <c r="O117" s="19">
        <f>O103*i_G_mc*O52</f>
        <v/>
      </c>
      <c r="P117" s="19">
        <f>P103*i_G_mc*P52</f>
        <v/>
      </c>
      <c r="Q117" s="19">
        <f>Q103*i_G_mc*Q52</f>
        <v/>
      </c>
      <c r="R117" s="19">
        <f>R103*i_G_mc*R52</f>
        <v/>
      </c>
      <c r="S117" s="19">
        <f>S103*i_G_mc*S52</f>
        <v/>
      </c>
      <c r="T117" s="19">
        <f>T103*i_G_mc*T52</f>
        <v/>
      </c>
      <c r="U117" s="19">
        <f>U103*i_G_mc*U52</f>
        <v/>
      </c>
      <c r="V117" s="19">
        <f>V103*i_G_mc*V52</f>
        <v/>
      </c>
      <c r="W117" s="19">
        <f>W103*i_G_mc*W52</f>
        <v/>
      </c>
      <c r="X117" s="19">
        <f>X103*i_G_mc*X52</f>
        <v/>
      </c>
      <c r="Y117" s="19">
        <f>Y103*i_G_mc*Y52</f>
        <v/>
      </c>
      <c r="Z117" s="19">
        <f>Z103*i_G_mc*Z52</f>
        <v/>
      </c>
      <c r="AA117" s="19">
        <f>AA103*i_G_mc*AA52</f>
        <v/>
      </c>
      <c r="AB117" s="19">
        <f>AB103*i_G_mc*AB52</f>
        <v/>
      </c>
      <c r="AC117" s="19">
        <f>AC103*i_G_mc*AC52</f>
        <v/>
      </c>
      <c r="AD117" s="19">
        <f>AD103*i_G_mc*AD52</f>
        <v/>
      </c>
      <c r="AE117" s="19">
        <f>AE103*i_G_mc*AE52</f>
        <v/>
      </c>
      <c r="AF117" s="19">
        <f>AF103*i_G_mc*AF52</f>
        <v/>
      </c>
      <c r="AG117" s="19">
        <f>AG103*i_G_mc*AG52</f>
        <v/>
      </c>
      <c r="AH117" s="19">
        <f>AH103*i_G_mc*AH52</f>
        <v/>
      </c>
      <c r="AI117" s="19">
        <f>AI103*i_G_mc*AI52</f>
        <v/>
      </c>
    </row>
    <row r="118">
      <c r="B118" s="3" t="inlineStr">
        <is>
          <t>Sabine Bend expansion (renewable fuels)</t>
        </is>
      </c>
    </row>
    <row r="119">
      <c r="B119" s="2" t="inlineStr">
        <is>
          <t xml:space="preserve">  Growth capex</t>
        </is>
      </c>
      <c r="D119" s="19">
        <f>Approvals!$C$46*SUMIF(i_exp_capex_years,D$3,i_exp_capex_vals)*D52</f>
        <v/>
      </c>
      <c r="E119" s="19">
        <f>Approvals!$C$46*SUMIF(i_exp_capex_years,E$3,i_exp_capex_vals)*E52</f>
        <v/>
      </c>
      <c r="F119" s="19">
        <f>Approvals!$C$46*SUMIF(i_exp_capex_years,F$3,i_exp_capex_vals)*F52</f>
        <v/>
      </c>
      <c r="G119" s="19">
        <f>Approvals!$C$46*SUMIF(i_exp_capex_years,G$3,i_exp_capex_vals)*G52</f>
        <v/>
      </c>
      <c r="H119" s="19">
        <f>Approvals!$C$46*SUMIF(i_exp_capex_years,H$3,i_exp_capex_vals)*H52</f>
        <v/>
      </c>
      <c r="I119" s="19">
        <f>Approvals!$C$46*SUMIF(i_exp_capex_years,I$3,i_exp_capex_vals)*I52</f>
        <v/>
      </c>
      <c r="J119" s="19">
        <f>Approvals!$C$46*SUMIF(i_exp_capex_years,J$3,i_exp_capex_vals)*J52</f>
        <v/>
      </c>
      <c r="K119" s="19">
        <f>Approvals!$C$46*SUMIF(i_exp_capex_years,K$3,i_exp_capex_vals)*K52</f>
        <v/>
      </c>
      <c r="L119" s="19">
        <f>Approvals!$C$46*SUMIF(i_exp_capex_years,L$3,i_exp_capex_vals)*L52</f>
        <v/>
      </c>
      <c r="M119" s="19">
        <f>Approvals!$C$46*SUMIF(i_exp_capex_years,M$3,i_exp_capex_vals)*M52</f>
        <v/>
      </c>
      <c r="N119" s="19">
        <f>Approvals!$C$46*SUMIF(i_exp_capex_years,N$3,i_exp_capex_vals)*N52</f>
        <v/>
      </c>
      <c r="O119" s="19">
        <f>Approvals!$C$46*SUMIF(i_exp_capex_years,O$3,i_exp_capex_vals)*O52</f>
        <v/>
      </c>
      <c r="P119" s="19">
        <f>Approvals!$C$46*SUMIF(i_exp_capex_years,P$3,i_exp_capex_vals)*P52</f>
        <v/>
      </c>
      <c r="Q119" s="19">
        <f>Approvals!$C$46*SUMIF(i_exp_capex_years,Q$3,i_exp_capex_vals)*Q52</f>
        <v/>
      </c>
      <c r="R119" s="19">
        <f>Approvals!$C$46*SUMIF(i_exp_capex_years,R$3,i_exp_capex_vals)*R52</f>
        <v/>
      </c>
      <c r="S119" s="19">
        <f>Approvals!$C$46*SUMIF(i_exp_capex_years,S$3,i_exp_capex_vals)*S52</f>
        <v/>
      </c>
      <c r="T119" s="19">
        <f>Approvals!$C$46*SUMIF(i_exp_capex_years,T$3,i_exp_capex_vals)*T52</f>
        <v/>
      </c>
      <c r="U119" s="19">
        <f>Approvals!$C$46*SUMIF(i_exp_capex_years,U$3,i_exp_capex_vals)*U52</f>
        <v/>
      </c>
      <c r="V119" s="19">
        <f>Approvals!$C$46*SUMIF(i_exp_capex_years,V$3,i_exp_capex_vals)*V52</f>
        <v/>
      </c>
      <c r="W119" s="19">
        <f>Approvals!$C$46*SUMIF(i_exp_capex_years,W$3,i_exp_capex_vals)*W52</f>
        <v/>
      </c>
      <c r="X119" s="19">
        <f>Approvals!$C$46*SUMIF(i_exp_capex_years,X$3,i_exp_capex_vals)*X52</f>
        <v/>
      </c>
      <c r="Y119" s="19">
        <f>Approvals!$C$46*SUMIF(i_exp_capex_years,Y$3,i_exp_capex_vals)*Y52</f>
        <v/>
      </c>
      <c r="Z119" s="19">
        <f>Approvals!$C$46*SUMIF(i_exp_capex_years,Z$3,i_exp_capex_vals)*Z52</f>
        <v/>
      </c>
      <c r="AA119" s="19">
        <f>Approvals!$C$46*SUMIF(i_exp_capex_years,AA$3,i_exp_capex_vals)*AA52</f>
        <v/>
      </c>
      <c r="AB119" s="19">
        <f>Approvals!$C$46*SUMIF(i_exp_capex_years,AB$3,i_exp_capex_vals)*AB52</f>
        <v/>
      </c>
      <c r="AC119" s="19">
        <f>Approvals!$C$46*SUMIF(i_exp_capex_years,AC$3,i_exp_capex_vals)*AC52</f>
        <v/>
      </c>
      <c r="AD119" s="19">
        <f>Approvals!$C$46*SUMIF(i_exp_capex_years,AD$3,i_exp_capex_vals)*AD52</f>
        <v/>
      </c>
      <c r="AE119" s="19">
        <f>Approvals!$C$46*SUMIF(i_exp_capex_years,AE$3,i_exp_capex_vals)*AE52</f>
        <v/>
      </c>
      <c r="AF119" s="19">
        <f>Approvals!$C$46*SUMIF(i_exp_capex_years,AF$3,i_exp_capex_vals)*AF52</f>
        <v/>
      </c>
      <c r="AG119" s="19">
        <f>Approvals!$C$46*SUMIF(i_exp_capex_years,AG$3,i_exp_capex_vals)*AG52</f>
        <v/>
      </c>
      <c r="AH119" s="19">
        <f>Approvals!$C$46*SUMIF(i_exp_capex_years,AH$3,i_exp_capex_vals)*AH52</f>
        <v/>
      </c>
      <c r="AI119" s="19">
        <f>Approvals!$C$46*SUMIF(i_exp_capex_years,AI$3,i_exp_capex_vals)*AI52</f>
        <v/>
      </c>
    </row>
    <row r="120">
      <c r="B120" s="2" t="inlineStr">
        <is>
          <t xml:space="preserve">  Operating (1/0)</t>
        </is>
      </c>
      <c r="D120" s="22">
        <f>IF(D$3&gt;=i_exp_start,Approvals!$C$46,0)</f>
        <v/>
      </c>
      <c r="E120" s="22">
        <f>IF(E$3&gt;=i_exp_start,Approvals!$C$46,0)</f>
        <v/>
      </c>
      <c r="F120" s="22">
        <f>IF(F$3&gt;=i_exp_start,Approvals!$C$46,0)</f>
        <v/>
      </c>
      <c r="G120" s="22">
        <f>IF(G$3&gt;=i_exp_start,Approvals!$C$46,0)</f>
        <v/>
      </c>
      <c r="H120" s="22">
        <f>IF(H$3&gt;=i_exp_start,Approvals!$C$46,0)</f>
        <v/>
      </c>
      <c r="I120" s="22">
        <f>IF(I$3&gt;=i_exp_start,Approvals!$C$46,0)</f>
        <v/>
      </c>
      <c r="J120" s="22">
        <f>IF(J$3&gt;=i_exp_start,Approvals!$C$46,0)</f>
        <v/>
      </c>
      <c r="K120" s="22">
        <f>IF(K$3&gt;=i_exp_start,Approvals!$C$46,0)</f>
        <v/>
      </c>
      <c r="L120" s="22">
        <f>IF(L$3&gt;=i_exp_start,Approvals!$C$46,0)</f>
        <v/>
      </c>
      <c r="M120" s="22">
        <f>IF(M$3&gt;=i_exp_start,Approvals!$C$46,0)</f>
        <v/>
      </c>
      <c r="N120" s="22">
        <f>IF(N$3&gt;=i_exp_start,Approvals!$C$46,0)</f>
        <v/>
      </c>
      <c r="O120" s="22">
        <f>IF(O$3&gt;=i_exp_start,Approvals!$C$46,0)</f>
        <v/>
      </c>
      <c r="P120" s="22">
        <f>IF(P$3&gt;=i_exp_start,Approvals!$C$46,0)</f>
        <v/>
      </c>
      <c r="Q120" s="22">
        <f>IF(Q$3&gt;=i_exp_start,Approvals!$C$46,0)</f>
        <v/>
      </c>
      <c r="R120" s="22">
        <f>IF(R$3&gt;=i_exp_start,Approvals!$C$46,0)</f>
        <v/>
      </c>
      <c r="S120" s="22">
        <f>IF(S$3&gt;=i_exp_start,Approvals!$C$46,0)</f>
        <v/>
      </c>
      <c r="T120" s="22">
        <f>IF(T$3&gt;=i_exp_start,Approvals!$C$46,0)</f>
        <v/>
      </c>
      <c r="U120" s="22">
        <f>IF(U$3&gt;=i_exp_start,Approvals!$C$46,0)</f>
        <v/>
      </c>
      <c r="V120" s="22">
        <f>IF(V$3&gt;=i_exp_start,Approvals!$C$46,0)</f>
        <v/>
      </c>
      <c r="W120" s="22">
        <f>IF(W$3&gt;=i_exp_start,Approvals!$C$46,0)</f>
        <v/>
      </c>
      <c r="X120" s="22">
        <f>IF(X$3&gt;=i_exp_start,Approvals!$C$46,0)</f>
        <v/>
      </c>
      <c r="Y120" s="22">
        <f>IF(Y$3&gt;=i_exp_start,Approvals!$C$46,0)</f>
        <v/>
      </c>
      <c r="Z120" s="22">
        <f>IF(Z$3&gt;=i_exp_start,Approvals!$C$46,0)</f>
        <v/>
      </c>
      <c r="AA120" s="22">
        <f>IF(AA$3&gt;=i_exp_start,Approvals!$C$46,0)</f>
        <v/>
      </c>
      <c r="AB120" s="22">
        <f>IF(AB$3&gt;=i_exp_start,Approvals!$C$46,0)</f>
        <v/>
      </c>
      <c r="AC120" s="22">
        <f>IF(AC$3&gt;=i_exp_start,Approvals!$C$46,0)</f>
        <v/>
      </c>
      <c r="AD120" s="22">
        <f>IF(AD$3&gt;=i_exp_start,Approvals!$C$46,0)</f>
        <v/>
      </c>
      <c r="AE120" s="22">
        <f>IF(AE$3&gt;=i_exp_start,Approvals!$C$46,0)</f>
        <v/>
      </c>
      <c r="AF120" s="22">
        <f>IF(AF$3&gt;=i_exp_start,Approvals!$C$46,0)</f>
        <v/>
      </c>
      <c r="AG120" s="22">
        <f>IF(AG$3&gt;=i_exp_start,Approvals!$C$46,0)</f>
        <v/>
      </c>
      <c r="AH120" s="22">
        <f>IF(AH$3&gt;=i_exp_start,Approvals!$C$46,0)</f>
        <v/>
      </c>
      <c r="AI120" s="22">
        <f>IF(AI$3&gt;=i_exp_start,Approvals!$C$46,0)</f>
        <v/>
      </c>
    </row>
    <row r="121">
      <c r="B121" s="2" t="inlineStr">
        <is>
          <t xml:space="preserve">  Under the anchor contract (1/0)</t>
        </is>
      </c>
      <c r="D121" s="22">
        <f>IF(D$3&lt;i_exp_start+i_exp_years,1,0)</f>
        <v/>
      </c>
      <c r="E121" s="22">
        <f>IF(E$3&lt;i_exp_start+i_exp_years,1,0)</f>
        <v/>
      </c>
      <c r="F121" s="22">
        <f>IF(F$3&lt;i_exp_start+i_exp_years,1,0)</f>
        <v/>
      </c>
      <c r="G121" s="22">
        <f>IF(G$3&lt;i_exp_start+i_exp_years,1,0)</f>
        <v/>
      </c>
      <c r="H121" s="22">
        <f>IF(H$3&lt;i_exp_start+i_exp_years,1,0)</f>
        <v/>
      </c>
      <c r="I121" s="22">
        <f>IF(I$3&lt;i_exp_start+i_exp_years,1,0)</f>
        <v/>
      </c>
      <c r="J121" s="22">
        <f>IF(J$3&lt;i_exp_start+i_exp_years,1,0)</f>
        <v/>
      </c>
      <c r="K121" s="22">
        <f>IF(K$3&lt;i_exp_start+i_exp_years,1,0)</f>
        <v/>
      </c>
      <c r="L121" s="22">
        <f>IF(L$3&lt;i_exp_start+i_exp_years,1,0)</f>
        <v/>
      </c>
      <c r="M121" s="22">
        <f>IF(M$3&lt;i_exp_start+i_exp_years,1,0)</f>
        <v/>
      </c>
      <c r="N121" s="22">
        <f>IF(N$3&lt;i_exp_start+i_exp_years,1,0)</f>
        <v/>
      </c>
      <c r="O121" s="22">
        <f>IF(O$3&lt;i_exp_start+i_exp_years,1,0)</f>
        <v/>
      </c>
      <c r="P121" s="22">
        <f>IF(P$3&lt;i_exp_start+i_exp_years,1,0)</f>
        <v/>
      </c>
      <c r="Q121" s="22">
        <f>IF(Q$3&lt;i_exp_start+i_exp_years,1,0)</f>
        <v/>
      </c>
      <c r="R121" s="22">
        <f>IF(R$3&lt;i_exp_start+i_exp_years,1,0)</f>
        <v/>
      </c>
      <c r="S121" s="22">
        <f>IF(S$3&lt;i_exp_start+i_exp_years,1,0)</f>
        <v/>
      </c>
      <c r="T121" s="22">
        <f>IF(T$3&lt;i_exp_start+i_exp_years,1,0)</f>
        <v/>
      </c>
      <c r="U121" s="22">
        <f>IF(U$3&lt;i_exp_start+i_exp_years,1,0)</f>
        <v/>
      </c>
      <c r="V121" s="22">
        <f>IF(V$3&lt;i_exp_start+i_exp_years,1,0)</f>
        <v/>
      </c>
      <c r="W121" s="22">
        <f>IF(W$3&lt;i_exp_start+i_exp_years,1,0)</f>
        <v/>
      </c>
      <c r="X121" s="22">
        <f>IF(X$3&lt;i_exp_start+i_exp_years,1,0)</f>
        <v/>
      </c>
      <c r="Y121" s="22">
        <f>IF(Y$3&lt;i_exp_start+i_exp_years,1,0)</f>
        <v/>
      </c>
      <c r="Z121" s="22">
        <f>IF(Z$3&lt;i_exp_start+i_exp_years,1,0)</f>
        <v/>
      </c>
      <c r="AA121" s="22">
        <f>IF(AA$3&lt;i_exp_start+i_exp_years,1,0)</f>
        <v/>
      </c>
      <c r="AB121" s="22">
        <f>IF(AB$3&lt;i_exp_start+i_exp_years,1,0)</f>
        <v/>
      </c>
      <c r="AC121" s="22">
        <f>IF(AC$3&lt;i_exp_start+i_exp_years,1,0)</f>
        <v/>
      </c>
      <c r="AD121" s="22">
        <f>IF(AD$3&lt;i_exp_start+i_exp_years,1,0)</f>
        <v/>
      </c>
      <c r="AE121" s="22">
        <f>IF(AE$3&lt;i_exp_start+i_exp_years,1,0)</f>
        <v/>
      </c>
      <c r="AF121" s="22">
        <f>IF(AF$3&lt;i_exp_start+i_exp_years,1,0)</f>
        <v/>
      </c>
      <c r="AG121" s="22">
        <f>IF(AG$3&lt;i_exp_start+i_exp_years,1,0)</f>
        <v/>
      </c>
      <c r="AH121" s="22">
        <f>IF(AH$3&lt;i_exp_start+i_exp_years,1,0)</f>
        <v/>
      </c>
      <c r="AI121" s="22">
        <f>IF(AI$3&lt;i_exp_start+i_exp_years,1,0)</f>
        <v/>
      </c>
    </row>
    <row r="122">
      <c r="B122" s="2" t="inlineStr">
        <is>
          <t xml:space="preserve">  Rate ($ per m3 per month)</t>
        </is>
      </c>
      <c r="D122" s="24">
        <f>i_exp_rate*D53*IF(D121=1,1,1+i_exp_mtm)</f>
        <v/>
      </c>
      <c r="E122" s="24">
        <f>i_exp_rate*E53*IF(E121=1,1,1+i_exp_mtm)</f>
        <v/>
      </c>
      <c r="F122" s="24">
        <f>i_exp_rate*F53*IF(F121=1,1,1+i_exp_mtm)</f>
        <v/>
      </c>
      <c r="G122" s="24">
        <f>i_exp_rate*G53*IF(G121=1,1,1+i_exp_mtm)</f>
        <v/>
      </c>
      <c r="H122" s="24">
        <f>i_exp_rate*H53*IF(H121=1,1,1+i_exp_mtm)</f>
        <v/>
      </c>
      <c r="I122" s="24">
        <f>i_exp_rate*I53*IF(I121=1,1,1+i_exp_mtm)</f>
        <v/>
      </c>
      <c r="J122" s="24">
        <f>i_exp_rate*J53*IF(J121=1,1,1+i_exp_mtm)</f>
        <v/>
      </c>
      <c r="K122" s="24">
        <f>i_exp_rate*K53*IF(K121=1,1,1+i_exp_mtm)</f>
        <v/>
      </c>
      <c r="L122" s="24">
        <f>i_exp_rate*L53*IF(L121=1,1,1+i_exp_mtm)</f>
        <v/>
      </c>
      <c r="M122" s="24">
        <f>i_exp_rate*M53*IF(M121=1,1,1+i_exp_mtm)</f>
        <v/>
      </c>
      <c r="N122" s="24">
        <f>i_exp_rate*N53*IF(N121=1,1,1+i_exp_mtm)</f>
        <v/>
      </c>
      <c r="O122" s="24">
        <f>i_exp_rate*O53*IF(O121=1,1,1+i_exp_mtm)</f>
        <v/>
      </c>
      <c r="P122" s="24">
        <f>i_exp_rate*P53*IF(P121=1,1,1+i_exp_mtm)</f>
        <v/>
      </c>
      <c r="Q122" s="24">
        <f>i_exp_rate*Q53*IF(Q121=1,1,1+i_exp_mtm)</f>
        <v/>
      </c>
      <c r="R122" s="24">
        <f>i_exp_rate*R53*IF(R121=1,1,1+i_exp_mtm)</f>
        <v/>
      </c>
      <c r="S122" s="24">
        <f>i_exp_rate*S53*IF(S121=1,1,1+i_exp_mtm)</f>
        <v/>
      </c>
      <c r="T122" s="24">
        <f>i_exp_rate*T53*IF(T121=1,1,1+i_exp_mtm)</f>
        <v/>
      </c>
      <c r="U122" s="24">
        <f>i_exp_rate*U53*IF(U121=1,1,1+i_exp_mtm)</f>
        <v/>
      </c>
      <c r="V122" s="24">
        <f>i_exp_rate*V53*IF(V121=1,1,1+i_exp_mtm)</f>
        <v/>
      </c>
      <c r="W122" s="24">
        <f>i_exp_rate*W53*IF(W121=1,1,1+i_exp_mtm)</f>
        <v/>
      </c>
      <c r="X122" s="24">
        <f>i_exp_rate*X53*IF(X121=1,1,1+i_exp_mtm)</f>
        <v/>
      </c>
      <c r="Y122" s="24">
        <f>i_exp_rate*Y53*IF(Y121=1,1,1+i_exp_mtm)</f>
        <v/>
      </c>
      <c r="Z122" s="24">
        <f>i_exp_rate*Z53*IF(Z121=1,1,1+i_exp_mtm)</f>
        <v/>
      </c>
      <c r="AA122" s="24">
        <f>i_exp_rate*AA53*IF(AA121=1,1,1+i_exp_mtm)</f>
        <v/>
      </c>
      <c r="AB122" s="24">
        <f>i_exp_rate*AB53*IF(AB121=1,1,1+i_exp_mtm)</f>
        <v/>
      </c>
      <c r="AC122" s="24">
        <f>i_exp_rate*AC53*IF(AC121=1,1,1+i_exp_mtm)</f>
        <v/>
      </c>
      <c r="AD122" s="24">
        <f>i_exp_rate*AD53*IF(AD121=1,1,1+i_exp_mtm)</f>
        <v/>
      </c>
      <c r="AE122" s="24">
        <f>i_exp_rate*AE53*IF(AE121=1,1,1+i_exp_mtm)</f>
        <v/>
      </c>
      <c r="AF122" s="24">
        <f>i_exp_rate*AF53*IF(AF121=1,1,1+i_exp_mtm)</f>
        <v/>
      </c>
      <c r="AG122" s="24">
        <f>i_exp_rate*AG53*IF(AG121=1,1,1+i_exp_mtm)</f>
        <v/>
      </c>
      <c r="AH122" s="24">
        <f>i_exp_rate*AH53*IF(AH121=1,1,1+i_exp_mtm)</f>
        <v/>
      </c>
      <c r="AI122" s="24">
        <f>i_exp_rate*AI53*IF(AI121=1,1,1+i_exp_mtm)</f>
        <v/>
      </c>
    </row>
    <row r="123">
      <c r="B123" s="2" t="inlineStr">
        <is>
          <t xml:space="preserve">  Occupancy</t>
        </is>
      </c>
      <c r="D123" s="21">
        <f>IF(D121=1,i_exp_occ_c,i_exp_occ_m)</f>
        <v/>
      </c>
      <c r="E123" s="21">
        <f>IF(E121=1,i_exp_occ_c,i_exp_occ_m)</f>
        <v/>
      </c>
      <c r="F123" s="21">
        <f>IF(F121=1,i_exp_occ_c,i_exp_occ_m)</f>
        <v/>
      </c>
      <c r="G123" s="21">
        <f>IF(G121=1,i_exp_occ_c,i_exp_occ_m)</f>
        <v/>
      </c>
      <c r="H123" s="21">
        <f>IF(H121=1,i_exp_occ_c,i_exp_occ_m)</f>
        <v/>
      </c>
      <c r="I123" s="21">
        <f>IF(I121=1,i_exp_occ_c,i_exp_occ_m)</f>
        <v/>
      </c>
      <c r="J123" s="21">
        <f>IF(J121=1,i_exp_occ_c,i_exp_occ_m)</f>
        <v/>
      </c>
      <c r="K123" s="21">
        <f>IF(K121=1,i_exp_occ_c,i_exp_occ_m)</f>
        <v/>
      </c>
      <c r="L123" s="21">
        <f>IF(L121=1,i_exp_occ_c,i_exp_occ_m)</f>
        <v/>
      </c>
      <c r="M123" s="21">
        <f>IF(M121=1,i_exp_occ_c,i_exp_occ_m)</f>
        <v/>
      </c>
      <c r="N123" s="21">
        <f>IF(N121=1,i_exp_occ_c,i_exp_occ_m)</f>
        <v/>
      </c>
      <c r="O123" s="21">
        <f>IF(O121=1,i_exp_occ_c,i_exp_occ_m)</f>
        <v/>
      </c>
      <c r="P123" s="21">
        <f>IF(P121=1,i_exp_occ_c,i_exp_occ_m)</f>
        <v/>
      </c>
      <c r="Q123" s="21">
        <f>IF(Q121=1,i_exp_occ_c,i_exp_occ_m)</f>
        <v/>
      </c>
      <c r="R123" s="21">
        <f>IF(R121=1,i_exp_occ_c,i_exp_occ_m)</f>
        <v/>
      </c>
      <c r="S123" s="21">
        <f>IF(S121=1,i_exp_occ_c,i_exp_occ_m)</f>
        <v/>
      </c>
      <c r="T123" s="21">
        <f>IF(T121=1,i_exp_occ_c,i_exp_occ_m)</f>
        <v/>
      </c>
      <c r="U123" s="21">
        <f>IF(U121=1,i_exp_occ_c,i_exp_occ_m)</f>
        <v/>
      </c>
      <c r="V123" s="21">
        <f>IF(V121=1,i_exp_occ_c,i_exp_occ_m)</f>
        <v/>
      </c>
      <c r="W123" s="21">
        <f>IF(W121=1,i_exp_occ_c,i_exp_occ_m)</f>
        <v/>
      </c>
      <c r="X123" s="21">
        <f>IF(X121=1,i_exp_occ_c,i_exp_occ_m)</f>
        <v/>
      </c>
      <c r="Y123" s="21">
        <f>IF(Y121=1,i_exp_occ_c,i_exp_occ_m)</f>
        <v/>
      </c>
      <c r="Z123" s="21">
        <f>IF(Z121=1,i_exp_occ_c,i_exp_occ_m)</f>
        <v/>
      </c>
      <c r="AA123" s="21">
        <f>IF(AA121=1,i_exp_occ_c,i_exp_occ_m)</f>
        <v/>
      </c>
      <c r="AB123" s="21">
        <f>IF(AB121=1,i_exp_occ_c,i_exp_occ_m)</f>
        <v/>
      </c>
      <c r="AC123" s="21">
        <f>IF(AC121=1,i_exp_occ_c,i_exp_occ_m)</f>
        <v/>
      </c>
      <c r="AD123" s="21">
        <f>IF(AD121=1,i_exp_occ_c,i_exp_occ_m)</f>
        <v/>
      </c>
      <c r="AE123" s="21">
        <f>IF(AE121=1,i_exp_occ_c,i_exp_occ_m)</f>
        <v/>
      </c>
      <c r="AF123" s="21">
        <f>IF(AF121=1,i_exp_occ_c,i_exp_occ_m)</f>
        <v/>
      </c>
      <c r="AG123" s="21">
        <f>IF(AG121=1,i_exp_occ_c,i_exp_occ_m)</f>
        <v/>
      </c>
      <c r="AH123" s="21">
        <f>IF(AH121=1,i_exp_occ_c,i_exp_occ_m)</f>
        <v/>
      </c>
      <c r="AI123" s="21">
        <f>IF(AI121=1,i_exp_occ_c,i_exp_occ_m)</f>
        <v/>
      </c>
    </row>
    <row r="124">
      <c r="B124" s="2" t="inlineStr">
        <is>
          <t xml:space="preserve">  Storage revenue</t>
        </is>
      </c>
      <c r="D124" s="19">
        <f>D120*i_exp_cap*D122*12*D123</f>
        <v/>
      </c>
      <c r="E124" s="19">
        <f>E120*i_exp_cap*E122*12*E123</f>
        <v/>
      </c>
      <c r="F124" s="19">
        <f>F120*i_exp_cap*F122*12*F123</f>
        <v/>
      </c>
      <c r="G124" s="19">
        <f>G120*i_exp_cap*G122*12*G123</f>
        <v/>
      </c>
      <c r="H124" s="19">
        <f>H120*i_exp_cap*H122*12*H123</f>
        <v/>
      </c>
      <c r="I124" s="19">
        <f>I120*i_exp_cap*I122*12*I123</f>
        <v/>
      </c>
      <c r="J124" s="19">
        <f>J120*i_exp_cap*J122*12*J123</f>
        <v/>
      </c>
      <c r="K124" s="19">
        <f>K120*i_exp_cap*K122*12*K123</f>
        <v/>
      </c>
      <c r="L124" s="19">
        <f>L120*i_exp_cap*L122*12*L123</f>
        <v/>
      </c>
      <c r="M124" s="19">
        <f>M120*i_exp_cap*M122*12*M123</f>
        <v/>
      </c>
      <c r="N124" s="19">
        <f>N120*i_exp_cap*N122*12*N123</f>
        <v/>
      </c>
      <c r="O124" s="19">
        <f>O120*i_exp_cap*O122*12*O123</f>
        <v/>
      </c>
      <c r="P124" s="19">
        <f>P120*i_exp_cap*P122*12*P123</f>
        <v/>
      </c>
      <c r="Q124" s="19">
        <f>Q120*i_exp_cap*Q122*12*Q123</f>
        <v/>
      </c>
      <c r="R124" s="19">
        <f>R120*i_exp_cap*R122*12*R123</f>
        <v/>
      </c>
      <c r="S124" s="19">
        <f>S120*i_exp_cap*S122*12*S123</f>
        <v/>
      </c>
      <c r="T124" s="19">
        <f>T120*i_exp_cap*T122*12*T123</f>
        <v/>
      </c>
      <c r="U124" s="19">
        <f>U120*i_exp_cap*U122*12*U123</f>
        <v/>
      </c>
      <c r="V124" s="19">
        <f>V120*i_exp_cap*V122*12*V123</f>
        <v/>
      </c>
      <c r="W124" s="19">
        <f>W120*i_exp_cap*W122*12*W123</f>
        <v/>
      </c>
      <c r="X124" s="19">
        <f>X120*i_exp_cap*X122*12*X123</f>
        <v/>
      </c>
      <c r="Y124" s="19">
        <f>Y120*i_exp_cap*Y122*12*Y123</f>
        <v/>
      </c>
      <c r="Z124" s="19">
        <f>Z120*i_exp_cap*Z122*12*Z123</f>
        <v/>
      </c>
      <c r="AA124" s="19">
        <f>AA120*i_exp_cap*AA122*12*AA123</f>
        <v/>
      </c>
      <c r="AB124" s="19">
        <f>AB120*i_exp_cap*AB122*12*AB123</f>
        <v/>
      </c>
      <c r="AC124" s="19">
        <f>AC120*i_exp_cap*AC122*12*AC123</f>
        <v/>
      </c>
      <c r="AD124" s="19">
        <f>AD120*i_exp_cap*AD122*12*AD123</f>
        <v/>
      </c>
      <c r="AE124" s="19">
        <f>AE120*i_exp_cap*AE122*12*AE123</f>
        <v/>
      </c>
      <c r="AF124" s="19">
        <f>AF120*i_exp_cap*AF122*12*AF123</f>
        <v/>
      </c>
      <c r="AG124" s="19">
        <f>AG120*i_exp_cap*AG122*12*AG123</f>
        <v/>
      </c>
      <c r="AH124" s="19">
        <f>AH120*i_exp_cap*AH122*12*AH123</f>
        <v/>
      </c>
      <c r="AI124" s="19">
        <f>AI120*i_exp_cap*AI122*12*AI123</f>
        <v/>
      </c>
    </row>
    <row r="125">
      <c r="B125" s="3" t="inlineStr">
        <is>
          <t xml:space="preserve">  Revenue</t>
        </is>
      </c>
      <c r="D125" s="31">
        <f>D124*(1+i_exp_anc)</f>
        <v/>
      </c>
      <c r="E125" s="31">
        <f>E124*(1+i_exp_anc)</f>
        <v/>
      </c>
      <c r="F125" s="31">
        <f>F124*(1+i_exp_anc)</f>
        <v/>
      </c>
      <c r="G125" s="31">
        <f>G124*(1+i_exp_anc)</f>
        <v/>
      </c>
      <c r="H125" s="31">
        <f>H124*(1+i_exp_anc)</f>
        <v/>
      </c>
      <c r="I125" s="31">
        <f>I124*(1+i_exp_anc)</f>
        <v/>
      </c>
      <c r="J125" s="31">
        <f>J124*(1+i_exp_anc)</f>
        <v/>
      </c>
      <c r="K125" s="31">
        <f>K124*(1+i_exp_anc)</f>
        <v/>
      </c>
      <c r="L125" s="31">
        <f>L124*(1+i_exp_anc)</f>
        <v/>
      </c>
      <c r="M125" s="31">
        <f>M124*(1+i_exp_anc)</f>
        <v/>
      </c>
      <c r="N125" s="31">
        <f>N124*(1+i_exp_anc)</f>
        <v/>
      </c>
      <c r="O125" s="31">
        <f>O124*(1+i_exp_anc)</f>
        <v/>
      </c>
      <c r="P125" s="31">
        <f>P124*(1+i_exp_anc)</f>
        <v/>
      </c>
      <c r="Q125" s="31">
        <f>Q124*(1+i_exp_anc)</f>
        <v/>
      </c>
      <c r="R125" s="31">
        <f>R124*(1+i_exp_anc)</f>
        <v/>
      </c>
      <c r="S125" s="31">
        <f>S124*(1+i_exp_anc)</f>
        <v/>
      </c>
      <c r="T125" s="31">
        <f>T124*(1+i_exp_anc)</f>
        <v/>
      </c>
      <c r="U125" s="31">
        <f>U124*(1+i_exp_anc)</f>
        <v/>
      </c>
      <c r="V125" s="31">
        <f>V124*(1+i_exp_anc)</f>
        <v/>
      </c>
      <c r="W125" s="31">
        <f>W124*(1+i_exp_anc)</f>
        <v/>
      </c>
      <c r="X125" s="31">
        <f>X124*(1+i_exp_anc)</f>
        <v/>
      </c>
      <c r="Y125" s="31">
        <f>Y124*(1+i_exp_anc)</f>
        <v/>
      </c>
      <c r="Z125" s="31">
        <f>Z124*(1+i_exp_anc)</f>
        <v/>
      </c>
      <c r="AA125" s="31">
        <f>AA124*(1+i_exp_anc)</f>
        <v/>
      </c>
      <c r="AB125" s="31">
        <f>AB124*(1+i_exp_anc)</f>
        <v/>
      </c>
      <c r="AC125" s="31">
        <f>AC124*(1+i_exp_anc)</f>
        <v/>
      </c>
      <c r="AD125" s="31">
        <f>AD124*(1+i_exp_anc)</f>
        <v/>
      </c>
      <c r="AE125" s="31">
        <f>AE124*(1+i_exp_anc)</f>
        <v/>
      </c>
      <c r="AF125" s="31">
        <f>AF124*(1+i_exp_anc)</f>
        <v/>
      </c>
      <c r="AG125" s="31">
        <f>AG124*(1+i_exp_anc)</f>
        <v/>
      </c>
      <c r="AH125" s="31">
        <f>AH124*(1+i_exp_anc)</f>
        <v/>
      </c>
      <c r="AI125" s="31">
        <f>AI124*(1+i_exp_anc)</f>
        <v/>
      </c>
    </row>
    <row r="126">
      <c r="B126" s="2" t="inlineStr">
        <is>
          <t xml:space="preserve">  Operating cost</t>
        </is>
      </c>
      <c r="D126" s="19">
        <f>D120*i_exp_fix*i_exp_cap*D52+i_exp_var*D125</f>
        <v/>
      </c>
      <c r="E126" s="19">
        <f>E120*i_exp_fix*i_exp_cap*E52+i_exp_var*E125</f>
        <v/>
      </c>
      <c r="F126" s="19">
        <f>F120*i_exp_fix*i_exp_cap*F52+i_exp_var*F125</f>
        <v/>
      </c>
      <c r="G126" s="19">
        <f>G120*i_exp_fix*i_exp_cap*G52+i_exp_var*G125</f>
        <v/>
      </c>
      <c r="H126" s="19">
        <f>H120*i_exp_fix*i_exp_cap*H52+i_exp_var*H125</f>
        <v/>
      </c>
      <c r="I126" s="19">
        <f>I120*i_exp_fix*i_exp_cap*I52+i_exp_var*I125</f>
        <v/>
      </c>
      <c r="J126" s="19">
        <f>J120*i_exp_fix*i_exp_cap*J52+i_exp_var*J125</f>
        <v/>
      </c>
      <c r="K126" s="19">
        <f>K120*i_exp_fix*i_exp_cap*K52+i_exp_var*K125</f>
        <v/>
      </c>
      <c r="L126" s="19">
        <f>L120*i_exp_fix*i_exp_cap*L52+i_exp_var*L125</f>
        <v/>
      </c>
      <c r="M126" s="19">
        <f>M120*i_exp_fix*i_exp_cap*M52+i_exp_var*M125</f>
        <v/>
      </c>
      <c r="N126" s="19">
        <f>N120*i_exp_fix*i_exp_cap*N52+i_exp_var*N125</f>
        <v/>
      </c>
      <c r="O126" s="19">
        <f>O120*i_exp_fix*i_exp_cap*O52+i_exp_var*O125</f>
        <v/>
      </c>
      <c r="P126" s="19">
        <f>P120*i_exp_fix*i_exp_cap*P52+i_exp_var*P125</f>
        <v/>
      </c>
      <c r="Q126" s="19">
        <f>Q120*i_exp_fix*i_exp_cap*Q52+i_exp_var*Q125</f>
        <v/>
      </c>
      <c r="R126" s="19">
        <f>R120*i_exp_fix*i_exp_cap*R52+i_exp_var*R125</f>
        <v/>
      </c>
      <c r="S126" s="19">
        <f>S120*i_exp_fix*i_exp_cap*S52+i_exp_var*S125</f>
        <v/>
      </c>
      <c r="T126" s="19">
        <f>T120*i_exp_fix*i_exp_cap*T52+i_exp_var*T125</f>
        <v/>
      </c>
      <c r="U126" s="19">
        <f>U120*i_exp_fix*i_exp_cap*U52+i_exp_var*U125</f>
        <v/>
      </c>
      <c r="V126" s="19">
        <f>V120*i_exp_fix*i_exp_cap*V52+i_exp_var*V125</f>
        <v/>
      </c>
      <c r="W126" s="19">
        <f>W120*i_exp_fix*i_exp_cap*W52+i_exp_var*W125</f>
        <v/>
      </c>
      <c r="X126" s="19">
        <f>X120*i_exp_fix*i_exp_cap*X52+i_exp_var*X125</f>
        <v/>
      </c>
      <c r="Y126" s="19">
        <f>Y120*i_exp_fix*i_exp_cap*Y52+i_exp_var*Y125</f>
        <v/>
      </c>
      <c r="Z126" s="19">
        <f>Z120*i_exp_fix*i_exp_cap*Z52+i_exp_var*Z125</f>
        <v/>
      </c>
      <c r="AA126" s="19">
        <f>AA120*i_exp_fix*i_exp_cap*AA52+i_exp_var*AA125</f>
        <v/>
      </c>
      <c r="AB126" s="19">
        <f>AB120*i_exp_fix*i_exp_cap*AB52+i_exp_var*AB125</f>
        <v/>
      </c>
      <c r="AC126" s="19">
        <f>AC120*i_exp_fix*i_exp_cap*AC52+i_exp_var*AC125</f>
        <v/>
      </c>
      <c r="AD126" s="19">
        <f>AD120*i_exp_fix*i_exp_cap*AD52+i_exp_var*AD125</f>
        <v/>
      </c>
      <c r="AE126" s="19">
        <f>AE120*i_exp_fix*i_exp_cap*AE52+i_exp_var*AE125</f>
        <v/>
      </c>
      <c r="AF126" s="19">
        <f>AF120*i_exp_fix*i_exp_cap*AF52+i_exp_var*AF125</f>
        <v/>
      </c>
      <c r="AG126" s="19">
        <f>AG120*i_exp_fix*i_exp_cap*AG52+i_exp_var*AG125</f>
        <v/>
      </c>
      <c r="AH126" s="19">
        <f>AH120*i_exp_fix*i_exp_cap*AH52+i_exp_var*AH125</f>
        <v/>
      </c>
      <c r="AI126" s="19">
        <f>AI120*i_exp_fix*i_exp_cap*AI52+i_exp_var*AI125</f>
        <v/>
      </c>
    </row>
    <row r="127">
      <c r="B127" s="3" t="inlineStr">
        <is>
          <t xml:space="preserve">  EBITDA</t>
        </is>
      </c>
      <c r="D127" s="31">
        <f>D125-D126</f>
        <v/>
      </c>
      <c r="E127" s="31">
        <f>E125-E126</f>
        <v/>
      </c>
      <c r="F127" s="31">
        <f>F125-F126</f>
        <v/>
      </c>
      <c r="G127" s="31">
        <f>G125-G126</f>
        <v/>
      </c>
      <c r="H127" s="31">
        <f>H125-H126</f>
        <v/>
      </c>
      <c r="I127" s="31">
        <f>I125-I126</f>
        <v/>
      </c>
      <c r="J127" s="31">
        <f>J125-J126</f>
        <v/>
      </c>
      <c r="K127" s="31">
        <f>K125-K126</f>
        <v/>
      </c>
      <c r="L127" s="31">
        <f>L125-L126</f>
        <v/>
      </c>
      <c r="M127" s="31">
        <f>M125-M126</f>
        <v/>
      </c>
      <c r="N127" s="31">
        <f>N125-N126</f>
        <v/>
      </c>
      <c r="O127" s="31">
        <f>O125-O126</f>
        <v/>
      </c>
      <c r="P127" s="31">
        <f>P125-P126</f>
        <v/>
      </c>
      <c r="Q127" s="31">
        <f>Q125-Q126</f>
        <v/>
      </c>
      <c r="R127" s="31">
        <f>R125-R126</f>
        <v/>
      </c>
      <c r="S127" s="31">
        <f>S125-S126</f>
        <v/>
      </c>
      <c r="T127" s="31">
        <f>T125-T126</f>
        <v/>
      </c>
      <c r="U127" s="31">
        <f>U125-U126</f>
        <v/>
      </c>
      <c r="V127" s="31">
        <f>V125-V126</f>
        <v/>
      </c>
      <c r="W127" s="31">
        <f>W125-W126</f>
        <v/>
      </c>
      <c r="X127" s="31">
        <f>X125-X126</f>
        <v/>
      </c>
      <c r="Y127" s="31">
        <f>Y125-Y126</f>
        <v/>
      </c>
      <c r="Z127" s="31">
        <f>Z125-Z126</f>
        <v/>
      </c>
      <c r="AA127" s="31">
        <f>AA125-AA126</f>
        <v/>
      </c>
      <c r="AB127" s="31">
        <f>AB125-AB126</f>
        <v/>
      </c>
      <c r="AC127" s="31">
        <f>AC125-AC126</f>
        <v/>
      </c>
      <c r="AD127" s="31">
        <f>AD125-AD126</f>
        <v/>
      </c>
      <c r="AE127" s="31">
        <f>AE125-AE126</f>
        <v/>
      </c>
      <c r="AF127" s="31">
        <f>AF125-AF126</f>
        <v/>
      </c>
      <c r="AG127" s="31">
        <f>AG125-AG126</f>
        <v/>
      </c>
      <c r="AH127" s="31">
        <f>AH125-AH126</f>
        <v/>
      </c>
      <c r="AI127" s="31">
        <f>AI125-AI126</f>
        <v/>
      </c>
    </row>
    <row r="128">
      <c r="B128" s="2" t="inlineStr">
        <is>
          <t xml:space="preserve">  Maintenance capex</t>
        </is>
      </c>
      <c r="D128" s="19">
        <f>D120*i_exp_mc*i_exp_cap*D52</f>
        <v/>
      </c>
      <c r="E128" s="19">
        <f>E120*i_exp_mc*i_exp_cap*E52</f>
        <v/>
      </c>
      <c r="F128" s="19">
        <f>F120*i_exp_mc*i_exp_cap*F52</f>
        <v/>
      </c>
      <c r="G128" s="19">
        <f>G120*i_exp_mc*i_exp_cap*G52</f>
        <v/>
      </c>
      <c r="H128" s="19">
        <f>H120*i_exp_mc*i_exp_cap*H52</f>
        <v/>
      </c>
      <c r="I128" s="19">
        <f>I120*i_exp_mc*i_exp_cap*I52</f>
        <v/>
      </c>
      <c r="J128" s="19">
        <f>J120*i_exp_mc*i_exp_cap*J52</f>
        <v/>
      </c>
      <c r="K128" s="19">
        <f>K120*i_exp_mc*i_exp_cap*K52</f>
        <v/>
      </c>
      <c r="L128" s="19">
        <f>L120*i_exp_mc*i_exp_cap*L52</f>
        <v/>
      </c>
      <c r="M128" s="19">
        <f>M120*i_exp_mc*i_exp_cap*M52</f>
        <v/>
      </c>
      <c r="N128" s="19">
        <f>N120*i_exp_mc*i_exp_cap*N52</f>
        <v/>
      </c>
      <c r="O128" s="19">
        <f>O120*i_exp_mc*i_exp_cap*O52</f>
        <v/>
      </c>
      <c r="P128" s="19">
        <f>P120*i_exp_mc*i_exp_cap*P52</f>
        <v/>
      </c>
      <c r="Q128" s="19">
        <f>Q120*i_exp_mc*i_exp_cap*Q52</f>
        <v/>
      </c>
      <c r="R128" s="19">
        <f>R120*i_exp_mc*i_exp_cap*R52</f>
        <v/>
      </c>
      <c r="S128" s="19">
        <f>S120*i_exp_mc*i_exp_cap*S52</f>
        <v/>
      </c>
      <c r="T128" s="19">
        <f>T120*i_exp_mc*i_exp_cap*T52</f>
        <v/>
      </c>
      <c r="U128" s="19">
        <f>U120*i_exp_mc*i_exp_cap*U52</f>
        <v/>
      </c>
      <c r="V128" s="19">
        <f>V120*i_exp_mc*i_exp_cap*V52</f>
        <v/>
      </c>
      <c r="W128" s="19">
        <f>W120*i_exp_mc*i_exp_cap*W52</f>
        <v/>
      </c>
      <c r="X128" s="19">
        <f>X120*i_exp_mc*i_exp_cap*X52</f>
        <v/>
      </c>
      <c r="Y128" s="19">
        <f>Y120*i_exp_mc*i_exp_cap*Y52</f>
        <v/>
      </c>
      <c r="Z128" s="19">
        <f>Z120*i_exp_mc*i_exp_cap*Z52</f>
        <v/>
      </c>
      <c r="AA128" s="19">
        <f>AA120*i_exp_mc*i_exp_cap*AA52</f>
        <v/>
      </c>
      <c r="AB128" s="19">
        <f>AB120*i_exp_mc*i_exp_cap*AB52</f>
        <v/>
      </c>
      <c r="AC128" s="19">
        <f>AC120*i_exp_mc*i_exp_cap*AC52</f>
        <v/>
      </c>
      <c r="AD128" s="19">
        <f>AD120*i_exp_mc*i_exp_cap*AD52</f>
        <v/>
      </c>
      <c r="AE128" s="19">
        <f>AE120*i_exp_mc*i_exp_cap*AE52</f>
        <v/>
      </c>
      <c r="AF128" s="19">
        <f>AF120*i_exp_mc*i_exp_cap*AF52</f>
        <v/>
      </c>
      <c r="AG128" s="19">
        <f>AG120*i_exp_mc*i_exp_cap*AG52</f>
        <v/>
      </c>
      <c r="AH128" s="19">
        <f>AH120*i_exp_mc*i_exp_cap*AH52</f>
        <v/>
      </c>
      <c r="AI128" s="19">
        <f>AI120*i_exp_mc*i_exp_cap*AI52</f>
        <v/>
      </c>
    </row>
    <row r="130">
      <c r="B130" s="5" t="inlineStr">
        <is>
          <t>Consolidated</t>
        </is>
      </c>
    </row>
    <row r="131">
      <c r="B131" s="2" t="inlineStr">
        <is>
          <t>Revenue</t>
        </is>
      </c>
      <c r="D131" s="19">
        <f>D65+D81+D96+D111+D125</f>
        <v/>
      </c>
      <c r="E131" s="19">
        <f>E65+E81+E96+E111+E125</f>
        <v/>
      </c>
      <c r="F131" s="19">
        <f>F65+F81+F96+F111+F125</f>
        <v/>
      </c>
      <c r="G131" s="19">
        <f>G65+G81+G96+G111+G125</f>
        <v/>
      </c>
      <c r="H131" s="19">
        <f>H65+H81+H96+H111+H125</f>
        <v/>
      </c>
      <c r="I131" s="19">
        <f>I65+I81+I96+I111+I125</f>
        <v/>
      </c>
      <c r="J131" s="19">
        <f>J65+J81+J96+J111+J125</f>
        <v/>
      </c>
      <c r="K131" s="19">
        <f>K65+K81+K96+K111+K125</f>
        <v/>
      </c>
      <c r="L131" s="19">
        <f>L65+L81+L96+L111+L125</f>
        <v/>
      </c>
      <c r="M131" s="19">
        <f>M65+M81+M96+M111+M125</f>
        <v/>
      </c>
      <c r="N131" s="19">
        <f>N65+N81+N96+N111+N125</f>
        <v/>
      </c>
      <c r="O131" s="19">
        <f>O65+O81+O96+O111+O125</f>
        <v/>
      </c>
      <c r="P131" s="19">
        <f>P65+P81+P96+P111+P125</f>
        <v/>
      </c>
      <c r="Q131" s="19">
        <f>Q65+Q81+Q96+Q111+Q125</f>
        <v/>
      </c>
      <c r="R131" s="19">
        <f>R65+R81+R96+R111+R125</f>
        <v/>
      </c>
      <c r="S131" s="19">
        <f>S65+S81+S96+S111+S125</f>
        <v/>
      </c>
      <c r="T131" s="19">
        <f>T65+T81+T96+T111+T125</f>
        <v/>
      </c>
      <c r="U131" s="19">
        <f>U65+U81+U96+U111+U125</f>
        <v/>
      </c>
      <c r="V131" s="19">
        <f>V65+V81+V96+V111+V125</f>
        <v/>
      </c>
      <c r="W131" s="19">
        <f>W65+W81+W96+W111+W125</f>
        <v/>
      </c>
      <c r="X131" s="19">
        <f>X65+X81+X96+X111+X125</f>
        <v/>
      </c>
      <c r="Y131" s="19">
        <f>Y65+Y81+Y96+Y111+Y125</f>
        <v/>
      </c>
      <c r="Z131" s="19">
        <f>Z65+Z81+Z96+Z111+Z125</f>
        <v/>
      </c>
      <c r="AA131" s="19">
        <f>AA65+AA81+AA96+AA111+AA125</f>
        <v/>
      </c>
      <c r="AB131" s="19">
        <f>AB65+AB81+AB96+AB111+AB125</f>
        <v/>
      </c>
      <c r="AC131" s="19">
        <f>AC65+AC81+AC96+AC111+AC125</f>
        <v/>
      </c>
      <c r="AD131" s="19">
        <f>AD65+AD81+AD96+AD111+AD125</f>
        <v/>
      </c>
      <c r="AE131" s="19">
        <f>AE65+AE81+AE96+AE111+AE125</f>
        <v/>
      </c>
      <c r="AF131" s="19">
        <f>AF65+AF81+AF96+AF111+AF125</f>
        <v/>
      </c>
      <c r="AG131" s="19">
        <f>AG65+AG81+AG96+AG111+AG125</f>
        <v/>
      </c>
      <c r="AH131" s="19">
        <f>AH65+AH81+AH96+AH111+AH125</f>
        <v/>
      </c>
      <c r="AI131" s="19">
        <f>AI65+AI81+AI96+AI111+AI125</f>
        <v/>
      </c>
    </row>
    <row r="132">
      <c r="B132" s="2" t="inlineStr">
        <is>
          <t>Business unit EBITDA (with the expansion)</t>
        </is>
      </c>
      <c r="D132" s="19">
        <f>D70+D85+D100+D116+D127</f>
        <v/>
      </c>
      <c r="E132" s="19">
        <f>E70+E85+E100+E116+E127</f>
        <v/>
      </c>
      <c r="F132" s="19">
        <f>F70+F85+F100+F116+F127</f>
        <v/>
      </c>
      <c r="G132" s="19">
        <f>G70+G85+G100+G116+G127</f>
        <v/>
      </c>
      <c r="H132" s="19">
        <f>H70+H85+H100+H116+H127</f>
        <v/>
      </c>
      <c r="I132" s="19">
        <f>I70+I85+I100+I116+I127</f>
        <v/>
      </c>
      <c r="J132" s="19">
        <f>J70+J85+J100+J116+J127</f>
        <v/>
      </c>
      <c r="K132" s="19">
        <f>K70+K85+K100+K116+K127</f>
        <v/>
      </c>
      <c r="L132" s="19">
        <f>L70+L85+L100+L116+L127</f>
        <v/>
      </c>
      <c r="M132" s="19">
        <f>M70+M85+M100+M116+M127</f>
        <v/>
      </c>
      <c r="N132" s="19">
        <f>N70+N85+N100+N116+N127</f>
        <v/>
      </c>
      <c r="O132" s="19">
        <f>O70+O85+O100+O116+O127</f>
        <v/>
      </c>
      <c r="P132" s="19">
        <f>P70+P85+P100+P116+P127</f>
        <v/>
      </c>
      <c r="Q132" s="19">
        <f>Q70+Q85+Q100+Q116+Q127</f>
        <v/>
      </c>
      <c r="R132" s="19">
        <f>R70+R85+R100+R116+R127</f>
        <v/>
      </c>
      <c r="S132" s="19">
        <f>S70+S85+S100+S116+S127</f>
        <v/>
      </c>
      <c r="T132" s="19">
        <f>T70+T85+T100+T116+T127</f>
        <v/>
      </c>
      <c r="U132" s="19">
        <f>U70+U85+U100+U116+U127</f>
        <v/>
      </c>
      <c r="V132" s="19">
        <f>V70+V85+V100+V116+V127</f>
        <v/>
      </c>
      <c r="W132" s="19">
        <f>W70+W85+W100+W116+W127</f>
        <v/>
      </c>
      <c r="X132" s="19">
        <f>X70+X85+X100+X116+X127</f>
        <v/>
      </c>
      <c r="Y132" s="19">
        <f>Y70+Y85+Y100+Y116+Y127</f>
        <v/>
      </c>
      <c r="Z132" s="19">
        <f>Z70+Z85+Z100+Z116+Z127</f>
        <v/>
      </c>
      <c r="AA132" s="19">
        <f>AA70+AA85+AA100+AA116+AA127</f>
        <v/>
      </c>
      <c r="AB132" s="19">
        <f>AB70+AB85+AB100+AB116+AB127</f>
        <v/>
      </c>
      <c r="AC132" s="19">
        <f>AC70+AC85+AC100+AC116+AC127</f>
        <v/>
      </c>
      <c r="AD132" s="19">
        <f>AD70+AD85+AD100+AD116+AD127</f>
        <v/>
      </c>
      <c r="AE132" s="19">
        <f>AE70+AE85+AE100+AE116+AE127</f>
        <v/>
      </c>
      <c r="AF132" s="19">
        <f>AF70+AF85+AF100+AF116+AF127</f>
        <v/>
      </c>
      <c r="AG132" s="19">
        <f>AG70+AG85+AG100+AG116+AG127</f>
        <v/>
      </c>
      <c r="AH132" s="19">
        <f>AH70+AH85+AH100+AH116+AH127</f>
        <v/>
      </c>
      <c r="AI132" s="19">
        <f>AI70+AI85+AI100+AI116+AI127</f>
        <v/>
      </c>
    </row>
    <row r="133">
      <c r="B133" s="2" t="inlineStr">
        <is>
          <t>Corporate costs</t>
        </is>
      </c>
      <c r="D133" s="19">
        <f>i_corp*D52*IF(OR(Approvals!$C$49=1,D$3&lt;=i_conc_end),1,i_corp_after_w)+IF(D$3&gt;=i_mitig_start,Approvals!$C$51*D52,0)</f>
        <v/>
      </c>
      <c r="E133" s="19">
        <f>i_corp*E52*IF(OR(Approvals!$C$49=1,E$3&lt;=i_conc_end),1,i_corp_after_w)+IF(E$3&gt;=i_mitig_start,Approvals!$C$51*E52,0)</f>
        <v/>
      </c>
      <c r="F133" s="19">
        <f>i_corp*F52*IF(OR(Approvals!$C$49=1,F$3&lt;=i_conc_end),1,i_corp_after_w)+IF(F$3&gt;=i_mitig_start,Approvals!$C$51*F52,0)</f>
        <v/>
      </c>
      <c r="G133" s="19">
        <f>i_corp*G52*IF(OR(Approvals!$C$49=1,G$3&lt;=i_conc_end),1,i_corp_after_w)+IF(G$3&gt;=i_mitig_start,Approvals!$C$51*G52,0)</f>
        <v/>
      </c>
      <c r="H133" s="19">
        <f>i_corp*H52*IF(OR(Approvals!$C$49=1,H$3&lt;=i_conc_end),1,i_corp_after_w)+IF(H$3&gt;=i_mitig_start,Approvals!$C$51*H52,0)</f>
        <v/>
      </c>
      <c r="I133" s="19">
        <f>i_corp*I52*IF(OR(Approvals!$C$49=1,I$3&lt;=i_conc_end),1,i_corp_after_w)+IF(I$3&gt;=i_mitig_start,Approvals!$C$51*I52,0)</f>
        <v/>
      </c>
      <c r="J133" s="19">
        <f>i_corp*J52*IF(OR(Approvals!$C$49=1,J$3&lt;=i_conc_end),1,i_corp_after_w)+IF(J$3&gt;=i_mitig_start,Approvals!$C$51*J52,0)</f>
        <v/>
      </c>
      <c r="K133" s="19">
        <f>i_corp*K52*IF(OR(Approvals!$C$49=1,K$3&lt;=i_conc_end),1,i_corp_after_w)+IF(K$3&gt;=i_mitig_start,Approvals!$C$51*K52,0)</f>
        <v/>
      </c>
      <c r="L133" s="19">
        <f>i_corp*L52*IF(OR(Approvals!$C$49=1,L$3&lt;=i_conc_end),1,i_corp_after_w)+IF(L$3&gt;=i_mitig_start,Approvals!$C$51*L52,0)</f>
        <v/>
      </c>
      <c r="M133" s="19">
        <f>i_corp*M52*IF(OR(Approvals!$C$49=1,M$3&lt;=i_conc_end),1,i_corp_after_w)+IF(M$3&gt;=i_mitig_start,Approvals!$C$51*M52,0)</f>
        <v/>
      </c>
      <c r="N133" s="19">
        <f>i_corp*N52*IF(OR(Approvals!$C$49=1,N$3&lt;=i_conc_end),1,i_corp_after_w)+IF(N$3&gt;=i_mitig_start,Approvals!$C$51*N52,0)</f>
        <v/>
      </c>
      <c r="O133" s="19">
        <f>i_corp*O52*IF(OR(Approvals!$C$49=1,O$3&lt;=i_conc_end),1,i_corp_after_w)+IF(O$3&gt;=i_mitig_start,Approvals!$C$51*O52,0)</f>
        <v/>
      </c>
      <c r="P133" s="19">
        <f>i_corp*P52*IF(OR(Approvals!$C$49=1,P$3&lt;=i_conc_end),1,i_corp_after_w)+IF(P$3&gt;=i_mitig_start,Approvals!$C$51*P52,0)</f>
        <v/>
      </c>
      <c r="Q133" s="19">
        <f>i_corp*Q52*IF(OR(Approvals!$C$49=1,Q$3&lt;=i_conc_end),1,i_corp_after_w)+IF(Q$3&gt;=i_mitig_start,Approvals!$C$51*Q52,0)</f>
        <v/>
      </c>
      <c r="R133" s="19">
        <f>i_corp*R52*IF(OR(Approvals!$C$49=1,R$3&lt;=i_conc_end),1,i_corp_after_w)+IF(R$3&gt;=i_mitig_start,Approvals!$C$51*R52,0)</f>
        <v/>
      </c>
      <c r="S133" s="19">
        <f>i_corp*S52*IF(OR(Approvals!$C$49=1,S$3&lt;=i_conc_end),1,i_corp_after_w)+IF(S$3&gt;=i_mitig_start,Approvals!$C$51*S52,0)</f>
        <v/>
      </c>
      <c r="T133" s="19">
        <f>i_corp*T52*IF(OR(Approvals!$C$49=1,T$3&lt;=i_conc_end),1,i_corp_after_w)+IF(T$3&gt;=i_mitig_start,Approvals!$C$51*T52,0)</f>
        <v/>
      </c>
      <c r="U133" s="19">
        <f>i_corp*U52*IF(OR(Approvals!$C$49=1,U$3&lt;=i_conc_end),1,i_corp_after_w)+IF(U$3&gt;=i_mitig_start,Approvals!$C$51*U52,0)</f>
        <v/>
      </c>
      <c r="V133" s="19">
        <f>i_corp*V52*IF(OR(Approvals!$C$49=1,V$3&lt;=i_conc_end),1,i_corp_after_w)+IF(V$3&gt;=i_mitig_start,Approvals!$C$51*V52,0)</f>
        <v/>
      </c>
      <c r="W133" s="19">
        <f>i_corp*W52*IF(OR(Approvals!$C$49=1,W$3&lt;=i_conc_end),1,i_corp_after_w)+IF(W$3&gt;=i_mitig_start,Approvals!$C$51*W52,0)</f>
        <v/>
      </c>
      <c r="X133" s="19">
        <f>i_corp*X52*IF(OR(Approvals!$C$49=1,X$3&lt;=i_conc_end),1,i_corp_after_w)+IF(X$3&gt;=i_mitig_start,Approvals!$C$51*X52,0)</f>
        <v/>
      </c>
      <c r="Y133" s="19">
        <f>i_corp*Y52*IF(OR(Approvals!$C$49=1,Y$3&lt;=i_conc_end),1,i_corp_after_w)+IF(Y$3&gt;=i_mitig_start,Approvals!$C$51*Y52,0)</f>
        <v/>
      </c>
      <c r="Z133" s="19">
        <f>i_corp*Z52*IF(OR(Approvals!$C$49=1,Z$3&lt;=i_conc_end),1,i_corp_after_w)+IF(Z$3&gt;=i_mitig_start,Approvals!$C$51*Z52,0)</f>
        <v/>
      </c>
      <c r="AA133" s="19">
        <f>i_corp*AA52*IF(OR(Approvals!$C$49=1,AA$3&lt;=i_conc_end),1,i_corp_after_w)+IF(AA$3&gt;=i_mitig_start,Approvals!$C$51*AA52,0)</f>
        <v/>
      </c>
      <c r="AB133" s="19">
        <f>i_corp*AB52*IF(OR(Approvals!$C$49=1,AB$3&lt;=i_conc_end),1,i_corp_after_w)+IF(AB$3&gt;=i_mitig_start,Approvals!$C$51*AB52,0)</f>
        <v/>
      </c>
      <c r="AC133" s="19">
        <f>i_corp*AC52*IF(OR(Approvals!$C$49=1,AC$3&lt;=i_conc_end),1,i_corp_after_w)+IF(AC$3&gt;=i_mitig_start,Approvals!$C$51*AC52,0)</f>
        <v/>
      </c>
      <c r="AD133" s="19">
        <f>i_corp*AD52*IF(OR(Approvals!$C$49=1,AD$3&lt;=i_conc_end),1,i_corp_after_w)+IF(AD$3&gt;=i_mitig_start,Approvals!$C$51*AD52,0)</f>
        <v/>
      </c>
      <c r="AE133" s="19">
        <f>i_corp*AE52*IF(OR(Approvals!$C$49=1,AE$3&lt;=i_conc_end),1,i_corp_after_w)+IF(AE$3&gt;=i_mitig_start,Approvals!$C$51*AE52,0)</f>
        <v/>
      </c>
      <c r="AF133" s="19">
        <f>i_corp*AF52*IF(OR(Approvals!$C$49=1,AF$3&lt;=i_conc_end),1,i_corp_after_w)+IF(AF$3&gt;=i_mitig_start,Approvals!$C$51*AF52,0)</f>
        <v/>
      </c>
      <c r="AG133" s="19">
        <f>i_corp*AG52*IF(OR(Approvals!$C$49=1,AG$3&lt;=i_conc_end),1,i_corp_after_w)+IF(AG$3&gt;=i_mitig_start,Approvals!$C$51*AG52,0)</f>
        <v/>
      </c>
      <c r="AH133" s="19">
        <f>i_corp*AH52*IF(OR(Approvals!$C$49=1,AH$3&lt;=i_conc_end),1,i_corp_after_w)+IF(AH$3&gt;=i_mitig_start,Approvals!$C$51*AH52,0)</f>
        <v/>
      </c>
      <c r="AI133" s="19">
        <f>i_corp*AI52*IF(OR(Approvals!$C$49=1,AI$3&lt;=i_conc_end),1,i_corp_after_w)+IF(AI$3&gt;=i_mitig_start,Approvals!$C$51*AI52,0)</f>
        <v/>
      </c>
    </row>
    <row r="134">
      <c r="B134" s="3" t="inlineStr">
        <is>
          <t>EBITDA</t>
        </is>
      </c>
      <c r="D134" s="31">
        <f>D132-D133</f>
        <v/>
      </c>
      <c r="E134" s="31">
        <f>E132-E133</f>
        <v/>
      </c>
      <c r="F134" s="31">
        <f>F132-F133</f>
        <v/>
      </c>
      <c r="G134" s="31">
        <f>G132-G133</f>
        <v/>
      </c>
      <c r="H134" s="31">
        <f>H132-H133</f>
        <v/>
      </c>
      <c r="I134" s="31">
        <f>I132-I133</f>
        <v/>
      </c>
      <c r="J134" s="31">
        <f>J132-J133</f>
        <v/>
      </c>
      <c r="K134" s="31">
        <f>K132-K133</f>
        <v/>
      </c>
      <c r="L134" s="31">
        <f>L132-L133</f>
        <v/>
      </c>
      <c r="M134" s="31">
        <f>M132-M133</f>
        <v/>
      </c>
      <c r="N134" s="31">
        <f>N132-N133</f>
        <v/>
      </c>
      <c r="O134" s="31">
        <f>O132-O133</f>
        <v/>
      </c>
      <c r="P134" s="31">
        <f>P132-P133</f>
        <v/>
      </c>
      <c r="Q134" s="31">
        <f>Q132-Q133</f>
        <v/>
      </c>
      <c r="R134" s="31">
        <f>R132-R133</f>
        <v/>
      </c>
      <c r="S134" s="31">
        <f>S132-S133</f>
        <v/>
      </c>
      <c r="T134" s="31">
        <f>T132-T133</f>
        <v/>
      </c>
      <c r="U134" s="31">
        <f>U132-U133</f>
        <v/>
      </c>
      <c r="V134" s="31">
        <f>V132-V133</f>
        <v/>
      </c>
      <c r="W134" s="31">
        <f>W132-W133</f>
        <v/>
      </c>
      <c r="X134" s="31">
        <f>X132-X133</f>
        <v/>
      </c>
      <c r="Y134" s="31">
        <f>Y132-Y133</f>
        <v/>
      </c>
      <c r="Z134" s="31">
        <f>Z132-Z133</f>
        <v/>
      </c>
      <c r="AA134" s="31">
        <f>AA132-AA133</f>
        <v/>
      </c>
      <c r="AB134" s="31">
        <f>AB132-AB133</f>
        <v/>
      </c>
      <c r="AC134" s="31">
        <f>AC132-AC133</f>
        <v/>
      </c>
      <c r="AD134" s="31">
        <f>AD132-AD133</f>
        <v/>
      </c>
      <c r="AE134" s="31">
        <f>AE132-AE133</f>
        <v/>
      </c>
      <c r="AF134" s="31">
        <f>AF132-AF133</f>
        <v/>
      </c>
      <c r="AG134" s="31">
        <f>AG132-AG133</f>
        <v/>
      </c>
      <c r="AH134" s="31">
        <f>AH132-AH133</f>
        <v/>
      </c>
      <c r="AI134" s="31">
        <f>AI132-AI133</f>
        <v/>
      </c>
    </row>
    <row r="135">
      <c r="B135" s="2" t="inlineStr">
        <is>
          <t>Maintenance capex</t>
        </is>
      </c>
      <c r="D135" s="19">
        <f>D71+D86+D101+D117+D128</f>
        <v/>
      </c>
      <c r="E135" s="19">
        <f>E71+E86+E101+E117+E128</f>
        <v/>
      </c>
      <c r="F135" s="19">
        <f>F71+F86+F101+F117+F128</f>
        <v/>
      </c>
      <c r="G135" s="19">
        <f>G71+G86+G101+G117+G128</f>
        <v/>
      </c>
      <c r="H135" s="19">
        <f>H71+H86+H101+H117+H128</f>
        <v/>
      </c>
      <c r="I135" s="19">
        <f>I71+I86+I101+I117+I128</f>
        <v/>
      </c>
      <c r="J135" s="19">
        <f>J71+J86+J101+J117+J128</f>
        <v/>
      </c>
      <c r="K135" s="19">
        <f>K71+K86+K101+K117+K128</f>
        <v/>
      </c>
      <c r="L135" s="19">
        <f>L71+L86+L101+L117+L128</f>
        <v/>
      </c>
      <c r="M135" s="19">
        <f>M71+M86+M101+M117+M128</f>
        <v/>
      </c>
      <c r="N135" s="19">
        <f>N71+N86+N101+N117+N128</f>
        <v/>
      </c>
      <c r="O135" s="19">
        <f>O71+O86+O101+O117+O128</f>
        <v/>
      </c>
      <c r="P135" s="19">
        <f>P71+P86+P101+P117+P128</f>
        <v/>
      </c>
      <c r="Q135" s="19">
        <f>Q71+Q86+Q101+Q117+Q128</f>
        <v/>
      </c>
      <c r="R135" s="19">
        <f>R71+R86+R101+R117+R128</f>
        <v/>
      </c>
      <c r="S135" s="19">
        <f>S71+S86+S101+S117+S128</f>
        <v/>
      </c>
      <c r="T135" s="19">
        <f>T71+T86+T101+T117+T128</f>
        <v/>
      </c>
      <c r="U135" s="19">
        <f>U71+U86+U101+U117+U128</f>
        <v/>
      </c>
      <c r="V135" s="19">
        <f>V71+V86+V101+V117+V128</f>
        <v/>
      </c>
      <c r="W135" s="19">
        <f>W71+W86+W101+W117+W128</f>
        <v/>
      </c>
      <c r="X135" s="19">
        <f>X71+X86+X101+X117+X128</f>
        <v/>
      </c>
      <c r="Y135" s="19">
        <f>Y71+Y86+Y101+Y117+Y128</f>
        <v/>
      </c>
      <c r="Z135" s="19">
        <f>Z71+Z86+Z101+Z117+Z128</f>
        <v/>
      </c>
      <c r="AA135" s="19">
        <f>AA71+AA86+AA101+AA117+AA128</f>
        <v/>
      </c>
      <c r="AB135" s="19">
        <f>AB71+AB86+AB101+AB117+AB128</f>
        <v/>
      </c>
      <c r="AC135" s="19">
        <f>AC71+AC86+AC101+AC117+AC128</f>
        <v/>
      </c>
      <c r="AD135" s="19">
        <f>AD71+AD86+AD101+AD117+AD128</f>
        <v/>
      </c>
      <c r="AE135" s="19">
        <f>AE71+AE86+AE101+AE117+AE128</f>
        <v/>
      </c>
      <c r="AF135" s="19">
        <f>AF71+AF86+AF101+AF117+AF128</f>
        <v/>
      </c>
      <c r="AG135" s="19">
        <f>AG71+AG86+AG101+AG117+AG128</f>
        <v/>
      </c>
      <c r="AH135" s="19">
        <f>AH71+AH86+AH101+AH117+AH128</f>
        <v/>
      </c>
      <c r="AI135" s="19">
        <f>AI71+AI86+AI101+AI117+AI128</f>
        <v/>
      </c>
    </row>
    <row r="136">
      <c r="B136" s="2" t="inlineStr">
        <is>
          <t>Growth capex</t>
        </is>
      </c>
      <c r="D136" s="19">
        <f>D119</f>
        <v/>
      </c>
      <c r="E136" s="19">
        <f>E119</f>
        <v/>
      </c>
      <c r="F136" s="19">
        <f>F119</f>
        <v/>
      </c>
      <c r="G136" s="19">
        <f>G119</f>
        <v/>
      </c>
      <c r="H136" s="19">
        <f>H119</f>
        <v/>
      </c>
      <c r="I136" s="19">
        <f>I119</f>
        <v/>
      </c>
      <c r="J136" s="19">
        <f>J119</f>
        <v/>
      </c>
      <c r="K136" s="19">
        <f>K119</f>
        <v/>
      </c>
      <c r="L136" s="19">
        <f>L119</f>
        <v/>
      </c>
      <c r="M136" s="19">
        <f>M119</f>
        <v/>
      </c>
      <c r="N136" s="19">
        <f>N119</f>
        <v/>
      </c>
      <c r="O136" s="19">
        <f>O119</f>
        <v/>
      </c>
      <c r="P136" s="19">
        <f>P119</f>
        <v/>
      </c>
      <c r="Q136" s="19">
        <f>Q119</f>
        <v/>
      </c>
      <c r="R136" s="19">
        <f>R119</f>
        <v/>
      </c>
      <c r="S136" s="19">
        <f>S119</f>
        <v/>
      </c>
      <c r="T136" s="19">
        <f>T119</f>
        <v/>
      </c>
      <c r="U136" s="19">
        <f>U119</f>
        <v/>
      </c>
      <c r="V136" s="19">
        <f>V119</f>
        <v/>
      </c>
      <c r="W136" s="19">
        <f>W119</f>
        <v/>
      </c>
      <c r="X136" s="19">
        <f>X119</f>
        <v/>
      </c>
      <c r="Y136" s="19">
        <f>Y119</f>
        <v/>
      </c>
      <c r="Z136" s="19">
        <f>Z119</f>
        <v/>
      </c>
      <c r="AA136" s="19">
        <f>AA119</f>
        <v/>
      </c>
      <c r="AB136" s="19">
        <f>AB119</f>
        <v/>
      </c>
      <c r="AC136" s="19">
        <f>AC119</f>
        <v/>
      </c>
      <c r="AD136" s="19">
        <f>AD119</f>
        <v/>
      </c>
      <c r="AE136" s="19">
        <f>AE119</f>
        <v/>
      </c>
      <c r="AF136" s="19">
        <f>AF119</f>
        <v/>
      </c>
      <c r="AG136" s="19">
        <f>AG119</f>
        <v/>
      </c>
      <c r="AH136" s="19">
        <f>AH119</f>
        <v/>
      </c>
      <c r="AI136" s="19">
        <f>AI119</f>
        <v/>
      </c>
    </row>
    <row r="137">
      <c r="B137" s="2" t="inlineStr">
        <is>
          <t>Tax depreciation</t>
        </is>
      </c>
      <c r="D137" s="19">
        <f>D135+IF(D$3&lt;=i_tax_dep_end,i_tax_dep_extra,0)</f>
        <v/>
      </c>
      <c r="E137" s="19">
        <f>E135+IF(E$3&lt;=i_tax_dep_end,i_tax_dep_extra,0)</f>
        <v/>
      </c>
      <c r="F137" s="19">
        <f>F135+IF(F$3&lt;=i_tax_dep_end,i_tax_dep_extra,0)</f>
        <v/>
      </c>
      <c r="G137" s="19">
        <f>G135+IF(G$3&lt;=i_tax_dep_end,i_tax_dep_extra,0)</f>
        <v/>
      </c>
      <c r="H137" s="19">
        <f>H135+IF(H$3&lt;=i_tax_dep_end,i_tax_dep_extra,0)</f>
        <v/>
      </c>
      <c r="I137" s="19">
        <f>I135+IF(I$3&lt;=i_tax_dep_end,i_tax_dep_extra,0)</f>
        <v/>
      </c>
      <c r="J137" s="19">
        <f>J135+IF(J$3&lt;=i_tax_dep_end,i_tax_dep_extra,0)</f>
        <v/>
      </c>
      <c r="K137" s="19">
        <f>K135+IF(K$3&lt;=i_tax_dep_end,i_tax_dep_extra,0)</f>
        <v/>
      </c>
      <c r="L137" s="19">
        <f>L135+IF(L$3&lt;=i_tax_dep_end,i_tax_dep_extra,0)</f>
        <v/>
      </c>
      <c r="M137" s="19">
        <f>M135+IF(M$3&lt;=i_tax_dep_end,i_tax_dep_extra,0)</f>
        <v/>
      </c>
      <c r="N137" s="19">
        <f>N135+IF(N$3&lt;=i_tax_dep_end,i_tax_dep_extra,0)</f>
        <v/>
      </c>
      <c r="O137" s="19">
        <f>O135+IF(O$3&lt;=i_tax_dep_end,i_tax_dep_extra,0)</f>
        <v/>
      </c>
      <c r="P137" s="19">
        <f>P135+IF(P$3&lt;=i_tax_dep_end,i_tax_dep_extra,0)</f>
        <v/>
      </c>
      <c r="Q137" s="19">
        <f>Q135+IF(Q$3&lt;=i_tax_dep_end,i_tax_dep_extra,0)</f>
        <v/>
      </c>
      <c r="R137" s="19">
        <f>R135+IF(R$3&lt;=i_tax_dep_end,i_tax_dep_extra,0)</f>
        <v/>
      </c>
      <c r="S137" s="19">
        <f>S135+IF(S$3&lt;=i_tax_dep_end,i_tax_dep_extra,0)</f>
        <v/>
      </c>
      <c r="T137" s="19">
        <f>T135+IF(T$3&lt;=i_tax_dep_end,i_tax_dep_extra,0)</f>
        <v/>
      </c>
      <c r="U137" s="19">
        <f>U135+IF(U$3&lt;=i_tax_dep_end,i_tax_dep_extra,0)</f>
        <v/>
      </c>
      <c r="V137" s="19">
        <f>V135+IF(V$3&lt;=i_tax_dep_end,i_tax_dep_extra,0)</f>
        <v/>
      </c>
      <c r="W137" s="19">
        <f>W135+IF(W$3&lt;=i_tax_dep_end,i_tax_dep_extra,0)</f>
        <v/>
      </c>
      <c r="X137" s="19">
        <f>X135+IF(X$3&lt;=i_tax_dep_end,i_tax_dep_extra,0)</f>
        <v/>
      </c>
      <c r="Y137" s="19">
        <f>Y135+IF(Y$3&lt;=i_tax_dep_end,i_tax_dep_extra,0)</f>
        <v/>
      </c>
      <c r="Z137" s="19">
        <f>Z135+IF(Z$3&lt;=i_tax_dep_end,i_tax_dep_extra,0)</f>
        <v/>
      </c>
      <c r="AA137" s="19">
        <f>AA135+IF(AA$3&lt;=i_tax_dep_end,i_tax_dep_extra,0)</f>
        <v/>
      </c>
      <c r="AB137" s="19">
        <f>AB135+IF(AB$3&lt;=i_tax_dep_end,i_tax_dep_extra,0)</f>
        <v/>
      </c>
      <c r="AC137" s="19">
        <f>AC135+IF(AC$3&lt;=i_tax_dep_end,i_tax_dep_extra,0)</f>
        <v/>
      </c>
      <c r="AD137" s="19">
        <f>AD135+IF(AD$3&lt;=i_tax_dep_end,i_tax_dep_extra,0)</f>
        <v/>
      </c>
      <c r="AE137" s="19">
        <f>AE135+IF(AE$3&lt;=i_tax_dep_end,i_tax_dep_extra,0)</f>
        <v/>
      </c>
      <c r="AF137" s="19">
        <f>AF135+IF(AF$3&lt;=i_tax_dep_end,i_tax_dep_extra,0)</f>
        <v/>
      </c>
      <c r="AG137" s="19">
        <f>AG135+IF(AG$3&lt;=i_tax_dep_end,i_tax_dep_extra,0)</f>
        <v/>
      </c>
      <c r="AH137" s="19">
        <f>AH135+IF(AH$3&lt;=i_tax_dep_end,i_tax_dep_extra,0)</f>
        <v/>
      </c>
      <c r="AI137" s="19">
        <f>AI135+IF(AI$3&lt;=i_tax_dep_end,i_tax_dep_extra,0)</f>
        <v/>
      </c>
    </row>
    <row r="138">
      <c r="B138" s="2" t="inlineStr">
        <is>
          <t>Unlevered cash tax</t>
        </is>
      </c>
      <c r="D138" s="19">
        <f>i_tax*MAX(0,D134-D137)</f>
        <v/>
      </c>
      <c r="E138" s="19">
        <f>i_tax*MAX(0,E134-E137)</f>
        <v/>
      </c>
      <c r="F138" s="19">
        <f>i_tax*MAX(0,F134-F137)</f>
        <v/>
      </c>
      <c r="G138" s="19">
        <f>i_tax*MAX(0,G134-G137)</f>
        <v/>
      </c>
      <c r="H138" s="19">
        <f>i_tax*MAX(0,H134-H137)</f>
        <v/>
      </c>
      <c r="I138" s="19">
        <f>i_tax*MAX(0,I134-I137)</f>
        <v/>
      </c>
      <c r="J138" s="19">
        <f>i_tax*MAX(0,J134-J137)</f>
        <v/>
      </c>
      <c r="K138" s="19">
        <f>i_tax*MAX(0,K134-K137)</f>
        <v/>
      </c>
      <c r="L138" s="19">
        <f>i_tax*MAX(0,L134-L137)</f>
        <v/>
      </c>
      <c r="M138" s="19">
        <f>i_tax*MAX(0,M134-M137)</f>
        <v/>
      </c>
      <c r="N138" s="19">
        <f>i_tax*MAX(0,N134-N137)</f>
        <v/>
      </c>
      <c r="O138" s="19">
        <f>i_tax*MAX(0,O134-O137)</f>
        <v/>
      </c>
      <c r="P138" s="19">
        <f>i_tax*MAX(0,P134-P137)</f>
        <v/>
      </c>
      <c r="Q138" s="19">
        <f>i_tax*MAX(0,Q134-Q137)</f>
        <v/>
      </c>
      <c r="R138" s="19">
        <f>i_tax*MAX(0,R134-R137)</f>
        <v/>
      </c>
      <c r="S138" s="19">
        <f>i_tax*MAX(0,S134-S137)</f>
        <v/>
      </c>
      <c r="T138" s="19">
        <f>i_tax*MAX(0,T134-T137)</f>
        <v/>
      </c>
      <c r="U138" s="19">
        <f>i_tax*MAX(0,U134-U137)</f>
        <v/>
      </c>
      <c r="V138" s="19">
        <f>i_tax*MAX(0,V134-V137)</f>
        <v/>
      </c>
      <c r="W138" s="19">
        <f>i_tax*MAX(0,W134-W137)</f>
        <v/>
      </c>
      <c r="X138" s="19">
        <f>i_tax*MAX(0,X134-X137)</f>
        <v/>
      </c>
      <c r="Y138" s="19">
        <f>i_tax*MAX(0,Y134-Y137)</f>
        <v/>
      </c>
      <c r="Z138" s="19">
        <f>i_tax*MAX(0,Z134-Z137)</f>
        <v/>
      </c>
      <c r="AA138" s="19">
        <f>i_tax*MAX(0,AA134-AA137)</f>
        <v/>
      </c>
      <c r="AB138" s="19">
        <f>i_tax*MAX(0,AB134-AB137)</f>
        <v/>
      </c>
      <c r="AC138" s="19">
        <f>i_tax*MAX(0,AC134-AC137)</f>
        <v/>
      </c>
      <c r="AD138" s="19">
        <f>i_tax*MAX(0,AD134-AD137)</f>
        <v/>
      </c>
      <c r="AE138" s="19">
        <f>i_tax*MAX(0,AE134-AE137)</f>
        <v/>
      </c>
      <c r="AF138" s="19">
        <f>i_tax*MAX(0,AF134-AF137)</f>
        <v/>
      </c>
      <c r="AG138" s="19">
        <f>i_tax*MAX(0,AG134-AG137)</f>
        <v/>
      </c>
      <c r="AH138" s="19">
        <f>i_tax*MAX(0,AH134-AH137)</f>
        <v/>
      </c>
      <c r="AI138" s="19">
        <f>i_tax*MAX(0,AI134-AI137)</f>
        <v/>
      </c>
    </row>
    <row r="139">
      <c r="B139" s="2" t="inlineStr">
        <is>
          <t>Westerhaven handback works</t>
        </is>
      </c>
      <c r="D139" s="19">
        <f>IF(AND(Approvals!$C$49=0,D$3=i_conc_end),i_handback*D52,0)</f>
        <v/>
      </c>
      <c r="E139" s="19">
        <f>IF(AND(Approvals!$C$49=0,E$3=i_conc_end),i_handback*E52,0)</f>
        <v/>
      </c>
      <c r="F139" s="19">
        <f>IF(AND(Approvals!$C$49=0,F$3=i_conc_end),i_handback*F52,0)</f>
        <v/>
      </c>
      <c r="G139" s="19">
        <f>IF(AND(Approvals!$C$49=0,G$3=i_conc_end),i_handback*G52,0)</f>
        <v/>
      </c>
      <c r="H139" s="19">
        <f>IF(AND(Approvals!$C$49=0,H$3=i_conc_end),i_handback*H52,0)</f>
        <v/>
      </c>
      <c r="I139" s="19">
        <f>IF(AND(Approvals!$C$49=0,I$3=i_conc_end),i_handback*I52,0)</f>
        <v/>
      </c>
      <c r="J139" s="19">
        <f>IF(AND(Approvals!$C$49=0,J$3=i_conc_end),i_handback*J52,0)</f>
        <v/>
      </c>
      <c r="K139" s="19">
        <f>IF(AND(Approvals!$C$49=0,K$3=i_conc_end),i_handback*K52,0)</f>
        <v/>
      </c>
      <c r="L139" s="19">
        <f>IF(AND(Approvals!$C$49=0,L$3=i_conc_end),i_handback*L52,0)</f>
        <v/>
      </c>
      <c r="M139" s="19">
        <f>IF(AND(Approvals!$C$49=0,M$3=i_conc_end),i_handback*M52,0)</f>
        <v/>
      </c>
      <c r="N139" s="19">
        <f>IF(AND(Approvals!$C$49=0,N$3=i_conc_end),i_handback*N52,0)</f>
        <v/>
      </c>
      <c r="O139" s="19">
        <f>IF(AND(Approvals!$C$49=0,O$3=i_conc_end),i_handback*O52,0)</f>
        <v/>
      </c>
      <c r="P139" s="19">
        <f>IF(AND(Approvals!$C$49=0,P$3=i_conc_end),i_handback*P52,0)</f>
        <v/>
      </c>
      <c r="Q139" s="19">
        <f>IF(AND(Approvals!$C$49=0,Q$3=i_conc_end),i_handback*Q52,0)</f>
        <v/>
      </c>
      <c r="R139" s="19">
        <f>IF(AND(Approvals!$C$49=0,R$3=i_conc_end),i_handback*R52,0)</f>
        <v/>
      </c>
      <c r="S139" s="19">
        <f>IF(AND(Approvals!$C$49=0,S$3=i_conc_end),i_handback*S52,0)</f>
        <v/>
      </c>
      <c r="T139" s="19">
        <f>IF(AND(Approvals!$C$49=0,T$3=i_conc_end),i_handback*T52,0)</f>
        <v/>
      </c>
      <c r="U139" s="19">
        <f>IF(AND(Approvals!$C$49=0,U$3=i_conc_end),i_handback*U52,0)</f>
        <v/>
      </c>
      <c r="V139" s="19">
        <f>IF(AND(Approvals!$C$49=0,V$3=i_conc_end),i_handback*V52,0)</f>
        <v/>
      </c>
      <c r="W139" s="19">
        <f>IF(AND(Approvals!$C$49=0,W$3=i_conc_end),i_handback*W52,0)</f>
        <v/>
      </c>
      <c r="X139" s="19">
        <f>IF(AND(Approvals!$C$49=0,X$3=i_conc_end),i_handback*X52,0)</f>
        <v/>
      </c>
      <c r="Y139" s="19">
        <f>IF(AND(Approvals!$C$49=0,Y$3=i_conc_end),i_handback*Y52,0)</f>
        <v/>
      </c>
      <c r="Z139" s="19">
        <f>IF(AND(Approvals!$C$49=0,Z$3=i_conc_end),i_handback*Z52,0)</f>
        <v/>
      </c>
      <c r="AA139" s="19">
        <f>IF(AND(Approvals!$C$49=0,AA$3=i_conc_end),i_handback*AA52,0)</f>
        <v/>
      </c>
      <c r="AB139" s="19">
        <f>IF(AND(Approvals!$C$49=0,AB$3=i_conc_end),i_handback*AB52,0)</f>
        <v/>
      </c>
      <c r="AC139" s="19">
        <f>IF(AND(Approvals!$C$49=0,AC$3=i_conc_end),i_handback*AC52,0)</f>
        <v/>
      </c>
      <c r="AD139" s="19">
        <f>IF(AND(Approvals!$C$49=0,AD$3=i_conc_end),i_handback*AD52,0)</f>
        <v/>
      </c>
      <c r="AE139" s="19">
        <f>IF(AND(Approvals!$C$49=0,AE$3=i_conc_end),i_handback*AE52,0)</f>
        <v/>
      </c>
      <c r="AF139" s="19">
        <f>IF(AND(Approvals!$C$49=0,AF$3=i_conc_end),i_handback*AF52,0)</f>
        <v/>
      </c>
      <c r="AG139" s="19">
        <f>IF(AND(Approvals!$C$49=0,AG$3=i_conc_end),i_handback*AG52,0)</f>
        <v/>
      </c>
      <c r="AH139" s="19">
        <f>IF(AND(Approvals!$C$49=0,AH$3=i_conc_end),i_handback*AH52,0)</f>
        <v/>
      </c>
      <c r="AI139" s="19">
        <f>IF(AND(Approvals!$C$49=0,AI$3=i_conc_end),i_handback*AI52,0)</f>
        <v/>
      </c>
    </row>
    <row r="140">
      <c r="B140" s="3" t="inlineStr">
        <is>
          <t>Free cash flow (unlevered)</t>
        </is>
      </c>
      <c r="D140" s="31">
        <f>D134-D135-D136-D138-D139</f>
        <v/>
      </c>
      <c r="E140" s="31">
        <f>E134-E135-E136-E138-E139</f>
        <v/>
      </c>
      <c r="F140" s="31">
        <f>F134-F135-F136-F138-F139</f>
        <v/>
      </c>
      <c r="G140" s="31">
        <f>G134-G135-G136-G138-G139</f>
        <v/>
      </c>
      <c r="H140" s="31">
        <f>H134-H135-H136-H138-H139</f>
        <v/>
      </c>
      <c r="I140" s="31">
        <f>I134-I135-I136-I138-I139</f>
        <v/>
      </c>
      <c r="J140" s="31">
        <f>J134-J135-J136-J138-J139</f>
        <v/>
      </c>
      <c r="K140" s="31">
        <f>K134-K135-K136-K138-K139</f>
        <v/>
      </c>
      <c r="L140" s="31">
        <f>L134-L135-L136-L138-L139</f>
        <v/>
      </c>
      <c r="M140" s="31">
        <f>M134-M135-M136-M138-M139</f>
        <v/>
      </c>
      <c r="N140" s="31">
        <f>N134-N135-N136-N138-N139</f>
        <v/>
      </c>
      <c r="O140" s="31">
        <f>O134-O135-O136-O138-O139</f>
        <v/>
      </c>
      <c r="P140" s="31">
        <f>P134-P135-P136-P138-P139</f>
        <v/>
      </c>
      <c r="Q140" s="31">
        <f>Q134-Q135-Q136-Q138-Q139</f>
        <v/>
      </c>
      <c r="R140" s="31">
        <f>R134-R135-R136-R138-R139</f>
        <v/>
      </c>
      <c r="S140" s="31">
        <f>S134-S135-S136-S138-S139</f>
        <v/>
      </c>
      <c r="T140" s="31">
        <f>T134-T135-T136-T138-T139</f>
        <v/>
      </c>
      <c r="U140" s="31">
        <f>U134-U135-U136-U138-U139</f>
        <v/>
      </c>
      <c r="V140" s="31">
        <f>V134-V135-V136-V138-V139</f>
        <v/>
      </c>
      <c r="W140" s="31">
        <f>W134-W135-W136-W138-W139</f>
        <v/>
      </c>
      <c r="X140" s="31">
        <f>X134-X135-X136-X138-X139</f>
        <v/>
      </c>
      <c r="Y140" s="31">
        <f>Y134-Y135-Y136-Y138-Y139</f>
        <v/>
      </c>
      <c r="Z140" s="31">
        <f>Z134-Z135-Z136-Z138-Z139</f>
        <v/>
      </c>
      <c r="AA140" s="31">
        <f>AA134-AA135-AA136-AA138-AA139</f>
        <v/>
      </c>
      <c r="AB140" s="31">
        <f>AB134-AB135-AB136-AB138-AB139</f>
        <v/>
      </c>
      <c r="AC140" s="31">
        <f>AC134-AC135-AC136-AC138-AC139</f>
        <v/>
      </c>
      <c r="AD140" s="31">
        <f>AD134-AD135-AD136-AD138-AD139</f>
        <v/>
      </c>
      <c r="AE140" s="31">
        <f>AE134-AE135-AE136-AE138-AE139</f>
        <v/>
      </c>
      <c r="AF140" s="31">
        <f>AF134-AF135-AF136-AF138-AF139</f>
        <v/>
      </c>
      <c r="AG140" s="31">
        <f>AG134-AG135-AG136-AG138-AG139</f>
        <v/>
      </c>
      <c r="AH140" s="31">
        <f>AH134-AH135-AH136-AH138-AH139</f>
        <v/>
      </c>
      <c r="AI140" s="31">
        <f>AI134-AI135-AI136-AI138-AI139</f>
        <v/>
      </c>
    </row>
    <row r="141">
      <c r="B141" s="2" t="inlineStr">
        <is>
          <t>Present value at the discount rate (2027 to 2056)</t>
        </is>
      </c>
      <c r="D141" s="19">
        <f>IF(AND(D$3&gt;i_base_year,D$3&lt;=i_last),D140/(1+i_r)^D$4,0)</f>
        <v/>
      </c>
      <c r="E141" s="19">
        <f>IF(AND(E$3&gt;i_base_year,E$3&lt;=i_last),E140/(1+i_r)^E$4,0)</f>
        <v/>
      </c>
      <c r="F141" s="19">
        <f>IF(AND(F$3&gt;i_base_year,F$3&lt;=i_last),F140/(1+i_r)^F$4,0)</f>
        <v/>
      </c>
      <c r="G141" s="19">
        <f>IF(AND(G$3&gt;i_base_year,G$3&lt;=i_last),G140/(1+i_r)^G$4,0)</f>
        <v/>
      </c>
      <c r="H141" s="19">
        <f>IF(AND(H$3&gt;i_base_year,H$3&lt;=i_last),H140/(1+i_r)^H$4,0)</f>
        <v/>
      </c>
      <c r="I141" s="19">
        <f>IF(AND(I$3&gt;i_base_year,I$3&lt;=i_last),I140/(1+i_r)^I$4,0)</f>
        <v/>
      </c>
      <c r="J141" s="19">
        <f>IF(AND(J$3&gt;i_base_year,J$3&lt;=i_last),J140/(1+i_r)^J$4,0)</f>
        <v/>
      </c>
      <c r="K141" s="19">
        <f>IF(AND(K$3&gt;i_base_year,K$3&lt;=i_last),K140/(1+i_r)^K$4,0)</f>
        <v/>
      </c>
      <c r="L141" s="19">
        <f>IF(AND(L$3&gt;i_base_year,L$3&lt;=i_last),L140/(1+i_r)^L$4,0)</f>
        <v/>
      </c>
      <c r="M141" s="19">
        <f>IF(AND(M$3&gt;i_base_year,M$3&lt;=i_last),M140/(1+i_r)^M$4,0)</f>
        <v/>
      </c>
      <c r="N141" s="19">
        <f>IF(AND(N$3&gt;i_base_year,N$3&lt;=i_last),N140/(1+i_r)^N$4,0)</f>
        <v/>
      </c>
      <c r="O141" s="19">
        <f>IF(AND(O$3&gt;i_base_year,O$3&lt;=i_last),O140/(1+i_r)^O$4,0)</f>
        <v/>
      </c>
      <c r="P141" s="19">
        <f>IF(AND(P$3&gt;i_base_year,P$3&lt;=i_last),P140/(1+i_r)^P$4,0)</f>
        <v/>
      </c>
      <c r="Q141" s="19">
        <f>IF(AND(Q$3&gt;i_base_year,Q$3&lt;=i_last),Q140/(1+i_r)^Q$4,0)</f>
        <v/>
      </c>
      <c r="R141" s="19">
        <f>IF(AND(R$3&gt;i_base_year,R$3&lt;=i_last),R140/(1+i_r)^R$4,0)</f>
        <v/>
      </c>
      <c r="S141" s="19">
        <f>IF(AND(S$3&gt;i_base_year,S$3&lt;=i_last),S140/(1+i_r)^S$4,0)</f>
        <v/>
      </c>
      <c r="T141" s="19">
        <f>IF(AND(T$3&gt;i_base_year,T$3&lt;=i_last),T140/(1+i_r)^T$4,0)</f>
        <v/>
      </c>
      <c r="U141" s="19">
        <f>IF(AND(U$3&gt;i_base_year,U$3&lt;=i_last),U140/(1+i_r)^U$4,0)</f>
        <v/>
      </c>
      <c r="V141" s="19">
        <f>IF(AND(V$3&gt;i_base_year,V$3&lt;=i_last),V140/(1+i_r)^V$4,0)</f>
        <v/>
      </c>
      <c r="W141" s="19">
        <f>IF(AND(W$3&gt;i_base_year,W$3&lt;=i_last),W140/(1+i_r)^W$4,0)</f>
        <v/>
      </c>
      <c r="X141" s="19">
        <f>IF(AND(X$3&gt;i_base_year,X$3&lt;=i_last),X140/(1+i_r)^X$4,0)</f>
        <v/>
      </c>
      <c r="Y141" s="19">
        <f>IF(AND(Y$3&gt;i_base_year,Y$3&lt;=i_last),Y140/(1+i_r)^Y$4,0)</f>
        <v/>
      </c>
      <c r="Z141" s="19">
        <f>IF(AND(Z$3&gt;i_base_year,Z$3&lt;=i_last),Z140/(1+i_r)^Z$4,0)</f>
        <v/>
      </c>
      <c r="AA141" s="19">
        <f>IF(AND(AA$3&gt;i_base_year,AA$3&lt;=i_last),AA140/(1+i_r)^AA$4,0)</f>
        <v/>
      </c>
      <c r="AB141" s="19">
        <f>IF(AND(AB$3&gt;i_base_year,AB$3&lt;=i_last),AB140/(1+i_r)^AB$4,0)</f>
        <v/>
      </c>
      <c r="AC141" s="19">
        <f>IF(AND(AC$3&gt;i_base_year,AC$3&lt;=i_last),AC140/(1+i_r)^AC$4,0)</f>
        <v/>
      </c>
      <c r="AD141" s="19">
        <f>IF(AND(AD$3&gt;i_base_year,AD$3&lt;=i_last),AD140/(1+i_r)^AD$4,0)</f>
        <v/>
      </c>
      <c r="AE141" s="19">
        <f>IF(AND(AE$3&gt;i_base_year,AE$3&lt;=i_last),AE140/(1+i_r)^AE$4,0)</f>
        <v/>
      </c>
      <c r="AF141" s="19">
        <f>IF(AND(AF$3&gt;i_base_year,AF$3&lt;=i_last),AF140/(1+i_r)^AF$4,0)</f>
        <v/>
      </c>
      <c r="AG141" s="19">
        <f>IF(AND(AG$3&gt;i_base_year,AG$3&lt;=i_last),AG140/(1+i_r)^AG$4,0)</f>
        <v/>
      </c>
      <c r="AH141" s="19">
        <f>IF(AND(AH$3&gt;i_base_year,AH$3&lt;=i_last),AH140/(1+i_r)^AH$4,0)</f>
        <v/>
      </c>
      <c r="AI141" s="19">
        <f>IF(AND(AI$3&gt;i_base_year,AI$3&lt;=i_last),AI140/(1+i_r)^AI$4,0)</f>
        <v/>
      </c>
    </row>
    <row r="142">
      <c r="B142" s="2" t="inlineStr">
        <is>
          <t>Present value of 2027 to 2056 free cash flow</t>
        </is>
      </c>
      <c r="C142" s="19">
        <f>SUM(D141:AI141)</f>
        <v/>
      </c>
    </row>
    <row r="143">
      <c r="B143" s="2" t="inlineStr">
        <is>
          <t>Terminal value at the end of 2056 (on 2057 free cash flow)</t>
        </is>
      </c>
      <c r="C143" s="19">
        <f>AI140/(i_r-i_g)</f>
        <v/>
      </c>
    </row>
    <row r="144">
      <c r="B144" s="2" t="inlineStr">
        <is>
          <t>Present value of the terminal value</t>
        </is>
      </c>
      <c r="C144" s="19">
        <f>C143/(1+i_r)^(i_last-i_base_year)</f>
        <v/>
      </c>
    </row>
    <row r="145">
      <c r="B145" s="3" t="inlineStr">
        <is>
          <t>Enterprise value at 31 December 2026</t>
        </is>
      </c>
      <c r="C145" s="31">
        <f>C142+C144</f>
        <v/>
      </c>
    </row>
    <row r="148">
      <c r="B148" s="5" t="inlineStr">
        <is>
          <t>Deal: base: 30 September 2027</t>
        </is>
      </c>
    </row>
    <row r="149">
      <c r="B149" s="4" t="inlineStr">
        <is>
          <t>Enterprise value at 31 December 2026</t>
        </is>
      </c>
      <c r="C149" s="29">
        <f>i_bid_ev</f>
        <v/>
      </c>
    </row>
    <row r="150">
      <c r="B150" s="4" t="inlineStr">
        <is>
          <t>Closing (years after 31 December 2026)</t>
        </is>
      </c>
      <c r="C150" s="28">
        <f>Inputs!$C$201</f>
        <v/>
      </c>
    </row>
    <row r="151">
      <c r="B151" s="4" t="inlineStr">
        <is>
          <t>Staple financing (1) or own debt (0)</t>
        </is>
      </c>
      <c r="C151" s="26">
        <f>0</f>
        <v/>
      </c>
    </row>
    <row r="152">
      <c r="B152" s="4" t="inlineStr">
        <is>
          <t>Minority sale in 2031 (1) or full exit (0)</t>
        </is>
      </c>
      <c r="C152" s="26">
        <f>0</f>
        <v/>
      </c>
    </row>
    <row r="153">
      <c r="B153" s="4" t="inlineStr">
        <is>
          <t>Exit discount rate</t>
        </is>
      </c>
      <c r="C153" s="38">
        <f>i_r_exit</f>
        <v/>
      </c>
    </row>
    <row r="154">
      <c r="B154" s="4" t="inlineStr">
        <is>
          <t>Change in the opco rate at refinancing</t>
        </is>
      </c>
      <c r="C154" s="38">
        <f>i_refi_shift</f>
        <v/>
      </c>
    </row>
    <row r="155">
      <c r="B155" s="2" t="inlineStr">
        <is>
          <t>Enterprise value</t>
        </is>
      </c>
      <c r="C155" s="19">
        <f>Approvals!$C$149</f>
        <v/>
      </c>
    </row>
    <row r="156">
      <c r="B156" s="2" t="inlineStr">
        <is>
          <t>less existing financial debt (term loan and notes)</t>
        </is>
      </c>
      <c r="C156" s="19">
        <f>i_old_tl+i_old_notes</f>
        <v/>
      </c>
    </row>
    <row r="157">
      <c r="B157" s="2" t="inlineStr">
        <is>
          <t>less make-whole on the notes</t>
        </is>
      </c>
      <c r="C157" s="19">
        <f>i_make_whole</f>
        <v/>
      </c>
    </row>
    <row r="158">
      <c r="B158" s="2" t="inlineStr">
        <is>
          <t>less debt-like items (pension, accrued capex, 2026 tax)</t>
        </is>
      </c>
      <c r="C158" s="19">
        <f>i_pension+i_def_capex+i_acc_tax</f>
        <v/>
      </c>
    </row>
    <row r="159">
      <c r="B159" s="2" t="inlineStr">
        <is>
          <t>plus cash at the locked box date</t>
        </is>
      </c>
      <c r="C159" s="19">
        <f>i_lb_cash</f>
        <v/>
      </c>
    </row>
    <row r="160">
      <c r="B160" s="2" t="inlineStr">
        <is>
          <t>less permitted leakage</t>
        </is>
      </c>
      <c r="C160" s="19">
        <f>i_permitted_leak</f>
        <v/>
      </c>
    </row>
    <row r="161">
      <c r="B161" s="3" t="inlineStr">
        <is>
          <t>Equity price (shares and shareholder loan)</t>
        </is>
      </c>
      <c r="C161" s="31">
        <f>Approvals!$C$155-Approvals!$C$156-Approvals!$C$157-Approvals!$C$158+Approvals!$C$159-Approvals!$C$160</f>
        <v/>
      </c>
    </row>
    <row r="162">
      <c r="B162" s="2" t="inlineStr">
        <is>
          <t xml:space="preserve">  of which shareholder loan at face value</t>
        </is>
      </c>
      <c r="C162" s="19">
        <f>i_shl</f>
        <v/>
      </c>
    </row>
    <row r="163">
      <c r="B163" s="2" t="inlineStr">
        <is>
          <t xml:space="preserve">  of which shares</t>
        </is>
      </c>
      <c r="C163" s="19">
        <f>Approvals!$C$161-Approvals!$C$162</f>
        <v/>
      </c>
    </row>
    <row r="164">
      <c r="B164" s="2" t="inlineStr">
        <is>
          <t>Ticking fee to closing</t>
        </is>
      </c>
      <c r="C164" s="19">
        <f>Approvals!$C$161*i_ticking*Approvals!$C$150</f>
        <v/>
      </c>
    </row>
    <row r="165">
      <c r="B165" s="2" t="inlineStr">
        <is>
          <t>Share of the year before closing (box period)</t>
        </is>
      </c>
      <c r="D165" s="24">
        <f>IF(D$4&lt;1,0,MAX(0,MIN(1,Approvals!$C$150-(D$4-1))))</f>
        <v/>
      </c>
      <c r="E165" s="24">
        <f>IF(E$4&lt;1,0,MAX(0,MIN(1,Approvals!$C$150-(E$4-1))))</f>
        <v/>
      </c>
      <c r="F165" s="24">
        <f>IF(F$4&lt;1,0,MAX(0,MIN(1,Approvals!$C$150-(F$4-1))))</f>
        <v/>
      </c>
      <c r="G165" s="24">
        <f>IF(G$4&lt;1,0,MAX(0,MIN(1,Approvals!$C$150-(G$4-1))))</f>
        <v/>
      </c>
      <c r="H165" s="24">
        <f>IF(H$4&lt;1,0,MAX(0,MIN(1,Approvals!$C$150-(H$4-1))))</f>
        <v/>
      </c>
      <c r="I165" s="24">
        <f>IF(I$4&lt;1,0,MAX(0,MIN(1,Approvals!$C$150-(I$4-1))))</f>
        <v/>
      </c>
      <c r="J165" s="24">
        <f>IF(J$4&lt;1,0,MAX(0,MIN(1,Approvals!$C$150-(J$4-1))))</f>
        <v/>
      </c>
      <c r="K165" s="24">
        <f>IF(K$4&lt;1,0,MAX(0,MIN(1,Approvals!$C$150-(K$4-1))))</f>
        <v/>
      </c>
      <c r="L165" s="24">
        <f>IF(L$4&lt;1,0,MAX(0,MIN(1,Approvals!$C$150-(L$4-1))))</f>
        <v/>
      </c>
      <c r="M165" s="24">
        <f>IF(M$4&lt;1,0,MAX(0,MIN(1,Approvals!$C$150-(M$4-1))))</f>
        <v/>
      </c>
      <c r="N165" s="24">
        <f>IF(N$4&lt;1,0,MAX(0,MIN(1,Approvals!$C$150-(N$4-1))))</f>
        <v/>
      </c>
      <c r="O165" s="24">
        <f>IF(O$4&lt;1,0,MAX(0,MIN(1,Approvals!$C$150-(O$4-1))))</f>
        <v/>
      </c>
      <c r="P165" s="24">
        <f>IF(P$4&lt;1,0,MAX(0,MIN(1,Approvals!$C$150-(P$4-1))))</f>
        <v/>
      </c>
      <c r="Q165" s="24">
        <f>IF(Q$4&lt;1,0,MAX(0,MIN(1,Approvals!$C$150-(Q$4-1))))</f>
        <v/>
      </c>
      <c r="R165" s="24">
        <f>IF(R$4&lt;1,0,MAX(0,MIN(1,Approvals!$C$150-(R$4-1))))</f>
        <v/>
      </c>
      <c r="S165" s="24">
        <f>IF(S$4&lt;1,0,MAX(0,MIN(1,Approvals!$C$150-(S$4-1))))</f>
        <v/>
      </c>
      <c r="T165" s="24">
        <f>IF(T$4&lt;1,0,MAX(0,MIN(1,Approvals!$C$150-(T$4-1))))</f>
        <v/>
      </c>
      <c r="U165" s="24">
        <f>IF(U$4&lt;1,0,MAX(0,MIN(1,Approvals!$C$150-(U$4-1))))</f>
        <v/>
      </c>
      <c r="V165" s="24">
        <f>IF(V$4&lt;1,0,MAX(0,MIN(1,Approvals!$C$150-(V$4-1))))</f>
        <v/>
      </c>
      <c r="W165" s="24">
        <f>IF(W$4&lt;1,0,MAX(0,MIN(1,Approvals!$C$150-(W$4-1))))</f>
        <v/>
      </c>
      <c r="X165" s="24">
        <f>IF(X$4&lt;1,0,MAX(0,MIN(1,Approvals!$C$150-(X$4-1))))</f>
        <v/>
      </c>
      <c r="Y165" s="24">
        <f>IF(Y$4&lt;1,0,MAX(0,MIN(1,Approvals!$C$150-(Y$4-1))))</f>
        <v/>
      </c>
      <c r="Z165" s="24">
        <f>IF(Z$4&lt;1,0,MAX(0,MIN(1,Approvals!$C$150-(Z$4-1))))</f>
        <v/>
      </c>
      <c r="AA165" s="24">
        <f>IF(AA$4&lt;1,0,MAX(0,MIN(1,Approvals!$C$150-(AA$4-1))))</f>
        <v/>
      </c>
      <c r="AB165" s="24">
        <f>IF(AB$4&lt;1,0,MAX(0,MIN(1,Approvals!$C$150-(AB$4-1))))</f>
        <v/>
      </c>
      <c r="AC165" s="24">
        <f>IF(AC$4&lt;1,0,MAX(0,MIN(1,Approvals!$C$150-(AC$4-1))))</f>
        <v/>
      </c>
      <c r="AD165" s="24">
        <f>IF(AD$4&lt;1,0,MAX(0,MIN(1,Approvals!$C$150-(AD$4-1))))</f>
        <v/>
      </c>
      <c r="AE165" s="24">
        <f>IF(AE$4&lt;1,0,MAX(0,MIN(1,Approvals!$C$150-(AE$4-1))))</f>
        <v/>
      </c>
      <c r="AF165" s="24">
        <f>IF(AF$4&lt;1,0,MAX(0,MIN(1,Approvals!$C$150-(AF$4-1))))</f>
        <v/>
      </c>
      <c r="AG165" s="24">
        <f>IF(AG$4&lt;1,0,MAX(0,MIN(1,Approvals!$C$150-(AG$4-1))))</f>
        <v/>
      </c>
      <c r="AH165" s="24">
        <f>IF(AH$4&lt;1,0,MAX(0,MIN(1,Approvals!$C$150-(AH$4-1))))</f>
        <v/>
      </c>
      <c r="AI165" s="24">
        <f>IF(AI$4&lt;1,0,MAX(0,MIN(1,Approvals!$C$150-(AI$4-1))))</f>
        <v/>
      </c>
    </row>
    <row r="166">
      <c r="B166" s="2" t="inlineStr">
        <is>
          <t>Box cash: free cash flow less interest on the old debt</t>
        </is>
      </c>
      <c r="D166" s="19">
        <f>D165*(Diligence!D145-i_old_rate*(i_old_tl+i_old_notes))</f>
        <v/>
      </c>
      <c r="E166" s="19">
        <f>E165*(Diligence!E145-i_old_rate*(i_old_tl+i_old_notes))</f>
        <v/>
      </c>
      <c r="F166" s="19">
        <f>F165*(Diligence!F145-i_old_rate*(i_old_tl+i_old_notes))</f>
        <v/>
      </c>
      <c r="G166" s="19">
        <f>G165*(Diligence!G145-i_old_rate*(i_old_tl+i_old_notes))</f>
        <v/>
      </c>
      <c r="H166" s="19">
        <f>H165*(Diligence!H145-i_old_rate*(i_old_tl+i_old_notes))</f>
        <v/>
      </c>
      <c r="I166" s="19">
        <f>I165*(Diligence!I145-i_old_rate*(i_old_tl+i_old_notes))</f>
        <v/>
      </c>
      <c r="J166" s="19">
        <f>J165*(Diligence!J145-i_old_rate*(i_old_tl+i_old_notes))</f>
        <v/>
      </c>
      <c r="K166" s="19">
        <f>K165*(Diligence!K145-i_old_rate*(i_old_tl+i_old_notes))</f>
        <v/>
      </c>
      <c r="L166" s="19">
        <f>L165*(Diligence!L145-i_old_rate*(i_old_tl+i_old_notes))</f>
        <v/>
      </c>
      <c r="M166" s="19">
        <f>M165*(Diligence!M145-i_old_rate*(i_old_tl+i_old_notes))</f>
        <v/>
      </c>
      <c r="N166" s="19">
        <f>N165*(Diligence!N145-i_old_rate*(i_old_tl+i_old_notes))</f>
        <v/>
      </c>
      <c r="O166" s="19">
        <f>O165*(Diligence!O145-i_old_rate*(i_old_tl+i_old_notes))</f>
        <v/>
      </c>
      <c r="P166" s="19">
        <f>P165*(Diligence!P145-i_old_rate*(i_old_tl+i_old_notes))</f>
        <v/>
      </c>
      <c r="Q166" s="19">
        <f>Q165*(Diligence!Q145-i_old_rate*(i_old_tl+i_old_notes))</f>
        <v/>
      </c>
      <c r="R166" s="19">
        <f>R165*(Diligence!R145-i_old_rate*(i_old_tl+i_old_notes))</f>
        <v/>
      </c>
      <c r="S166" s="19">
        <f>S165*(Diligence!S145-i_old_rate*(i_old_tl+i_old_notes))</f>
        <v/>
      </c>
      <c r="T166" s="19">
        <f>T165*(Diligence!T145-i_old_rate*(i_old_tl+i_old_notes))</f>
        <v/>
      </c>
      <c r="U166" s="19">
        <f>U165*(Diligence!U145-i_old_rate*(i_old_tl+i_old_notes))</f>
        <v/>
      </c>
      <c r="V166" s="19">
        <f>V165*(Diligence!V145-i_old_rate*(i_old_tl+i_old_notes))</f>
        <v/>
      </c>
      <c r="W166" s="19">
        <f>W165*(Diligence!W145-i_old_rate*(i_old_tl+i_old_notes))</f>
        <v/>
      </c>
      <c r="X166" s="19">
        <f>X165*(Diligence!X145-i_old_rate*(i_old_tl+i_old_notes))</f>
        <v/>
      </c>
      <c r="Y166" s="19">
        <f>Y165*(Diligence!Y145-i_old_rate*(i_old_tl+i_old_notes))</f>
        <v/>
      </c>
      <c r="Z166" s="19">
        <f>Z165*(Diligence!Z145-i_old_rate*(i_old_tl+i_old_notes))</f>
        <v/>
      </c>
      <c r="AA166" s="19">
        <f>AA165*(Diligence!AA145-i_old_rate*(i_old_tl+i_old_notes))</f>
        <v/>
      </c>
      <c r="AB166" s="19">
        <f>AB165*(Diligence!AB145-i_old_rate*(i_old_tl+i_old_notes))</f>
        <v/>
      </c>
      <c r="AC166" s="19">
        <f>AC165*(Diligence!AC145-i_old_rate*(i_old_tl+i_old_notes))</f>
        <v/>
      </c>
      <c r="AD166" s="19">
        <f>AD165*(Diligence!AD145-i_old_rate*(i_old_tl+i_old_notes))</f>
        <v/>
      </c>
      <c r="AE166" s="19">
        <f>AE165*(Diligence!AE145-i_old_rate*(i_old_tl+i_old_notes))</f>
        <v/>
      </c>
      <c r="AF166" s="19">
        <f>AF165*(Diligence!AF145-i_old_rate*(i_old_tl+i_old_notes))</f>
        <v/>
      </c>
      <c r="AG166" s="19">
        <f>AG165*(Diligence!AG145-i_old_rate*(i_old_tl+i_old_notes))</f>
        <v/>
      </c>
      <c r="AH166" s="19">
        <f>AH165*(Diligence!AH145-i_old_rate*(i_old_tl+i_old_notes))</f>
        <v/>
      </c>
      <c r="AI166" s="19">
        <f>AI165*(Diligence!AI145-i_old_rate*(i_old_tl+i_old_notes))</f>
        <v/>
      </c>
    </row>
    <row r="167">
      <c r="B167" s="2" t="inlineStr">
        <is>
          <t>Box cash generated from 1 January 2027 to closing</t>
        </is>
      </c>
      <c r="C167" s="19">
        <f>SUM(Approvals!D166:AI166)</f>
        <v/>
      </c>
    </row>
    <row r="168">
      <c r="B168" s="2" t="inlineStr">
        <is>
          <t>Cash in the company at closing</t>
        </is>
      </c>
      <c r="C168" s="19">
        <f>Approvals!$C$159-Approvals!$C$160+Approvals!$C$167</f>
        <v/>
      </c>
    </row>
    <row r="169">
      <c r="B169" s="2" t="inlineStr">
        <is>
          <t>Cash used at closing (above operating cash)</t>
        </is>
      </c>
      <c r="C169" s="19">
        <f>Approvals!$C$168-i_min_cash</f>
        <v/>
      </c>
    </row>
    <row r="171">
      <c r="B171" s="3" t="inlineStr">
        <is>
          <t>Sources and uses at closing</t>
        </is>
      </c>
    </row>
    <row r="172">
      <c r="B172" s="2" t="inlineStr">
        <is>
          <t>EBITDA 2026 (sizing basis)</t>
        </is>
      </c>
      <c r="C172" s="19">
        <f>Diligence!$D$139</f>
        <v/>
      </c>
    </row>
    <row r="173">
      <c r="B173" s="2" t="inlineStr">
        <is>
          <t>Opco multiple of 2026 EBITDA</t>
        </is>
      </c>
      <c r="C173" s="37">
        <f>IF(Approvals!$C$151=1,i_staple_x,i_opco_x)</f>
        <v/>
      </c>
    </row>
    <row r="174">
      <c r="B174" s="2" t="inlineStr">
        <is>
          <t>Opco rate</t>
        </is>
      </c>
      <c r="C174" s="23">
        <f>IF(Approvals!$C$151=1,i_staple_rate,i_opco_rate)</f>
        <v/>
      </c>
    </row>
    <row r="175">
      <c r="B175" s="2" t="inlineStr">
        <is>
          <t>Opco fees</t>
        </is>
      </c>
      <c r="C175" s="23">
        <f>IF(Approvals!$C$151=1,i_staple_fee,i_opco_fee)</f>
        <v/>
      </c>
    </row>
    <row r="176">
      <c r="B176" s="2" t="inlineStr">
        <is>
          <t>Opco senior debt (whole $ million)</t>
        </is>
      </c>
      <c r="C176" s="19">
        <f>ROUND(Approvals!$C$173*Approvals!$C$172,0)</f>
        <v/>
      </c>
    </row>
    <row r="177">
      <c r="B177" s="2" t="inlineStr">
        <is>
          <t>Holdco debt (whole $ million)</t>
        </is>
      </c>
      <c r="C177" s="19">
        <f>ROUND(i_hold_x*Approvals!$C$172,0)</f>
        <v/>
      </c>
    </row>
    <row r="178">
      <c r="B178" s="2" t="inlineStr">
        <is>
          <t>W&amp;I premium with insurance premium tax</t>
        </is>
      </c>
      <c r="C178" s="35">
        <f>i_wi_limit_pct*Approvals!$C$155*i_wi_rol*(1+i_wi_ipt)</f>
        <v/>
      </c>
    </row>
    <row r="179">
      <c r="B179" s="2" t="inlineStr">
        <is>
          <t>HSR filing fee (on the equity price)</t>
        </is>
      </c>
      <c r="C179" s="39">
        <f>IF(Approvals!$C$161&lt;INDEX(i_hsr_lo,1),0,LOOKUP(Approvals!$C$161,i_hsr_lo,i_hsr_fee))</f>
        <v/>
      </c>
    </row>
    <row r="180">
      <c r="B180" s="2" t="inlineStr">
        <is>
          <t>Transaction costs (advisers, W&amp;I, HSR)</t>
        </is>
      </c>
      <c r="C180" s="19">
        <f>i_costs_adv+Approvals!$C$178+Approvals!$C$179</f>
        <v/>
      </c>
    </row>
    <row r="181">
      <c r="B181" s="2" t="inlineStr">
        <is>
          <t>Financing fees</t>
        </is>
      </c>
      <c r="C181" s="19">
        <f>Approvals!$C$175*Approvals!$C$176+i_hold_fee*Approvals!$C$177</f>
        <v/>
      </c>
    </row>
    <row r="182">
      <c r="B182" s="2" t="inlineStr">
        <is>
          <t>Commitment fees, signing to closing</t>
        </is>
      </c>
      <c r="C182" s="19">
        <f>i_commit_fee*(Approvals!$C$176+Approvals!$C$177)*MAX(0,Approvals!$C$150-i_t_sign)</f>
        <v/>
      </c>
    </row>
    <row r="183">
      <c r="B183" s="3" t="inlineStr">
        <is>
          <t>Uses</t>
        </is>
      </c>
    </row>
    <row r="184">
      <c r="B184" s="2" t="inlineStr">
        <is>
          <t xml:space="preserve">  Equity price</t>
        </is>
      </c>
      <c r="C184" s="19">
        <f>Approvals!$C$161</f>
        <v/>
      </c>
    </row>
    <row r="185">
      <c r="B185" s="2" t="inlineStr">
        <is>
          <t xml:space="preserve">  Ticking fee</t>
        </is>
      </c>
      <c r="C185" s="19">
        <f>Approvals!$C$164</f>
        <v/>
      </c>
    </row>
    <row r="186">
      <c r="B186" s="2" t="inlineStr">
        <is>
          <t xml:space="preserve">  Repayment of existing debt and make-whole</t>
        </is>
      </c>
      <c r="C186" s="19">
        <f>Approvals!$C$156+Approvals!$C$157</f>
        <v/>
      </c>
    </row>
    <row r="187">
      <c r="B187" s="2" t="inlineStr">
        <is>
          <t xml:space="preserve">  Debt-like items settled</t>
        </is>
      </c>
      <c r="C187" s="19">
        <f>Approvals!$C$158</f>
        <v/>
      </c>
    </row>
    <row r="188">
      <c r="B188" s="2" t="inlineStr">
        <is>
          <t xml:space="preserve">  Transaction costs</t>
        </is>
      </c>
      <c r="C188" s="19">
        <f>Approvals!$C$180</f>
        <v/>
      </c>
    </row>
    <row r="189">
      <c r="B189" s="2" t="inlineStr">
        <is>
          <t xml:space="preserve">  Financing fees</t>
        </is>
      </c>
      <c r="C189" s="19">
        <f>Approvals!$C$181</f>
        <v/>
      </c>
    </row>
    <row r="190">
      <c r="B190" s="2" t="inlineStr">
        <is>
          <t xml:space="preserve">  Commitment fees</t>
        </is>
      </c>
      <c r="C190" s="19">
        <f>Approvals!$C$182</f>
        <v/>
      </c>
    </row>
    <row r="191">
      <c r="B191" s="3" t="inlineStr">
        <is>
          <t>Total uses</t>
        </is>
      </c>
      <c r="C191" s="31">
        <f>SUM(C184:C190)</f>
        <v/>
      </c>
    </row>
    <row r="192">
      <c r="B192" s="3" t="inlineStr">
        <is>
          <t>Sources</t>
        </is>
      </c>
    </row>
    <row r="193">
      <c r="B193" s="2" t="inlineStr">
        <is>
          <t xml:space="preserve">  Opco senior debt</t>
        </is>
      </c>
      <c r="C193" s="19">
        <f>Approvals!$C$176</f>
        <v/>
      </c>
    </row>
    <row r="194">
      <c r="B194" s="2" t="inlineStr">
        <is>
          <t xml:space="preserve">  Holdco debt</t>
        </is>
      </c>
      <c r="C194" s="19">
        <f>Approvals!$C$177</f>
        <v/>
      </c>
    </row>
    <row r="195">
      <c r="B195" s="2" t="inlineStr">
        <is>
          <t xml:space="preserve">  Cash in the company at closing</t>
        </is>
      </c>
      <c r="C195" s="19">
        <f>Approvals!$C$169</f>
        <v/>
      </c>
    </row>
    <row r="196">
      <c r="B196" s="3" t="inlineStr">
        <is>
          <t xml:space="preserve">  Equity from the consortium</t>
        </is>
      </c>
      <c r="C196" s="31">
        <f>Approvals!$C$191-Approvals!$C$176-Approvals!$C$177-Approvals!$C$169</f>
        <v/>
      </c>
    </row>
    <row r="197">
      <c r="B197" s="3" t="inlineStr">
        <is>
          <t>Total sources</t>
        </is>
      </c>
      <c r="C197" s="31">
        <f>SUM(C193:C196)</f>
        <v/>
      </c>
    </row>
    <row r="199">
      <c r="B199" s="3" t="inlineStr">
        <is>
          <t>Flows after closing (years in columns D to AI; closing, minority sale and exit in AJ to AL)</t>
        </is>
      </c>
    </row>
    <row r="200">
      <c r="B200" s="2" t="inlineStr">
        <is>
          <t>Share of the year owned</t>
        </is>
      </c>
      <c r="D200" s="24">
        <f>IF(D$3&gt;i_exit_year,0,MIN(1,MAX(0,D$4-Approvals!$C$150)))</f>
        <v/>
      </c>
      <c r="E200" s="24">
        <f>IF(E$3&gt;i_exit_year,0,MIN(1,MAX(0,E$4-Approvals!$C$150)))</f>
        <v/>
      </c>
      <c r="F200" s="24">
        <f>IF(F$3&gt;i_exit_year,0,MIN(1,MAX(0,F$4-Approvals!$C$150)))</f>
        <v/>
      </c>
      <c r="G200" s="24">
        <f>IF(G$3&gt;i_exit_year,0,MIN(1,MAX(0,G$4-Approvals!$C$150)))</f>
        <v/>
      </c>
      <c r="H200" s="24">
        <f>IF(H$3&gt;i_exit_year,0,MIN(1,MAX(0,H$4-Approvals!$C$150)))</f>
        <v/>
      </c>
      <c r="I200" s="24">
        <f>IF(I$3&gt;i_exit_year,0,MIN(1,MAX(0,I$4-Approvals!$C$150)))</f>
        <v/>
      </c>
      <c r="J200" s="24">
        <f>IF(J$3&gt;i_exit_year,0,MIN(1,MAX(0,J$4-Approvals!$C$150)))</f>
        <v/>
      </c>
      <c r="K200" s="24">
        <f>IF(K$3&gt;i_exit_year,0,MIN(1,MAX(0,K$4-Approvals!$C$150)))</f>
        <v/>
      </c>
      <c r="L200" s="24">
        <f>IF(L$3&gt;i_exit_year,0,MIN(1,MAX(0,L$4-Approvals!$C$150)))</f>
        <v/>
      </c>
      <c r="M200" s="24">
        <f>IF(M$3&gt;i_exit_year,0,MIN(1,MAX(0,M$4-Approvals!$C$150)))</f>
        <v/>
      </c>
      <c r="N200" s="24">
        <f>IF(N$3&gt;i_exit_year,0,MIN(1,MAX(0,N$4-Approvals!$C$150)))</f>
        <v/>
      </c>
      <c r="O200" s="24">
        <f>IF(O$3&gt;i_exit_year,0,MIN(1,MAX(0,O$4-Approvals!$C$150)))</f>
        <v/>
      </c>
      <c r="P200" s="24">
        <f>IF(P$3&gt;i_exit_year,0,MIN(1,MAX(0,P$4-Approvals!$C$150)))</f>
        <v/>
      </c>
      <c r="Q200" s="24">
        <f>IF(Q$3&gt;i_exit_year,0,MIN(1,MAX(0,Q$4-Approvals!$C$150)))</f>
        <v/>
      </c>
      <c r="R200" s="24">
        <f>IF(R$3&gt;i_exit_year,0,MIN(1,MAX(0,R$4-Approvals!$C$150)))</f>
        <v/>
      </c>
      <c r="S200" s="24">
        <f>IF(S$3&gt;i_exit_year,0,MIN(1,MAX(0,S$4-Approvals!$C$150)))</f>
        <v/>
      </c>
      <c r="T200" s="24">
        <f>IF(T$3&gt;i_exit_year,0,MIN(1,MAX(0,T$4-Approvals!$C$150)))</f>
        <v/>
      </c>
      <c r="U200" s="24">
        <f>IF(U$3&gt;i_exit_year,0,MIN(1,MAX(0,U$4-Approvals!$C$150)))</f>
        <v/>
      </c>
      <c r="V200" s="24">
        <f>IF(V$3&gt;i_exit_year,0,MIN(1,MAX(0,V$4-Approvals!$C$150)))</f>
        <v/>
      </c>
      <c r="W200" s="24">
        <f>IF(W$3&gt;i_exit_year,0,MIN(1,MAX(0,W$4-Approvals!$C$150)))</f>
        <v/>
      </c>
      <c r="X200" s="24">
        <f>IF(X$3&gt;i_exit_year,0,MIN(1,MAX(0,X$4-Approvals!$C$150)))</f>
        <v/>
      </c>
      <c r="Y200" s="24">
        <f>IF(Y$3&gt;i_exit_year,0,MIN(1,MAX(0,Y$4-Approvals!$C$150)))</f>
        <v/>
      </c>
      <c r="Z200" s="24">
        <f>IF(Z$3&gt;i_exit_year,0,MIN(1,MAX(0,Z$4-Approvals!$C$150)))</f>
        <v/>
      </c>
      <c r="AA200" s="24">
        <f>IF(AA$3&gt;i_exit_year,0,MIN(1,MAX(0,AA$4-Approvals!$C$150)))</f>
        <v/>
      </c>
      <c r="AB200" s="24">
        <f>IF(AB$3&gt;i_exit_year,0,MIN(1,MAX(0,AB$4-Approvals!$C$150)))</f>
        <v/>
      </c>
      <c r="AC200" s="24">
        <f>IF(AC$3&gt;i_exit_year,0,MIN(1,MAX(0,AC$4-Approvals!$C$150)))</f>
        <v/>
      </c>
      <c r="AD200" s="24">
        <f>IF(AD$3&gt;i_exit_year,0,MIN(1,MAX(0,AD$4-Approvals!$C$150)))</f>
        <v/>
      </c>
      <c r="AE200" s="24">
        <f>IF(AE$3&gt;i_exit_year,0,MIN(1,MAX(0,AE$4-Approvals!$C$150)))</f>
        <v/>
      </c>
      <c r="AF200" s="24">
        <f>IF(AF$3&gt;i_exit_year,0,MIN(1,MAX(0,AF$4-Approvals!$C$150)))</f>
        <v/>
      </c>
      <c r="AG200" s="24">
        <f>IF(AG$3&gt;i_exit_year,0,MIN(1,MAX(0,AG$4-Approvals!$C$150)))</f>
        <v/>
      </c>
      <c r="AH200" s="24">
        <f>IF(AH$3&gt;i_exit_year,0,MIN(1,MAX(0,AH$4-Approvals!$C$150)))</f>
        <v/>
      </c>
      <c r="AI200" s="24">
        <f>IF(AI$3&gt;i_exit_year,0,MIN(1,MAX(0,AI$4-Approvals!$C$150)))</f>
        <v/>
      </c>
    </row>
    <row r="201">
      <c r="B201" s="2" t="inlineStr">
        <is>
          <t>Opco rate (refinanced after the tenor)</t>
        </is>
      </c>
      <c r="D201" s="23">
        <f>IF(D$4&lt;=Approvals!$C$150+i_opco_tenor,Approvals!$C$174,Approvals!$C$174+Approvals!$C$154)</f>
        <v/>
      </c>
      <c r="E201" s="23">
        <f>IF(E$4&lt;=Approvals!$C$150+i_opco_tenor,Approvals!$C$174,Approvals!$C$174+Approvals!$C$154)</f>
        <v/>
      </c>
      <c r="F201" s="23">
        <f>IF(F$4&lt;=Approvals!$C$150+i_opco_tenor,Approvals!$C$174,Approvals!$C$174+Approvals!$C$154)</f>
        <v/>
      </c>
      <c r="G201" s="23">
        <f>IF(G$4&lt;=Approvals!$C$150+i_opco_tenor,Approvals!$C$174,Approvals!$C$174+Approvals!$C$154)</f>
        <v/>
      </c>
      <c r="H201" s="23">
        <f>IF(H$4&lt;=Approvals!$C$150+i_opco_tenor,Approvals!$C$174,Approvals!$C$174+Approvals!$C$154)</f>
        <v/>
      </c>
      <c r="I201" s="23">
        <f>IF(I$4&lt;=Approvals!$C$150+i_opco_tenor,Approvals!$C$174,Approvals!$C$174+Approvals!$C$154)</f>
        <v/>
      </c>
      <c r="J201" s="23">
        <f>IF(J$4&lt;=Approvals!$C$150+i_opco_tenor,Approvals!$C$174,Approvals!$C$174+Approvals!$C$154)</f>
        <v/>
      </c>
      <c r="K201" s="23">
        <f>IF(K$4&lt;=Approvals!$C$150+i_opco_tenor,Approvals!$C$174,Approvals!$C$174+Approvals!$C$154)</f>
        <v/>
      </c>
      <c r="L201" s="23">
        <f>IF(L$4&lt;=Approvals!$C$150+i_opco_tenor,Approvals!$C$174,Approvals!$C$174+Approvals!$C$154)</f>
        <v/>
      </c>
      <c r="M201" s="23">
        <f>IF(M$4&lt;=Approvals!$C$150+i_opco_tenor,Approvals!$C$174,Approvals!$C$174+Approvals!$C$154)</f>
        <v/>
      </c>
      <c r="N201" s="23">
        <f>IF(N$4&lt;=Approvals!$C$150+i_opco_tenor,Approvals!$C$174,Approvals!$C$174+Approvals!$C$154)</f>
        <v/>
      </c>
      <c r="O201" s="23">
        <f>IF(O$4&lt;=Approvals!$C$150+i_opco_tenor,Approvals!$C$174,Approvals!$C$174+Approvals!$C$154)</f>
        <v/>
      </c>
      <c r="P201" s="23">
        <f>IF(P$4&lt;=Approvals!$C$150+i_opco_tenor,Approvals!$C$174,Approvals!$C$174+Approvals!$C$154)</f>
        <v/>
      </c>
      <c r="Q201" s="23">
        <f>IF(Q$4&lt;=Approvals!$C$150+i_opco_tenor,Approvals!$C$174,Approvals!$C$174+Approvals!$C$154)</f>
        <v/>
      </c>
      <c r="R201" s="23">
        <f>IF(R$4&lt;=Approvals!$C$150+i_opco_tenor,Approvals!$C$174,Approvals!$C$174+Approvals!$C$154)</f>
        <v/>
      </c>
      <c r="S201" s="23">
        <f>IF(S$4&lt;=Approvals!$C$150+i_opco_tenor,Approvals!$C$174,Approvals!$C$174+Approvals!$C$154)</f>
        <v/>
      </c>
      <c r="T201" s="23">
        <f>IF(T$4&lt;=Approvals!$C$150+i_opco_tenor,Approvals!$C$174,Approvals!$C$174+Approvals!$C$154)</f>
        <v/>
      </c>
      <c r="U201" s="23">
        <f>IF(U$4&lt;=Approvals!$C$150+i_opco_tenor,Approvals!$C$174,Approvals!$C$174+Approvals!$C$154)</f>
        <v/>
      </c>
      <c r="V201" s="23">
        <f>IF(V$4&lt;=Approvals!$C$150+i_opco_tenor,Approvals!$C$174,Approvals!$C$174+Approvals!$C$154)</f>
        <v/>
      </c>
      <c r="W201" s="23">
        <f>IF(W$4&lt;=Approvals!$C$150+i_opco_tenor,Approvals!$C$174,Approvals!$C$174+Approvals!$C$154)</f>
        <v/>
      </c>
      <c r="X201" s="23">
        <f>IF(X$4&lt;=Approvals!$C$150+i_opco_tenor,Approvals!$C$174,Approvals!$C$174+Approvals!$C$154)</f>
        <v/>
      </c>
      <c r="Y201" s="23">
        <f>IF(Y$4&lt;=Approvals!$C$150+i_opco_tenor,Approvals!$C$174,Approvals!$C$174+Approvals!$C$154)</f>
        <v/>
      </c>
      <c r="Z201" s="23">
        <f>IF(Z$4&lt;=Approvals!$C$150+i_opco_tenor,Approvals!$C$174,Approvals!$C$174+Approvals!$C$154)</f>
        <v/>
      </c>
      <c r="AA201" s="23">
        <f>IF(AA$4&lt;=Approvals!$C$150+i_opco_tenor,Approvals!$C$174,Approvals!$C$174+Approvals!$C$154)</f>
        <v/>
      </c>
      <c r="AB201" s="23">
        <f>IF(AB$4&lt;=Approvals!$C$150+i_opco_tenor,Approvals!$C$174,Approvals!$C$174+Approvals!$C$154)</f>
        <v/>
      </c>
      <c r="AC201" s="23">
        <f>IF(AC$4&lt;=Approvals!$C$150+i_opco_tenor,Approvals!$C$174,Approvals!$C$174+Approvals!$C$154)</f>
        <v/>
      </c>
      <c r="AD201" s="23">
        <f>IF(AD$4&lt;=Approvals!$C$150+i_opco_tenor,Approvals!$C$174,Approvals!$C$174+Approvals!$C$154)</f>
        <v/>
      </c>
      <c r="AE201" s="23">
        <f>IF(AE$4&lt;=Approvals!$C$150+i_opco_tenor,Approvals!$C$174,Approvals!$C$174+Approvals!$C$154)</f>
        <v/>
      </c>
      <c r="AF201" s="23">
        <f>IF(AF$4&lt;=Approvals!$C$150+i_opco_tenor,Approvals!$C$174,Approvals!$C$174+Approvals!$C$154)</f>
        <v/>
      </c>
      <c r="AG201" s="23">
        <f>IF(AG$4&lt;=Approvals!$C$150+i_opco_tenor,Approvals!$C$174,Approvals!$C$174+Approvals!$C$154)</f>
        <v/>
      </c>
      <c r="AH201" s="23">
        <f>IF(AH$4&lt;=Approvals!$C$150+i_opco_tenor,Approvals!$C$174,Approvals!$C$174+Approvals!$C$154)</f>
        <v/>
      </c>
      <c r="AI201" s="23">
        <f>IF(AI$4&lt;=Approvals!$C$150+i_opco_tenor,Approvals!$C$174,Approvals!$C$174+Approvals!$C$154)</f>
        <v/>
      </c>
    </row>
    <row r="202">
      <c r="B202" s="2" t="inlineStr">
        <is>
          <t>Interest (opco and holdco)</t>
        </is>
      </c>
      <c r="D202" s="19">
        <f>D201*Approvals!$C$176+i_hold_rate*Approvals!$C$177</f>
        <v/>
      </c>
      <c r="E202" s="19">
        <f>E201*Approvals!$C$176+i_hold_rate*Approvals!$C$177</f>
        <v/>
      </c>
      <c r="F202" s="19">
        <f>F201*Approvals!$C$176+i_hold_rate*Approvals!$C$177</f>
        <v/>
      </c>
      <c r="G202" s="19">
        <f>G201*Approvals!$C$176+i_hold_rate*Approvals!$C$177</f>
        <v/>
      </c>
      <c r="H202" s="19">
        <f>H201*Approvals!$C$176+i_hold_rate*Approvals!$C$177</f>
        <v/>
      </c>
      <c r="I202" s="19">
        <f>I201*Approvals!$C$176+i_hold_rate*Approvals!$C$177</f>
        <v/>
      </c>
      <c r="J202" s="19">
        <f>J201*Approvals!$C$176+i_hold_rate*Approvals!$C$177</f>
        <v/>
      </c>
      <c r="K202" s="19">
        <f>K201*Approvals!$C$176+i_hold_rate*Approvals!$C$177</f>
        <v/>
      </c>
      <c r="L202" s="19">
        <f>L201*Approvals!$C$176+i_hold_rate*Approvals!$C$177</f>
        <v/>
      </c>
      <c r="M202" s="19">
        <f>M201*Approvals!$C$176+i_hold_rate*Approvals!$C$177</f>
        <v/>
      </c>
      <c r="N202" s="19">
        <f>N201*Approvals!$C$176+i_hold_rate*Approvals!$C$177</f>
        <v/>
      </c>
      <c r="O202" s="19">
        <f>O201*Approvals!$C$176+i_hold_rate*Approvals!$C$177</f>
        <v/>
      </c>
      <c r="P202" s="19">
        <f>P201*Approvals!$C$176+i_hold_rate*Approvals!$C$177</f>
        <v/>
      </c>
      <c r="Q202" s="19">
        <f>Q201*Approvals!$C$176+i_hold_rate*Approvals!$C$177</f>
        <v/>
      </c>
      <c r="R202" s="19">
        <f>R201*Approvals!$C$176+i_hold_rate*Approvals!$C$177</f>
        <v/>
      </c>
      <c r="S202" s="19">
        <f>S201*Approvals!$C$176+i_hold_rate*Approvals!$C$177</f>
        <v/>
      </c>
      <c r="T202" s="19">
        <f>T201*Approvals!$C$176+i_hold_rate*Approvals!$C$177</f>
        <v/>
      </c>
      <c r="U202" s="19">
        <f>U201*Approvals!$C$176+i_hold_rate*Approvals!$C$177</f>
        <v/>
      </c>
      <c r="V202" s="19">
        <f>V201*Approvals!$C$176+i_hold_rate*Approvals!$C$177</f>
        <v/>
      </c>
      <c r="W202" s="19">
        <f>W201*Approvals!$C$176+i_hold_rate*Approvals!$C$177</f>
        <v/>
      </c>
      <c r="X202" s="19">
        <f>X201*Approvals!$C$176+i_hold_rate*Approvals!$C$177</f>
        <v/>
      </c>
      <c r="Y202" s="19">
        <f>Y201*Approvals!$C$176+i_hold_rate*Approvals!$C$177</f>
        <v/>
      </c>
      <c r="Z202" s="19">
        <f>Z201*Approvals!$C$176+i_hold_rate*Approvals!$C$177</f>
        <v/>
      </c>
      <c r="AA202" s="19">
        <f>AA201*Approvals!$C$176+i_hold_rate*Approvals!$C$177</f>
        <v/>
      </c>
      <c r="AB202" s="19">
        <f>AB201*Approvals!$C$176+i_hold_rate*Approvals!$C$177</f>
        <v/>
      </c>
      <c r="AC202" s="19">
        <f>AC201*Approvals!$C$176+i_hold_rate*Approvals!$C$177</f>
        <v/>
      </c>
      <c r="AD202" s="19">
        <f>AD201*Approvals!$C$176+i_hold_rate*Approvals!$C$177</f>
        <v/>
      </c>
      <c r="AE202" s="19">
        <f>AE201*Approvals!$C$176+i_hold_rate*Approvals!$C$177</f>
        <v/>
      </c>
      <c r="AF202" s="19">
        <f>AF201*Approvals!$C$176+i_hold_rate*Approvals!$C$177</f>
        <v/>
      </c>
      <c r="AG202" s="19">
        <f>AG201*Approvals!$C$176+i_hold_rate*Approvals!$C$177</f>
        <v/>
      </c>
      <c r="AH202" s="19">
        <f>AH201*Approvals!$C$176+i_hold_rate*Approvals!$C$177</f>
        <v/>
      </c>
      <c r="AI202" s="19">
        <f>AI201*Approvals!$C$176+i_hold_rate*Approvals!$C$177</f>
        <v/>
      </c>
    </row>
    <row r="203">
      <c r="B203" s="2" t="inlineStr">
        <is>
          <t>Deductible interest (cap on EBITDA)</t>
        </is>
      </c>
      <c r="D203" s="19">
        <f>MIN(D202,i_int_cap*Diligence!D139)</f>
        <v/>
      </c>
      <c r="E203" s="19">
        <f>MIN(E202,i_int_cap*Diligence!E139)</f>
        <v/>
      </c>
      <c r="F203" s="19">
        <f>MIN(F202,i_int_cap*Diligence!F139)</f>
        <v/>
      </c>
      <c r="G203" s="19">
        <f>MIN(G202,i_int_cap*Diligence!G139)</f>
        <v/>
      </c>
      <c r="H203" s="19">
        <f>MIN(H202,i_int_cap*Diligence!H139)</f>
        <v/>
      </c>
      <c r="I203" s="19">
        <f>MIN(I202,i_int_cap*Diligence!I139)</f>
        <v/>
      </c>
      <c r="J203" s="19">
        <f>MIN(J202,i_int_cap*Diligence!J139)</f>
        <v/>
      </c>
      <c r="K203" s="19">
        <f>MIN(K202,i_int_cap*Diligence!K139)</f>
        <v/>
      </c>
      <c r="L203" s="19">
        <f>MIN(L202,i_int_cap*Diligence!L139)</f>
        <v/>
      </c>
      <c r="M203" s="19">
        <f>MIN(M202,i_int_cap*Diligence!M139)</f>
        <v/>
      </c>
      <c r="N203" s="19">
        <f>MIN(N202,i_int_cap*Diligence!N139)</f>
        <v/>
      </c>
      <c r="O203" s="19">
        <f>MIN(O202,i_int_cap*Diligence!O139)</f>
        <v/>
      </c>
      <c r="P203" s="19">
        <f>MIN(P202,i_int_cap*Diligence!P139)</f>
        <v/>
      </c>
      <c r="Q203" s="19">
        <f>MIN(Q202,i_int_cap*Diligence!Q139)</f>
        <v/>
      </c>
      <c r="R203" s="19">
        <f>MIN(R202,i_int_cap*Diligence!R139)</f>
        <v/>
      </c>
      <c r="S203" s="19">
        <f>MIN(S202,i_int_cap*Diligence!S139)</f>
        <v/>
      </c>
      <c r="T203" s="19">
        <f>MIN(T202,i_int_cap*Diligence!T139)</f>
        <v/>
      </c>
      <c r="U203" s="19">
        <f>MIN(U202,i_int_cap*Diligence!U139)</f>
        <v/>
      </c>
      <c r="V203" s="19">
        <f>MIN(V202,i_int_cap*Diligence!V139)</f>
        <v/>
      </c>
      <c r="W203" s="19">
        <f>MIN(W202,i_int_cap*Diligence!W139)</f>
        <v/>
      </c>
      <c r="X203" s="19">
        <f>MIN(X202,i_int_cap*Diligence!X139)</f>
        <v/>
      </c>
      <c r="Y203" s="19">
        <f>MIN(Y202,i_int_cap*Diligence!Y139)</f>
        <v/>
      </c>
      <c r="Z203" s="19">
        <f>MIN(Z202,i_int_cap*Diligence!Z139)</f>
        <v/>
      </c>
      <c r="AA203" s="19">
        <f>MIN(AA202,i_int_cap*Diligence!AA139)</f>
        <v/>
      </c>
      <c r="AB203" s="19">
        <f>MIN(AB202,i_int_cap*Diligence!AB139)</f>
        <v/>
      </c>
      <c r="AC203" s="19">
        <f>MIN(AC202,i_int_cap*Diligence!AC139)</f>
        <v/>
      </c>
      <c r="AD203" s="19">
        <f>MIN(AD202,i_int_cap*Diligence!AD139)</f>
        <v/>
      </c>
      <c r="AE203" s="19">
        <f>MIN(AE202,i_int_cap*Diligence!AE139)</f>
        <v/>
      </c>
      <c r="AF203" s="19">
        <f>MIN(AF202,i_int_cap*Diligence!AF139)</f>
        <v/>
      </c>
      <c r="AG203" s="19">
        <f>MIN(AG202,i_int_cap*Diligence!AG139)</f>
        <v/>
      </c>
      <c r="AH203" s="19">
        <f>MIN(AH202,i_int_cap*Diligence!AH139)</f>
        <v/>
      </c>
      <c r="AI203" s="19">
        <f>MIN(AI202,i_int_cap*Diligence!AI139)</f>
        <v/>
      </c>
    </row>
    <row r="204">
      <c r="B204" s="2" t="inlineStr">
        <is>
          <t>Cash tax with the debt</t>
        </is>
      </c>
      <c r="D204" s="19">
        <f>i_tax*MAX(0,Diligence!D139-Diligence!D142-D203)</f>
        <v/>
      </c>
      <c r="E204" s="19">
        <f>i_tax*MAX(0,Diligence!E139-Diligence!E142-E203)</f>
        <v/>
      </c>
      <c r="F204" s="19">
        <f>i_tax*MAX(0,Diligence!F139-Diligence!F142-F203)</f>
        <v/>
      </c>
      <c r="G204" s="19">
        <f>i_tax*MAX(0,Diligence!G139-Diligence!G142-G203)</f>
        <v/>
      </c>
      <c r="H204" s="19">
        <f>i_tax*MAX(0,Diligence!H139-Diligence!H142-H203)</f>
        <v/>
      </c>
      <c r="I204" s="19">
        <f>i_tax*MAX(0,Diligence!I139-Diligence!I142-I203)</f>
        <v/>
      </c>
      <c r="J204" s="19">
        <f>i_tax*MAX(0,Diligence!J139-Diligence!J142-J203)</f>
        <v/>
      </c>
      <c r="K204" s="19">
        <f>i_tax*MAX(0,Diligence!K139-Diligence!K142-K203)</f>
        <v/>
      </c>
      <c r="L204" s="19">
        <f>i_tax*MAX(0,Diligence!L139-Diligence!L142-L203)</f>
        <v/>
      </c>
      <c r="M204" s="19">
        <f>i_tax*MAX(0,Diligence!M139-Diligence!M142-M203)</f>
        <v/>
      </c>
      <c r="N204" s="19">
        <f>i_tax*MAX(0,Diligence!N139-Diligence!N142-N203)</f>
        <v/>
      </c>
      <c r="O204" s="19">
        <f>i_tax*MAX(0,Diligence!O139-Diligence!O142-O203)</f>
        <v/>
      </c>
      <c r="P204" s="19">
        <f>i_tax*MAX(0,Diligence!P139-Diligence!P142-P203)</f>
        <v/>
      </c>
      <c r="Q204" s="19">
        <f>i_tax*MAX(0,Diligence!Q139-Diligence!Q142-Q203)</f>
        <v/>
      </c>
      <c r="R204" s="19">
        <f>i_tax*MAX(0,Diligence!R139-Diligence!R142-R203)</f>
        <v/>
      </c>
      <c r="S204" s="19">
        <f>i_tax*MAX(0,Diligence!S139-Diligence!S142-S203)</f>
        <v/>
      </c>
      <c r="T204" s="19">
        <f>i_tax*MAX(0,Diligence!T139-Diligence!T142-T203)</f>
        <v/>
      </c>
      <c r="U204" s="19">
        <f>i_tax*MAX(0,Diligence!U139-Diligence!U142-U203)</f>
        <v/>
      </c>
      <c r="V204" s="19">
        <f>i_tax*MAX(0,Diligence!V139-Diligence!V142-V203)</f>
        <v/>
      </c>
      <c r="W204" s="19">
        <f>i_tax*MAX(0,Diligence!W139-Diligence!W142-W203)</f>
        <v/>
      </c>
      <c r="X204" s="19">
        <f>i_tax*MAX(0,Diligence!X139-Diligence!X142-X203)</f>
        <v/>
      </c>
      <c r="Y204" s="19">
        <f>i_tax*MAX(0,Diligence!Y139-Diligence!Y142-Y203)</f>
        <v/>
      </c>
      <c r="Z204" s="19">
        <f>i_tax*MAX(0,Diligence!Z139-Diligence!Z142-Z203)</f>
        <v/>
      </c>
      <c r="AA204" s="19">
        <f>i_tax*MAX(0,Diligence!AA139-Diligence!AA142-AA203)</f>
        <v/>
      </c>
      <c r="AB204" s="19">
        <f>i_tax*MAX(0,Diligence!AB139-Diligence!AB142-AB203)</f>
        <v/>
      </c>
      <c r="AC204" s="19">
        <f>i_tax*MAX(0,Diligence!AC139-Diligence!AC142-AC203)</f>
        <v/>
      </c>
      <c r="AD204" s="19">
        <f>i_tax*MAX(0,Diligence!AD139-Diligence!AD142-AD203)</f>
        <v/>
      </c>
      <c r="AE204" s="19">
        <f>i_tax*MAX(0,Diligence!AE139-Diligence!AE142-AE203)</f>
        <v/>
      </c>
      <c r="AF204" s="19">
        <f>i_tax*MAX(0,Diligence!AF139-Diligence!AF142-AF203)</f>
        <v/>
      </c>
      <c r="AG204" s="19">
        <f>i_tax*MAX(0,Diligence!AG139-Diligence!AG142-AG203)</f>
        <v/>
      </c>
      <c r="AH204" s="19">
        <f>i_tax*MAX(0,Diligence!AH139-Diligence!AH142-AH203)</f>
        <v/>
      </c>
      <c r="AI204" s="19">
        <f>i_tax*MAX(0,Diligence!AI139-Diligence!AI142-AI203)</f>
        <v/>
      </c>
    </row>
    <row r="205">
      <c r="B205" s="3" t="inlineStr">
        <is>
          <t>Cash flow to equity (full year)</t>
        </is>
      </c>
      <c r="D205" s="31">
        <f>Diligence!D139-Diligence!D140-Diligence!D141-D204-D202-Diligence!D144</f>
        <v/>
      </c>
      <c r="E205" s="31">
        <f>Diligence!E139-Diligence!E140-Diligence!E141-E204-E202-Diligence!E144</f>
        <v/>
      </c>
      <c r="F205" s="31">
        <f>Diligence!F139-Diligence!F140-Diligence!F141-F204-F202-Diligence!F144</f>
        <v/>
      </c>
      <c r="G205" s="31">
        <f>Diligence!G139-Diligence!G140-Diligence!G141-G204-G202-Diligence!G144</f>
        <v/>
      </c>
      <c r="H205" s="31">
        <f>Diligence!H139-Diligence!H140-Diligence!H141-H204-H202-Diligence!H144</f>
        <v/>
      </c>
      <c r="I205" s="31">
        <f>Diligence!I139-Diligence!I140-Diligence!I141-I204-I202-Diligence!I144</f>
        <v/>
      </c>
      <c r="J205" s="31">
        <f>Diligence!J139-Diligence!J140-Diligence!J141-J204-J202-Diligence!J144</f>
        <v/>
      </c>
      <c r="K205" s="31">
        <f>Diligence!K139-Diligence!K140-Diligence!K141-K204-K202-Diligence!K144</f>
        <v/>
      </c>
      <c r="L205" s="31">
        <f>Diligence!L139-Diligence!L140-Diligence!L141-L204-L202-Diligence!L144</f>
        <v/>
      </c>
      <c r="M205" s="31">
        <f>Diligence!M139-Diligence!M140-Diligence!M141-M204-M202-Diligence!M144</f>
        <v/>
      </c>
      <c r="N205" s="31">
        <f>Diligence!N139-Diligence!N140-Diligence!N141-N204-N202-Diligence!N144</f>
        <v/>
      </c>
      <c r="O205" s="31">
        <f>Diligence!O139-Diligence!O140-Diligence!O141-O204-O202-Diligence!O144</f>
        <v/>
      </c>
      <c r="P205" s="31">
        <f>Diligence!P139-Diligence!P140-Diligence!P141-P204-P202-Diligence!P144</f>
        <v/>
      </c>
      <c r="Q205" s="31">
        <f>Diligence!Q139-Diligence!Q140-Diligence!Q141-Q204-Q202-Diligence!Q144</f>
        <v/>
      </c>
      <c r="R205" s="31">
        <f>Diligence!R139-Diligence!R140-Diligence!R141-R204-R202-Diligence!R144</f>
        <v/>
      </c>
      <c r="S205" s="31">
        <f>Diligence!S139-Diligence!S140-Diligence!S141-S204-S202-Diligence!S144</f>
        <v/>
      </c>
      <c r="T205" s="31">
        <f>Diligence!T139-Diligence!T140-Diligence!T141-T204-T202-Diligence!T144</f>
        <v/>
      </c>
      <c r="U205" s="31">
        <f>Diligence!U139-Diligence!U140-Diligence!U141-U204-U202-Diligence!U144</f>
        <v/>
      </c>
      <c r="V205" s="31">
        <f>Diligence!V139-Diligence!V140-Diligence!V141-V204-V202-Diligence!V144</f>
        <v/>
      </c>
      <c r="W205" s="31">
        <f>Diligence!W139-Diligence!W140-Diligence!W141-W204-W202-Diligence!W144</f>
        <v/>
      </c>
      <c r="X205" s="31">
        <f>Diligence!X139-Diligence!X140-Diligence!X141-X204-X202-Diligence!X144</f>
        <v/>
      </c>
      <c r="Y205" s="31">
        <f>Diligence!Y139-Diligence!Y140-Diligence!Y141-Y204-Y202-Diligence!Y144</f>
        <v/>
      </c>
      <c r="Z205" s="31">
        <f>Diligence!Z139-Diligence!Z140-Diligence!Z141-Z204-Z202-Diligence!Z144</f>
        <v/>
      </c>
      <c r="AA205" s="31">
        <f>Diligence!AA139-Diligence!AA140-Diligence!AA141-AA204-AA202-Diligence!AA144</f>
        <v/>
      </c>
      <c r="AB205" s="31">
        <f>Diligence!AB139-Diligence!AB140-Diligence!AB141-AB204-AB202-Diligence!AB144</f>
        <v/>
      </c>
      <c r="AC205" s="31">
        <f>Diligence!AC139-Diligence!AC140-Diligence!AC141-AC204-AC202-Diligence!AC144</f>
        <v/>
      </c>
      <c r="AD205" s="31">
        <f>Diligence!AD139-Diligence!AD140-Diligence!AD141-AD204-AD202-Diligence!AD144</f>
        <v/>
      </c>
      <c r="AE205" s="31">
        <f>Diligence!AE139-Diligence!AE140-Diligence!AE141-AE204-AE202-Diligence!AE144</f>
        <v/>
      </c>
      <c r="AF205" s="31">
        <f>Diligence!AF139-Diligence!AF140-Diligence!AF141-AF204-AF202-Diligence!AF144</f>
        <v/>
      </c>
      <c r="AG205" s="31">
        <f>Diligence!AG139-Diligence!AG140-Diligence!AG141-AG204-AG202-Diligence!AG144</f>
        <v/>
      </c>
      <c r="AH205" s="31">
        <f>Diligence!AH139-Diligence!AH140-Diligence!AH141-AH204-AH202-Diligence!AH144</f>
        <v/>
      </c>
      <c r="AI205" s="31">
        <f>Diligence!AI139-Diligence!AI140-Diligence!AI141-AI204-AI202-Diligence!AI144</f>
        <v/>
      </c>
    </row>
    <row r="206">
      <c r="B206" s="2" t="inlineStr">
        <is>
          <t>Exit EV at the end of the exit year (DCF at the exit rate)</t>
        </is>
      </c>
      <c r="C206" s="19">
        <f>SUMPRODUCT((Approvals!$D$3:$AI$3&gt;i_exit_year)*(Approvals!$D$3:$AI$3&lt;=i_last)*Diligence!$D$145:$AI$145/(1+Approvals!$C$153)^(Approvals!$D$3:$AI$3-i_exit_year))+Diligence!$AI$145/(Approvals!$C$153-i_g)/(1+Approvals!$C$153)^(i_last-i_exit_year)</f>
        <v/>
      </c>
    </row>
    <row r="207">
      <c r="B207" s="2" t="inlineStr">
        <is>
          <t>Debt at exit (bullets)</t>
        </is>
      </c>
      <c r="C207" s="19">
        <f>Approvals!$C$176+Approvals!$C$177</f>
        <v/>
      </c>
    </row>
    <row r="208">
      <c r="B208" s="3" t="inlineStr">
        <is>
          <t>Equity value at exit</t>
        </is>
      </c>
      <c r="C208" s="31">
        <f>Approvals!$C$206-Approvals!$C$207</f>
        <v/>
      </c>
    </row>
    <row r="209">
      <c r="B209" s="2" t="inlineStr">
        <is>
          <t>Minority option: EV at the end of 2031 (minority buyer's rate)</t>
        </is>
      </c>
      <c r="C209" s="19">
        <f>SUMPRODUCT((Approvals!$D$3:$AI$3&gt;i_min_year)*(Approvals!$D$3:$AI$3&lt;=i_last)*Diligence!$D$145:$AI$145/(1+i_min_r)^(Approvals!$D$3:$AI$3-i_min_year))+Diligence!$AI$145/(i_min_r-i_g)/(1+i_min_r)^(i_last-i_min_year)</f>
        <v/>
      </c>
    </row>
    <row r="210">
      <c r="B210" s="2" t="inlineStr">
        <is>
          <t>Minority option: equity value in 2031</t>
        </is>
      </c>
      <c r="C210" s="19">
        <f>Approvals!$C$209-Approvals!$C$207</f>
        <v/>
      </c>
    </row>
    <row r="211">
      <c r="B211" s="2" t="inlineStr">
        <is>
          <t>Minority option: proceeds of the 49 percent sold</t>
        </is>
      </c>
      <c r="C211" s="19">
        <f>Approvals!$C$152*i_min_share*Approvals!$C$210*(1-i_min_disc)</f>
        <v/>
      </c>
    </row>
    <row r="212">
      <c r="B212" s="4" t="inlineStr">
        <is>
          <t>Time of each flow (years after 31 December 2026)</t>
        </is>
      </c>
      <c r="D212" s="28">
        <f>D$4</f>
        <v/>
      </c>
      <c r="E212" s="28">
        <f>E$4</f>
        <v/>
      </c>
      <c r="F212" s="28">
        <f>F$4</f>
        <v/>
      </c>
      <c r="G212" s="28">
        <f>G$4</f>
        <v/>
      </c>
      <c r="H212" s="28">
        <f>H$4</f>
        <v/>
      </c>
      <c r="I212" s="28">
        <f>I$4</f>
        <v/>
      </c>
      <c r="J212" s="28">
        <f>J$4</f>
        <v/>
      </c>
      <c r="K212" s="28">
        <f>K$4</f>
        <v/>
      </c>
      <c r="L212" s="28">
        <f>L$4</f>
        <v/>
      </c>
      <c r="M212" s="28">
        <f>M$4</f>
        <v/>
      </c>
      <c r="N212" s="28">
        <f>N$4</f>
        <v/>
      </c>
      <c r="O212" s="28">
        <f>O$4</f>
        <v/>
      </c>
      <c r="P212" s="28">
        <f>P$4</f>
        <v/>
      </c>
      <c r="Q212" s="28">
        <f>Q$4</f>
        <v/>
      </c>
      <c r="R212" s="28">
        <f>R$4</f>
        <v/>
      </c>
      <c r="S212" s="28">
        <f>S$4</f>
        <v/>
      </c>
      <c r="T212" s="28">
        <f>T$4</f>
        <v/>
      </c>
      <c r="U212" s="28">
        <f>U$4</f>
        <v/>
      </c>
      <c r="V212" s="28">
        <f>V$4</f>
        <v/>
      </c>
      <c r="W212" s="28">
        <f>W$4</f>
        <v/>
      </c>
      <c r="X212" s="28">
        <f>X$4</f>
        <v/>
      </c>
      <c r="Y212" s="28">
        <f>Y$4</f>
        <v/>
      </c>
      <c r="Z212" s="28">
        <f>Z$4</f>
        <v/>
      </c>
      <c r="AA212" s="28">
        <f>AA$4</f>
        <v/>
      </c>
      <c r="AB212" s="28">
        <f>AB$4</f>
        <v/>
      </c>
      <c r="AC212" s="28">
        <f>AC$4</f>
        <v/>
      </c>
      <c r="AD212" s="28">
        <f>AD$4</f>
        <v/>
      </c>
      <c r="AE212" s="28">
        <f>AE$4</f>
        <v/>
      </c>
      <c r="AF212" s="28">
        <f>AF$4</f>
        <v/>
      </c>
      <c r="AG212" s="28">
        <f>AG$4</f>
        <v/>
      </c>
      <c r="AH212" s="28">
        <f>AH$4</f>
        <v/>
      </c>
      <c r="AI212" s="28">
        <f>AI$4</f>
        <v/>
      </c>
      <c r="AJ212" s="28">
        <f>Approvals!$C$150</f>
        <v/>
      </c>
      <c r="AK212" s="28">
        <f>i_min_year-i_base_year</f>
        <v/>
      </c>
      <c r="AL212" s="28">
        <f>i_exit_year-i_base_year</f>
        <v/>
      </c>
    </row>
    <row r="213">
      <c r="B213" s="3" t="inlineStr">
        <is>
          <t>Levered flows (equity)</t>
        </is>
      </c>
      <c r="D213" s="31">
        <f>D200*D205*IF(AND(Approvals!$C$152=1,D212&gt;$AK$212+1E-9),1-i_min_share,1)</f>
        <v/>
      </c>
      <c r="E213" s="31">
        <f>E200*E205*IF(AND(Approvals!$C$152=1,E212&gt;$AK$212+1E-9),1-i_min_share,1)</f>
        <v/>
      </c>
      <c r="F213" s="31">
        <f>F200*F205*IF(AND(Approvals!$C$152=1,F212&gt;$AK$212+1E-9),1-i_min_share,1)</f>
        <v/>
      </c>
      <c r="G213" s="31">
        <f>G200*G205*IF(AND(Approvals!$C$152=1,G212&gt;$AK$212+1E-9),1-i_min_share,1)</f>
        <v/>
      </c>
      <c r="H213" s="31">
        <f>H200*H205*IF(AND(Approvals!$C$152=1,H212&gt;$AK$212+1E-9),1-i_min_share,1)</f>
        <v/>
      </c>
      <c r="I213" s="31">
        <f>I200*I205*IF(AND(Approvals!$C$152=1,I212&gt;$AK$212+1E-9),1-i_min_share,1)</f>
        <v/>
      </c>
      <c r="J213" s="31">
        <f>J200*J205*IF(AND(Approvals!$C$152=1,J212&gt;$AK$212+1E-9),1-i_min_share,1)</f>
        <v/>
      </c>
      <c r="K213" s="31">
        <f>K200*K205*IF(AND(Approvals!$C$152=1,K212&gt;$AK$212+1E-9),1-i_min_share,1)</f>
        <v/>
      </c>
      <c r="L213" s="31">
        <f>L200*L205*IF(AND(Approvals!$C$152=1,L212&gt;$AK$212+1E-9),1-i_min_share,1)</f>
        <v/>
      </c>
      <c r="M213" s="31">
        <f>M200*M205*IF(AND(Approvals!$C$152=1,M212&gt;$AK$212+1E-9),1-i_min_share,1)</f>
        <v/>
      </c>
      <c r="N213" s="31">
        <f>N200*N205*IF(AND(Approvals!$C$152=1,N212&gt;$AK$212+1E-9),1-i_min_share,1)</f>
        <v/>
      </c>
      <c r="O213" s="31">
        <f>O200*O205*IF(AND(Approvals!$C$152=1,O212&gt;$AK$212+1E-9),1-i_min_share,1)</f>
        <v/>
      </c>
      <c r="P213" s="31">
        <f>P200*P205*IF(AND(Approvals!$C$152=1,P212&gt;$AK$212+1E-9),1-i_min_share,1)</f>
        <v/>
      </c>
      <c r="Q213" s="31">
        <f>Q200*Q205*IF(AND(Approvals!$C$152=1,Q212&gt;$AK$212+1E-9),1-i_min_share,1)</f>
        <v/>
      </c>
      <c r="R213" s="31">
        <f>R200*R205*IF(AND(Approvals!$C$152=1,R212&gt;$AK$212+1E-9),1-i_min_share,1)</f>
        <v/>
      </c>
      <c r="S213" s="31">
        <f>S200*S205*IF(AND(Approvals!$C$152=1,S212&gt;$AK$212+1E-9),1-i_min_share,1)</f>
        <v/>
      </c>
      <c r="T213" s="31">
        <f>T200*T205*IF(AND(Approvals!$C$152=1,T212&gt;$AK$212+1E-9),1-i_min_share,1)</f>
        <v/>
      </c>
      <c r="U213" s="31">
        <f>U200*U205*IF(AND(Approvals!$C$152=1,U212&gt;$AK$212+1E-9),1-i_min_share,1)</f>
        <v/>
      </c>
      <c r="V213" s="31">
        <f>V200*V205*IF(AND(Approvals!$C$152=1,V212&gt;$AK$212+1E-9),1-i_min_share,1)</f>
        <v/>
      </c>
      <c r="W213" s="31">
        <f>W200*W205*IF(AND(Approvals!$C$152=1,W212&gt;$AK$212+1E-9),1-i_min_share,1)</f>
        <v/>
      </c>
      <c r="X213" s="31">
        <f>X200*X205*IF(AND(Approvals!$C$152=1,X212&gt;$AK$212+1E-9),1-i_min_share,1)</f>
        <v/>
      </c>
      <c r="Y213" s="31">
        <f>Y200*Y205*IF(AND(Approvals!$C$152=1,Y212&gt;$AK$212+1E-9),1-i_min_share,1)</f>
        <v/>
      </c>
      <c r="Z213" s="31">
        <f>Z200*Z205*IF(AND(Approvals!$C$152=1,Z212&gt;$AK$212+1E-9),1-i_min_share,1)</f>
        <v/>
      </c>
      <c r="AA213" s="31">
        <f>AA200*AA205*IF(AND(Approvals!$C$152=1,AA212&gt;$AK$212+1E-9),1-i_min_share,1)</f>
        <v/>
      </c>
      <c r="AB213" s="31">
        <f>AB200*AB205*IF(AND(Approvals!$C$152=1,AB212&gt;$AK$212+1E-9),1-i_min_share,1)</f>
        <v/>
      </c>
      <c r="AC213" s="31">
        <f>AC200*AC205*IF(AND(Approvals!$C$152=1,AC212&gt;$AK$212+1E-9),1-i_min_share,1)</f>
        <v/>
      </c>
      <c r="AD213" s="31">
        <f>AD200*AD205*IF(AND(Approvals!$C$152=1,AD212&gt;$AK$212+1E-9),1-i_min_share,1)</f>
        <v/>
      </c>
      <c r="AE213" s="31">
        <f>AE200*AE205*IF(AND(Approvals!$C$152=1,AE212&gt;$AK$212+1E-9),1-i_min_share,1)</f>
        <v/>
      </c>
      <c r="AF213" s="31">
        <f>AF200*AF205*IF(AND(Approvals!$C$152=1,AF212&gt;$AK$212+1E-9),1-i_min_share,1)</f>
        <v/>
      </c>
      <c r="AG213" s="31">
        <f>AG200*AG205*IF(AND(Approvals!$C$152=1,AG212&gt;$AK$212+1E-9),1-i_min_share,1)</f>
        <v/>
      </c>
      <c r="AH213" s="31">
        <f>AH200*AH205*IF(AND(Approvals!$C$152=1,AH212&gt;$AK$212+1E-9),1-i_min_share,1)</f>
        <v/>
      </c>
      <c r="AI213" s="31">
        <f>AI200*AI205*IF(AND(Approvals!$C$152=1,AI212&gt;$AK$212+1E-9),1-i_min_share,1)</f>
        <v/>
      </c>
      <c r="AJ213" s="31">
        <f>-Approvals!$C$196</f>
        <v/>
      </c>
      <c r="AK213" s="31">
        <f>Approvals!$C$211</f>
        <v/>
      </c>
      <c r="AL213" s="31">
        <f>Approvals!$C$208*IF(Approvals!$C$152=1,1-i_min_share,1)</f>
        <v/>
      </c>
    </row>
    <row r="214">
      <c r="B214" s="3" t="inlineStr">
        <is>
          <t>Unlevered flows (before financing)</t>
        </is>
      </c>
      <c r="D214" s="31">
        <f>D200*Diligence!D145</f>
        <v/>
      </c>
      <c r="E214" s="31">
        <f>E200*Diligence!E145</f>
        <v/>
      </c>
      <c r="F214" s="31">
        <f>F200*Diligence!F145</f>
        <v/>
      </c>
      <c r="G214" s="31">
        <f>G200*Diligence!G145</f>
        <v/>
      </c>
      <c r="H214" s="31">
        <f>H200*Diligence!H145</f>
        <v/>
      </c>
      <c r="I214" s="31">
        <f>I200*Diligence!I145</f>
        <v/>
      </c>
      <c r="J214" s="31">
        <f>J200*Diligence!J145</f>
        <v/>
      </c>
      <c r="K214" s="31">
        <f>K200*Diligence!K145</f>
        <v/>
      </c>
      <c r="L214" s="31">
        <f>L200*Diligence!L145</f>
        <v/>
      </c>
      <c r="M214" s="31">
        <f>M200*Diligence!M145</f>
        <v/>
      </c>
      <c r="N214" s="31">
        <f>N200*Diligence!N145</f>
        <v/>
      </c>
      <c r="O214" s="31">
        <f>O200*Diligence!O145</f>
        <v/>
      </c>
      <c r="P214" s="31">
        <f>P200*Diligence!P145</f>
        <v/>
      </c>
      <c r="Q214" s="31">
        <f>Q200*Diligence!Q145</f>
        <v/>
      </c>
      <c r="R214" s="31">
        <f>R200*Diligence!R145</f>
        <v/>
      </c>
      <c r="S214" s="31">
        <f>S200*Diligence!S145</f>
        <v/>
      </c>
      <c r="T214" s="31">
        <f>T200*Diligence!T145</f>
        <v/>
      </c>
      <c r="U214" s="31">
        <f>U200*Diligence!U145</f>
        <v/>
      </c>
      <c r="V214" s="31">
        <f>V200*Diligence!V145</f>
        <v/>
      </c>
      <c r="W214" s="31">
        <f>W200*Diligence!W145</f>
        <v/>
      </c>
      <c r="X214" s="31">
        <f>X200*Diligence!X145</f>
        <v/>
      </c>
      <c r="Y214" s="31">
        <f>Y200*Diligence!Y145</f>
        <v/>
      </c>
      <c r="Z214" s="31">
        <f>Z200*Diligence!Z145</f>
        <v/>
      </c>
      <c r="AA214" s="31">
        <f>AA200*Diligence!AA145</f>
        <v/>
      </c>
      <c r="AB214" s="31">
        <f>AB200*Diligence!AB145</f>
        <v/>
      </c>
      <c r="AC214" s="31">
        <f>AC200*Diligence!AC145</f>
        <v/>
      </c>
      <c r="AD214" s="31">
        <f>AD200*Diligence!AD145</f>
        <v/>
      </c>
      <c r="AE214" s="31">
        <f>AE200*Diligence!AE145</f>
        <v/>
      </c>
      <c r="AF214" s="31">
        <f>AF200*Diligence!AF145</f>
        <v/>
      </c>
      <c r="AG214" s="31">
        <f>AG200*Diligence!AG145</f>
        <v/>
      </c>
      <c r="AH214" s="31">
        <f>AH200*Diligence!AH145</f>
        <v/>
      </c>
      <c r="AI214" s="31">
        <f>AI200*Diligence!AI145</f>
        <v/>
      </c>
      <c r="AJ214" s="31">
        <f>-(Approvals!$C$191-Approvals!$C$169-Approvals!$C$181)</f>
        <v/>
      </c>
      <c r="AK214" s="19" t="n">
        <v>0</v>
      </c>
      <c r="AL214" s="31">
        <f>Approvals!$C$206</f>
        <v/>
      </c>
    </row>
    <row r="215">
      <c r="B215" s="4" t="inlineStr">
        <is>
          <t>Levered IRR (Newton steps from 10 percent)</t>
        </is>
      </c>
      <c r="D215" s="38" t="n">
        <v>0.1</v>
      </c>
      <c r="E215" s="40">
        <f>D215-SUMPRODUCT($D$213:$AL$213,(1+D215)^(-$D$212:$AL$212))/SUMPRODUCT($D$213:$AL$213*(-$D$212:$AL$212),(1+D215)^(-$D$212:$AL$212-1))</f>
        <v/>
      </c>
      <c r="F215" s="40">
        <f>E215-SUMPRODUCT($D$213:$AL$213,(1+E215)^(-$D$212:$AL$212))/SUMPRODUCT($D$213:$AL$213*(-$D$212:$AL$212),(1+E215)^(-$D$212:$AL$212-1))</f>
        <v/>
      </c>
      <c r="G215" s="40">
        <f>F215-SUMPRODUCT($D$213:$AL$213,(1+F215)^(-$D$212:$AL$212))/SUMPRODUCT($D$213:$AL$213*(-$D$212:$AL$212),(1+F215)^(-$D$212:$AL$212-1))</f>
        <v/>
      </c>
      <c r="H215" s="40">
        <f>G215-SUMPRODUCT($D$213:$AL$213,(1+G215)^(-$D$212:$AL$212))/SUMPRODUCT($D$213:$AL$213*(-$D$212:$AL$212),(1+G215)^(-$D$212:$AL$212-1))</f>
        <v/>
      </c>
      <c r="I215" s="40">
        <f>H215-SUMPRODUCT($D$213:$AL$213,(1+H215)^(-$D$212:$AL$212))/SUMPRODUCT($D$213:$AL$213*(-$D$212:$AL$212),(1+H215)^(-$D$212:$AL$212-1))</f>
        <v/>
      </c>
      <c r="J215" s="40">
        <f>I215-SUMPRODUCT($D$213:$AL$213,(1+I215)^(-$D$212:$AL$212))/SUMPRODUCT($D$213:$AL$213*(-$D$212:$AL$212),(1+I215)^(-$D$212:$AL$212-1))</f>
        <v/>
      </c>
      <c r="K215" s="40">
        <f>J215-SUMPRODUCT($D$213:$AL$213,(1+J215)^(-$D$212:$AL$212))/SUMPRODUCT($D$213:$AL$213*(-$D$212:$AL$212),(1+J215)^(-$D$212:$AL$212-1))</f>
        <v/>
      </c>
      <c r="L215" s="40">
        <f>K215-SUMPRODUCT($D$213:$AL$213,(1+K215)^(-$D$212:$AL$212))/SUMPRODUCT($D$213:$AL$213*(-$D$212:$AL$212),(1+K215)^(-$D$212:$AL$212-1))</f>
        <v/>
      </c>
      <c r="M215" s="40">
        <f>L215-SUMPRODUCT($D$213:$AL$213,(1+L215)^(-$D$212:$AL$212))/SUMPRODUCT($D$213:$AL$213*(-$D$212:$AL$212),(1+L215)^(-$D$212:$AL$212-1))</f>
        <v/>
      </c>
      <c r="N215" s="40">
        <f>M215-SUMPRODUCT($D$213:$AL$213,(1+M215)^(-$D$212:$AL$212))/SUMPRODUCT($D$213:$AL$213*(-$D$212:$AL$212),(1+M215)^(-$D$212:$AL$212-1))</f>
        <v/>
      </c>
      <c r="O215" s="40">
        <f>N215-SUMPRODUCT($D$213:$AL$213,(1+N215)^(-$D$212:$AL$212))/SUMPRODUCT($D$213:$AL$213*(-$D$212:$AL$212),(1+N215)^(-$D$212:$AL$212-1))</f>
        <v/>
      </c>
      <c r="P215" s="40">
        <f>O215-SUMPRODUCT($D$213:$AL$213,(1+O215)^(-$D$212:$AL$212))/SUMPRODUCT($D$213:$AL$213*(-$D$212:$AL$212),(1+O215)^(-$D$212:$AL$212-1))</f>
        <v/>
      </c>
      <c r="Q215" s="40">
        <f>P215-SUMPRODUCT($D$213:$AL$213,(1+P215)^(-$D$212:$AL$212))/SUMPRODUCT($D$213:$AL$213*(-$D$212:$AL$212),(1+P215)^(-$D$212:$AL$212-1))</f>
        <v/>
      </c>
      <c r="R215" s="40">
        <f>Q215-SUMPRODUCT($D$213:$AL$213,(1+Q215)^(-$D$212:$AL$212))/SUMPRODUCT($D$213:$AL$213*(-$D$212:$AL$212),(1+Q215)^(-$D$212:$AL$212-1))</f>
        <v/>
      </c>
    </row>
    <row r="216">
      <c r="B216" s="4" t="inlineStr">
        <is>
          <t>Unlevered IRR (Newton steps from 10 percent)</t>
        </is>
      </c>
      <c r="D216" s="38" t="n">
        <v>0.1</v>
      </c>
      <c r="E216" s="40">
        <f>D216-SUMPRODUCT($D$214:$AL$214,(1+D216)^(-$D$212:$AL$212))/SUMPRODUCT($D$214:$AL$214*(-$D$212:$AL$212),(1+D216)^(-$D$212:$AL$212-1))</f>
        <v/>
      </c>
      <c r="F216" s="40">
        <f>E216-SUMPRODUCT($D$214:$AL$214,(1+E216)^(-$D$212:$AL$212))/SUMPRODUCT($D$214:$AL$214*(-$D$212:$AL$212),(1+E216)^(-$D$212:$AL$212-1))</f>
        <v/>
      </c>
      <c r="G216" s="40">
        <f>F216-SUMPRODUCT($D$214:$AL$214,(1+F216)^(-$D$212:$AL$212))/SUMPRODUCT($D$214:$AL$214*(-$D$212:$AL$212),(1+F216)^(-$D$212:$AL$212-1))</f>
        <v/>
      </c>
      <c r="H216" s="40">
        <f>G216-SUMPRODUCT($D$214:$AL$214,(1+G216)^(-$D$212:$AL$212))/SUMPRODUCT($D$214:$AL$214*(-$D$212:$AL$212),(1+G216)^(-$D$212:$AL$212-1))</f>
        <v/>
      </c>
      <c r="I216" s="40">
        <f>H216-SUMPRODUCT($D$214:$AL$214,(1+H216)^(-$D$212:$AL$212))/SUMPRODUCT($D$214:$AL$214*(-$D$212:$AL$212),(1+H216)^(-$D$212:$AL$212-1))</f>
        <v/>
      </c>
      <c r="J216" s="40">
        <f>I216-SUMPRODUCT($D$214:$AL$214,(1+I216)^(-$D$212:$AL$212))/SUMPRODUCT($D$214:$AL$214*(-$D$212:$AL$212),(1+I216)^(-$D$212:$AL$212-1))</f>
        <v/>
      </c>
      <c r="K216" s="40">
        <f>J216-SUMPRODUCT($D$214:$AL$214,(1+J216)^(-$D$212:$AL$212))/SUMPRODUCT($D$214:$AL$214*(-$D$212:$AL$212),(1+J216)^(-$D$212:$AL$212-1))</f>
        <v/>
      </c>
      <c r="L216" s="40">
        <f>K216-SUMPRODUCT($D$214:$AL$214,(1+K216)^(-$D$212:$AL$212))/SUMPRODUCT($D$214:$AL$214*(-$D$212:$AL$212),(1+K216)^(-$D$212:$AL$212-1))</f>
        <v/>
      </c>
      <c r="M216" s="40">
        <f>L216-SUMPRODUCT($D$214:$AL$214,(1+L216)^(-$D$212:$AL$212))/SUMPRODUCT($D$214:$AL$214*(-$D$212:$AL$212),(1+L216)^(-$D$212:$AL$212-1))</f>
        <v/>
      </c>
      <c r="N216" s="40">
        <f>M216-SUMPRODUCT($D$214:$AL$214,(1+M216)^(-$D$212:$AL$212))/SUMPRODUCT($D$214:$AL$214*(-$D$212:$AL$212),(1+M216)^(-$D$212:$AL$212-1))</f>
        <v/>
      </c>
      <c r="O216" s="40">
        <f>N216-SUMPRODUCT($D$214:$AL$214,(1+N216)^(-$D$212:$AL$212))/SUMPRODUCT($D$214:$AL$214*(-$D$212:$AL$212),(1+N216)^(-$D$212:$AL$212-1))</f>
        <v/>
      </c>
      <c r="P216" s="40">
        <f>O216-SUMPRODUCT($D$214:$AL$214,(1+O216)^(-$D$212:$AL$212))/SUMPRODUCT($D$214:$AL$214*(-$D$212:$AL$212),(1+O216)^(-$D$212:$AL$212-1))</f>
        <v/>
      </c>
      <c r="Q216" s="40">
        <f>P216-SUMPRODUCT($D$214:$AL$214,(1+P216)^(-$D$212:$AL$212))/SUMPRODUCT($D$214:$AL$214*(-$D$212:$AL$212),(1+P216)^(-$D$212:$AL$212-1))</f>
        <v/>
      </c>
      <c r="R216" s="40">
        <f>Q216-SUMPRODUCT($D$214:$AL$214,(1+Q216)^(-$D$212:$AL$212))/SUMPRODUCT($D$214:$AL$214*(-$D$212:$AL$212),(1+Q216)^(-$D$212:$AL$212-1))</f>
        <v/>
      </c>
    </row>
    <row r="217">
      <c r="B217" s="3" t="inlineStr">
        <is>
          <t>Levered IRR (equity)</t>
        </is>
      </c>
      <c r="C217" s="33">
        <f>R215</f>
        <v/>
      </c>
    </row>
    <row r="218">
      <c r="B218" s="3" t="inlineStr">
        <is>
          <t>Unlevered IRR</t>
        </is>
      </c>
      <c r="C218" s="33">
        <f>R216</f>
        <v/>
      </c>
    </row>
    <row r="219">
      <c r="B219" s="2" t="inlineStr">
        <is>
          <t>Check: levered NPV at the levered IRR</t>
        </is>
      </c>
      <c r="C219" s="41">
        <f>SUMPRODUCT($D$213:$AL$213,(1+Approvals!$C$217)^(-$D$212:$AL$212))</f>
        <v/>
      </c>
    </row>
    <row r="220">
      <c r="B220" s="2" t="inlineStr">
        <is>
          <t>Check: unlevered NPV at the unlevered IRR</t>
        </is>
      </c>
      <c r="C220" s="41">
        <f>SUMPRODUCT($D$214:$AL$214,(1+Approvals!$C$218)^(-$D$212:$AL$212))</f>
        <v/>
      </c>
    </row>
    <row r="221">
      <c r="B221" s="2" t="inlineStr">
        <is>
          <t>Money multiple (cash in over cash out)</t>
        </is>
      </c>
      <c r="C221" s="37">
        <f>SUMIF($D$213:$AL$213,"&gt;0")/-SUMIF($D$213:$AL$213,"&lt;0")</f>
        <v/>
      </c>
    </row>
    <row r="222">
      <c r="B222" s="2" t="inlineStr">
        <is>
          <t>Present value at the target IRR of the flows after closing</t>
        </is>
      </c>
      <c r="C222" s="19">
        <f>SUMPRODUCT($D$213:$AL$213,(1+i_hurdle)^(-$D$212:$AL$212))+Approvals!$C$196*(1+i_hurdle)^(-Approvals!$C$150)</f>
        <v/>
      </c>
    </row>
    <row r="223">
      <c r="B223" s="2" t="inlineStr">
        <is>
          <t>Equity cheque that gives exactly the target IRR</t>
        </is>
      </c>
      <c r="C223" s="19">
        <f>Approvals!$C$222*(1+i_hurdle)^Approvals!$C$150</f>
        <v/>
      </c>
    </row>
    <row r="224">
      <c r="B224" s="2" t="inlineStr">
        <is>
          <t>EV less equity price (fixed bridge items)</t>
        </is>
      </c>
      <c r="C224" s="19">
        <f>Approvals!$C$155-Approvals!$C$161</f>
        <v/>
      </c>
    </row>
    <row r="225">
      <c r="B225" s="2" t="inlineStr">
        <is>
          <t>Equity cheque items that do not move with the price</t>
        </is>
      </c>
      <c r="C225" s="19">
        <f>Approvals!$C$186+Approvals!$C$158+i_costs_adv+Approvals!$C$181+Approvals!$C$182-Approvals!$C$176-Approvals!$C$177-Approvals!$C$169</f>
        <v/>
      </c>
    </row>
    <row r="226">
      <c r="B226" s="2" t="inlineStr">
        <is>
          <t>Walk-away EV, first pass (HSR fee at the bid)</t>
        </is>
      </c>
      <c r="C226" s="19">
        <f>(Approvals!$C$223-Approvals!$C$225-Approvals!$C$179+Approvals!$C$224*(1+i_ticking*Approvals!$C$150))/(1+i_ticking*Approvals!$C$150+i_wi_limit_pct*i_wi_rol*(1+i_wi_ipt))</f>
        <v/>
      </c>
    </row>
    <row r="227">
      <c r="B227" s="3" t="inlineStr">
        <is>
          <t>Walk-away EV (highest EV at the target IRR)</t>
        </is>
      </c>
      <c r="C227" s="31">
        <f>(Approvals!$C$223-Approvals!$C$225-IF(Approvals!$C$226-Approvals!$C$224&lt;INDEX(i_hsr_lo,1),0,LOOKUP(Approvals!$C$226-Approvals!$C$224,i_hsr_lo,i_hsr_fee))+Approvals!$C$224*(1+i_ticking*Approvals!$C$150))/(1+i_ticking*Approvals!$C$150+i_wi_limit_pct*i_wi_rol*(1+i_wi_ipt))</f>
        <v/>
      </c>
    </row>
    <row r="230">
      <c r="B230" s="5" t="inlineStr">
        <is>
          <t>Deal: CFIUS full notice and NSIA call-in: 31 December 2027</t>
        </is>
      </c>
    </row>
    <row r="231">
      <c r="B231" s="4" t="inlineStr">
        <is>
          <t>Enterprise value at 31 December 2026</t>
        </is>
      </c>
      <c r="C231" s="29">
        <f>i_bid_ev</f>
        <v/>
      </c>
    </row>
    <row r="232">
      <c r="B232" s="4" t="inlineStr">
        <is>
          <t>Closing (years after 31 December 2026)</t>
        </is>
      </c>
      <c r="C232" s="28">
        <f>Inputs!$C$202</f>
        <v/>
      </c>
    </row>
    <row r="233">
      <c r="B233" s="4" t="inlineStr">
        <is>
          <t>Staple financing (1) or own debt (0)</t>
        </is>
      </c>
      <c r="C233" s="26">
        <f>0</f>
        <v/>
      </c>
    </row>
    <row r="234">
      <c r="B234" s="4" t="inlineStr">
        <is>
          <t>Minority sale in 2031 (1) or full exit (0)</t>
        </is>
      </c>
      <c r="C234" s="26">
        <f>0</f>
        <v/>
      </c>
    </row>
    <row r="235">
      <c r="B235" s="4" t="inlineStr">
        <is>
          <t>Exit discount rate</t>
        </is>
      </c>
      <c r="C235" s="38">
        <f>i_r_exit</f>
        <v/>
      </c>
    </row>
    <row r="236">
      <c r="B236" s="4" t="inlineStr">
        <is>
          <t>Change in the opco rate at refinancing</t>
        </is>
      </c>
      <c r="C236" s="38">
        <f>i_refi_shift</f>
        <v/>
      </c>
    </row>
    <row r="237">
      <c r="B237" s="2" t="inlineStr">
        <is>
          <t>Enterprise value</t>
        </is>
      </c>
      <c r="C237" s="19">
        <f>Approvals!$C$231</f>
        <v/>
      </c>
    </row>
    <row r="238">
      <c r="B238" s="2" t="inlineStr">
        <is>
          <t>less existing financial debt (term loan and notes)</t>
        </is>
      </c>
      <c r="C238" s="19">
        <f>i_old_tl+i_old_notes</f>
        <v/>
      </c>
    </row>
    <row r="239">
      <c r="B239" s="2" t="inlineStr">
        <is>
          <t>less make-whole on the notes</t>
        </is>
      </c>
      <c r="C239" s="19">
        <f>i_make_whole</f>
        <v/>
      </c>
    </row>
    <row r="240">
      <c r="B240" s="2" t="inlineStr">
        <is>
          <t>less debt-like items (pension, accrued capex, 2026 tax)</t>
        </is>
      </c>
      <c r="C240" s="19">
        <f>i_pension+i_def_capex+i_acc_tax</f>
        <v/>
      </c>
    </row>
    <row r="241">
      <c r="B241" s="2" t="inlineStr">
        <is>
          <t>plus cash at the locked box date</t>
        </is>
      </c>
      <c r="C241" s="19">
        <f>i_lb_cash</f>
        <v/>
      </c>
    </row>
    <row r="242">
      <c r="B242" s="2" t="inlineStr">
        <is>
          <t>less permitted leakage</t>
        </is>
      </c>
      <c r="C242" s="19">
        <f>i_permitted_leak</f>
        <v/>
      </c>
    </row>
    <row r="243">
      <c r="B243" s="3" t="inlineStr">
        <is>
          <t>Equity price (shares and shareholder loan)</t>
        </is>
      </c>
      <c r="C243" s="31">
        <f>Approvals!$C$237-Approvals!$C$238-Approvals!$C$239-Approvals!$C$240+Approvals!$C$241-Approvals!$C$242</f>
        <v/>
      </c>
    </row>
    <row r="244">
      <c r="B244" s="2" t="inlineStr">
        <is>
          <t xml:space="preserve">  of which shareholder loan at face value</t>
        </is>
      </c>
      <c r="C244" s="19">
        <f>i_shl</f>
        <v/>
      </c>
    </row>
    <row r="245">
      <c r="B245" s="2" t="inlineStr">
        <is>
          <t xml:space="preserve">  of which shares</t>
        </is>
      </c>
      <c r="C245" s="19">
        <f>Approvals!$C$243-Approvals!$C$244</f>
        <v/>
      </c>
    </row>
    <row r="246">
      <c r="B246" s="2" t="inlineStr">
        <is>
          <t>Ticking fee to closing</t>
        </is>
      </c>
      <c r="C246" s="19">
        <f>Approvals!$C$243*i_ticking*Approvals!$C$232</f>
        <v/>
      </c>
    </row>
    <row r="247">
      <c r="B247" s="2" t="inlineStr">
        <is>
          <t>Share of the year before closing (box period)</t>
        </is>
      </c>
      <c r="D247" s="24">
        <f>IF(D$4&lt;1,0,MAX(0,MIN(1,Approvals!$C$232-(D$4-1))))</f>
        <v/>
      </c>
      <c r="E247" s="24">
        <f>IF(E$4&lt;1,0,MAX(0,MIN(1,Approvals!$C$232-(E$4-1))))</f>
        <v/>
      </c>
      <c r="F247" s="24">
        <f>IF(F$4&lt;1,0,MAX(0,MIN(1,Approvals!$C$232-(F$4-1))))</f>
        <v/>
      </c>
      <c r="G247" s="24">
        <f>IF(G$4&lt;1,0,MAX(0,MIN(1,Approvals!$C$232-(G$4-1))))</f>
        <v/>
      </c>
      <c r="H247" s="24">
        <f>IF(H$4&lt;1,0,MAX(0,MIN(1,Approvals!$C$232-(H$4-1))))</f>
        <v/>
      </c>
      <c r="I247" s="24">
        <f>IF(I$4&lt;1,0,MAX(0,MIN(1,Approvals!$C$232-(I$4-1))))</f>
        <v/>
      </c>
      <c r="J247" s="24">
        <f>IF(J$4&lt;1,0,MAX(0,MIN(1,Approvals!$C$232-(J$4-1))))</f>
        <v/>
      </c>
      <c r="K247" s="24">
        <f>IF(K$4&lt;1,0,MAX(0,MIN(1,Approvals!$C$232-(K$4-1))))</f>
        <v/>
      </c>
      <c r="L247" s="24">
        <f>IF(L$4&lt;1,0,MAX(0,MIN(1,Approvals!$C$232-(L$4-1))))</f>
        <v/>
      </c>
      <c r="M247" s="24">
        <f>IF(M$4&lt;1,0,MAX(0,MIN(1,Approvals!$C$232-(M$4-1))))</f>
        <v/>
      </c>
      <c r="N247" s="24">
        <f>IF(N$4&lt;1,0,MAX(0,MIN(1,Approvals!$C$232-(N$4-1))))</f>
        <v/>
      </c>
      <c r="O247" s="24">
        <f>IF(O$4&lt;1,0,MAX(0,MIN(1,Approvals!$C$232-(O$4-1))))</f>
        <v/>
      </c>
      <c r="P247" s="24">
        <f>IF(P$4&lt;1,0,MAX(0,MIN(1,Approvals!$C$232-(P$4-1))))</f>
        <v/>
      </c>
      <c r="Q247" s="24">
        <f>IF(Q$4&lt;1,0,MAX(0,MIN(1,Approvals!$C$232-(Q$4-1))))</f>
        <v/>
      </c>
      <c r="R247" s="24">
        <f>IF(R$4&lt;1,0,MAX(0,MIN(1,Approvals!$C$232-(R$4-1))))</f>
        <v/>
      </c>
      <c r="S247" s="24">
        <f>IF(S$4&lt;1,0,MAX(0,MIN(1,Approvals!$C$232-(S$4-1))))</f>
        <v/>
      </c>
      <c r="T247" s="24">
        <f>IF(T$4&lt;1,0,MAX(0,MIN(1,Approvals!$C$232-(T$4-1))))</f>
        <v/>
      </c>
      <c r="U247" s="24">
        <f>IF(U$4&lt;1,0,MAX(0,MIN(1,Approvals!$C$232-(U$4-1))))</f>
        <v/>
      </c>
      <c r="V247" s="24">
        <f>IF(V$4&lt;1,0,MAX(0,MIN(1,Approvals!$C$232-(V$4-1))))</f>
        <v/>
      </c>
      <c r="W247" s="24">
        <f>IF(W$4&lt;1,0,MAX(0,MIN(1,Approvals!$C$232-(W$4-1))))</f>
        <v/>
      </c>
      <c r="X247" s="24">
        <f>IF(X$4&lt;1,0,MAX(0,MIN(1,Approvals!$C$232-(X$4-1))))</f>
        <v/>
      </c>
      <c r="Y247" s="24">
        <f>IF(Y$4&lt;1,0,MAX(0,MIN(1,Approvals!$C$232-(Y$4-1))))</f>
        <v/>
      </c>
      <c r="Z247" s="24">
        <f>IF(Z$4&lt;1,0,MAX(0,MIN(1,Approvals!$C$232-(Z$4-1))))</f>
        <v/>
      </c>
      <c r="AA247" s="24">
        <f>IF(AA$4&lt;1,0,MAX(0,MIN(1,Approvals!$C$232-(AA$4-1))))</f>
        <v/>
      </c>
      <c r="AB247" s="24">
        <f>IF(AB$4&lt;1,0,MAX(0,MIN(1,Approvals!$C$232-(AB$4-1))))</f>
        <v/>
      </c>
      <c r="AC247" s="24">
        <f>IF(AC$4&lt;1,0,MAX(0,MIN(1,Approvals!$C$232-(AC$4-1))))</f>
        <v/>
      </c>
      <c r="AD247" s="24">
        <f>IF(AD$4&lt;1,0,MAX(0,MIN(1,Approvals!$C$232-(AD$4-1))))</f>
        <v/>
      </c>
      <c r="AE247" s="24">
        <f>IF(AE$4&lt;1,0,MAX(0,MIN(1,Approvals!$C$232-(AE$4-1))))</f>
        <v/>
      </c>
      <c r="AF247" s="24">
        <f>IF(AF$4&lt;1,0,MAX(0,MIN(1,Approvals!$C$232-(AF$4-1))))</f>
        <v/>
      </c>
      <c r="AG247" s="24">
        <f>IF(AG$4&lt;1,0,MAX(0,MIN(1,Approvals!$C$232-(AG$4-1))))</f>
        <v/>
      </c>
      <c r="AH247" s="24">
        <f>IF(AH$4&lt;1,0,MAX(0,MIN(1,Approvals!$C$232-(AH$4-1))))</f>
        <v/>
      </c>
      <c r="AI247" s="24">
        <f>IF(AI$4&lt;1,0,MAX(0,MIN(1,Approvals!$C$232-(AI$4-1))))</f>
        <v/>
      </c>
    </row>
    <row r="248">
      <c r="B248" s="2" t="inlineStr">
        <is>
          <t>Box cash: free cash flow less interest on the old debt</t>
        </is>
      </c>
      <c r="D248" s="19">
        <f>D247*(Diligence!D145-i_old_rate*(i_old_tl+i_old_notes))</f>
        <v/>
      </c>
      <c r="E248" s="19">
        <f>E247*(Diligence!E145-i_old_rate*(i_old_tl+i_old_notes))</f>
        <v/>
      </c>
      <c r="F248" s="19">
        <f>F247*(Diligence!F145-i_old_rate*(i_old_tl+i_old_notes))</f>
        <v/>
      </c>
      <c r="G248" s="19">
        <f>G247*(Diligence!G145-i_old_rate*(i_old_tl+i_old_notes))</f>
        <v/>
      </c>
      <c r="H248" s="19">
        <f>H247*(Diligence!H145-i_old_rate*(i_old_tl+i_old_notes))</f>
        <v/>
      </c>
      <c r="I248" s="19">
        <f>I247*(Diligence!I145-i_old_rate*(i_old_tl+i_old_notes))</f>
        <v/>
      </c>
      <c r="J248" s="19">
        <f>J247*(Diligence!J145-i_old_rate*(i_old_tl+i_old_notes))</f>
        <v/>
      </c>
      <c r="K248" s="19">
        <f>K247*(Diligence!K145-i_old_rate*(i_old_tl+i_old_notes))</f>
        <v/>
      </c>
      <c r="L248" s="19">
        <f>L247*(Diligence!L145-i_old_rate*(i_old_tl+i_old_notes))</f>
        <v/>
      </c>
      <c r="M248" s="19">
        <f>M247*(Diligence!M145-i_old_rate*(i_old_tl+i_old_notes))</f>
        <v/>
      </c>
      <c r="N248" s="19">
        <f>N247*(Diligence!N145-i_old_rate*(i_old_tl+i_old_notes))</f>
        <v/>
      </c>
      <c r="O248" s="19">
        <f>O247*(Diligence!O145-i_old_rate*(i_old_tl+i_old_notes))</f>
        <v/>
      </c>
      <c r="P248" s="19">
        <f>P247*(Diligence!P145-i_old_rate*(i_old_tl+i_old_notes))</f>
        <v/>
      </c>
      <c r="Q248" s="19">
        <f>Q247*(Diligence!Q145-i_old_rate*(i_old_tl+i_old_notes))</f>
        <v/>
      </c>
      <c r="R248" s="19">
        <f>R247*(Diligence!R145-i_old_rate*(i_old_tl+i_old_notes))</f>
        <v/>
      </c>
      <c r="S248" s="19">
        <f>S247*(Diligence!S145-i_old_rate*(i_old_tl+i_old_notes))</f>
        <v/>
      </c>
      <c r="T248" s="19">
        <f>T247*(Diligence!T145-i_old_rate*(i_old_tl+i_old_notes))</f>
        <v/>
      </c>
      <c r="U248" s="19">
        <f>U247*(Diligence!U145-i_old_rate*(i_old_tl+i_old_notes))</f>
        <v/>
      </c>
      <c r="V248" s="19">
        <f>V247*(Diligence!V145-i_old_rate*(i_old_tl+i_old_notes))</f>
        <v/>
      </c>
      <c r="W248" s="19">
        <f>W247*(Diligence!W145-i_old_rate*(i_old_tl+i_old_notes))</f>
        <v/>
      </c>
      <c r="X248" s="19">
        <f>X247*(Diligence!X145-i_old_rate*(i_old_tl+i_old_notes))</f>
        <v/>
      </c>
      <c r="Y248" s="19">
        <f>Y247*(Diligence!Y145-i_old_rate*(i_old_tl+i_old_notes))</f>
        <v/>
      </c>
      <c r="Z248" s="19">
        <f>Z247*(Diligence!Z145-i_old_rate*(i_old_tl+i_old_notes))</f>
        <v/>
      </c>
      <c r="AA248" s="19">
        <f>AA247*(Diligence!AA145-i_old_rate*(i_old_tl+i_old_notes))</f>
        <v/>
      </c>
      <c r="AB248" s="19">
        <f>AB247*(Diligence!AB145-i_old_rate*(i_old_tl+i_old_notes))</f>
        <v/>
      </c>
      <c r="AC248" s="19">
        <f>AC247*(Diligence!AC145-i_old_rate*(i_old_tl+i_old_notes))</f>
        <v/>
      </c>
      <c r="AD248" s="19">
        <f>AD247*(Diligence!AD145-i_old_rate*(i_old_tl+i_old_notes))</f>
        <v/>
      </c>
      <c r="AE248" s="19">
        <f>AE247*(Diligence!AE145-i_old_rate*(i_old_tl+i_old_notes))</f>
        <v/>
      </c>
      <c r="AF248" s="19">
        <f>AF247*(Diligence!AF145-i_old_rate*(i_old_tl+i_old_notes))</f>
        <v/>
      </c>
      <c r="AG248" s="19">
        <f>AG247*(Diligence!AG145-i_old_rate*(i_old_tl+i_old_notes))</f>
        <v/>
      </c>
      <c r="AH248" s="19">
        <f>AH247*(Diligence!AH145-i_old_rate*(i_old_tl+i_old_notes))</f>
        <v/>
      </c>
      <c r="AI248" s="19">
        <f>AI247*(Diligence!AI145-i_old_rate*(i_old_tl+i_old_notes))</f>
        <v/>
      </c>
    </row>
    <row r="249">
      <c r="B249" s="2" t="inlineStr">
        <is>
          <t>Box cash generated from 1 January 2027 to closing</t>
        </is>
      </c>
      <c r="C249" s="19">
        <f>SUM(Approvals!D248:AI248)</f>
        <v/>
      </c>
    </row>
    <row r="250">
      <c r="B250" s="2" t="inlineStr">
        <is>
          <t>Cash in the company at closing</t>
        </is>
      </c>
      <c r="C250" s="19">
        <f>Approvals!$C$241-Approvals!$C$242+Approvals!$C$249</f>
        <v/>
      </c>
    </row>
    <row r="251">
      <c r="B251" s="2" t="inlineStr">
        <is>
          <t>Cash used at closing (above operating cash)</t>
        </is>
      </c>
      <c r="C251" s="19">
        <f>Approvals!$C$250-i_min_cash</f>
        <v/>
      </c>
    </row>
    <row r="253">
      <c r="B253" s="3" t="inlineStr">
        <is>
          <t>Sources and uses at closing</t>
        </is>
      </c>
    </row>
    <row r="254">
      <c r="B254" s="2" t="inlineStr">
        <is>
          <t>EBITDA 2026 (sizing basis)</t>
        </is>
      </c>
      <c r="C254" s="19">
        <f>Diligence!$D$139</f>
        <v/>
      </c>
    </row>
    <row r="255">
      <c r="B255" s="2" t="inlineStr">
        <is>
          <t>Opco multiple of 2026 EBITDA</t>
        </is>
      </c>
      <c r="C255" s="37">
        <f>IF(Approvals!$C$233=1,i_staple_x,i_opco_x)</f>
        <v/>
      </c>
    </row>
    <row r="256">
      <c r="B256" s="2" t="inlineStr">
        <is>
          <t>Opco rate</t>
        </is>
      </c>
      <c r="C256" s="23">
        <f>IF(Approvals!$C$233=1,i_staple_rate,i_opco_rate)</f>
        <v/>
      </c>
    </row>
    <row r="257">
      <c r="B257" s="2" t="inlineStr">
        <is>
          <t>Opco fees</t>
        </is>
      </c>
      <c r="C257" s="23">
        <f>IF(Approvals!$C$233=1,i_staple_fee,i_opco_fee)</f>
        <v/>
      </c>
    </row>
    <row r="258">
      <c r="B258" s="2" t="inlineStr">
        <is>
          <t>Opco senior debt (whole $ million)</t>
        </is>
      </c>
      <c r="C258" s="19">
        <f>ROUND(Approvals!$C$255*Approvals!$C$254,0)</f>
        <v/>
      </c>
    </row>
    <row r="259">
      <c r="B259" s="2" t="inlineStr">
        <is>
          <t>Holdco debt (whole $ million)</t>
        </is>
      </c>
      <c r="C259" s="19">
        <f>ROUND(i_hold_x*Approvals!$C$254,0)</f>
        <v/>
      </c>
    </row>
    <row r="260">
      <c r="B260" s="2" t="inlineStr">
        <is>
          <t>W&amp;I premium with insurance premium tax</t>
        </is>
      </c>
      <c r="C260" s="35">
        <f>i_wi_limit_pct*Approvals!$C$237*i_wi_rol*(1+i_wi_ipt)</f>
        <v/>
      </c>
    </row>
    <row r="261">
      <c r="B261" s="2" t="inlineStr">
        <is>
          <t>HSR filing fee (on the equity price)</t>
        </is>
      </c>
      <c r="C261" s="39">
        <f>IF(Approvals!$C$243&lt;INDEX(i_hsr_lo,1),0,LOOKUP(Approvals!$C$243,i_hsr_lo,i_hsr_fee))</f>
        <v/>
      </c>
    </row>
    <row r="262">
      <c r="B262" s="2" t="inlineStr">
        <is>
          <t>Transaction costs (advisers, W&amp;I, HSR)</t>
        </is>
      </c>
      <c r="C262" s="19">
        <f>i_costs_adv+Approvals!$C$260+Approvals!$C$261</f>
        <v/>
      </c>
    </row>
    <row r="263">
      <c r="B263" s="2" t="inlineStr">
        <is>
          <t>Financing fees</t>
        </is>
      </c>
      <c r="C263" s="19">
        <f>Approvals!$C$257*Approvals!$C$258+i_hold_fee*Approvals!$C$259</f>
        <v/>
      </c>
    </row>
    <row r="264">
      <c r="B264" s="2" t="inlineStr">
        <is>
          <t>Commitment fees, signing to closing</t>
        </is>
      </c>
      <c r="C264" s="19">
        <f>i_commit_fee*(Approvals!$C$258+Approvals!$C$259)*MAX(0,Approvals!$C$232-i_t_sign)</f>
        <v/>
      </c>
    </row>
    <row r="265">
      <c r="B265" s="3" t="inlineStr">
        <is>
          <t>Uses</t>
        </is>
      </c>
    </row>
    <row r="266">
      <c r="B266" s="2" t="inlineStr">
        <is>
          <t xml:space="preserve">  Equity price</t>
        </is>
      </c>
      <c r="C266" s="19">
        <f>Approvals!$C$243</f>
        <v/>
      </c>
    </row>
    <row r="267">
      <c r="B267" s="2" t="inlineStr">
        <is>
          <t xml:space="preserve">  Ticking fee</t>
        </is>
      </c>
      <c r="C267" s="19">
        <f>Approvals!$C$246</f>
        <v/>
      </c>
    </row>
    <row r="268">
      <c r="B268" s="2" t="inlineStr">
        <is>
          <t xml:space="preserve">  Repayment of existing debt and make-whole</t>
        </is>
      </c>
      <c r="C268" s="19">
        <f>Approvals!$C$238+Approvals!$C$239</f>
        <v/>
      </c>
    </row>
    <row r="269">
      <c r="B269" s="2" t="inlineStr">
        <is>
          <t xml:space="preserve">  Debt-like items settled</t>
        </is>
      </c>
      <c r="C269" s="19">
        <f>Approvals!$C$240</f>
        <v/>
      </c>
    </row>
    <row r="270">
      <c r="B270" s="2" t="inlineStr">
        <is>
          <t xml:space="preserve">  Transaction costs</t>
        </is>
      </c>
      <c r="C270" s="19">
        <f>Approvals!$C$262</f>
        <v/>
      </c>
    </row>
    <row r="271">
      <c r="B271" s="2" t="inlineStr">
        <is>
          <t xml:space="preserve">  Financing fees</t>
        </is>
      </c>
      <c r="C271" s="19">
        <f>Approvals!$C$263</f>
        <v/>
      </c>
    </row>
    <row r="272">
      <c r="B272" s="2" t="inlineStr">
        <is>
          <t xml:space="preserve">  Commitment fees</t>
        </is>
      </c>
      <c r="C272" s="19">
        <f>Approvals!$C$264</f>
        <v/>
      </c>
    </row>
    <row r="273">
      <c r="B273" s="3" t="inlineStr">
        <is>
          <t>Total uses</t>
        </is>
      </c>
      <c r="C273" s="31">
        <f>SUM(C266:C272)</f>
        <v/>
      </c>
    </row>
    <row r="274">
      <c r="B274" s="3" t="inlineStr">
        <is>
          <t>Sources</t>
        </is>
      </c>
    </row>
    <row r="275">
      <c r="B275" s="2" t="inlineStr">
        <is>
          <t xml:space="preserve">  Opco senior debt</t>
        </is>
      </c>
      <c r="C275" s="19">
        <f>Approvals!$C$258</f>
        <v/>
      </c>
    </row>
    <row r="276">
      <c r="B276" s="2" t="inlineStr">
        <is>
          <t xml:space="preserve">  Holdco debt</t>
        </is>
      </c>
      <c r="C276" s="19">
        <f>Approvals!$C$259</f>
        <v/>
      </c>
    </row>
    <row r="277">
      <c r="B277" s="2" t="inlineStr">
        <is>
          <t xml:space="preserve">  Cash in the company at closing</t>
        </is>
      </c>
      <c r="C277" s="19">
        <f>Approvals!$C$251</f>
        <v/>
      </c>
    </row>
    <row r="278">
      <c r="B278" s="3" t="inlineStr">
        <is>
          <t xml:space="preserve">  Equity from the consortium</t>
        </is>
      </c>
      <c r="C278" s="31">
        <f>Approvals!$C$273-Approvals!$C$258-Approvals!$C$259-Approvals!$C$251</f>
        <v/>
      </c>
    </row>
    <row r="279">
      <c r="B279" s="3" t="inlineStr">
        <is>
          <t>Total sources</t>
        </is>
      </c>
      <c r="C279" s="31">
        <f>SUM(C275:C278)</f>
        <v/>
      </c>
    </row>
    <row r="281">
      <c r="B281" s="3" t="inlineStr">
        <is>
          <t>Flows after closing (years in columns D to AI; closing, minority sale and exit in AJ to AL)</t>
        </is>
      </c>
    </row>
    <row r="282">
      <c r="B282" s="2" t="inlineStr">
        <is>
          <t>Share of the year owned</t>
        </is>
      </c>
      <c r="D282" s="24">
        <f>IF(D$3&gt;i_exit_year,0,MIN(1,MAX(0,D$4-Approvals!$C$232)))</f>
        <v/>
      </c>
      <c r="E282" s="24">
        <f>IF(E$3&gt;i_exit_year,0,MIN(1,MAX(0,E$4-Approvals!$C$232)))</f>
        <v/>
      </c>
      <c r="F282" s="24">
        <f>IF(F$3&gt;i_exit_year,0,MIN(1,MAX(0,F$4-Approvals!$C$232)))</f>
        <v/>
      </c>
      <c r="G282" s="24">
        <f>IF(G$3&gt;i_exit_year,0,MIN(1,MAX(0,G$4-Approvals!$C$232)))</f>
        <v/>
      </c>
      <c r="H282" s="24">
        <f>IF(H$3&gt;i_exit_year,0,MIN(1,MAX(0,H$4-Approvals!$C$232)))</f>
        <v/>
      </c>
      <c r="I282" s="24">
        <f>IF(I$3&gt;i_exit_year,0,MIN(1,MAX(0,I$4-Approvals!$C$232)))</f>
        <v/>
      </c>
      <c r="J282" s="24">
        <f>IF(J$3&gt;i_exit_year,0,MIN(1,MAX(0,J$4-Approvals!$C$232)))</f>
        <v/>
      </c>
      <c r="K282" s="24">
        <f>IF(K$3&gt;i_exit_year,0,MIN(1,MAX(0,K$4-Approvals!$C$232)))</f>
        <v/>
      </c>
      <c r="L282" s="24">
        <f>IF(L$3&gt;i_exit_year,0,MIN(1,MAX(0,L$4-Approvals!$C$232)))</f>
        <v/>
      </c>
      <c r="M282" s="24">
        <f>IF(M$3&gt;i_exit_year,0,MIN(1,MAX(0,M$4-Approvals!$C$232)))</f>
        <v/>
      </c>
      <c r="N282" s="24">
        <f>IF(N$3&gt;i_exit_year,0,MIN(1,MAX(0,N$4-Approvals!$C$232)))</f>
        <v/>
      </c>
      <c r="O282" s="24">
        <f>IF(O$3&gt;i_exit_year,0,MIN(1,MAX(0,O$4-Approvals!$C$232)))</f>
        <v/>
      </c>
      <c r="P282" s="24">
        <f>IF(P$3&gt;i_exit_year,0,MIN(1,MAX(0,P$4-Approvals!$C$232)))</f>
        <v/>
      </c>
      <c r="Q282" s="24">
        <f>IF(Q$3&gt;i_exit_year,0,MIN(1,MAX(0,Q$4-Approvals!$C$232)))</f>
        <v/>
      </c>
      <c r="R282" s="24">
        <f>IF(R$3&gt;i_exit_year,0,MIN(1,MAX(0,R$4-Approvals!$C$232)))</f>
        <v/>
      </c>
      <c r="S282" s="24">
        <f>IF(S$3&gt;i_exit_year,0,MIN(1,MAX(0,S$4-Approvals!$C$232)))</f>
        <v/>
      </c>
      <c r="T282" s="24">
        <f>IF(T$3&gt;i_exit_year,0,MIN(1,MAX(0,T$4-Approvals!$C$232)))</f>
        <v/>
      </c>
      <c r="U282" s="24">
        <f>IF(U$3&gt;i_exit_year,0,MIN(1,MAX(0,U$4-Approvals!$C$232)))</f>
        <v/>
      </c>
      <c r="V282" s="24">
        <f>IF(V$3&gt;i_exit_year,0,MIN(1,MAX(0,V$4-Approvals!$C$232)))</f>
        <v/>
      </c>
      <c r="W282" s="24">
        <f>IF(W$3&gt;i_exit_year,0,MIN(1,MAX(0,W$4-Approvals!$C$232)))</f>
        <v/>
      </c>
      <c r="X282" s="24">
        <f>IF(X$3&gt;i_exit_year,0,MIN(1,MAX(0,X$4-Approvals!$C$232)))</f>
        <v/>
      </c>
      <c r="Y282" s="24">
        <f>IF(Y$3&gt;i_exit_year,0,MIN(1,MAX(0,Y$4-Approvals!$C$232)))</f>
        <v/>
      </c>
      <c r="Z282" s="24">
        <f>IF(Z$3&gt;i_exit_year,0,MIN(1,MAX(0,Z$4-Approvals!$C$232)))</f>
        <v/>
      </c>
      <c r="AA282" s="24">
        <f>IF(AA$3&gt;i_exit_year,0,MIN(1,MAX(0,AA$4-Approvals!$C$232)))</f>
        <v/>
      </c>
      <c r="AB282" s="24">
        <f>IF(AB$3&gt;i_exit_year,0,MIN(1,MAX(0,AB$4-Approvals!$C$232)))</f>
        <v/>
      </c>
      <c r="AC282" s="24">
        <f>IF(AC$3&gt;i_exit_year,0,MIN(1,MAX(0,AC$4-Approvals!$C$232)))</f>
        <v/>
      </c>
      <c r="AD282" s="24">
        <f>IF(AD$3&gt;i_exit_year,0,MIN(1,MAX(0,AD$4-Approvals!$C$232)))</f>
        <v/>
      </c>
      <c r="AE282" s="24">
        <f>IF(AE$3&gt;i_exit_year,0,MIN(1,MAX(0,AE$4-Approvals!$C$232)))</f>
        <v/>
      </c>
      <c r="AF282" s="24">
        <f>IF(AF$3&gt;i_exit_year,0,MIN(1,MAX(0,AF$4-Approvals!$C$232)))</f>
        <v/>
      </c>
      <c r="AG282" s="24">
        <f>IF(AG$3&gt;i_exit_year,0,MIN(1,MAX(0,AG$4-Approvals!$C$232)))</f>
        <v/>
      </c>
      <c r="AH282" s="24">
        <f>IF(AH$3&gt;i_exit_year,0,MIN(1,MAX(0,AH$4-Approvals!$C$232)))</f>
        <v/>
      </c>
      <c r="AI282" s="24">
        <f>IF(AI$3&gt;i_exit_year,0,MIN(1,MAX(0,AI$4-Approvals!$C$232)))</f>
        <v/>
      </c>
    </row>
    <row r="283">
      <c r="B283" s="2" t="inlineStr">
        <is>
          <t>Opco rate (refinanced after the tenor)</t>
        </is>
      </c>
      <c r="D283" s="23">
        <f>IF(D$4&lt;=Approvals!$C$232+i_opco_tenor,Approvals!$C$256,Approvals!$C$256+Approvals!$C$236)</f>
        <v/>
      </c>
      <c r="E283" s="23">
        <f>IF(E$4&lt;=Approvals!$C$232+i_opco_tenor,Approvals!$C$256,Approvals!$C$256+Approvals!$C$236)</f>
        <v/>
      </c>
      <c r="F283" s="23">
        <f>IF(F$4&lt;=Approvals!$C$232+i_opco_tenor,Approvals!$C$256,Approvals!$C$256+Approvals!$C$236)</f>
        <v/>
      </c>
      <c r="G283" s="23">
        <f>IF(G$4&lt;=Approvals!$C$232+i_opco_tenor,Approvals!$C$256,Approvals!$C$256+Approvals!$C$236)</f>
        <v/>
      </c>
      <c r="H283" s="23">
        <f>IF(H$4&lt;=Approvals!$C$232+i_opco_tenor,Approvals!$C$256,Approvals!$C$256+Approvals!$C$236)</f>
        <v/>
      </c>
      <c r="I283" s="23">
        <f>IF(I$4&lt;=Approvals!$C$232+i_opco_tenor,Approvals!$C$256,Approvals!$C$256+Approvals!$C$236)</f>
        <v/>
      </c>
      <c r="J283" s="23">
        <f>IF(J$4&lt;=Approvals!$C$232+i_opco_tenor,Approvals!$C$256,Approvals!$C$256+Approvals!$C$236)</f>
        <v/>
      </c>
      <c r="K283" s="23">
        <f>IF(K$4&lt;=Approvals!$C$232+i_opco_tenor,Approvals!$C$256,Approvals!$C$256+Approvals!$C$236)</f>
        <v/>
      </c>
      <c r="L283" s="23">
        <f>IF(L$4&lt;=Approvals!$C$232+i_opco_tenor,Approvals!$C$256,Approvals!$C$256+Approvals!$C$236)</f>
        <v/>
      </c>
      <c r="M283" s="23">
        <f>IF(M$4&lt;=Approvals!$C$232+i_opco_tenor,Approvals!$C$256,Approvals!$C$256+Approvals!$C$236)</f>
        <v/>
      </c>
      <c r="N283" s="23">
        <f>IF(N$4&lt;=Approvals!$C$232+i_opco_tenor,Approvals!$C$256,Approvals!$C$256+Approvals!$C$236)</f>
        <v/>
      </c>
      <c r="O283" s="23">
        <f>IF(O$4&lt;=Approvals!$C$232+i_opco_tenor,Approvals!$C$256,Approvals!$C$256+Approvals!$C$236)</f>
        <v/>
      </c>
      <c r="P283" s="23">
        <f>IF(P$4&lt;=Approvals!$C$232+i_opco_tenor,Approvals!$C$256,Approvals!$C$256+Approvals!$C$236)</f>
        <v/>
      </c>
      <c r="Q283" s="23">
        <f>IF(Q$4&lt;=Approvals!$C$232+i_opco_tenor,Approvals!$C$256,Approvals!$C$256+Approvals!$C$236)</f>
        <v/>
      </c>
      <c r="R283" s="23">
        <f>IF(R$4&lt;=Approvals!$C$232+i_opco_tenor,Approvals!$C$256,Approvals!$C$256+Approvals!$C$236)</f>
        <v/>
      </c>
      <c r="S283" s="23">
        <f>IF(S$4&lt;=Approvals!$C$232+i_opco_tenor,Approvals!$C$256,Approvals!$C$256+Approvals!$C$236)</f>
        <v/>
      </c>
      <c r="T283" s="23">
        <f>IF(T$4&lt;=Approvals!$C$232+i_opco_tenor,Approvals!$C$256,Approvals!$C$256+Approvals!$C$236)</f>
        <v/>
      </c>
      <c r="U283" s="23">
        <f>IF(U$4&lt;=Approvals!$C$232+i_opco_tenor,Approvals!$C$256,Approvals!$C$256+Approvals!$C$236)</f>
        <v/>
      </c>
      <c r="V283" s="23">
        <f>IF(V$4&lt;=Approvals!$C$232+i_opco_tenor,Approvals!$C$256,Approvals!$C$256+Approvals!$C$236)</f>
        <v/>
      </c>
      <c r="W283" s="23">
        <f>IF(W$4&lt;=Approvals!$C$232+i_opco_tenor,Approvals!$C$256,Approvals!$C$256+Approvals!$C$236)</f>
        <v/>
      </c>
      <c r="X283" s="23">
        <f>IF(X$4&lt;=Approvals!$C$232+i_opco_tenor,Approvals!$C$256,Approvals!$C$256+Approvals!$C$236)</f>
        <v/>
      </c>
      <c r="Y283" s="23">
        <f>IF(Y$4&lt;=Approvals!$C$232+i_opco_tenor,Approvals!$C$256,Approvals!$C$256+Approvals!$C$236)</f>
        <v/>
      </c>
      <c r="Z283" s="23">
        <f>IF(Z$4&lt;=Approvals!$C$232+i_opco_tenor,Approvals!$C$256,Approvals!$C$256+Approvals!$C$236)</f>
        <v/>
      </c>
      <c r="AA283" s="23">
        <f>IF(AA$4&lt;=Approvals!$C$232+i_opco_tenor,Approvals!$C$256,Approvals!$C$256+Approvals!$C$236)</f>
        <v/>
      </c>
      <c r="AB283" s="23">
        <f>IF(AB$4&lt;=Approvals!$C$232+i_opco_tenor,Approvals!$C$256,Approvals!$C$256+Approvals!$C$236)</f>
        <v/>
      </c>
      <c r="AC283" s="23">
        <f>IF(AC$4&lt;=Approvals!$C$232+i_opco_tenor,Approvals!$C$256,Approvals!$C$256+Approvals!$C$236)</f>
        <v/>
      </c>
      <c r="AD283" s="23">
        <f>IF(AD$4&lt;=Approvals!$C$232+i_opco_tenor,Approvals!$C$256,Approvals!$C$256+Approvals!$C$236)</f>
        <v/>
      </c>
      <c r="AE283" s="23">
        <f>IF(AE$4&lt;=Approvals!$C$232+i_opco_tenor,Approvals!$C$256,Approvals!$C$256+Approvals!$C$236)</f>
        <v/>
      </c>
      <c r="AF283" s="23">
        <f>IF(AF$4&lt;=Approvals!$C$232+i_opco_tenor,Approvals!$C$256,Approvals!$C$256+Approvals!$C$236)</f>
        <v/>
      </c>
      <c r="AG283" s="23">
        <f>IF(AG$4&lt;=Approvals!$C$232+i_opco_tenor,Approvals!$C$256,Approvals!$C$256+Approvals!$C$236)</f>
        <v/>
      </c>
      <c r="AH283" s="23">
        <f>IF(AH$4&lt;=Approvals!$C$232+i_opco_tenor,Approvals!$C$256,Approvals!$C$256+Approvals!$C$236)</f>
        <v/>
      </c>
      <c r="AI283" s="23">
        <f>IF(AI$4&lt;=Approvals!$C$232+i_opco_tenor,Approvals!$C$256,Approvals!$C$256+Approvals!$C$236)</f>
        <v/>
      </c>
    </row>
    <row r="284">
      <c r="B284" s="2" t="inlineStr">
        <is>
          <t>Interest (opco and holdco)</t>
        </is>
      </c>
      <c r="D284" s="19">
        <f>D283*Approvals!$C$258+i_hold_rate*Approvals!$C$259</f>
        <v/>
      </c>
      <c r="E284" s="19">
        <f>E283*Approvals!$C$258+i_hold_rate*Approvals!$C$259</f>
        <v/>
      </c>
      <c r="F284" s="19">
        <f>F283*Approvals!$C$258+i_hold_rate*Approvals!$C$259</f>
        <v/>
      </c>
      <c r="G284" s="19">
        <f>G283*Approvals!$C$258+i_hold_rate*Approvals!$C$259</f>
        <v/>
      </c>
      <c r="H284" s="19">
        <f>H283*Approvals!$C$258+i_hold_rate*Approvals!$C$259</f>
        <v/>
      </c>
      <c r="I284" s="19">
        <f>I283*Approvals!$C$258+i_hold_rate*Approvals!$C$259</f>
        <v/>
      </c>
      <c r="J284" s="19">
        <f>J283*Approvals!$C$258+i_hold_rate*Approvals!$C$259</f>
        <v/>
      </c>
      <c r="K284" s="19">
        <f>K283*Approvals!$C$258+i_hold_rate*Approvals!$C$259</f>
        <v/>
      </c>
      <c r="L284" s="19">
        <f>L283*Approvals!$C$258+i_hold_rate*Approvals!$C$259</f>
        <v/>
      </c>
      <c r="M284" s="19">
        <f>M283*Approvals!$C$258+i_hold_rate*Approvals!$C$259</f>
        <v/>
      </c>
      <c r="N284" s="19">
        <f>N283*Approvals!$C$258+i_hold_rate*Approvals!$C$259</f>
        <v/>
      </c>
      <c r="O284" s="19">
        <f>O283*Approvals!$C$258+i_hold_rate*Approvals!$C$259</f>
        <v/>
      </c>
      <c r="P284" s="19">
        <f>P283*Approvals!$C$258+i_hold_rate*Approvals!$C$259</f>
        <v/>
      </c>
      <c r="Q284" s="19">
        <f>Q283*Approvals!$C$258+i_hold_rate*Approvals!$C$259</f>
        <v/>
      </c>
      <c r="R284" s="19">
        <f>R283*Approvals!$C$258+i_hold_rate*Approvals!$C$259</f>
        <v/>
      </c>
      <c r="S284" s="19">
        <f>S283*Approvals!$C$258+i_hold_rate*Approvals!$C$259</f>
        <v/>
      </c>
      <c r="T284" s="19">
        <f>T283*Approvals!$C$258+i_hold_rate*Approvals!$C$259</f>
        <v/>
      </c>
      <c r="U284" s="19">
        <f>U283*Approvals!$C$258+i_hold_rate*Approvals!$C$259</f>
        <v/>
      </c>
      <c r="V284" s="19">
        <f>V283*Approvals!$C$258+i_hold_rate*Approvals!$C$259</f>
        <v/>
      </c>
      <c r="W284" s="19">
        <f>W283*Approvals!$C$258+i_hold_rate*Approvals!$C$259</f>
        <v/>
      </c>
      <c r="X284" s="19">
        <f>X283*Approvals!$C$258+i_hold_rate*Approvals!$C$259</f>
        <v/>
      </c>
      <c r="Y284" s="19">
        <f>Y283*Approvals!$C$258+i_hold_rate*Approvals!$C$259</f>
        <v/>
      </c>
      <c r="Z284" s="19">
        <f>Z283*Approvals!$C$258+i_hold_rate*Approvals!$C$259</f>
        <v/>
      </c>
      <c r="AA284" s="19">
        <f>AA283*Approvals!$C$258+i_hold_rate*Approvals!$C$259</f>
        <v/>
      </c>
      <c r="AB284" s="19">
        <f>AB283*Approvals!$C$258+i_hold_rate*Approvals!$C$259</f>
        <v/>
      </c>
      <c r="AC284" s="19">
        <f>AC283*Approvals!$C$258+i_hold_rate*Approvals!$C$259</f>
        <v/>
      </c>
      <c r="AD284" s="19">
        <f>AD283*Approvals!$C$258+i_hold_rate*Approvals!$C$259</f>
        <v/>
      </c>
      <c r="AE284" s="19">
        <f>AE283*Approvals!$C$258+i_hold_rate*Approvals!$C$259</f>
        <v/>
      </c>
      <c r="AF284" s="19">
        <f>AF283*Approvals!$C$258+i_hold_rate*Approvals!$C$259</f>
        <v/>
      </c>
      <c r="AG284" s="19">
        <f>AG283*Approvals!$C$258+i_hold_rate*Approvals!$C$259</f>
        <v/>
      </c>
      <c r="AH284" s="19">
        <f>AH283*Approvals!$C$258+i_hold_rate*Approvals!$C$259</f>
        <v/>
      </c>
      <c r="AI284" s="19">
        <f>AI283*Approvals!$C$258+i_hold_rate*Approvals!$C$259</f>
        <v/>
      </c>
    </row>
    <row r="285">
      <c r="B285" s="2" t="inlineStr">
        <is>
          <t>Deductible interest (cap on EBITDA)</t>
        </is>
      </c>
      <c r="D285" s="19">
        <f>MIN(D284,i_int_cap*Diligence!D139)</f>
        <v/>
      </c>
      <c r="E285" s="19">
        <f>MIN(E284,i_int_cap*Diligence!E139)</f>
        <v/>
      </c>
      <c r="F285" s="19">
        <f>MIN(F284,i_int_cap*Diligence!F139)</f>
        <v/>
      </c>
      <c r="G285" s="19">
        <f>MIN(G284,i_int_cap*Diligence!G139)</f>
        <v/>
      </c>
      <c r="H285" s="19">
        <f>MIN(H284,i_int_cap*Diligence!H139)</f>
        <v/>
      </c>
      <c r="I285" s="19">
        <f>MIN(I284,i_int_cap*Diligence!I139)</f>
        <v/>
      </c>
      <c r="J285" s="19">
        <f>MIN(J284,i_int_cap*Diligence!J139)</f>
        <v/>
      </c>
      <c r="K285" s="19">
        <f>MIN(K284,i_int_cap*Diligence!K139)</f>
        <v/>
      </c>
      <c r="L285" s="19">
        <f>MIN(L284,i_int_cap*Diligence!L139)</f>
        <v/>
      </c>
      <c r="M285" s="19">
        <f>MIN(M284,i_int_cap*Diligence!M139)</f>
        <v/>
      </c>
      <c r="N285" s="19">
        <f>MIN(N284,i_int_cap*Diligence!N139)</f>
        <v/>
      </c>
      <c r="O285" s="19">
        <f>MIN(O284,i_int_cap*Diligence!O139)</f>
        <v/>
      </c>
      <c r="P285" s="19">
        <f>MIN(P284,i_int_cap*Diligence!P139)</f>
        <v/>
      </c>
      <c r="Q285" s="19">
        <f>MIN(Q284,i_int_cap*Diligence!Q139)</f>
        <v/>
      </c>
      <c r="R285" s="19">
        <f>MIN(R284,i_int_cap*Diligence!R139)</f>
        <v/>
      </c>
      <c r="S285" s="19">
        <f>MIN(S284,i_int_cap*Diligence!S139)</f>
        <v/>
      </c>
      <c r="T285" s="19">
        <f>MIN(T284,i_int_cap*Diligence!T139)</f>
        <v/>
      </c>
      <c r="U285" s="19">
        <f>MIN(U284,i_int_cap*Diligence!U139)</f>
        <v/>
      </c>
      <c r="V285" s="19">
        <f>MIN(V284,i_int_cap*Diligence!V139)</f>
        <v/>
      </c>
      <c r="W285" s="19">
        <f>MIN(W284,i_int_cap*Diligence!W139)</f>
        <v/>
      </c>
      <c r="X285" s="19">
        <f>MIN(X284,i_int_cap*Diligence!X139)</f>
        <v/>
      </c>
      <c r="Y285" s="19">
        <f>MIN(Y284,i_int_cap*Diligence!Y139)</f>
        <v/>
      </c>
      <c r="Z285" s="19">
        <f>MIN(Z284,i_int_cap*Diligence!Z139)</f>
        <v/>
      </c>
      <c r="AA285" s="19">
        <f>MIN(AA284,i_int_cap*Diligence!AA139)</f>
        <v/>
      </c>
      <c r="AB285" s="19">
        <f>MIN(AB284,i_int_cap*Diligence!AB139)</f>
        <v/>
      </c>
      <c r="AC285" s="19">
        <f>MIN(AC284,i_int_cap*Diligence!AC139)</f>
        <v/>
      </c>
      <c r="AD285" s="19">
        <f>MIN(AD284,i_int_cap*Diligence!AD139)</f>
        <v/>
      </c>
      <c r="AE285" s="19">
        <f>MIN(AE284,i_int_cap*Diligence!AE139)</f>
        <v/>
      </c>
      <c r="AF285" s="19">
        <f>MIN(AF284,i_int_cap*Diligence!AF139)</f>
        <v/>
      </c>
      <c r="AG285" s="19">
        <f>MIN(AG284,i_int_cap*Diligence!AG139)</f>
        <v/>
      </c>
      <c r="AH285" s="19">
        <f>MIN(AH284,i_int_cap*Diligence!AH139)</f>
        <v/>
      </c>
      <c r="AI285" s="19">
        <f>MIN(AI284,i_int_cap*Diligence!AI139)</f>
        <v/>
      </c>
    </row>
    <row r="286">
      <c r="B286" s="2" t="inlineStr">
        <is>
          <t>Cash tax with the debt</t>
        </is>
      </c>
      <c r="D286" s="19">
        <f>i_tax*MAX(0,Diligence!D139-Diligence!D142-D285)</f>
        <v/>
      </c>
      <c r="E286" s="19">
        <f>i_tax*MAX(0,Diligence!E139-Diligence!E142-E285)</f>
        <v/>
      </c>
      <c r="F286" s="19">
        <f>i_tax*MAX(0,Diligence!F139-Diligence!F142-F285)</f>
        <v/>
      </c>
      <c r="G286" s="19">
        <f>i_tax*MAX(0,Diligence!G139-Diligence!G142-G285)</f>
        <v/>
      </c>
      <c r="H286" s="19">
        <f>i_tax*MAX(0,Diligence!H139-Diligence!H142-H285)</f>
        <v/>
      </c>
      <c r="I286" s="19">
        <f>i_tax*MAX(0,Diligence!I139-Diligence!I142-I285)</f>
        <v/>
      </c>
      <c r="J286" s="19">
        <f>i_tax*MAX(0,Diligence!J139-Diligence!J142-J285)</f>
        <v/>
      </c>
      <c r="K286" s="19">
        <f>i_tax*MAX(0,Diligence!K139-Diligence!K142-K285)</f>
        <v/>
      </c>
      <c r="L286" s="19">
        <f>i_tax*MAX(0,Diligence!L139-Diligence!L142-L285)</f>
        <v/>
      </c>
      <c r="M286" s="19">
        <f>i_tax*MAX(0,Diligence!M139-Diligence!M142-M285)</f>
        <v/>
      </c>
      <c r="N286" s="19">
        <f>i_tax*MAX(0,Diligence!N139-Diligence!N142-N285)</f>
        <v/>
      </c>
      <c r="O286" s="19">
        <f>i_tax*MAX(0,Diligence!O139-Diligence!O142-O285)</f>
        <v/>
      </c>
      <c r="P286" s="19">
        <f>i_tax*MAX(0,Diligence!P139-Diligence!P142-P285)</f>
        <v/>
      </c>
      <c r="Q286" s="19">
        <f>i_tax*MAX(0,Diligence!Q139-Diligence!Q142-Q285)</f>
        <v/>
      </c>
      <c r="R286" s="19">
        <f>i_tax*MAX(0,Diligence!R139-Diligence!R142-R285)</f>
        <v/>
      </c>
      <c r="S286" s="19">
        <f>i_tax*MAX(0,Diligence!S139-Diligence!S142-S285)</f>
        <v/>
      </c>
      <c r="T286" s="19">
        <f>i_tax*MAX(0,Diligence!T139-Diligence!T142-T285)</f>
        <v/>
      </c>
      <c r="U286" s="19">
        <f>i_tax*MAX(0,Diligence!U139-Diligence!U142-U285)</f>
        <v/>
      </c>
      <c r="V286" s="19">
        <f>i_tax*MAX(0,Diligence!V139-Diligence!V142-V285)</f>
        <v/>
      </c>
      <c r="W286" s="19">
        <f>i_tax*MAX(0,Diligence!W139-Diligence!W142-W285)</f>
        <v/>
      </c>
      <c r="X286" s="19">
        <f>i_tax*MAX(0,Diligence!X139-Diligence!X142-X285)</f>
        <v/>
      </c>
      <c r="Y286" s="19">
        <f>i_tax*MAX(0,Diligence!Y139-Diligence!Y142-Y285)</f>
        <v/>
      </c>
      <c r="Z286" s="19">
        <f>i_tax*MAX(0,Diligence!Z139-Diligence!Z142-Z285)</f>
        <v/>
      </c>
      <c r="AA286" s="19">
        <f>i_tax*MAX(0,Diligence!AA139-Diligence!AA142-AA285)</f>
        <v/>
      </c>
      <c r="AB286" s="19">
        <f>i_tax*MAX(0,Diligence!AB139-Diligence!AB142-AB285)</f>
        <v/>
      </c>
      <c r="AC286" s="19">
        <f>i_tax*MAX(0,Diligence!AC139-Diligence!AC142-AC285)</f>
        <v/>
      </c>
      <c r="AD286" s="19">
        <f>i_tax*MAX(0,Diligence!AD139-Diligence!AD142-AD285)</f>
        <v/>
      </c>
      <c r="AE286" s="19">
        <f>i_tax*MAX(0,Diligence!AE139-Diligence!AE142-AE285)</f>
        <v/>
      </c>
      <c r="AF286" s="19">
        <f>i_tax*MAX(0,Diligence!AF139-Diligence!AF142-AF285)</f>
        <v/>
      </c>
      <c r="AG286" s="19">
        <f>i_tax*MAX(0,Diligence!AG139-Diligence!AG142-AG285)</f>
        <v/>
      </c>
      <c r="AH286" s="19">
        <f>i_tax*MAX(0,Diligence!AH139-Diligence!AH142-AH285)</f>
        <v/>
      </c>
      <c r="AI286" s="19">
        <f>i_tax*MAX(0,Diligence!AI139-Diligence!AI142-AI285)</f>
        <v/>
      </c>
    </row>
    <row r="287">
      <c r="B287" s="3" t="inlineStr">
        <is>
          <t>Cash flow to equity (full year)</t>
        </is>
      </c>
      <c r="D287" s="31">
        <f>Diligence!D139-Diligence!D140-Diligence!D141-D286-D284-Diligence!D144</f>
        <v/>
      </c>
      <c r="E287" s="31">
        <f>Diligence!E139-Diligence!E140-Diligence!E141-E286-E284-Diligence!E144</f>
        <v/>
      </c>
      <c r="F287" s="31">
        <f>Diligence!F139-Diligence!F140-Diligence!F141-F286-F284-Diligence!F144</f>
        <v/>
      </c>
      <c r="G287" s="31">
        <f>Diligence!G139-Diligence!G140-Diligence!G141-G286-G284-Diligence!G144</f>
        <v/>
      </c>
      <c r="H287" s="31">
        <f>Diligence!H139-Diligence!H140-Diligence!H141-H286-H284-Diligence!H144</f>
        <v/>
      </c>
      <c r="I287" s="31">
        <f>Diligence!I139-Diligence!I140-Diligence!I141-I286-I284-Diligence!I144</f>
        <v/>
      </c>
      <c r="J287" s="31">
        <f>Diligence!J139-Diligence!J140-Diligence!J141-J286-J284-Diligence!J144</f>
        <v/>
      </c>
      <c r="K287" s="31">
        <f>Diligence!K139-Diligence!K140-Diligence!K141-K286-K284-Diligence!K144</f>
        <v/>
      </c>
      <c r="L287" s="31">
        <f>Diligence!L139-Diligence!L140-Diligence!L141-L286-L284-Diligence!L144</f>
        <v/>
      </c>
      <c r="M287" s="31">
        <f>Diligence!M139-Diligence!M140-Diligence!M141-M286-M284-Diligence!M144</f>
        <v/>
      </c>
      <c r="N287" s="31">
        <f>Diligence!N139-Diligence!N140-Diligence!N141-N286-N284-Diligence!N144</f>
        <v/>
      </c>
      <c r="O287" s="31">
        <f>Diligence!O139-Diligence!O140-Diligence!O141-O286-O284-Diligence!O144</f>
        <v/>
      </c>
      <c r="P287" s="31">
        <f>Diligence!P139-Diligence!P140-Diligence!P141-P286-P284-Diligence!P144</f>
        <v/>
      </c>
      <c r="Q287" s="31">
        <f>Diligence!Q139-Diligence!Q140-Diligence!Q141-Q286-Q284-Diligence!Q144</f>
        <v/>
      </c>
      <c r="R287" s="31">
        <f>Diligence!R139-Diligence!R140-Diligence!R141-R286-R284-Diligence!R144</f>
        <v/>
      </c>
      <c r="S287" s="31">
        <f>Diligence!S139-Diligence!S140-Diligence!S141-S286-S284-Diligence!S144</f>
        <v/>
      </c>
      <c r="T287" s="31">
        <f>Diligence!T139-Diligence!T140-Diligence!T141-T286-T284-Diligence!T144</f>
        <v/>
      </c>
      <c r="U287" s="31">
        <f>Diligence!U139-Diligence!U140-Diligence!U141-U286-U284-Diligence!U144</f>
        <v/>
      </c>
      <c r="V287" s="31">
        <f>Diligence!V139-Diligence!V140-Diligence!V141-V286-V284-Diligence!V144</f>
        <v/>
      </c>
      <c r="W287" s="31">
        <f>Diligence!W139-Diligence!W140-Diligence!W141-W286-W284-Diligence!W144</f>
        <v/>
      </c>
      <c r="X287" s="31">
        <f>Diligence!X139-Diligence!X140-Diligence!X141-X286-X284-Diligence!X144</f>
        <v/>
      </c>
      <c r="Y287" s="31">
        <f>Diligence!Y139-Diligence!Y140-Diligence!Y141-Y286-Y284-Diligence!Y144</f>
        <v/>
      </c>
      <c r="Z287" s="31">
        <f>Diligence!Z139-Diligence!Z140-Diligence!Z141-Z286-Z284-Diligence!Z144</f>
        <v/>
      </c>
      <c r="AA287" s="31">
        <f>Diligence!AA139-Diligence!AA140-Diligence!AA141-AA286-AA284-Diligence!AA144</f>
        <v/>
      </c>
      <c r="AB287" s="31">
        <f>Diligence!AB139-Diligence!AB140-Diligence!AB141-AB286-AB284-Diligence!AB144</f>
        <v/>
      </c>
      <c r="AC287" s="31">
        <f>Diligence!AC139-Diligence!AC140-Diligence!AC141-AC286-AC284-Diligence!AC144</f>
        <v/>
      </c>
      <c r="AD287" s="31">
        <f>Diligence!AD139-Diligence!AD140-Diligence!AD141-AD286-AD284-Diligence!AD144</f>
        <v/>
      </c>
      <c r="AE287" s="31">
        <f>Diligence!AE139-Diligence!AE140-Diligence!AE141-AE286-AE284-Diligence!AE144</f>
        <v/>
      </c>
      <c r="AF287" s="31">
        <f>Diligence!AF139-Diligence!AF140-Diligence!AF141-AF286-AF284-Diligence!AF144</f>
        <v/>
      </c>
      <c r="AG287" s="31">
        <f>Diligence!AG139-Diligence!AG140-Diligence!AG141-AG286-AG284-Diligence!AG144</f>
        <v/>
      </c>
      <c r="AH287" s="31">
        <f>Diligence!AH139-Diligence!AH140-Diligence!AH141-AH286-AH284-Diligence!AH144</f>
        <v/>
      </c>
      <c r="AI287" s="31">
        <f>Diligence!AI139-Diligence!AI140-Diligence!AI141-AI286-AI284-Diligence!AI144</f>
        <v/>
      </c>
    </row>
    <row r="288">
      <c r="B288" s="2" t="inlineStr">
        <is>
          <t>Exit EV at the end of the exit year (DCF at the exit rate)</t>
        </is>
      </c>
      <c r="C288" s="19">
        <f>SUMPRODUCT((Approvals!$D$3:$AI$3&gt;i_exit_year)*(Approvals!$D$3:$AI$3&lt;=i_last)*Diligence!$D$145:$AI$145/(1+Approvals!$C$235)^(Approvals!$D$3:$AI$3-i_exit_year))+Diligence!$AI$145/(Approvals!$C$235-i_g)/(1+Approvals!$C$235)^(i_last-i_exit_year)</f>
        <v/>
      </c>
    </row>
    <row r="289">
      <c r="B289" s="2" t="inlineStr">
        <is>
          <t>Debt at exit (bullets)</t>
        </is>
      </c>
      <c r="C289" s="19">
        <f>Approvals!$C$258+Approvals!$C$259</f>
        <v/>
      </c>
    </row>
    <row r="290">
      <c r="B290" s="3" t="inlineStr">
        <is>
          <t>Equity value at exit</t>
        </is>
      </c>
      <c r="C290" s="31">
        <f>Approvals!$C$288-Approvals!$C$289</f>
        <v/>
      </c>
    </row>
    <row r="291">
      <c r="B291" s="2" t="inlineStr">
        <is>
          <t>Minority option: EV at the end of 2031 (minority buyer's rate)</t>
        </is>
      </c>
      <c r="C291" s="19">
        <f>SUMPRODUCT((Approvals!$D$3:$AI$3&gt;i_min_year)*(Approvals!$D$3:$AI$3&lt;=i_last)*Diligence!$D$145:$AI$145/(1+i_min_r)^(Approvals!$D$3:$AI$3-i_min_year))+Diligence!$AI$145/(i_min_r-i_g)/(1+i_min_r)^(i_last-i_min_year)</f>
        <v/>
      </c>
    </row>
    <row r="292">
      <c r="B292" s="2" t="inlineStr">
        <is>
          <t>Minority option: equity value in 2031</t>
        </is>
      </c>
      <c r="C292" s="19">
        <f>Approvals!$C$291-Approvals!$C$289</f>
        <v/>
      </c>
    </row>
    <row r="293">
      <c r="B293" s="2" t="inlineStr">
        <is>
          <t>Minority option: proceeds of the 49 percent sold</t>
        </is>
      </c>
      <c r="C293" s="19">
        <f>Approvals!$C$234*i_min_share*Approvals!$C$292*(1-i_min_disc)</f>
        <v/>
      </c>
    </row>
    <row r="294">
      <c r="B294" s="4" t="inlineStr">
        <is>
          <t>Time of each flow (years after 31 December 2026)</t>
        </is>
      </c>
      <c r="D294" s="28">
        <f>D$4</f>
        <v/>
      </c>
      <c r="E294" s="28">
        <f>E$4</f>
        <v/>
      </c>
      <c r="F294" s="28">
        <f>F$4</f>
        <v/>
      </c>
      <c r="G294" s="28">
        <f>G$4</f>
        <v/>
      </c>
      <c r="H294" s="28">
        <f>H$4</f>
        <v/>
      </c>
      <c r="I294" s="28">
        <f>I$4</f>
        <v/>
      </c>
      <c r="J294" s="28">
        <f>J$4</f>
        <v/>
      </c>
      <c r="K294" s="28">
        <f>K$4</f>
        <v/>
      </c>
      <c r="L294" s="28">
        <f>L$4</f>
        <v/>
      </c>
      <c r="M294" s="28">
        <f>M$4</f>
        <v/>
      </c>
      <c r="N294" s="28">
        <f>N$4</f>
        <v/>
      </c>
      <c r="O294" s="28">
        <f>O$4</f>
        <v/>
      </c>
      <c r="P294" s="28">
        <f>P$4</f>
        <v/>
      </c>
      <c r="Q294" s="28">
        <f>Q$4</f>
        <v/>
      </c>
      <c r="R294" s="28">
        <f>R$4</f>
        <v/>
      </c>
      <c r="S294" s="28">
        <f>S$4</f>
        <v/>
      </c>
      <c r="T294" s="28">
        <f>T$4</f>
        <v/>
      </c>
      <c r="U294" s="28">
        <f>U$4</f>
        <v/>
      </c>
      <c r="V294" s="28">
        <f>V$4</f>
        <v/>
      </c>
      <c r="W294" s="28">
        <f>W$4</f>
        <v/>
      </c>
      <c r="X294" s="28">
        <f>X$4</f>
        <v/>
      </c>
      <c r="Y294" s="28">
        <f>Y$4</f>
        <v/>
      </c>
      <c r="Z294" s="28">
        <f>Z$4</f>
        <v/>
      </c>
      <c r="AA294" s="28">
        <f>AA$4</f>
        <v/>
      </c>
      <c r="AB294" s="28">
        <f>AB$4</f>
        <v/>
      </c>
      <c r="AC294" s="28">
        <f>AC$4</f>
        <v/>
      </c>
      <c r="AD294" s="28">
        <f>AD$4</f>
        <v/>
      </c>
      <c r="AE294" s="28">
        <f>AE$4</f>
        <v/>
      </c>
      <c r="AF294" s="28">
        <f>AF$4</f>
        <v/>
      </c>
      <c r="AG294" s="28">
        <f>AG$4</f>
        <v/>
      </c>
      <c r="AH294" s="28">
        <f>AH$4</f>
        <v/>
      </c>
      <c r="AI294" s="28">
        <f>AI$4</f>
        <v/>
      </c>
      <c r="AJ294" s="28">
        <f>Approvals!$C$232</f>
        <v/>
      </c>
      <c r="AK294" s="28">
        <f>i_min_year-i_base_year</f>
        <v/>
      </c>
      <c r="AL294" s="28">
        <f>i_exit_year-i_base_year</f>
        <v/>
      </c>
    </row>
    <row r="295">
      <c r="B295" s="3" t="inlineStr">
        <is>
          <t>Levered flows (equity)</t>
        </is>
      </c>
      <c r="D295" s="31">
        <f>D282*D287*IF(AND(Approvals!$C$234=1,D294&gt;$AK$294+1E-9),1-i_min_share,1)</f>
        <v/>
      </c>
      <c r="E295" s="31">
        <f>E282*E287*IF(AND(Approvals!$C$234=1,E294&gt;$AK$294+1E-9),1-i_min_share,1)</f>
        <v/>
      </c>
      <c r="F295" s="31">
        <f>F282*F287*IF(AND(Approvals!$C$234=1,F294&gt;$AK$294+1E-9),1-i_min_share,1)</f>
        <v/>
      </c>
      <c r="G295" s="31">
        <f>G282*G287*IF(AND(Approvals!$C$234=1,G294&gt;$AK$294+1E-9),1-i_min_share,1)</f>
        <v/>
      </c>
      <c r="H295" s="31">
        <f>H282*H287*IF(AND(Approvals!$C$234=1,H294&gt;$AK$294+1E-9),1-i_min_share,1)</f>
        <v/>
      </c>
      <c r="I295" s="31">
        <f>I282*I287*IF(AND(Approvals!$C$234=1,I294&gt;$AK$294+1E-9),1-i_min_share,1)</f>
        <v/>
      </c>
      <c r="J295" s="31">
        <f>J282*J287*IF(AND(Approvals!$C$234=1,J294&gt;$AK$294+1E-9),1-i_min_share,1)</f>
        <v/>
      </c>
      <c r="K295" s="31">
        <f>K282*K287*IF(AND(Approvals!$C$234=1,K294&gt;$AK$294+1E-9),1-i_min_share,1)</f>
        <v/>
      </c>
      <c r="L295" s="31">
        <f>L282*L287*IF(AND(Approvals!$C$234=1,L294&gt;$AK$294+1E-9),1-i_min_share,1)</f>
        <v/>
      </c>
      <c r="M295" s="31">
        <f>M282*M287*IF(AND(Approvals!$C$234=1,M294&gt;$AK$294+1E-9),1-i_min_share,1)</f>
        <v/>
      </c>
      <c r="N295" s="31">
        <f>N282*N287*IF(AND(Approvals!$C$234=1,N294&gt;$AK$294+1E-9),1-i_min_share,1)</f>
        <v/>
      </c>
      <c r="O295" s="31">
        <f>O282*O287*IF(AND(Approvals!$C$234=1,O294&gt;$AK$294+1E-9),1-i_min_share,1)</f>
        <v/>
      </c>
      <c r="P295" s="31">
        <f>P282*P287*IF(AND(Approvals!$C$234=1,P294&gt;$AK$294+1E-9),1-i_min_share,1)</f>
        <v/>
      </c>
      <c r="Q295" s="31">
        <f>Q282*Q287*IF(AND(Approvals!$C$234=1,Q294&gt;$AK$294+1E-9),1-i_min_share,1)</f>
        <v/>
      </c>
      <c r="R295" s="31">
        <f>R282*R287*IF(AND(Approvals!$C$234=1,R294&gt;$AK$294+1E-9),1-i_min_share,1)</f>
        <v/>
      </c>
      <c r="S295" s="31">
        <f>S282*S287*IF(AND(Approvals!$C$234=1,S294&gt;$AK$294+1E-9),1-i_min_share,1)</f>
        <v/>
      </c>
      <c r="T295" s="31">
        <f>T282*T287*IF(AND(Approvals!$C$234=1,T294&gt;$AK$294+1E-9),1-i_min_share,1)</f>
        <v/>
      </c>
      <c r="U295" s="31">
        <f>U282*U287*IF(AND(Approvals!$C$234=1,U294&gt;$AK$294+1E-9),1-i_min_share,1)</f>
        <v/>
      </c>
      <c r="V295" s="31">
        <f>V282*V287*IF(AND(Approvals!$C$234=1,V294&gt;$AK$294+1E-9),1-i_min_share,1)</f>
        <v/>
      </c>
      <c r="W295" s="31">
        <f>W282*W287*IF(AND(Approvals!$C$234=1,W294&gt;$AK$294+1E-9),1-i_min_share,1)</f>
        <v/>
      </c>
      <c r="X295" s="31">
        <f>X282*X287*IF(AND(Approvals!$C$234=1,X294&gt;$AK$294+1E-9),1-i_min_share,1)</f>
        <v/>
      </c>
      <c r="Y295" s="31">
        <f>Y282*Y287*IF(AND(Approvals!$C$234=1,Y294&gt;$AK$294+1E-9),1-i_min_share,1)</f>
        <v/>
      </c>
      <c r="Z295" s="31">
        <f>Z282*Z287*IF(AND(Approvals!$C$234=1,Z294&gt;$AK$294+1E-9),1-i_min_share,1)</f>
        <v/>
      </c>
      <c r="AA295" s="31">
        <f>AA282*AA287*IF(AND(Approvals!$C$234=1,AA294&gt;$AK$294+1E-9),1-i_min_share,1)</f>
        <v/>
      </c>
      <c r="AB295" s="31">
        <f>AB282*AB287*IF(AND(Approvals!$C$234=1,AB294&gt;$AK$294+1E-9),1-i_min_share,1)</f>
        <v/>
      </c>
      <c r="AC295" s="31">
        <f>AC282*AC287*IF(AND(Approvals!$C$234=1,AC294&gt;$AK$294+1E-9),1-i_min_share,1)</f>
        <v/>
      </c>
      <c r="AD295" s="31">
        <f>AD282*AD287*IF(AND(Approvals!$C$234=1,AD294&gt;$AK$294+1E-9),1-i_min_share,1)</f>
        <v/>
      </c>
      <c r="AE295" s="31">
        <f>AE282*AE287*IF(AND(Approvals!$C$234=1,AE294&gt;$AK$294+1E-9),1-i_min_share,1)</f>
        <v/>
      </c>
      <c r="AF295" s="31">
        <f>AF282*AF287*IF(AND(Approvals!$C$234=1,AF294&gt;$AK$294+1E-9),1-i_min_share,1)</f>
        <v/>
      </c>
      <c r="AG295" s="31">
        <f>AG282*AG287*IF(AND(Approvals!$C$234=1,AG294&gt;$AK$294+1E-9),1-i_min_share,1)</f>
        <v/>
      </c>
      <c r="AH295" s="31">
        <f>AH282*AH287*IF(AND(Approvals!$C$234=1,AH294&gt;$AK$294+1E-9),1-i_min_share,1)</f>
        <v/>
      </c>
      <c r="AI295" s="31">
        <f>AI282*AI287*IF(AND(Approvals!$C$234=1,AI294&gt;$AK$294+1E-9),1-i_min_share,1)</f>
        <v/>
      </c>
      <c r="AJ295" s="31">
        <f>-Approvals!$C$278</f>
        <v/>
      </c>
      <c r="AK295" s="31">
        <f>Approvals!$C$293</f>
        <v/>
      </c>
      <c r="AL295" s="31">
        <f>Approvals!$C$290*IF(Approvals!$C$234=1,1-i_min_share,1)</f>
        <v/>
      </c>
    </row>
    <row r="296">
      <c r="B296" s="3" t="inlineStr">
        <is>
          <t>Unlevered flows (before financing)</t>
        </is>
      </c>
      <c r="D296" s="31">
        <f>D282*Diligence!D145</f>
        <v/>
      </c>
      <c r="E296" s="31">
        <f>E282*Diligence!E145</f>
        <v/>
      </c>
      <c r="F296" s="31">
        <f>F282*Diligence!F145</f>
        <v/>
      </c>
      <c r="G296" s="31">
        <f>G282*Diligence!G145</f>
        <v/>
      </c>
      <c r="H296" s="31">
        <f>H282*Diligence!H145</f>
        <v/>
      </c>
      <c r="I296" s="31">
        <f>I282*Diligence!I145</f>
        <v/>
      </c>
      <c r="J296" s="31">
        <f>J282*Diligence!J145</f>
        <v/>
      </c>
      <c r="K296" s="31">
        <f>K282*Diligence!K145</f>
        <v/>
      </c>
      <c r="L296" s="31">
        <f>L282*Diligence!L145</f>
        <v/>
      </c>
      <c r="M296" s="31">
        <f>M282*Diligence!M145</f>
        <v/>
      </c>
      <c r="N296" s="31">
        <f>N282*Diligence!N145</f>
        <v/>
      </c>
      <c r="O296" s="31">
        <f>O282*Diligence!O145</f>
        <v/>
      </c>
      <c r="P296" s="31">
        <f>P282*Diligence!P145</f>
        <v/>
      </c>
      <c r="Q296" s="31">
        <f>Q282*Diligence!Q145</f>
        <v/>
      </c>
      <c r="R296" s="31">
        <f>R282*Diligence!R145</f>
        <v/>
      </c>
      <c r="S296" s="31">
        <f>S282*Diligence!S145</f>
        <v/>
      </c>
      <c r="T296" s="31">
        <f>T282*Diligence!T145</f>
        <v/>
      </c>
      <c r="U296" s="31">
        <f>U282*Diligence!U145</f>
        <v/>
      </c>
      <c r="V296" s="31">
        <f>V282*Diligence!V145</f>
        <v/>
      </c>
      <c r="W296" s="31">
        <f>W282*Diligence!W145</f>
        <v/>
      </c>
      <c r="X296" s="31">
        <f>X282*Diligence!X145</f>
        <v/>
      </c>
      <c r="Y296" s="31">
        <f>Y282*Diligence!Y145</f>
        <v/>
      </c>
      <c r="Z296" s="31">
        <f>Z282*Diligence!Z145</f>
        <v/>
      </c>
      <c r="AA296" s="31">
        <f>AA282*Diligence!AA145</f>
        <v/>
      </c>
      <c r="AB296" s="31">
        <f>AB282*Diligence!AB145</f>
        <v/>
      </c>
      <c r="AC296" s="31">
        <f>AC282*Diligence!AC145</f>
        <v/>
      </c>
      <c r="AD296" s="31">
        <f>AD282*Diligence!AD145</f>
        <v/>
      </c>
      <c r="AE296" s="31">
        <f>AE282*Diligence!AE145</f>
        <v/>
      </c>
      <c r="AF296" s="31">
        <f>AF282*Diligence!AF145</f>
        <v/>
      </c>
      <c r="AG296" s="31">
        <f>AG282*Diligence!AG145</f>
        <v/>
      </c>
      <c r="AH296" s="31">
        <f>AH282*Diligence!AH145</f>
        <v/>
      </c>
      <c r="AI296" s="31">
        <f>AI282*Diligence!AI145</f>
        <v/>
      </c>
      <c r="AJ296" s="31">
        <f>-(Approvals!$C$273-Approvals!$C$251-Approvals!$C$263)</f>
        <v/>
      </c>
      <c r="AK296" s="19" t="n">
        <v>0</v>
      </c>
      <c r="AL296" s="31">
        <f>Approvals!$C$288</f>
        <v/>
      </c>
    </row>
    <row r="297">
      <c r="B297" s="4" t="inlineStr">
        <is>
          <t>Levered IRR (Newton steps from 10 percent)</t>
        </is>
      </c>
      <c r="D297" s="38" t="n">
        <v>0.1</v>
      </c>
      <c r="E297" s="40">
        <f>D297-SUMPRODUCT($D$295:$AL$295,(1+D297)^(-$D$294:$AL$294))/SUMPRODUCT($D$295:$AL$295*(-$D$294:$AL$294),(1+D297)^(-$D$294:$AL$294-1))</f>
        <v/>
      </c>
      <c r="F297" s="40">
        <f>E297-SUMPRODUCT($D$295:$AL$295,(1+E297)^(-$D$294:$AL$294))/SUMPRODUCT($D$295:$AL$295*(-$D$294:$AL$294),(1+E297)^(-$D$294:$AL$294-1))</f>
        <v/>
      </c>
      <c r="G297" s="40">
        <f>F297-SUMPRODUCT($D$295:$AL$295,(1+F297)^(-$D$294:$AL$294))/SUMPRODUCT($D$295:$AL$295*(-$D$294:$AL$294),(1+F297)^(-$D$294:$AL$294-1))</f>
        <v/>
      </c>
      <c r="H297" s="40">
        <f>G297-SUMPRODUCT($D$295:$AL$295,(1+G297)^(-$D$294:$AL$294))/SUMPRODUCT($D$295:$AL$295*(-$D$294:$AL$294),(1+G297)^(-$D$294:$AL$294-1))</f>
        <v/>
      </c>
      <c r="I297" s="40">
        <f>H297-SUMPRODUCT($D$295:$AL$295,(1+H297)^(-$D$294:$AL$294))/SUMPRODUCT($D$295:$AL$295*(-$D$294:$AL$294),(1+H297)^(-$D$294:$AL$294-1))</f>
        <v/>
      </c>
      <c r="J297" s="40">
        <f>I297-SUMPRODUCT($D$295:$AL$295,(1+I297)^(-$D$294:$AL$294))/SUMPRODUCT($D$295:$AL$295*(-$D$294:$AL$294),(1+I297)^(-$D$294:$AL$294-1))</f>
        <v/>
      </c>
      <c r="K297" s="40">
        <f>J297-SUMPRODUCT($D$295:$AL$295,(1+J297)^(-$D$294:$AL$294))/SUMPRODUCT($D$295:$AL$295*(-$D$294:$AL$294),(1+J297)^(-$D$294:$AL$294-1))</f>
        <v/>
      </c>
      <c r="L297" s="40">
        <f>K297-SUMPRODUCT($D$295:$AL$295,(1+K297)^(-$D$294:$AL$294))/SUMPRODUCT($D$295:$AL$295*(-$D$294:$AL$294),(1+K297)^(-$D$294:$AL$294-1))</f>
        <v/>
      </c>
      <c r="M297" s="40">
        <f>L297-SUMPRODUCT($D$295:$AL$295,(1+L297)^(-$D$294:$AL$294))/SUMPRODUCT($D$295:$AL$295*(-$D$294:$AL$294),(1+L297)^(-$D$294:$AL$294-1))</f>
        <v/>
      </c>
      <c r="N297" s="40">
        <f>M297-SUMPRODUCT($D$295:$AL$295,(1+M297)^(-$D$294:$AL$294))/SUMPRODUCT($D$295:$AL$295*(-$D$294:$AL$294),(1+M297)^(-$D$294:$AL$294-1))</f>
        <v/>
      </c>
      <c r="O297" s="40">
        <f>N297-SUMPRODUCT($D$295:$AL$295,(1+N297)^(-$D$294:$AL$294))/SUMPRODUCT($D$295:$AL$295*(-$D$294:$AL$294),(1+N297)^(-$D$294:$AL$294-1))</f>
        <v/>
      </c>
      <c r="P297" s="40">
        <f>O297-SUMPRODUCT($D$295:$AL$295,(1+O297)^(-$D$294:$AL$294))/SUMPRODUCT($D$295:$AL$295*(-$D$294:$AL$294),(1+O297)^(-$D$294:$AL$294-1))</f>
        <v/>
      </c>
      <c r="Q297" s="40">
        <f>P297-SUMPRODUCT($D$295:$AL$295,(1+P297)^(-$D$294:$AL$294))/SUMPRODUCT($D$295:$AL$295*(-$D$294:$AL$294),(1+P297)^(-$D$294:$AL$294-1))</f>
        <v/>
      </c>
      <c r="R297" s="40">
        <f>Q297-SUMPRODUCT($D$295:$AL$295,(1+Q297)^(-$D$294:$AL$294))/SUMPRODUCT($D$295:$AL$295*(-$D$294:$AL$294),(1+Q297)^(-$D$294:$AL$294-1))</f>
        <v/>
      </c>
    </row>
    <row r="298">
      <c r="B298" s="4" t="inlineStr">
        <is>
          <t>Unlevered IRR (Newton steps from 10 percent)</t>
        </is>
      </c>
      <c r="D298" s="38" t="n">
        <v>0.1</v>
      </c>
      <c r="E298" s="40">
        <f>D298-SUMPRODUCT($D$296:$AL$296,(1+D298)^(-$D$294:$AL$294))/SUMPRODUCT($D$296:$AL$296*(-$D$294:$AL$294),(1+D298)^(-$D$294:$AL$294-1))</f>
        <v/>
      </c>
      <c r="F298" s="40">
        <f>E298-SUMPRODUCT($D$296:$AL$296,(1+E298)^(-$D$294:$AL$294))/SUMPRODUCT($D$296:$AL$296*(-$D$294:$AL$294),(1+E298)^(-$D$294:$AL$294-1))</f>
        <v/>
      </c>
      <c r="G298" s="40">
        <f>F298-SUMPRODUCT($D$296:$AL$296,(1+F298)^(-$D$294:$AL$294))/SUMPRODUCT($D$296:$AL$296*(-$D$294:$AL$294),(1+F298)^(-$D$294:$AL$294-1))</f>
        <v/>
      </c>
      <c r="H298" s="40">
        <f>G298-SUMPRODUCT($D$296:$AL$296,(1+G298)^(-$D$294:$AL$294))/SUMPRODUCT($D$296:$AL$296*(-$D$294:$AL$294),(1+G298)^(-$D$294:$AL$294-1))</f>
        <v/>
      </c>
      <c r="I298" s="40">
        <f>H298-SUMPRODUCT($D$296:$AL$296,(1+H298)^(-$D$294:$AL$294))/SUMPRODUCT($D$296:$AL$296*(-$D$294:$AL$294),(1+H298)^(-$D$294:$AL$294-1))</f>
        <v/>
      </c>
      <c r="J298" s="40">
        <f>I298-SUMPRODUCT($D$296:$AL$296,(1+I298)^(-$D$294:$AL$294))/SUMPRODUCT($D$296:$AL$296*(-$D$294:$AL$294),(1+I298)^(-$D$294:$AL$294-1))</f>
        <v/>
      </c>
      <c r="K298" s="40">
        <f>J298-SUMPRODUCT($D$296:$AL$296,(1+J298)^(-$D$294:$AL$294))/SUMPRODUCT($D$296:$AL$296*(-$D$294:$AL$294),(1+J298)^(-$D$294:$AL$294-1))</f>
        <v/>
      </c>
      <c r="L298" s="40">
        <f>K298-SUMPRODUCT($D$296:$AL$296,(1+K298)^(-$D$294:$AL$294))/SUMPRODUCT($D$296:$AL$296*(-$D$294:$AL$294),(1+K298)^(-$D$294:$AL$294-1))</f>
        <v/>
      </c>
      <c r="M298" s="40">
        <f>L298-SUMPRODUCT($D$296:$AL$296,(1+L298)^(-$D$294:$AL$294))/SUMPRODUCT($D$296:$AL$296*(-$D$294:$AL$294),(1+L298)^(-$D$294:$AL$294-1))</f>
        <v/>
      </c>
      <c r="N298" s="40">
        <f>M298-SUMPRODUCT($D$296:$AL$296,(1+M298)^(-$D$294:$AL$294))/SUMPRODUCT($D$296:$AL$296*(-$D$294:$AL$294),(1+M298)^(-$D$294:$AL$294-1))</f>
        <v/>
      </c>
      <c r="O298" s="40">
        <f>N298-SUMPRODUCT($D$296:$AL$296,(1+N298)^(-$D$294:$AL$294))/SUMPRODUCT($D$296:$AL$296*(-$D$294:$AL$294),(1+N298)^(-$D$294:$AL$294-1))</f>
        <v/>
      </c>
      <c r="P298" s="40">
        <f>O298-SUMPRODUCT($D$296:$AL$296,(1+O298)^(-$D$294:$AL$294))/SUMPRODUCT($D$296:$AL$296*(-$D$294:$AL$294),(1+O298)^(-$D$294:$AL$294-1))</f>
        <v/>
      </c>
      <c r="Q298" s="40">
        <f>P298-SUMPRODUCT($D$296:$AL$296,(1+P298)^(-$D$294:$AL$294))/SUMPRODUCT($D$296:$AL$296*(-$D$294:$AL$294),(1+P298)^(-$D$294:$AL$294-1))</f>
        <v/>
      </c>
      <c r="R298" s="40">
        <f>Q298-SUMPRODUCT($D$296:$AL$296,(1+Q298)^(-$D$294:$AL$294))/SUMPRODUCT($D$296:$AL$296*(-$D$294:$AL$294),(1+Q298)^(-$D$294:$AL$294-1))</f>
        <v/>
      </c>
    </row>
    <row r="299">
      <c r="B299" s="3" t="inlineStr">
        <is>
          <t>Levered IRR (equity)</t>
        </is>
      </c>
      <c r="C299" s="33">
        <f>R297</f>
        <v/>
      </c>
    </row>
    <row r="300">
      <c r="B300" s="3" t="inlineStr">
        <is>
          <t>Unlevered IRR</t>
        </is>
      </c>
      <c r="C300" s="33">
        <f>R298</f>
        <v/>
      </c>
    </row>
    <row r="301">
      <c r="B301" s="2" t="inlineStr">
        <is>
          <t>Check: levered NPV at the levered IRR</t>
        </is>
      </c>
      <c r="C301" s="41">
        <f>SUMPRODUCT($D$295:$AL$295,(1+Approvals!$C$299)^(-$D$294:$AL$294))</f>
        <v/>
      </c>
    </row>
    <row r="302">
      <c r="B302" s="2" t="inlineStr">
        <is>
          <t>Check: unlevered NPV at the unlevered IRR</t>
        </is>
      </c>
      <c r="C302" s="41">
        <f>SUMPRODUCT($D$296:$AL$296,(1+Approvals!$C$300)^(-$D$294:$AL$294))</f>
        <v/>
      </c>
    </row>
    <row r="303">
      <c r="B303" s="2" t="inlineStr">
        <is>
          <t>Money multiple (cash in over cash out)</t>
        </is>
      </c>
      <c r="C303" s="37">
        <f>SUMIF($D$295:$AL$295,"&gt;0")/-SUMIF($D$295:$AL$295,"&lt;0")</f>
        <v/>
      </c>
    </row>
    <row r="304">
      <c r="B304" s="2" t="inlineStr">
        <is>
          <t>Present value at the target IRR of the flows after closing</t>
        </is>
      </c>
      <c r="C304" s="19">
        <f>SUMPRODUCT($D$295:$AL$295,(1+i_hurdle)^(-$D$294:$AL$294))+Approvals!$C$278*(1+i_hurdle)^(-Approvals!$C$232)</f>
        <v/>
      </c>
    </row>
    <row r="305">
      <c r="B305" s="2" t="inlineStr">
        <is>
          <t>Equity cheque that gives exactly the target IRR</t>
        </is>
      </c>
      <c r="C305" s="19">
        <f>Approvals!$C$304*(1+i_hurdle)^Approvals!$C$232</f>
        <v/>
      </c>
    </row>
    <row r="306">
      <c r="B306" s="2" t="inlineStr">
        <is>
          <t>EV less equity price (fixed bridge items)</t>
        </is>
      </c>
      <c r="C306" s="19">
        <f>Approvals!$C$237-Approvals!$C$243</f>
        <v/>
      </c>
    </row>
    <row r="307">
      <c r="B307" s="2" t="inlineStr">
        <is>
          <t>Equity cheque items that do not move with the price</t>
        </is>
      </c>
      <c r="C307" s="19">
        <f>Approvals!$C$268+Approvals!$C$240+i_costs_adv+Approvals!$C$263+Approvals!$C$264-Approvals!$C$258-Approvals!$C$259-Approvals!$C$251</f>
        <v/>
      </c>
    </row>
    <row r="308">
      <c r="B308" s="2" t="inlineStr">
        <is>
          <t>Walk-away EV, first pass (HSR fee at the bid)</t>
        </is>
      </c>
      <c r="C308" s="19">
        <f>(Approvals!$C$305-Approvals!$C$307-Approvals!$C$261+Approvals!$C$306*(1+i_ticking*Approvals!$C$232))/(1+i_ticking*Approvals!$C$232+i_wi_limit_pct*i_wi_rol*(1+i_wi_ipt))</f>
        <v/>
      </c>
    </row>
    <row r="309">
      <c r="B309" s="3" t="inlineStr">
        <is>
          <t>Walk-away EV (highest EV at the target IRR)</t>
        </is>
      </c>
      <c r="C309" s="31">
        <f>(Approvals!$C$305-Approvals!$C$307-IF(Approvals!$C$308-Approvals!$C$306&lt;INDEX(i_hsr_lo,1),0,LOOKUP(Approvals!$C$308-Approvals!$C$306,i_hsr_lo,i_hsr_fee))+Approvals!$C$306*(1+i_ticking*Approvals!$C$232))/(1+i_ticking*Approvals!$C$232+i_wi_limit_pct*i_wi_rol*(1+i_wi_ipt))</f>
        <v/>
      </c>
    </row>
    <row r="312">
      <c r="B312" s="5" t="inlineStr">
        <is>
          <t>Deal: as above, with a CFIUS mitigation agreement</t>
        </is>
      </c>
    </row>
    <row r="313">
      <c r="B313" s="4" t="inlineStr">
        <is>
          <t>Enterprise value at 31 December 2026</t>
        </is>
      </c>
      <c r="C313" s="29">
        <f>i_bid_ev</f>
        <v/>
      </c>
    </row>
    <row r="314">
      <c r="B314" s="4" t="inlineStr">
        <is>
          <t>Closing (years after 31 December 2026)</t>
        </is>
      </c>
      <c r="C314" s="28">
        <f>Inputs!$C$203</f>
        <v/>
      </c>
    </row>
    <row r="315">
      <c r="B315" s="4" t="inlineStr">
        <is>
          <t>Staple financing (1) or own debt (0)</t>
        </is>
      </c>
      <c r="C315" s="26">
        <f>0</f>
        <v/>
      </c>
    </row>
    <row r="316">
      <c r="B316" s="4" t="inlineStr">
        <is>
          <t>Minority sale in 2031 (1) or full exit (0)</t>
        </is>
      </c>
      <c r="C316" s="26">
        <f>0</f>
        <v/>
      </c>
    </row>
    <row r="317">
      <c r="B317" s="4" t="inlineStr">
        <is>
          <t>Exit discount rate</t>
        </is>
      </c>
      <c r="C317" s="38">
        <f>i_r_exit</f>
        <v/>
      </c>
    </row>
    <row r="318">
      <c r="B318" s="4" t="inlineStr">
        <is>
          <t>Change in the opco rate at refinancing</t>
        </is>
      </c>
      <c r="C318" s="38">
        <f>i_refi_shift</f>
        <v/>
      </c>
    </row>
    <row r="319">
      <c r="B319" s="2" t="inlineStr">
        <is>
          <t>Enterprise value</t>
        </is>
      </c>
      <c r="C319" s="19">
        <f>Approvals!$C$313</f>
        <v/>
      </c>
    </row>
    <row r="320">
      <c r="B320" s="2" t="inlineStr">
        <is>
          <t>less existing financial debt (term loan and notes)</t>
        </is>
      </c>
      <c r="C320" s="19">
        <f>i_old_tl+i_old_notes</f>
        <v/>
      </c>
    </row>
    <row r="321">
      <c r="B321" s="2" t="inlineStr">
        <is>
          <t>less make-whole on the notes</t>
        </is>
      </c>
      <c r="C321" s="19">
        <f>i_make_whole</f>
        <v/>
      </c>
    </row>
    <row r="322">
      <c r="B322" s="2" t="inlineStr">
        <is>
          <t>less debt-like items (pension, accrued capex, 2026 tax)</t>
        </is>
      </c>
      <c r="C322" s="19">
        <f>i_pension+i_def_capex+i_acc_tax</f>
        <v/>
      </c>
    </row>
    <row r="323">
      <c r="B323" s="2" t="inlineStr">
        <is>
          <t>plus cash at the locked box date</t>
        </is>
      </c>
      <c r="C323" s="19">
        <f>i_lb_cash</f>
        <v/>
      </c>
    </row>
    <row r="324">
      <c r="B324" s="2" t="inlineStr">
        <is>
          <t>less permitted leakage</t>
        </is>
      </c>
      <c r="C324" s="19">
        <f>i_permitted_leak</f>
        <v/>
      </c>
    </row>
    <row r="325">
      <c r="B325" s="3" t="inlineStr">
        <is>
          <t>Equity price (shares and shareholder loan)</t>
        </is>
      </c>
      <c r="C325" s="31">
        <f>Approvals!$C$319-Approvals!$C$320-Approvals!$C$321-Approvals!$C$322+Approvals!$C$323-Approvals!$C$324</f>
        <v/>
      </c>
    </row>
    <row r="326">
      <c r="B326" s="2" t="inlineStr">
        <is>
          <t xml:space="preserve">  of which shareholder loan at face value</t>
        </is>
      </c>
      <c r="C326" s="19">
        <f>i_shl</f>
        <v/>
      </c>
    </row>
    <row r="327">
      <c r="B327" s="2" t="inlineStr">
        <is>
          <t xml:space="preserve">  of which shares</t>
        </is>
      </c>
      <c r="C327" s="19">
        <f>Approvals!$C$325-Approvals!$C$326</f>
        <v/>
      </c>
    </row>
    <row r="328">
      <c r="B328" s="2" t="inlineStr">
        <is>
          <t>Ticking fee to closing</t>
        </is>
      </c>
      <c r="C328" s="19">
        <f>Approvals!$C$325*i_ticking*Approvals!$C$314</f>
        <v/>
      </c>
    </row>
    <row r="329">
      <c r="B329" s="2" t="inlineStr">
        <is>
          <t>Share of the year before closing (box period)</t>
        </is>
      </c>
      <c r="D329" s="24">
        <f>IF(D$4&lt;1,0,MAX(0,MIN(1,Approvals!$C$314-(D$4-1))))</f>
        <v/>
      </c>
      <c r="E329" s="24">
        <f>IF(E$4&lt;1,0,MAX(0,MIN(1,Approvals!$C$314-(E$4-1))))</f>
        <v/>
      </c>
      <c r="F329" s="24">
        <f>IF(F$4&lt;1,0,MAX(0,MIN(1,Approvals!$C$314-(F$4-1))))</f>
        <v/>
      </c>
      <c r="G329" s="24">
        <f>IF(G$4&lt;1,0,MAX(0,MIN(1,Approvals!$C$314-(G$4-1))))</f>
        <v/>
      </c>
      <c r="H329" s="24">
        <f>IF(H$4&lt;1,0,MAX(0,MIN(1,Approvals!$C$314-(H$4-1))))</f>
        <v/>
      </c>
      <c r="I329" s="24">
        <f>IF(I$4&lt;1,0,MAX(0,MIN(1,Approvals!$C$314-(I$4-1))))</f>
        <v/>
      </c>
      <c r="J329" s="24">
        <f>IF(J$4&lt;1,0,MAX(0,MIN(1,Approvals!$C$314-(J$4-1))))</f>
        <v/>
      </c>
      <c r="K329" s="24">
        <f>IF(K$4&lt;1,0,MAX(0,MIN(1,Approvals!$C$314-(K$4-1))))</f>
        <v/>
      </c>
      <c r="L329" s="24">
        <f>IF(L$4&lt;1,0,MAX(0,MIN(1,Approvals!$C$314-(L$4-1))))</f>
        <v/>
      </c>
      <c r="M329" s="24">
        <f>IF(M$4&lt;1,0,MAX(0,MIN(1,Approvals!$C$314-(M$4-1))))</f>
        <v/>
      </c>
      <c r="N329" s="24">
        <f>IF(N$4&lt;1,0,MAX(0,MIN(1,Approvals!$C$314-(N$4-1))))</f>
        <v/>
      </c>
      <c r="O329" s="24">
        <f>IF(O$4&lt;1,0,MAX(0,MIN(1,Approvals!$C$314-(O$4-1))))</f>
        <v/>
      </c>
      <c r="P329" s="24">
        <f>IF(P$4&lt;1,0,MAX(0,MIN(1,Approvals!$C$314-(P$4-1))))</f>
        <v/>
      </c>
      <c r="Q329" s="24">
        <f>IF(Q$4&lt;1,0,MAX(0,MIN(1,Approvals!$C$314-(Q$4-1))))</f>
        <v/>
      </c>
      <c r="R329" s="24">
        <f>IF(R$4&lt;1,0,MAX(0,MIN(1,Approvals!$C$314-(R$4-1))))</f>
        <v/>
      </c>
      <c r="S329" s="24">
        <f>IF(S$4&lt;1,0,MAX(0,MIN(1,Approvals!$C$314-(S$4-1))))</f>
        <v/>
      </c>
      <c r="T329" s="24">
        <f>IF(T$4&lt;1,0,MAX(0,MIN(1,Approvals!$C$314-(T$4-1))))</f>
        <v/>
      </c>
      <c r="U329" s="24">
        <f>IF(U$4&lt;1,0,MAX(0,MIN(1,Approvals!$C$314-(U$4-1))))</f>
        <v/>
      </c>
      <c r="V329" s="24">
        <f>IF(V$4&lt;1,0,MAX(0,MIN(1,Approvals!$C$314-(V$4-1))))</f>
        <v/>
      </c>
      <c r="W329" s="24">
        <f>IF(W$4&lt;1,0,MAX(0,MIN(1,Approvals!$C$314-(W$4-1))))</f>
        <v/>
      </c>
      <c r="X329" s="24">
        <f>IF(X$4&lt;1,0,MAX(0,MIN(1,Approvals!$C$314-(X$4-1))))</f>
        <v/>
      </c>
      <c r="Y329" s="24">
        <f>IF(Y$4&lt;1,0,MAX(0,MIN(1,Approvals!$C$314-(Y$4-1))))</f>
        <v/>
      </c>
      <c r="Z329" s="24">
        <f>IF(Z$4&lt;1,0,MAX(0,MIN(1,Approvals!$C$314-(Z$4-1))))</f>
        <v/>
      </c>
      <c r="AA329" s="24">
        <f>IF(AA$4&lt;1,0,MAX(0,MIN(1,Approvals!$C$314-(AA$4-1))))</f>
        <v/>
      </c>
      <c r="AB329" s="24">
        <f>IF(AB$4&lt;1,0,MAX(0,MIN(1,Approvals!$C$314-(AB$4-1))))</f>
        <v/>
      </c>
      <c r="AC329" s="24">
        <f>IF(AC$4&lt;1,0,MAX(0,MIN(1,Approvals!$C$314-(AC$4-1))))</f>
        <v/>
      </c>
      <c r="AD329" s="24">
        <f>IF(AD$4&lt;1,0,MAX(0,MIN(1,Approvals!$C$314-(AD$4-1))))</f>
        <v/>
      </c>
      <c r="AE329" s="24">
        <f>IF(AE$4&lt;1,0,MAX(0,MIN(1,Approvals!$C$314-(AE$4-1))))</f>
        <v/>
      </c>
      <c r="AF329" s="24">
        <f>IF(AF$4&lt;1,0,MAX(0,MIN(1,Approvals!$C$314-(AF$4-1))))</f>
        <v/>
      </c>
      <c r="AG329" s="24">
        <f>IF(AG$4&lt;1,0,MAX(0,MIN(1,Approvals!$C$314-(AG$4-1))))</f>
        <v/>
      </c>
      <c r="AH329" s="24">
        <f>IF(AH$4&lt;1,0,MAX(0,MIN(1,Approvals!$C$314-(AH$4-1))))</f>
        <v/>
      </c>
      <c r="AI329" s="24">
        <f>IF(AI$4&lt;1,0,MAX(0,MIN(1,Approvals!$C$314-(AI$4-1))))</f>
        <v/>
      </c>
    </row>
    <row r="330">
      <c r="B330" s="2" t="inlineStr">
        <is>
          <t>Box cash: free cash flow less interest on the old debt</t>
        </is>
      </c>
      <c r="D330" s="19">
        <f>D329*(Approvals!D140-i_old_rate*(i_old_tl+i_old_notes))</f>
        <v/>
      </c>
      <c r="E330" s="19">
        <f>E329*(Approvals!E140-i_old_rate*(i_old_tl+i_old_notes))</f>
        <v/>
      </c>
      <c r="F330" s="19">
        <f>F329*(Approvals!F140-i_old_rate*(i_old_tl+i_old_notes))</f>
        <v/>
      </c>
      <c r="G330" s="19">
        <f>G329*(Approvals!G140-i_old_rate*(i_old_tl+i_old_notes))</f>
        <v/>
      </c>
      <c r="H330" s="19">
        <f>H329*(Approvals!H140-i_old_rate*(i_old_tl+i_old_notes))</f>
        <v/>
      </c>
      <c r="I330" s="19">
        <f>I329*(Approvals!I140-i_old_rate*(i_old_tl+i_old_notes))</f>
        <v/>
      </c>
      <c r="J330" s="19">
        <f>J329*(Approvals!J140-i_old_rate*(i_old_tl+i_old_notes))</f>
        <v/>
      </c>
      <c r="K330" s="19">
        <f>K329*(Approvals!K140-i_old_rate*(i_old_tl+i_old_notes))</f>
        <v/>
      </c>
      <c r="L330" s="19">
        <f>L329*(Approvals!L140-i_old_rate*(i_old_tl+i_old_notes))</f>
        <v/>
      </c>
      <c r="M330" s="19">
        <f>M329*(Approvals!M140-i_old_rate*(i_old_tl+i_old_notes))</f>
        <v/>
      </c>
      <c r="N330" s="19">
        <f>N329*(Approvals!N140-i_old_rate*(i_old_tl+i_old_notes))</f>
        <v/>
      </c>
      <c r="O330" s="19">
        <f>O329*(Approvals!O140-i_old_rate*(i_old_tl+i_old_notes))</f>
        <v/>
      </c>
      <c r="P330" s="19">
        <f>P329*(Approvals!P140-i_old_rate*(i_old_tl+i_old_notes))</f>
        <v/>
      </c>
      <c r="Q330" s="19">
        <f>Q329*(Approvals!Q140-i_old_rate*(i_old_tl+i_old_notes))</f>
        <v/>
      </c>
      <c r="R330" s="19">
        <f>R329*(Approvals!R140-i_old_rate*(i_old_tl+i_old_notes))</f>
        <v/>
      </c>
      <c r="S330" s="19">
        <f>S329*(Approvals!S140-i_old_rate*(i_old_tl+i_old_notes))</f>
        <v/>
      </c>
      <c r="T330" s="19">
        <f>T329*(Approvals!T140-i_old_rate*(i_old_tl+i_old_notes))</f>
        <v/>
      </c>
      <c r="U330" s="19">
        <f>U329*(Approvals!U140-i_old_rate*(i_old_tl+i_old_notes))</f>
        <v/>
      </c>
      <c r="V330" s="19">
        <f>V329*(Approvals!V140-i_old_rate*(i_old_tl+i_old_notes))</f>
        <v/>
      </c>
      <c r="W330" s="19">
        <f>W329*(Approvals!W140-i_old_rate*(i_old_tl+i_old_notes))</f>
        <v/>
      </c>
      <c r="X330" s="19">
        <f>X329*(Approvals!X140-i_old_rate*(i_old_tl+i_old_notes))</f>
        <v/>
      </c>
      <c r="Y330" s="19">
        <f>Y329*(Approvals!Y140-i_old_rate*(i_old_tl+i_old_notes))</f>
        <v/>
      </c>
      <c r="Z330" s="19">
        <f>Z329*(Approvals!Z140-i_old_rate*(i_old_tl+i_old_notes))</f>
        <v/>
      </c>
      <c r="AA330" s="19">
        <f>AA329*(Approvals!AA140-i_old_rate*(i_old_tl+i_old_notes))</f>
        <v/>
      </c>
      <c r="AB330" s="19">
        <f>AB329*(Approvals!AB140-i_old_rate*(i_old_tl+i_old_notes))</f>
        <v/>
      </c>
      <c r="AC330" s="19">
        <f>AC329*(Approvals!AC140-i_old_rate*(i_old_tl+i_old_notes))</f>
        <v/>
      </c>
      <c r="AD330" s="19">
        <f>AD329*(Approvals!AD140-i_old_rate*(i_old_tl+i_old_notes))</f>
        <v/>
      </c>
      <c r="AE330" s="19">
        <f>AE329*(Approvals!AE140-i_old_rate*(i_old_tl+i_old_notes))</f>
        <v/>
      </c>
      <c r="AF330" s="19">
        <f>AF329*(Approvals!AF140-i_old_rate*(i_old_tl+i_old_notes))</f>
        <v/>
      </c>
      <c r="AG330" s="19">
        <f>AG329*(Approvals!AG140-i_old_rate*(i_old_tl+i_old_notes))</f>
        <v/>
      </c>
      <c r="AH330" s="19">
        <f>AH329*(Approvals!AH140-i_old_rate*(i_old_tl+i_old_notes))</f>
        <v/>
      </c>
      <c r="AI330" s="19">
        <f>AI329*(Approvals!AI140-i_old_rate*(i_old_tl+i_old_notes))</f>
        <v/>
      </c>
    </row>
    <row r="331">
      <c r="B331" s="2" t="inlineStr">
        <is>
          <t>Box cash generated from 1 January 2027 to closing</t>
        </is>
      </c>
      <c r="C331" s="19">
        <f>SUM(Approvals!D330:AI330)</f>
        <v/>
      </c>
    </row>
    <row r="332">
      <c r="B332" s="2" t="inlineStr">
        <is>
          <t>Cash in the company at closing</t>
        </is>
      </c>
      <c r="C332" s="19">
        <f>Approvals!$C$323-Approvals!$C$324+Approvals!$C$331</f>
        <v/>
      </c>
    </row>
    <row r="333">
      <c r="B333" s="2" t="inlineStr">
        <is>
          <t>Cash used at closing (above operating cash)</t>
        </is>
      </c>
      <c r="C333" s="19">
        <f>Approvals!$C$332-i_min_cash</f>
        <v/>
      </c>
    </row>
    <row r="335">
      <c r="B335" s="3" t="inlineStr">
        <is>
          <t>Sources and uses at closing</t>
        </is>
      </c>
    </row>
    <row r="336">
      <c r="B336" s="2" t="inlineStr">
        <is>
          <t>EBITDA 2026 (sizing basis)</t>
        </is>
      </c>
      <c r="C336" s="19">
        <f>Approvals!$D$134</f>
        <v/>
      </c>
    </row>
    <row r="337">
      <c r="B337" s="2" t="inlineStr">
        <is>
          <t>Opco multiple of 2026 EBITDA</t>
        </is>
      </c>
      <c r="C337" s="37">
        <f>IF(Approvals!$C$315=1,i_staple_x,i_opco_x)</f>
        <v/>
      </c>
    </row>
    <row r="338">
      <c r="B338" s="2" t="inlineStr">
        <is>
          <t>Opco rate</t>
        </is>
      </c>
      <c r="C338" s="23">
        <f>IF(Approvals!$C$315=1,i_staple_rate,i_opco_rate)</f>
        <v/>
      </c>
    </row>
    <row r="339">
      <c r="B339" s="2" t="inlineStr">
        <is>
          <t>Opco fees</t>
        </is>
      </c>
      <c r="C339" s="23">
        <f>IF(Approvals!$C$315=1,i_staple_fee,i_opco_fee)</f>
        <v/>
      </c>
    </row>
    <row r="340">
      <c r="B340" s="2" t="inlineStr">
        <is>
          <t>Opco senior debt (whole $ million)</t>
        </is>
      </c>
      <c r="C340" s="19">
        <f>ROUND(Approvals!$C$337*Approvals!$C$336,0)</f>
        <v/>
      </c>
    </row>
    <row r="341">
      <c r="B341" s="2" t="inlineStr">
        <is>
          <t>Holdco debt (whole $ million)</t>
        </is>
      </c>
      <c r="C341" s="19">
        <f>ROUND(i_hold_x*Approvals!$C$336,0)</f>
        <v/>
      </c>
    </row>
    <row r="342">
      <c r="B342" s="2" t="inlineStr">
        <is>
          <t>W&amp;I premium with insurance premium tax</t>
        </is>
      </c>
      <c r="C342" s="35">
        <f>i_wi_limit_pct*Approvals!$C$319*i_wi_rol*(1+i_wi_ipt)</f>
        <v/>
      </c>
    </row>
    <row r="343">
      <c r="B343" s="2" t="inlineStr">
        <is>
          <t>HSR filing fee (on the equity price)</t>
        </is>
      </c>
      <c r="C343" s="39">
        <f>IF(Approvals!$C$325&lt;INDEX(i_hsr_lo,1),0,LOOKUP(Approvals!$C$325,i_hsr_lo,i_hsr_fee))</f>
        <v/>
      </c>
    </row>
    <row r="344">
      <c r="B344" s="2" t="inlineStr">
        <is>
          <t>Transaction costs (advisers, W&amp;I, HSR)</t>
        </is>
      </c>
      <c r="C344" s="19">
        <f>i_costs_adv+Approvals!$C$342+Approvals!$C$343</f>
        <v/>
      </c>
    </row>
    <row r="345">
      <c r="B345" s="2" t="inlineStr">
        <is>
          <t>Financing fees</t>
        </is>
      </c>
      <c r="C345" s="19">
        <f>Approvals!$C$339*Approvals!$C$340+i_hold_fee*Approvals!$C$341</f>
        <v/>
      </c>
    </row>
    <row r="346">
      <c r="B346" s="2" t="inlineStr">
        <is>
          <t>Commitment fees, signing to closing</t>
        </is>
      </c>
      <c r="C346" s="19">
        <f>i_commit_fee*(Approvals!$C$340+Approvals!$C$341)*MAX(0,Approvals!$C$314-i_t_sign)</f>
        <v/>
      </c>
    </row>
    <row r="347">
      <c r="B347" s="3" t="inlineStr">
        <is>
          <t>Uses</t>
        </is>
      </c>
    </row>
    <row r="348">
      <c r="B348" s="2" t="inlineStr">
        <is>
          <t xml:space="preserve">  Equity price</t>
        </is>
      </c>
      <c r="C348" s="19">
        <f>Approvals!$C$325</f>
        <v/>
      </c>
    </row>
    <row r="349">
      <c r="B349" s="2" t="inlineStr">
        <is>
          <t xml:space="preserve">  Ticking fee</t>
        </is>
      </c>
      <c r="C349" s="19">
        <f>Approvals!$C$328</f>
        <v/>
      </c>
    </row>
    <row r="350">
      <c r="B350" s="2" t="inlineStr">
        <is>
          <t xml:space="preserve">  Repayment of existing debt and make-whole</t>
        </is>
      </c>
      <c r="C350" s="19">
        <f>Approvals!$C$320+Approvals!$C$321</f>
        <v/>
      </c>
    </row>
    <row r="351">
      <c r="B351" s="2" t="inlineStr">
        <is>
          <t xml:space="preserve">  Debt-like items settled</t>
        </is>
      </c>
      <c r="C351" s="19">
        <f>Approvals!$C$322</f>
        <v/>
      </c>
    </row>
    <row r="352">
      <c r="B352" s="2" t="inlineStr">
        <is>
          <t xml:space="preserve">  Transaction costs</t>
        </is>
      </c>
      <c r="C352" s="19">
        <f>Approvals!$C$344</f>
        <v/>
      </c>
    </row>
    <row r="353">
      <c r="B353" s="2" t="inlineStr">
        <is>
          <t xml:space="preserve">  Financing fees</t>
        </is>
      </c>
      <c r="C353" s="19">
        <f>Approvals!$C$345</f>
        <v/>
      </c>
    </row>
    <row r="354">
      <c r="B354" s="2" t="inlineStr">
        <is>
          <t xml:space="preserve">  Commitment fees</t>
        </is>
      </c>
      <c r="C354" s="19">
        <f>Approvals!$C$346</f>
        <v/>
      </c>
    </row>
    <row r="355">
      <c r="B355" s="3" t="inlineStr">
        <is>
          <t>Total uses</t>
        </is>
      </c>
      <c r="C355" s="31">
        <f>SUM(C348:C354)</f>
        <v/>
      </c>
    </row>
    <row r="356">
      <c r="B356" s="3" t="inlineStr">
        <is>
          <t>Sources</t>
        </is>
      </c>
    </row>
    <row r="357">
      <c r="B357" s="2" t="inlineStr">
        <is>
          <t xml:space="preserve">  Opco senior debt</t>
        </is>
      </c>
      <c r="C357" s="19">
        <f>Approvals!$C$340</f>
        <v/>
      </c>
    </row>
    <row r="358">
      <c r="B358" s="2" t="inlineStr">
        <is>
          <t xml:space="preserve">  Holdco debt</t>
        </is>
      </c>
      <c r="C358" s="19">
        <f>Approvals!$C$341</f>
        <v/>
      </c>
    </row>
    <row r="359">
      <c r="B359" s="2" t="inlineStr">
        <is>
          <t xml:space="preserve">  Cash in the company at closing</t>
        </is>
      </c>
      <c r="C359" s="19">
        <f>Approvals!$C$333</f>
        <v/>
      </c>
    </row>
    <row r="360">
      <c r="B360" s="3" t="inlineStr">
        <is>
          <t xml:space="preserve">  Equity from the consortium</t>
        </is>
      </c>
      <c r="C360" s="31">
        <f>Approvals!$C$355-Approvals!$C$340-Approvals!$C$341-Approvals!$C$333</f>
        <v/>
      </c>
    </row>
    <row r="361">
      <c r="B361" s="3" t="inlineStr">
        <is>
          <t>Total sources</t>
        </is>
      </c>
      <c r="C361" s="31">
        <f>SUM(C357:C360)</f>
        <v/>
      </c>
    </row>
    <row r="363">
      <c r="B363" s="3" t="inlineStr">
        <is>
          <t>Flows after closing (years in columns D to AI; closing, minority sale and exit in AJ to AL)</t>
        </is>
      </c>
    </row>
    <row r="364">
      <c r="B364" s="2" t="inlineStr">
        <is>
          <t>Share of the year owned</t>
        </is>
      </c>
      <c r="D364" s="24">
        <f>IF(D$3&gt;i_exit_year,0,MIN(1,MAX(0,D$4-Approvals!$C$314)))</f>
        <v/>
      </c>
      <c r="E364" s="24">
        <f>IF(E$3&gt;i_exit_year,0,MIN(1,MAX(0,E$4-Approvals!$C$314)))</f>
        <v/>
      </c>
      <c r="F364" s="24">
        <f>IF(F$3&gt;i_exit_year,0,MIN(1,MAX(0,F$4-Approvals!$C$314)))</f>
        <v/>
      </c>
      <c r="G364" s="24">
        <f>IF(G$3&gt;i_exit_year,0,MIN(1,MAX(0,G$4-Approvals!$C$314)))</f>
        <v/>
      </c>
      <c r="H364" s="24">
        <f>IF(H$3&gt;i_exit_year,0,MIN(1,MAX(0,H$4-Approvals!$C$314)))</f>
        <v/>
      </c>
      <c r="I364" s="24">
        <f>IF(I$3&gt;i_exit_year,0,MIN(1,MAX(0,I$4-Approvals!$C$314)))</f>
        <v/>
      </c>
      <c r="J364" s="24">
        <f>IF(J$3&gt;i_exit_year,0,MIN(1,MAX(0,J$4-Approvals!$C$314)))</f>
        <v/>
      </c>
      <c r="K364" s="24">
        <f>IF(K$3&gt;i_exit_year,0,MIN(1,MAX(0,K$4-Approvals!$C$314)))</f>
        <v/>
      </c>
      <c r="L364" s="24">
        <f>IF(L$3&gt;i_exit_year,0,MIN(1,MAX(0,L$4-Approvals!$C$314)))</f>
        <v/>
      </c>
      <c r="M364" s="24">
        <f>IF(M$3&gt;i_exit_year,0,MIN(1,MAX(0,M$4-Approvals!$C$314)))</f>
        <v/>
      </c>
      <c r="N364" s="24">
        <f>IF(N$3&gt;i_exit_year,0,MIN(1,MAX(0,N$4-Approvals!$C$314)))</f>
        <v/>
      </c>
      <c r="O364" s="24">
        <f>IF(O$3&gt;i_exit_year,0,MIN(1,MAX(0,O$4-Approvals!$C$314)))</f>
        <v/>
      </c>
      <c r="P364" s="24">
        <f>IF(P$3&gt;i_exit_year,0,MIN(1,MAX(0,P$4-Approvals!$C$314)))</f>
        <v/>
      </c>
      <c r="Q364" s="24">
        <f>IF(Q$3&gt;i_exit_year,0,MIN(1,MAX(0,Q$4-Approvals!$C$314)))</f>
        <v/>
      </c>
      <c r="R364" s="24">
        <f>IF(R$3&gt;i_exit_year,0,MIN(1,MAX(0,R$4-Approvals!$C$314)))</f>
        <v/>
      </c>
      <c r="S364" s="24">
        <f>IF(S$3&gt;i_exit_year,0,MIN(1,MAX(0,S$4-Approvals!$C$314)))</f>
        <v/>
      </c>
      <c r="T364" s="24">
        <f>IF(T$3&gt;i_exit_year,0,MIN(1,MAX(0,T$4-Approvals!$C$314)))</f>
        <v/>
      </c>
      <c r="U364" s="24">
        <f>IF(U$3&gt;i_exit_year,0,MIN(1,MAX(0,U$4-Approvals!$C$314)))</f>
        <v/>
      </c>
      <c r="V364" s="24">
        <f>IF(V$3&gt;i_exit_year,0,MIN(1,MAX(0,V$4-Approvals!$C$314)))</f>
        <v/>
      </c>
      <c r="W364" s="24">
        <f>IF(W$3&gt;i_exit_year,0,MIN(1,MAX(0,W$4-Approvals!$C$314)))</f>
        <v/>
      </c>
      <c r="X364" s="24">
        <f>IF(X$3&gt;i_exit_year,0,MIN(1,MAX(0,X$4-Approvals!$C$314)))</f>
        <v/>
      </c>
      <c r="Y364" s="24">
        <f>IF(Y$3&gt;i_exit_year,0,MIN(1,MAX(0,Y$4-Approvals!$C$314)))</f>
        <v/>
      </c>
      <c r="Z364" s="24">
        <f>IF(Z$3&gt;i_exit_year,0,MIN(1,MAX(0,Z$4-Approvals!$C$314)))</f>
        <v/>
      </c>
      <c r="AA364" s="24">
        <f>IF(AA$3&gt;i_exit_year,0,MIN(1,MAX(0,AA$4-Approvals!$C$314)))</f>
        <v/>
      </c>
      <c r="AB364" s="24">
        <f>IF(AB$3&gt;i_exit_year,0,MIN(1,MAX(0,AB$4-Approvals!$C$314)))</f>
        <v/>
      </c>
      <c r="AC364" s="24">
        <f>IF(AC$3&gt;i_exit_year,0,MIN(1,MAX(0,AC$4-Approvals!$C$314)))</f>
        <v/>
      </c>
      <c r="AD364" s="24">
        <f>IF(AD$3&gt;i_exit_year,0,MIN(1,MAX(0,AD$4-Approvals!$C$314)))</f>
        <v/>
      </c>
      <c r="AE364" s="24">
        <f>IF(AE$3&gt;i_exit_year,0,MIN(1,MAX(0,AE$4-Approvals!$C$314)))</f>
        <v/>
      </c>
      <c r="AF364" s="24">
        <f>IF(AF$3&gt;i_exit_year,0,MIN(1,MAX(0,AF$4-Approvals!$C$314)))</f>
        <v/>
      </c>
      <c r="AG364" s="24">
        <f>IF(AG$3&gt;i_exit_year,0,MIN(1,MAX(0,AG$4-Approvals!$C$314)))</f>
        <v/>
      </c>
      <c r="AH364" s="24">
        <f>IF(AH$3&gt;i_exit_year,0,MIN(1,MAX(0,AH$4-Approvals!$C$314)))</f>
        <v/>
      </c>
      <c r="AI364" s="24">
        <f>IF(AI$3&gt;i_exit_year,0,MIN(1,MAX(0,AI$4-Approvals!$C$314)))</f>
        <v/>
      </c>
    </row>
    <row r="365">
      <c r="B365" s="2" t="inlineStr">
        <is>
          <t>Opco rate (refinanced after the tenor)</t>
        </is>
      </c>
      <c r="D365" s="23">
        <f>IF(D$4&lt;=Approvals!$C$314+i_opco_tenor,Approvals!$C$338,Approvals!$C$338+Approvals!$C$318)</f>
        <v/>
      </c>
      <c r="E365" s="23">
        <f>IF(E$4&lt;=Approvals!$C$314+i_opco_tenor,Approvals!$C$338,Approvals!$C$338+Approvals!$C$318)</f>
        <v/>
      </c>
      <c r="F365" s="23">
        <f>IF(F$4&lt;=Approvals!$C$314+i_opco_tenor,Approvals!$C$338,Approvals!$C$338+Approvals!$C$318)</f>
        <v/>
      </c>
      <c r="G365" s="23">
        <f>IF(G$4&lt;=Approvals!$C$314+i_opco_tenor,Approvals!$C$338,Approvals!$C$338+Approvals!$C$318)</f>
        <v/>
      </c>
      <c r="H365" s="23">
        <f>IF(H$4&lt;=Approvals!$C$314+i_opco_tenor,Approvals!$C$338,Approvals!$C$338+Approvals!$C$318)</f>
        <v/>
      </c>
      <c r="I365" s="23">
        <f>IF(I$4&lt;=Approvals!$C$314+i_opco_tenor,Approvals!$C$338,Approvals!$C$338+Approvals!$C$318)</f>
        <v/>
      </c>
      <c r="J365" s="23">
        <f>IF(J$4&lt;=Approvals!$C$314+i_opco_tenor,Approvals!$C$338,Approvals!$C$338+Approvals!$C$318)</f>
        <v/>
      </c>
      <c r="K365" s="23">
        <f>IF(K$4&lt;=Approvals!$C$314+i_opco_tenor,Approvals!$C$338,Approvals!$C$338+Approvals!$C$318)</f>
        <v/>
      </c>
      <c r="L365" s="23">
        <f>IF(L$4&lt;=Approvals!$C$314+i_opco_tenor,Approvals!$C$338,Approvals!$C$338+Approvals!$C$318)</f>
        <v/>
      </c>
      <c r="M365" s="23">
        <f>IF(M$4&lt;=Approvals!$C$314+i_opco_tenor,Approvals!$C$338,Approvals!$C$338+Approvals!$C$318)</f>
        <v/>
      </c>
      <c r="N365" s="23">
        <f>IF(N$4&lt;=Approvals!$C$314+i_opco_tenor,Approvals!$C$338,Approvals!$C$338+Approvals!$C$318)</f>
        <v/>
      </c>
      <c r="O365" s="23">
        <f>IF(O$4&lt;=Approvals!$C$314+i_opco_tenor,Approvals!$C$338,Approvals!$C$338+Approvals!$C$318)</f>
        <v/>
      </c>
      <c r="P365" s="23">
        <f>IF(P$4&lt;=Approvals!$C$314+i_opco_tenor,Approvals!$C$338,Approvals!$C$338+Approvals!$C$318)</f>
        <v/>
      </c>
      <c r="Q365" s="23">
        <f>IF(Q$4&lt;=Approvals!$C$314+i_opco_tenor,Approvals!$C$338,Approvals!$C$338+Approvals!$C$318)</f>
        <v/>
      </c>
      <c r="R365" s="23">
        <f>IF(R$4&lt;=Approvals!$C$314+i_opco_tenor,Approvals!$C$338,Approvals!$C$338+Approvals!$C$318)</f>
        <v/>
      </c>
      <c r="S365" s="23">
        <f>IF(S$4&lt;=Approvals!$C$314+i_opco_tenor,Approvals!$C$338,Approvals!$C$338+Approvals!$C$318)</f>
        <v/>
      </c>
      <c r="T365" s="23">
        <f>IF(T$4&lt;=Approvals!$C$314+i_opco_tenor,Approvals!$C$338,Approvals!$C$338+Approvals!$C$318)</f>
        <v/>
      </c>
      <c r="U365" s="23">
        <f>IF(U$4&lt;=Approvals!$C$314+i_opco_tenor,Approvals!$C$338,Approvals!$C$338+Approvals!$C$318)</f>
        <v/>
      </c>
      <c r="V365" s="23">
        <f>IF(V$4&lt;=Approvals!$C$314+i_opco_tenor,Approvals!$C$338,Approvals!$C$338+Approvals!$C$318)</f>
        <v/>
      </c>
      <c r="W365" s="23">
        <f>IF(W$4&lt;=Approvals!$C$314+i_opco_tenor,Approvals!$C$338,Approvals!$C$338+Approvals!$C$318)</f>
        <v/>
      </c>
      <c r="X365" s="23">
        <f>IF(X$4&lt;=Approvals!$C$314+i_opco_tenor,Approvals!$C$338,Approvals!$C$338+Approvals!$C$318)</f>
        <v/>
      </c>
      <c r="Y365" s="23">
        <f>IF(Y$4&lt;=Approvals!$C$314+i_opco_tenor,Approvals!$C$338,Approvals!$C$338+Approvals!$C$318)</f>
        <v/>
      </c>
      <c r="Z365" s="23">
        <f>IF(Z$4&lt;=Approvals!$C$314+i_opco_tenor,Approvals!$C$338,Approvals!$C$338+Approvals!$C$318)</f>
        <v/>
      </c>
      <c r="AA365" s="23">
        <f>IF(AA$4&lt;=Approvals!$C$314+i_opco_tenor,Approvals!$C$338,Approvals!$C$338+Approvals!$C$318)</f>
        <v/>
      </c>
      <c r="AB365" s="23">
        <f>IF(AB$4&lt;=Approvals!$C$314+i_opco_tenor,Approvals!$C$338,Approvals!$C$338+Approvals!$C$318)</f>
        <v/>
      </c>
      <c r="AC365" s="23">
        <f>IF(AC$4&lt;=Approvals!$C$314+i_opco_tenor,Approvals!$C$338,Approvals!$C$338+Approvals!$C$318)</f>
        <v/>
      </c>
      <c r="AD365" s="23">
        <f>IF(AD$4&lt;=Approvals!$C$314+i_opco_tenor,Approvals!$C$338,Approvals!$C$338+Approvals!$C$318)</f>
        <v/>
      </c>
      <c r="AE365" s="23">
        <f>IF(AE$4&lt;=Approvals!$C$314+i_opco_tenor,Approvals!$C$338,Approvals!$C$338+Approvals!$C$318)</f>
        <v/>
      </c>
      <c r="AF365" s="23">
        <f>IF(AF$4&lt;=Approvals!$C$314+i_opco_tenor,Approvals!$C$338,Approvals!$C$338+Approvals!$C$318)</f>
        <v/>
      </c>
      <c r="AG365" s="23">
        <f>IF(AG$4&lt;=Approvals!$C$314+i_opco_tenor,Approvals!$C$338,Approvals!$C$338+Approvals!$C$318)</f>
        <v/>
      </c>
      <c r="AH365" s="23">
        <f>IF(AH$4&lt;=Approvals!$C$314+i_opco_tenor,Approvals!$C$338,Approvals!$C$338+Approvals!$C$318)</f>
        <v/>
      </c>
      <c r="AI365" s="23">
        <f>IF(AI$4&lt;=Approvals!$C$314+i_opco_tenor,Approvals!$C$338,Approvals!$C$338+Approvals!$C$318)</f>
        <v/>
      </c>
    </row>
    <row r="366">
      <c r="B366" s="2" t="inlineStr">
        <is>
          <t>Interest (opco and holdco)</t>
        </is>
      </c>
      <c r="D366" s="19">
        <f>D365*Approvals!$C$340+i_hold_rate*Approvals!$C$341</f>
        <v/>
      </c>
      <c r="E366" s="19">
        <f>E365*Approvals!$C$340+i_hold_rate*Approvals!$C$341</f>
        <v/>
      </c>
      <c r="F366" s="19">
        <f>F365*Approvals!$C$340+i_hold_rate*Approvals!$C$341</f>
        <v/>
      </c>
      <c r="G366" s="19">
        <f>G365*Approvals!$C$340+i_hold_rate*Approvals!$C$341</f>
        <v/>
      </c>
      <c r="H366" s="19">
        <f>H365*Approvals!$C$340+i_hold_rate*Approvals!$C$341</f>
        <v/>
      </c>
      <c r="I366" s="19">
        <f>I365*Approvals!$C$340+i_hold_rate*Approvals!$C$341</f>
        <v/>
      </c>
      <c r="J366" s="19">
        <f>J365*Approvals!$C$340+i_hold_rate*Approvals!$C$341</f>
        <v/>
      </c>
      <c r="K366" s="19">
        <f>K365*Approvals!$C$340+i_hold_rate*Approvals!$C$341</f>
        <v/>
      </c>
      <c r="L366" s="19">
        <f>L365*Approvals!$C$340+i_hold_rate*Approvals!$C$341</f>
        <v/>
      </c>
      <c r="M366" s="19">
        <f>M365*Approvals!$C$340+i_hold_rate*Approvals!$C$341</f>
        <v/>
      </c>
      <c r="N366" s="19">
        <f>N365*Approvals!$C$340+i_hold_rate*Approvals!$C$341</f>
        <v/>
      </c>
      <c r="O366" s="19">
        <f>O365*Approvals!$C$340+i_hold_rate*Approvals!$C$341</f>
        <v/>
      </c>
      <c r="P366" s="19">
        <f>P365*Approvals!$C$340+i_hold_rate*Approvals!$C$341</f>
        <v/>
      </c>
      <c r="Q366" s="19">
        <f>Q365*Approvals!$C$340+i_hold_rate*Approvals!$C$341</f>
        <v/>
      </c>
      <c r="R366" s="19">
        <f>R365*Approvals!$C$340+i_hold_rate*Approvals!$C$341</f>
        <v/>
      </c>
      <c r="S366" s="19">
        <f>S365*Approvals!$C$340+i_hold_rate*Approvals!$C$341</f>
        <v/>
      </c>
      <c r="T366" s="19">
        <f>T365*Approvals!$C$340+i_hold_rate*Approvals!$C$341</f>
        <v/>
      </c>
      <c r="U366" s="19">
        <f>U365*Approvals!$C$340+i_hold_rate*Approvals!$C$341</f>
        <v/>
      </c>
      <c r="V366" s="19">
        <f>V365*Approvals!$C$340+i_hold_rate*Approvals!$C$341</f>
        <v/>
      </c>
      <c r="W366" s="19">
        <f>W365*Approvals!$C$340+i_hold_rate*Approvals!$C$341</f>
        <v/>
      </c>
      <c r="X366" s="19">
        <f>X365*Approvals!$C$340+i_hold_rate*Approvals!$C$341</f>
        <v/>
      </c>
      <c r="Y366" s="19">
        <f>Y365*Approvals!$C$340+i_hold_rate*Approvals!$C$341</f>
        <v/>
      </c>
      <c r="Z366" s="19">
        <f>Z365*Approvals!$C$340+i_hold_rate*Approvals!$C$341</f>
        <v/>
      </c>
      <c r="AA366" s="19">
        <f>AA365*Approvals!$C$340+i_hold_rate*Approvals!$C$341</f>
        <v/>
      </c>
      <c r="AB366" s="19">
        <f>AB365*Approvals!$C$340+i_hold_rate*Approvals!$C$341</f>
        <v/>
      </c>
      <c r="AC366" s="19">
        <f>AC365*Approvals!$C$340+i_hold_rate*Approvals!$C$341</f>
        <v/>
      </c>
      <c r="AD366" s="19">
        <f>AD365*Approvals!$C$340+i_hold_rate*Approvals!$C$341</f>
        <v/>
      </c>
      <c r="AE366" s="19">
        <f>AE365*Approvals!$C$340+i_hold_rate*Approvals!$C$341</f>
        <v/>
      </c>
      <c r="AF366" s="19">
        <f>AF365*Approvals!$C$340+i_hold_rate*Approvals!$C$341</f>
        <v/>
      </c>
      <c r="AG366" s="19">
        <f>AG365*Approvals!$C$340+i_hold_rate*Approvals!$C$341</f>
        <v/>
      </c>
      <c r="AH366" s="19">
        <f>AH365*Approvals!$C$340+i_hold_rate*Approvals!$C$341</f>
        <v/>
      </c>
      <c r="AI366" s="19">
        <f>AI365*Approvals!$C$340+i_hold_rate*Approvals!$C$341</f>
        <v/>
      </c>
    </row>
    <row r="367">
      <c r="B367" s="2" t="inlineStr">
        <is>
          <t>Deductible interest (cap on EBITDA)</t>
        </is>
      </c>
      <c r="D367" s="19">
        <f>MIN(D366,i_int_cap*Approvals!D134)</f>
        <v/>
      </c>
      <c r="E367" s="19">
        <f>MIN(E366,i_int_cap*Approvals!E134)</f>
        <v/>
      </c>
      <c r="F367" s="19">
        <f>MIN(F366,i_int_cap*Approvals!F134)</f>
        <v/>
      </c>
      <c r="G367" s="19">
        <f>MIN(G366,i_int_cap*Approvals!G134)</f>
        <v/>
      </c>
      <c r="H367" s="19">
        <f>MIN(H366,i_int_cap*Approvals!H134)</f>
        <v/>
      </c>
      <c r="I367" s="19">
        <f>MIN(I366,i_int_cap*Approvals!I134)</f>
        <v/>
      </c>
      <c r="J367" s="19">
        <f>MIN(J366,i_int_cap*Approvals!J134)</f>
        <v/>
      </c>
      <c r="K367" s="19">
        <f>MIN(K366,i_int_cap*Approvals!K134)</f>
        <v/>
      </c>
      <c r="L367" s="19">
        <f>MIN(L366,i_int_cap*Approvals!L134)</f>
        <v/>
      </c>
      <c r="M367" s="19">
        <f>MIN(M366,i_int_cap*Approvals!M134)</f>
        <v/>
      </c>
      <c r="N367" s="19">
        <f>MIN(N366,i_int_cap*Approvals!N134)</f>
        <v/>
      </c>
      <c r="O367" s="19">
        <f>MIN(O366,i_int_cap*Approvals!O134)</f>
        <v/>
      </c>
      <c r="P367" s="19">
        <f>MIN(P366,i_int_cap*Approvals!P134)</f>
        <v/>
      </c>
      <c r="Q367" s="19">
        <f>MIN(Q366,i_int_cap*Approvals!Q134)</f>
        <v/>
      </c>
      <c r="R367" s="19">
        <f>MIN(R366,i_int_cap*Approvals!R134)</f>
        <v/>
      </c>
      <c r="S367" s="19">
        <f>MIN(S366,i_int_cap*Approvals!S134)</f>
        <v/>
      </c>
      <c r="T367" s="19">
        <f>MIN(T366,i_int_cap*Approvals!T134)</f>
        <v/>
      </c>
      <c r="U367" s="19">
        <f>MIN(U366,i_int_cap*Approvals!U134)</f>
        <v/>
      </c>
      <c r="V367" s="19">
        <f>MIN(V366,i_int_cap*Approvals!V134)</f>
        <v/>
      </c>
      <c r="W367" s="19">
        <f>MIN(W366,i_int_cap*Approvals!W134)</f>
        <v/>
      </c>
      <c r="X367" s="19">
        <f>MIN(X366,i_int_cap*Approvals!X134)</f>
        <v/>
      </c>
      <c r="Y367" s="19">
        <f>MIN(Y366,i_int_cap*Approvals!Y134)</f>
        <v/>
      </c>
      <c r="Z367" s="19">
        <f>MIN(Z366,i_int_cap*Approvals!Z134)</f>
        <v/>
      </c>
      <c r="AA367" s="19">
        <f>MIN(AA366,i_int_cap*Approvals!AA134)</f>
        <v/>
      </c>
      <c r="AB367" s="19">
        <f>MIN(AB366,i_int_cap*Approvals!AB134)</f>
        <v/>
      </c>
      <c r="AC367" s="19">
        <f>MIN(AC366,i_int_cap*Approvals!AC134)</f>
        <v/>
      </c>
      <c r="AD367" s="19">
        <f>MIN(AD366,i_int_cap*Approvals!AD134)</f>
        <v/>
      </c>
      <c r="AE367" s="19">
        <f>MIN(AE366,i_int_cap*Approvals!AE134)</f>
        <v/>
      </c>
      <c r="AF367" s="19">
        <f>MIN(AF366,i_int_cap*Approvals!AF134)</f>
        <v/>
      </c>
      <c r="AG367" s="19">
        <f>MIN(AG366,i_int_cap*Approvals!AG134)</f>
        <v/>
      </c>
      <c r="AH367" s="19">
        <f>MIN(AH366,i_int_cap*Approvals!AH134)</f>
        <v/>
      </c>
      <c r="AI367" s="19">
        <f>MIN(AI366,i_int_cap*Approvals!AI134)</f>
        <v/>
      </c>
    </row>
    <row r="368">
      <c r="B368" s="2" t="inlineStr">
        <is>
          <t>Cash tax with the debt</t>
        </is>
      </c>
      <c r="D368" s="19">
        <f>i_tax*MAX(0,Approvals!D134-Approvals!D137-D367)</f>
        <v/>
      </c>
      <c r="E368" s="19">
        <f>i_tax*MAX(0,Approvals!E134-Approvals!E137-E367)</f>
        <v/>
      </c>
      <c r="F368" s="19">
        <f>i_tax*MAX(0,Approvals!F134-Approvals!F137-F367)</f>
        <v/>
      </c>
      <c r="G368" s="19">
        <f>i_tax*MAX(0,Approvals!G134-Approvals!G137-G367)</f>
        <v/>
      </c>
      <c r="H368" s="19">
        <f>i_tax*MAX(0,Approvals!H134-Approvals!H137-H367)</f>
        <v/>
      </c>
      <c r="I368" s="19">
        <f>i_tax*MAX(0,Approvals!I134-Approvals!I137-I367)</f>
        <v/>
      </c>
      <c r="J368" s="19">
        <f>i_tax*MAX(0,Approvals!J134-Approvals!J137-J367)</f>
        <v/>
      </c>
      <c r="K368" s="19">
        <f>i_tax*MAX(0,Approvals!K134-Approvals!K137-K367)</f>
        <v/>
      </c>
      <c r="L368" s="19">
        <f>i_tax*MAX(0,Approvals!L134-Approvals!L137-L367)</f>
        <v/>
      </c>
      <c r="M368" s="19">
        <f>i_tax*MAX(0,Approvals!M134-Approvals!M137-M367)</f>
        <v/>
      </c>
      <c r="N368" s="19">
        <f>i_tax*MAX(0,Approvals!N134-Approvals!N137-N367)</f>
        <v/>
      </c>
      <c r="O368" s="19">
        <f>i_tax*MAX(0,Approvals!O134-Approvals!O137-O367)</f>
        <v/>
      </c>
      <c r="P368" s="19">
        <f>i_tax*MAX(0,Approvals!P134-Approvals!P137-P367)</f>
        <v/>
      </c>
      <c r="Q368" s="19">
        <f>i_tax*MAX(0,Approvals!Q134-Approvals!Q137-Q367)</f>
        <v/>
      </c>
      <c r="R368" s="19">
        <f>i_tax*MAX(0,Approvals!R134-Approvals!R137-R367)</f>
        <v/>
      </c>
      <c r="S368" s="19">
        <f>i_tax*MAX(0,Approvals!S134-Approvals!S137-S367)</f>
        <v/>
      </c>
      <c r="T368" s="19">
        <f>i_tax*MAX(0,Approvals!T134-Approvals!T137-T367)</f>
        <v/>
      </c>
      <c r="U368" s="19">
        <f>i_tax*MAX(0,Approvals!U134-Approvals!U137-U367)</f>
        <v/>
      </c>
      <c r="V368" s="19">
        <f>i_tax*MAX(0,Approvals!V134-Approvals!V137-V367)</f>
        <v/>
      </c>
      <c r="W368" s="19">
        <f>i_tax*MAX(0,Approvals!W134-Approvals!W137-W367)</f>
        <v/>
      </c>
      <c r="X368" s="19">
        <f>i_tax*MAX(0,Approvals!X134-Approvals!X137-X367)</f>
        <v/>
      </c>
      <c r="Y368" s="19">
        <f>i_tax*MAX(0,Approvals!Y134-Approvals!Y137-Y367)</f>
        <v/>
      </c>
      <c r="Z368" s="19">
        <f>i_tax*MAX(0,Approvals!Z134-Approvals!Z137-Z367)</f>
        <v/>
      </c>
      <c r="AA368" s="19">
        <f>i_tax*MAX(0,Approvals!AA134-Approvals!AA137-AA367)</f>
        <v/>
      </c>
      <c r="AB368" s="19">
        <f>i_tax*MAX(0,Approvals!AB134-Approvals!AB137-AB367)</f>
        <v/>
      </c>
      <c r="AC368" s="19">
        <f>i_tax*MAX(0,Approvals!AC134-Approvals!AC137-AC367)</f>
        <v/>
      </c>
      <c r="AD368" s="19">
        <f>i_tax*MAX(0,Approvals!AD134-Approvals!AD137-AD367)</f>
        <v/>
      </c>
      <c r="AE368" s="19">
        <f>i_tax*MAX(0,Approvals!AE134-Approvals!AE137-AE367)</f>
        <v/>
      </c>
      <c r="AF368" s="19">
        <f>i_tax*MAX(0,Approvals!AF134-Approvals!AF137-AF367)</f>
        <v/>
      </c>
      <c r="AG368" s="19">
        <f>i_tax*MAX(0,Approvals!AG134-Approvals!AG137-AG367)</f>
        <v/>
      </c>
      <c r="AH368" s="19">
        <f>i_tax*MAX(0,Approvals!AH134-Approvals!AH137-AH367)</f>
        <v/>
      </c>
      <c r="AI368" s="19">
        <f>i_tax*MAX(0,Approvals!AI134-Approvals!AI137-AI367)</f>
        <v/>
      </c>
    </row>
    <row r="369">
      <c r="B369" s="3" t="inlineStr">
        <is>
          <t>Cash flow to equity (full year)</t>
        </is>
      </c>
      <c r="D369" s="31">
        <f>Approvals!D134-Approvals!D135-Approvals!D136-D368-D366-Approvals!D139</f>
        <v/>
      </c>
      <c r="E369" s="31">
        <f>Approvals!E134-Approvals!E135-Approvals!E136-E368-E366-Approvals!E139</f>
        <v/>
      </c>
      <c r="F369" s="31">
        <f>Approvals!F134-Approvals!F135-Approvals!F136-F368-F366-Approvals!F139</f>
        <v/>
      </c>
      <c r="G369" s="31">
        <f>Approvals!G134-Approvals!G135-Approvals!G136-G368-G366-Approvals!G139</f>
        <v/>
      </c>
      <c r="H369" s="31">
        <f>Approvals!H134-Approvals!H135-Approvals!H136-H368-H366-Approvals!H139</f>
        <v/>
      </c>
      <c r="I369" s="31">
        <f>Approvals!I134-Approvals!I135-Approvals!I136-I368-I366-Approvals!I139</f>
        <v/>
      </c>
      <c r="J369" s="31">
        <f>Approvals!J134-Approvals!J135-Approvals!J136-J368-J366-Approvals!J139</f>
        <v/>
      </c>
      <c r="K369" s="31">
        <f>Approvals!K134-Approvals!K135-Approvals!K136-K368-K366-Approvals!K139</f>
        <v/>
      </c>
      <c r="L369" s="31">
        <f>Approvals!L134-Approvals!L135-Approvals!L136-L368-L366-Approvals!L139</f>
        <v/>
      </c>
      <c r="M369" s="31">
        <f>Approvals!M134-Approvals!M135-Approvals!M136-M368-M366-Approvals!M139</f>
        <v/>
      </c>
      <c r="N369" s="31">
        <f>Approvals!N134-Approvals!N135-Approvals!N136-N368-N366-Approvals!N139</f>
        <v/>
      </c>
      <c r="O369" s="31">
        <f>Approvals!O134-Approvals!O135-Approvals!O136-O368-O366-Approvals!O139</f>
        <v/>
      </c>
      <c r="P369" s="31">
        <f>Approvals!P134-Approvals!P135-Approvals!P136-P368-P366-Approvals!P139</f>
        <v/>
      </c>
      <c r="Q369" s="31">
        <f>Approvals!Q134-Approvals!Q135-Approvals!Q136-Q368-Q366-Approvals!Q139</f>
        <v/>
      </c>
      <c r="R369" s="31">
        <f>Approvals!R134-Approvals!R135-Approvals!R136-R368-R366-Approvals!R139</f>
        <v/>
      </c>
      <c r="S369" s="31">
        <f>Approvals!S134-Approvals!S135-Approvals!S136-S368-S366-Approvals!S139</f>
        <v/>
      </c>
      <c r="T369" s="31">
        <f>Approvals!T134-Approvals!T135-Approvals!T136-T368-T366-Approvals!T139</f>
        <v/>
      </c>
      <c r="U369" s="31">
        <f>Approvals!U134-Approvals!U135-Approvals!U136-U368-U366-Approvals!U139</f>
        <v/>
      </c>
      <c r="V369" s="31">
        <f>Approvals!V134-Approvals!V135-Approvals!V136-V368-V366-Approvals!V139</f>
        <v/>
      </c>
      <c r="W369" s="31">
        <f>Approvals!W134-Approvals!W135-Approvals!W136-W368-W366-Approvals!W139</f>
        <v/>
      </c>
      <c r="X369" s="31">
        <f>Approvals!X134-Approvals!X135-Approvals!X136-X368-X366-Approvals!X139</f>
        <v/>
      </c>
      <c r="Y369" s="31">
        <f>Approvals!Y134-Approvals!Y135-Approvals!Y136-Y368-Y366-Approvals!Y139</f>
        <v/>
      </c>
      <c r="Z369" s="31">
        <f>Approvals!Z134-Approvals!Z135-Approvals!Z136-Z368-Z366-Approvals!Z139</f>
        <v/>
      </c>
      <c r="AA369" s="31">
        <f>Approvals!AA134-Approvals!AA135-Approvals!AA136-AA368-AA366-Approvals!AA139</f>
        <v/>
      </c>
      <c r="AB369" s="31">
        <f>Approvals!AB134-Approvals!AB135-Approvals!AB136-AB368-AB366-Approvals!AB139</f>
        <v/>
      </c>
      <c r="AC369" s="31">
        <f>Approvals!AC134-Approvals!AC135-Approvals!AC136-AC368-AC366-Approvals!AC139</f>
        <v/>
      </c>
      <c r="AD369" s="31">
        <f>Approvals!AD134-Approvals!AD135-Approvals!AD136-AD368-AD366-Approvals!AD139</f>
        <v/>
      </c>
      <c r="AE369" s="31">
        <f>Approvals!AE134-Approvals!AE135-Approvals!AE136-AE368-AE366-Approvals!AE139</f>
        <v/>
      </c>
      <c r="AF369" s="31">
        <f>Approvals!AF134-Approvals!AF135-Approvals!AF136-AF368-AF366-Approvals!AF139</f>
        <v/>
      </c>
      <c r="AG369" s="31">
        <f>Approvals!AG134-Approvals!AG135-Approvals!AG136-AG368-AG366-Approvals!AG139</f>
        <v/>
      </c>
      <c r="AH369" s="31">
        <f>Approvals!AH134-Approvals!AH135-Approvals!AH136-AH368-AH366-Approvals!AH139</f>
        <v/>
      </c>
      <c r="AI369" s="31">
        <f>Approvals!AI134-Approvals!AI135-Approvals!AI136-AI368-AI366-Approvals!AI139</f>
        <v/>
      </c>
    </row>
    <row r="370">
      <c r="B370" s="2" t="inlineStr">
        <is>
          <t>Exit EV at the end of the exit year (DCF at the exit rate)</t>
        </is>
      </c>
      <c r="C370" s="19">
        <f>SUMPRODUCT((Approvals!$D$3:$AI$3&gt;i_exit_year)*(Approvals!$D$3:$AI$3&lt;=i_last)*Approvals!$D$140:$AI$140/(1+Approvals!$C$317)^(Approvals!$D$3:$AI$3-i_exit_year))+Approvals!$AI$140/(Approvals!$C$317-i_g)/(1+Approvals!$C$317)^(i_last-i_exit_year)</f>
        <v/>
      </c>
    </row>
    <row r="371">
      <c r="B371" s="2" t="inlineStr">
        <is>
          <t>Debt at exit (bullets)</t>
        </is>
      </c>
      <c r="C371" s="19">
        <f>Approvals!$C$340+Approvals!$C$341</f>
        <v/>
      </c>
    </row>
    <row r="372">
      <c r="B372" s="3" t="inlineStr">
        <is>
          <t>Equity value at exit</t>
        </is>
      </c>
      <c r="C372" s="31">
        <f>Approvals!$C$370-Approvals!$C$371</f>
        <v/>
      </c>
    </row>
    <row r="373">
      <c r="B373" s="2" t="inlineStr">
        <is>
          <t>Minority option: EV at the end of 2031 (minority buyer's rate)</t>
        </is>
      </c>
      <c r="C373" s="19">
        <f>SUMPRODUCT((Approvals!$D$3:$AI$3&gt;i_min_year)*(Approvals!$D$3:$AI$3&lt;=i_last)*Approvals!$D$140:$AI$140/(1+i_min_r)^(Approvals!$D$3:$AI$3-i_min_year))+Approvals!$AI$140/(i_min_r-i_g)/(1+i_min_r)^(i_last-i_min_year)</f>
        <v/>
      </c>
    </row>
    <row r="374">
      <c r="B374" s="2" t="inlineStr">
        <is>
          <t>Minority option: equity value in 2031</t>
        </is>
      </c>
      <c r="C374" s="19">
        <f>Approvals!$C$373-Approvals!$C$371</f>
        <v/>
      </c>
    </row>
    <row r="375">
      <c r="B375" s="2" t="inlineStr">
        <is>
          <t>Minority option: proceeds of the 49 percent sold</t>
        </is>
      </c>
      <c r="C375" s="19">
        <f>Approvals!$C$316*i_min_share*Approvals!$C$374*(1-i_min_disc)</f>
        <v/>
      </c>
    </row>
    <row r="376">
      <c r="B376" s="4" t="inlineStr">
        <is>
          <t>Time of each flow (years after 31 December 2026)</t>
        </is>
      </c>
      <c r="D376" s="28">
        <f>D$4</f>
        <v/>
      </c>
      <c r="E376" s="28">
        <f>E$4</f>
        <v/>
      </c>
      <c r="F376" s="28">
        <f>F$4</f>
        <v/>
      </c>
      <c r="G376" s="28">
        <f>G$4</f>
        <v/>
      </c>
      <c r="H376" s="28">
        <f>H$4</f>
        <v/>
      </c>
      <c r="I376" s="28">
        <f>I$4</f>
        <v/>
      </c>
      <c r="J376" s="28">
        <f>J$4</f>
        <v/>
      </c>
      <c r="K376" s="28">
        <f>K$4</f>
        <v/>
      </c>
      <c r="L376" s="28">
        <f>L$4</f>
        <v/>
      </c>
      <c r="M376" s="28">
        <f>M$4</f>
        <v/>
      </c>
      <c r="N376" s="28">
        <f>N$4</f>
        <v/>
      </c>
      <c r="O376" s="28">
        <f>O$4</f>
        <v/>
      </c>
      <c r="P376" s="28">
        <f>P$4</f>
        <v/>
      </c>
      <c r="Q376" s="28">
        <f>Q$4</f>
        <v/>
      </c>
      <c r="R376" s="28">
        <f>R$4</f>
        <v/>
      </c>
      <c r="S376" s="28">
        <f>S$4</f>
        <v/>
      </c>
      <c r="T376" s="28">
        <f>T$4</f>
        <v/>
      </c>
      <c r="U376" s="28">
        <f>U$4</f>
        <v/>
      </c>
      <c r="V376" s="28">
        <f>V$4</f>
        <v/>
      </c>
      <c r="W376" s="28">
        <f>W$4</f>
        <v/>
      </c>
      <c r="X376" s="28">
        <f>X$4</f>
        <v/>
      </c>
      <c r="Y376" s="28">
        <f>Y$4</f>
        <v/>
      </c>
      <c r="Z376" s="28">
        <f>Z$4</f>
        <v/>
      </c>
      <c r="AA376" s="28">
        <f>AA$4</f>
        <v/>
      </c>
      <c r="AB376" s="28">
        <f>AB$4</f>
        <v/>
      </c>
      <c r="AC376" s="28">
        <f>AC$4</f>
        <v/>
      </c>
      <c r="AD376" s="28">
        <f>AD$4</f>
        <v/>
      </c>
      <c r="AE376" s="28">
        <f>AE$4</f>
        <v/>
      </c>
      <c r="AF376" s="28">
        <f>AF$4</f>
        <v/>
      </c>
      <c r="AG376" s="28">
        <f>AG$4</f>
        <v/>
      </c>
      <c r="AH376" s="28">
        <f>AH$4</f>
        <v/>
      </c>
      <c r="AI376" s="28">
        <f>AI$4</f>
        <v/>
      </c>
      <c r="AJ376" s="28">
        <f>Approvals!$C$314</f>
        <v/>
      </c>
      <c r="AK376" s="28">
        <f>i_min_year-i_base_year</f>
        <v/>
      </c>
      <c r="AL376" s="28">
        <f>i_exit_year-i_base_year</f>
        <v/>
      </c>
    </row>
    <row r="377">
      <c r="B377" s="3" t="inlineStr">
        <is>
          <t>Levered flows (equity)</t>
        </is>
      </c>
      <c r="D377" s="31">
        <f>D364*D369*IF(AND(Approvals!$C$316=1,D376&gt;$AK$376+1E-9),1-i_min_share,1)</f>
        <v/>
      </c>
      <c r="E377" s="31">
        <f>E364*E369*IF(AND(Approvals!$C$316=1,E376&gt;$AK$376+1E-9),1-i_min_share,1)</f>
        <v/>
      </c>
      <c r="F377" s="31">
        <f>F364*F369*IF(AND(Approvals!$C$316=1,F376&gt;$AK$376+1E-9),1-i_min_share,1)</f>
        <v/>
      </c>
      <c r="G377" s="31">
        <f>G364*G369*IF(AND(Approvals!$C$316=1,G376&gt;$AK$376+1E-9),1-i_min_share,1)</f>
        <v/>
      </c>
      <c r="H377" s="31">
        <f>H364*H369*IF(AND(Approvals!$C$316=1,H376&gt;$AK$376+1E-9),1-i_min_share,1)</f>
        <v/>
      </c>
      <c r="I377" s="31">
        <f>I364*I369*IF(AND(Approvals!$C$316=1,I376&gt;$AK$376+1E-9),1-i_min_share,1)</f>
        <v/>
      </c>
      <c r="J377" s="31">
        <f>J364*J369*IF(AND(Approvals!$C$316=1,J376&gt;$AK$376+1E-9),1-i_min_share,1)</f>
        <v/>
      </c>
      <c r="K377" s="31">
        <f>K364*K369*IF(AND(Approvals!$C$316=1,K376&gt;$AK$376+1E-9),1-i_min_share,1)</f>
        <v/>
      </c>
      <c r="L377" s="31">
        <f>L364*L369*IF(AND(Approvals!$C$316=1,L376&gt;$AK$376+1E-9),1-i_min_share,1)</f>
        <v/>
      </c>
      <c r="M377" s="31">
        <f>M364*M369*IF(AND(Approvals!$C$316=1,M376&gt;$AK$376+1E-9),1-i_min_share,1)</f>
        <v/>
      </c>
      <c r="N377" s="31">
        <f>N364*N369*IF(AND(Approvals!$C$316=1,N376&gt;$AK$376+1E-9),1-i_min_share,1)</f>
        <v/>
      </c>
      <c r="O377" s="31">
        <f>O364*O369*IF(AND(Approvals!$C$316=1,O376&gt;$AK$376+1E-9),1-i_min_share,1)</f>
        <v/>
      </c>
      <c r="P377" s="31">
        <f>P364*P369*IF(AND(Approvals!$C$316=1,P376&gt;$AK$376+1E-9),1-i_min_share,1)</f>
        <v/>
      </c>
      <c r="Q377" s="31">
        <f>Q364*Q369*IF(AND(Approvals!$C$316=1,Q376&gt;$AK$376+1E-9),1-i_min_share,1)</f>
        <v/>
      </c>
      <c r="R377" s="31">
        <f>R364*R369*IF(AND(Approvals!$C$316=1,R376&gt;$AK$376+1E-9),1-i_min_share,1)</f>
        <v/>
      </c>
      <c r="S377" s="31">
        <f>S364*S369*IF(AND(Approvals!$C$316=1,S376&gt;$AK$376+1E-9),1-i_min_share,1)</f>
        <v/>
      </c>
      <c r="T377" s="31">
        <f>T364*T369*IF(AND(Approvals!$C$316=1,T376&gt;$AK$376+1E-9),1-i_min_share,1)</f>
        <v/>
      </c>
      <c r="U377" s="31">
        <f>U364*U369*IF(AND(Approvals!$C$316=1,U376&gt;$AK$376+1E-9),1-i_min_share,1)</f>
        <v/>
      </c>
      <c r="V377" s="31">
        <f>V364*V369*IF(AND(Approvals!$C$316=1,V376&gt;$AK$376+1E-9),1-i_min_share,1)</f>
        <v/>
      </c>
      <c r="W377" s="31">
        <f>W364*W369*IF(AND(Approvals!$C$316=1,W376&gt;$AK$376+1E-9),1-i_min_share,1)</f>
        <v/>
      </c>
      <c r="X377" s="31">
        <f>X364*X369*IF(AND(Approvals!$C$316=1,X376&gt;$AK$376+1E-9),1-i_min_share,1)</f>
        <v/>
      </c>
      <c r="Y377" s="31">
        <f>Y364*Y369*IF(AND(Approvals!$C$316=1,Y376&gt;$AK$376+1E-9),1-i_min_share,1)</f>
        <v/>
      </c>
      <c r="Z377" s="31">
        <f>Z364*Z369*IF(AND(Approvals!$C$316=1,Z376&gt;$AK$376+1E-9),1-i_min_share,1)</f>
        <v/>
      </c>
      <c r="AA377" s="31">
        <f>AA364*AA369*IF(AND(Approvals!$C$316=1,AA376&gt;$AK$376+1E-9),1-i_min_share,1)</f>
        <v/>
      </c>
      <c r="AB377" s="31">
        <f>AB364*AB369*IF(AND(Approvals!$C$316=1,AB376&gt;$AK$376+1E-9),1-i_min_share,1)</f>
        <v/>
      </c>
      <c r="AC377" s="31">
        <f>AC364*AC369*IF(AND(Approvals!$C$316=1,AC376&gt;$AK$376+1E-9),1-i_min_share,1)</f>
        <v/>
      </c>
      <c r="AD377" s="31">
        <f>AD364*AD369*IF(AND(Approvals!$C$316=1,AD376&gt;$AK$376+1E-9),1-i_min_share,1)</f>
        <v/>
      </c>
      <c r="AE377" s="31">
        <f>AE364*AE369*IF(AND(Approvals!$C$316=1,AE376&gt;$AK$376+1E-9),1-i_min_share,1)</f>
        <v/>
      </c>
      <c r="AF377" s="31">
        <f>AF364*AF369*IF(AND(Approvals!$C$316=1,AF376&gt;$AK$376+1E-9),1-i_min_share,1)</f>
        <v/>
      </c>
      <c r="AG377" s="31">
        <f>AG364*AG369*IF(AND(Approvals!$C$316=1,AG376&gt;$AK$376+1E-9),1-i_min_share,1)</f>
        <v/>
      </c>
      <c r="AH377" s="31">
        <f>AH364*AH369*IF(AND(Approvals!$C$316=1,AH376&gt;$AK$376+1E-9),1-i_min_share,1)</f>
        <v/>
      </c>
      <c r="AI377" s="31">
        <f>AI364*AI369*IF(AND(Approvals!$C$316=1,AI376&gt;$AK$376+1E-9),1-i_min_share,1)</f>
        <v/>
      </c>
      <c r="AJ377" s="31">
        <f>-Approvals!$C$360</f>
        <v/>
      </c>
      <c r="AK377" s="31">
        <f>Approvals!$C$375</f>
        <v/>
      </c>
      <c r="AL377" s="31">
        <f>Approvals!$C$372*IF(Approvals!$C$316=1,1-i_min_share,1)</f>
        <v/>
      </c>
    </row>
    <row r="378">
      <c r="B378" s="3" t="inlineStr">
        <is>
          <t>Unlevered flows (before financing)</t>
        </is>
      </c>
      <c r="D378" s="31">
        <f>D364*Approvals!D140</f>
        <v/>
      </c>
      <c r="E378" s="31">
        <f>E364*Approvals!E140</f>
        <v/>
      </c>
      <c r="F378" s="31">
        <f>F364*Approvals!F140</f>
        <v/>
      </c>
      <c r="G378" s="31">
        <f>G364*Approvals!G140</f>
        <v/>
      </c>
      <c r="H378" s="31">
        <f>H364*Approvals!H140</f>
        <v/>
      </c>
      <c r="I378" s="31">
        <f>I364*Approvals!I140</f>
        <v/>
      </c>
      <c r="J378" s="31">
        <f>J364*Approvals!J140</f>
        <v/>
      </c>
      <c r="K378" s="31">
        <f>K364*Approvals!K140</f>
        <v/>
      </c>
      <c r="L378" s="31">
        <f>L364*Approvals!L140</f>
        <v/>
      </c>
      <c r="M378" s="31">
        <f>M364*Approvals!M140</f>
        <v/>
      </c>
      <c r="N378" s="31">
        <f>N364*Approvals!N140</f>
        <v/>
      </c>
      <c r="O378" s="31">
        <f>O364*Approvals!O140</f>
        <v/>
      </c>
      <c r="P378" s="31">
        <f>P364*Approvals!P140</f>
        <v/>
      </c>
      <c r="Q378" s="31">
        <f>Q364*Approvals!Q140</f>
        <v/>
      </c>
      <c r="R378" s="31">
        <f>R364*Approvals!R140</f>
        <v/>
      </c>
      <c r="S378" s="31">
        <f>S364*Approvals!S140</f>
        <v/>
      </c>
      <c r="T378" s="31">
        <f>T364*Approvals!T140</f>
        <v/>
      </c>
      <c r="U378" s="31">
        <f>U364*Approvals!U140</f>
        <v/>
      </c>
      <c r="V378" s="31">
        <f>V364*Approvals!V140</f>
        <v/>
      </c>
      <c r="W378" s="31">
        <f>W364*Approvals!W140</f>
        <v/>
      </c>
      <c r="X378" s="31">
        <f>X364*Approvals!X140</f>
        <v/>
      </c>
      <c r="Y378" s="31">
        <f>Y364*Approvals!Y140</f>
        <v/>
      </c>
      <c r="Z378" s="31">
        <f>Z364*Approvals!Z140</f>
        <v/>
      </c>
      <c r="AA378" s="31">
        <f>AA364*Approvals!AA140</f>
        <v/>
      </c>
      <c r="AB378" s="31">
        <f>AB364*Approvals!AB140</f>
        <v/>
      </c>
      <c r="AC378" s="31">
        <f>AC364*Approvals!AC140</f>
        <v/>
      </c>
      <c r="AD378" s="31">
        <f>AD364*Approvals!AD140</f>
        <v/>
      </c>
      <c r="AE378" s="31">
        <f>AE364*Approvals!AE140</f>
        <v/>
      </c>
      <c r="AF378" s="31">
        <f>AF364*Approvals!AF140</f>
        <v/>
      </c>
      <c r="AG378" s="31">
        <f>AG364*Approvals!AG140</f>
        <v/>
      </c>
      <c r="AH378" s="31">
        <f>AH364*Approvals!AH140</f>
        <v/>
      </c>
      <c r="AI378" s="31">
        <f>AI364*Approvals!AI140</f>
        <v/>
      </c>
      <c r="AJ378" s="31">
        <f>-(Approvals!$C$355-Approvals!$C$333-Approvals!$C$345)</f>
        <v/>
      </c>
      <c r="AK378" s="19" t="n">
        <v>0</v>
      </c>
      <c r="AL378" s="31">
        <f>Approvals!$C$370</f>
        <v/>
      </c>
    </row>
    <row r="379">
      <c r="B379" s="4" t="inlineStr">
        <is>
          <t>Levered IRR (Newton steps from 10 percent)</t>
        </is>
      </c>
      <c r="D379" s="38" t="n">
        <v>0.1</v>
      </c>
      <c r="E379" s="40">
        <f>D379-SUMPRODUCT($D$377:$AL$377,(1+D379)^(-$D$376:$AL$376))/SUMPRODUCT($D$377:$AL$377*(-$D$376:$AL$376),(1+D379)^(-$D$376:$AL$376-1))</f>
        <v/>
      </c>
      <c r="F379" s="40">
        <f>E379-SUMPRODUCT($D$377:$AL$377,(1+E379)^(-$D$376:$AL$376))/SUMPRODUCT($D$377:$AL$377*(-$D$376:$AL$376),(1+E379)^(-$D$376:$AL$376-1))</f>
        <v/>
      </c>
      <c r="G379" s="40">
        <f>F379-SUMPRODUCT($D$377:$AL$377,(1+F379)^(-$D$376:$AL$376))/SUMPRODUCT($D$377:$AL$377*(-$D$376:$AL$376),(1+F379)^(-$D$376:$AL$376-1))</f>
        <v/>
      </c>
      <c r="H379" s="40">
        <f>G379-SUMPRODUCT($D$377:$AL$377,(1+G379)^(-$D$376:$AL$376))/SUMPRODUCT($D$377:$AL$377*(-$D$376:$AL$376),(1+G379)^(-$D$376:$AL$376-1))</f>
        <v/>
      </c>
      <c r="I379" s="40">
        <f>H379-SUMPRODUCT($D$377:$AL$377,(1+H379)^(-$D$376:$AL$376))/SUMPRODUCT($D$377:$AL$377*(-$D$376:$AL$376),(1+H379)^(-$D$376:$AL$376-1))</f>
        <v/>
      </c>
      <c r="J379" s="40">
        <f>I379-SUMPRODUCT($D$377:$AL$377,(1+I379)^(-$D$376:$AL$376))/SUMPRODUCT($D$377:$AL$377*(-$D$376:$AL$376),(1+I379)^(-$D$376:$AL$376-1))</f>
        <v/>
      </c>
      <c r="K379" s="40">
        <f>J379-SUMPRODUCT($D$377:$AL$377,(1+J379)^(-$D$376:$AL$376))/SUMPRODUCT($D$377:$AL$377*(-$D$376:$AL$376),(1+J379)^(-$D$376:$AL$376-1))</f>
        <v/>
      </c>
      <c r="L379" s="40">
        <f>K379-SUMPRODUCT($D$377:$AL$377,(1+K379)^(-$D$376:$AL$376))/SUMPRODUCT($D$377:$AL$377*(-$D$376:$AL$376),(1+K379)^(-$D$376:$AL$376-1))</f>
        <v/>
      </c>
      <c r="M379" s="40">
        <f>L379-SUMPRODUCT($D$377:$AL$377,(1+L379)^(-$D$376:$AL$376))/SUMPRODUCT($D$377:$AL$377*(-$D$376:$AL$376),(1+L379)^(-$D$376:$AL$376-1))</f>
        <v/>
      </c>
      <c r="N379" s="40">
        <f>M379-SUMPRODUCT($D$377:$AL$377,(1+M379)^(-$D$376:$AL$376))/SUMPRODUCT($D$377:$AL$377*(-$D$376:$AL$376),(1+M379)^(-$D$376:$AL$376-1))</f>
        <v/>
      </c>
      <c r="O379" s="40">
        <f>N379-SUMPRODUCT($D$377:$AL$377,(1+N379)^(-$D$376:$AL$376))/SUMPRODUCT($D$377:$AL$377*(-$D$376:$AL$376),(1+N379)^(-$D$376:$AL$376-1))</f>
        <v/>
      </c>
      <c r="P379" s="40">
        <f>O379-SUMPRODUCT($D$377:$AL$377,(1+O379)^(-$D$376:$AL$376))/SUMPRODUCT($D$377:$AL$377*(-$D$376:$AL$376),(1+O379)^(-$D$376:$AL$376-1))</f>
        <v/>
      </c>
      <c r="Q379" s="40">
        <f>P379-SUMPRODUCT($D$377:$AL$377,(1+P379)^(-$D$376:$AL$376))/SUMPRODUCT($D$377:$AL$377*(-$D$376:$AL$376),(1+P379)^(-$D$376:$AL$376-1))</f>
        <v/>
      </c>
      <c r="R379" s="40">
        <f>Q379-SUMPRODUCT($D$377:$AL$377,(1+Q379)^(-$D$376:$AL$376))/SUMPRODUCT($D$377:$AL$377*(-$D$376:$AL$376),(1+Q379)^(-$D$376:$AL$376-1))</f>
        <v/>
      </c>
    </row>
    <row r="380">
      <c r="B380" s="4" t="inlineStr">
        <is>
          <t>Unlevered IRR (Newton steps from 10 percent)</t>
        </is>
      </c>
      <c r="D380" s="38" t="n">
        <v>0.1</v>
      </c>
      <c r="E380" s="40">
        <f>D380-SUMPRODUCT($D$378:$AL$378,(1+D380)^(-$D$376:$AL$376))/SUMPRODUCT($D$378:$AL$378*(-$D$376:$AL$376),(1+D380)^(-$D$376:$AL$376-1))</f>
        <v/>
      </c>
      <c r="F380" s="40">
        <f>E380-SUMPRODUCT($D$378:$AL$378,(1+E380)^(-$D$376:$AL$376))/SUMPRODUCT($D$378:$AL$378*(-$D$376:$AL$376),(1+E380)^(-$D$376:$AL$376-1))</f>
        <v/>
      </c>
      <c r="G380" s="40">
        <f>F380-SUMPRODUCT($D$378:$AL$378,(1+F380)^(-$D$376:$AL$376))/SUMPRODUCT($D$378:$AL$378*(-$D$376:$AL$376),(1+F380)^(-$D$376:$AL$376-1))</f>
        <v/>
      </c>
      <c r="H380" s="40">
        <f>G380-SUMPRODUCT($D$378:$AL$378,(1+G380)^(-$D$376:$AL$376))/SUMPRODUCT($D$378:$AL$378*(-$D$376:$AL$376),(1+G380)^(-$D$376:$AL$376-1))</f>
        <v/>
      </c>
      <c r="I380" s="40">
        <f>H380-SUMPRODUCT($D$378:$AL$378,(1+H380)^(-$D$376:$AL$376))/SUMPRODUCT($D$378:$AL$378*(-$D$376:$AL$376),(1+H380)^(-$D$376:$AL$376-1))</f>
        <v/>
      </c>
      <c r="J380" s="40">
        <f>I380-SUMPRODUCT($D$378:$AL$378,(1+I380)^(-$D$376:$AL$376))/SUMPRODUCT($D$378:$AL$378*(-$D$376:$AL$376),(1+I380)^(-$D$376:$AL$376-1))</f>
        <v/>
      </c>
      <c r="K380" s="40">
        <f>J380-SUMPRODUCT($D$378:$AL$378,(1+J380)^(-$D$376:$AL$376))/SUMPRODUCT($D$378:$AL$378*(-$D$376:$AL$376),(1+J380)^(-$D$376:$AL$376-1))</f>
        <v/>
      </c>
      <c r="L380" s="40">
        <f>K380-SUMPRODUCT($D$378:$AL$378,(1+K380)^(-$D$376:$AL$376))/SUMPRODUCT($D$378:$AL$378*(-$D$376:$AL$376),(1+K380)^(-$D$376:$AL$376-1))</f>
        <v/>
      </c>
      <c r="M380" s="40">
        <f>L380-SUMPRODUCT($D$378:$AL$378,(1+L380)^(-$D$376:$AL$376))/SUMPRODUCT($D$378:$AL$378*(-$D$376:$AL$376),(1+L380)^(-$D$376:$AL$376-1))</f>
        <v/>
      </c>
      <c r="N380" s="40">
        <f>M380-SUMPRODUCT($D$378:$AL$378,(1+M380)^(-$D$376:$AL$376))/SUMPRODUCT($D$378:$AL$378*(-$D$376:$AL$376),(1+M380)^(-$D$376:$AL$376-1))</f>
        <v/>
      </c>
      <c r="O380" s="40">
        <f>N380-SUMPRODUCT($D$378:$AL$378,(1+N380)^(-$D$376:$AL$376))/SUMPRODUCT($D$378:$AL$378*(-$D$376:$AL$376),(1+N380)^(-$D$376:$AL$376-1))</f>
        <v/>
      </c>
      <c r="P380" s="40">
        <f>O380-SUMPRODUCT($D$378:$AL$378,(1+O380)^(-$D$376:$AL$376))/SUMPRODUCT($D$378:$AL$378*(-$D$376:$AL$376),(1+O380)^(-$D$376:$AL$376-1))</f>
        <v/>
      </c>
      <c r="Q380" s="40">
        <f>P380-SUMPRODUCT($D$378:$AL$378,(1+P380)^(-$D$376:$AL$376))/SUMPRODUCT($D$378:$AL$378*(-$D$376:$AL$376),(1+P380)^(-$D$376:$AL$376-1))</f>
        <v/>
      </c>
      <c r="R380" s="40">
        <f>Q380-SUMPRODUCT($D$378:$AL$378,(1+Q380)^(-$D$376:$AL$376))/SUMPRODUCT($D$378:$AL$378*(-$D$376:$AL$376),(1+Q380)^(-$D$376:$AL$376-1))</f>
        <v/>
      </c>
    </row>
    <row r="381">
      <c r="B381" s="3" t="inlineStr">
        <is>
          <t>Levered IRR (equity)</t>
        </is>
      </c>
      <c r="C381" s="33">
        <f>R379</f>
        <v/>
      </c>
    </row>
    <row r="382">
      <c r="B382" s="3" t="inlineStr">
        <is>
          <t>Unlevered IRR</t>
        </is>
      </c>
      <c r="C382" s="33">
        <f>R380</f>
        <v/>
      </c>
    </row>
    <row r="383">
      <c r="B383" s="2" t="inlineStr">
        <is>
          <t>Check: levered NPV at the levered IRR</t>
        </is>
      </c>
      <c r="C383" s="41">
        <f>SUMPRODUCT($D$377:$AL$377,(1+Approvals!$C$381)^(-$D$376:$AL$376))</f>
        <v/>
      </c>
    </row>
    <row r="384">
      <c r="B384" s="2" t="inlineStr">
        <is>
          <t>Check: unlevered NPV at the unlevered IRR</t>
        </is>
      </c>
      <c r="C384" s="41">
        <f>SUMPRODUCT($D$378:$AL$378,(1+Approvals!$C$382)^(-$D$376:$AL$376))</f>
        <v/>
      </c>
    </row>
    <row r="385">
      <c r="B385" s="2" t="inlineStr">
        <is>
          <t>Money multiple (cash in over cash out)</t>
        </is>
      </c>
      <c r="C385" s="37">
        <f>SUMIF($D$377:$AL$377,"&gt;0")/-SUMIF($D$377:$AL$377,"&lt;0")</f>
        <v/>
      </c>
    </row>
    <row r="386">
      <c r="B386" s="2" t="inlineStr">
        <is>
          <t>Present value at the target IRR of the flows after closing</t>
        </is>
      </c>
      <c r="C386" s="19">
        <f>SUMPRODUCT($D$377:$AL$377,(1+i_hurdle)^(-$D$376:$AL$376))+Approvals!$C$360*(1+i_hurdle)^(-Approvals!$C$314)</f>
        <v/>
      </c>
    </row>
    <row r="387">
      <c r="B387" s="2" t="inlineStr">
        <is>
          <t>Equity cheque that gives exactly the target IRR</t>
        </is>
      </c>
      <c r="C387" s="19">
        <f>Approvals!$C$386*(1+i_hurdle)^Approvals!$C$314</f>
        <v/>
      </c>
    </row>
    <row r="388">
      <c r="B388" s="2" t="inlineStr">
        <is>
          <t>EV less equity price (fixed bridge items)</t>
        </is>
      </c>
      <c r="C388" s="19">
        <f>Approvals!$C$319-Approvals!$C$325</f>
        <v/>
      </c>
    </row>
    <row r="389">
      <c r="B389" s="2" t="inlineStr">
        <is>
          <t>Equity cheque items that do not move with the price</t>
        </is>
      </c>
      <c r="C389" s="19">
        <f>Approvals!$C$350+Approvals!$C$322+i_costs_adv+Approvals!$C$345+Approvals!$C$346-Approvals!$C$340-Approvals!$C$341-Approvals!$C$333</f>
        <v/>
      </c>
    </row>
    <row r="390">
      <c r="B390" s="2" t="inlineStr">
        <is>
          <t>Walk-away EV, first pass (HSR fee at the bid)</t>
        </is>
      </c>
      <c r="C390" s="19">
        <f>(Approvals!$C$387-Approvals!$C$389-Approvals!$C$343+Approvals!$C$388*(1+i_ticking*Approvals!$C$314))/(1+i_ticking*Approvals!$C$314+i_wi_limit_pct*i_wi_rol*(1+i_wi_ipt))</f>
        <v/>
      </c>
    </row>
    <row r="391">
      <c r="B391" s="3" t="inlineStr">
        <is>
          <t>Walk-away EV (highest EV at the target IRR)</t>
        </is>
      </c>
      <c r="C391" s="31">
        <f>(Approvals!$C$387-Approvals!$C$389-IF(Approvals!$C$390-Approvals!$C$388&lt;INDEX(i_hsr_lo,1),0,LOOKUP(Approvals!$C$390-Approvals!$C$388,i_hsr_lo,i_hsr_fee))+Approvals!$C$388*(1+i_ticking*Approvals!$C$314))/(1+i_ticking*Approvals!$C$314+i_wi_limit_pct*i_wi_rol*(1+i_wi_ipt))</f>
        <v/>
      </c>
    </row>
    <row r="394">
      <c r="B394" s="5" t="inlineStr">
        <is>
          <t>Deal: long stop date: 31 March 2028</t>
        </is>
      </c>
    </row>
    <row r="395">
      <c r="B395" s="4" t="inlineStr">
        <is>
          <t>Enterprise value at 31 December 2026</t>
        </is>
      </c>
      <c r="C395" s="29">
        <f>i_bid_ev</f>
        <v/>
      </c>
    </row>
    <row r="396">
      <c r="B396" s="4" t="inlineStr">
        <is>
          <t>Closing (years after 31 December 2026)</t>
        </is>
      </c>
      <c r="C396" s="28">
        <f>Inputs!$C$204</f>
        <v/>
      </c>
    </row>
    <row r="397">
      <c r="B397" s="4" t="inlineStr">
        <is>
          <t>Staple financing (1) or own debt (0)</t>
        </is>
      </c>
      <c r="C397" s="26">
        <f>0</f>
        <v/>
      </c>
    </row>
    <row r="398">
      <c r="B398" s="4" t="inlineStr">
        <is>
          <t>Minority sale in 2031 (1) or full exit (0)</t>
        </is>
      </c>
      <c r="C398" s="26">
        <f>0</f>
        <v/>
      </c>
    </row>
    <row r="399">
      <c r="B399" s="4" t="inlineStr">
        <is>
          <t>Exit discount rate</t>
        </is>
      </c>
      <c r="C399" s="38">
        <f>i_r_exit</f>
        <v/>
      </c>
    </row>
    <row r="400">
      <c r="B400" s="4" t="inlineStr">
        <is>
          <t>Change in the opco rate at refinancing</t>
        </is>
      </c>
      <c r="C400" s="38">
        <f>i_refi_shift</f>
        <v/>
      </c>
    </row>
    <row r="401">
      <c r="B401" s="2" t="inlineStr">
        <is>
          <t>Enterprise value</t>
        </is>
      </c>
      <c r="C401" s="19">
        <f>Approvals!$C$395</f>
        <v/>
      </c>
    </row>
    <row r="402">
      <c r="B402" s="2" t="inlineStr">
        <is>
          <t>less existing financial debt (term loan and notes)</t>
        </is>
      </c>
      <c r="C402" s="19">
        <f>i_old_tl+i_old_notes</f>
        <v/>
      </c>
    </row>
    <row r="403">
      <c r="B403" s="2" t="inlineStr">
        <is>
          <t>less make-whole on the notes</t>
        </is>
      </c>
      <c r="C403" s="19">
        <f>i_make_whole</f>
        <v/>
      </c>
    </row>
    <row r="404">
      <c r="B404" s="2" t="inlineStr">
        <is>
          <t>less debt-like items (pension, accrued capex, 2026 tax)</t>
        </is>
      </c>
      <c r="C404" s="19">
        <f>i_pension+i_def_capex+i_acc_tax</f>
        <v/>
      </c>
    </row>
    <row r="405">
      <c r="B405" s="2" t="inlineStr">
        <is>
          <t>plus cash at the locked box date</t>
        </is>
      </c>
      <c r="C405" s="19">
        <f>i_lb_cash</f>
        <v/>
      </c>
    </row>
    <row r="406">
      <c r="B406" s="2" t="inlineStr">
        <is>
          <t>less permitted leakage</t>
        </is>
      </c>
      <c r="C406" s="19">
        <f>i_permitted_leak</f>
        <v/>
      </c>
    </row>
    <row r="407">
      <c r="B407" s="3" t="inlineStr">
        <is>
          <t>Equity price (shares and shareholder loan)</t>
        </is>
      </c>
      <c r="C407" s="31">
        <f>Approvals!$C$401-Approvals!$C$402-Approvals!$C$403-Approvals!$C$404+Approvals!$C$405-Approvals!$C$406</f>
        <v/>
      </c>
    </row>
    <row r="408">
      <c r="B408" s="2" t="inlineStr">
        <is>
          <t xml:space="preserve">  of which shareholder loan at face value</t>
        </is>
      </c>
      <c r="C408" s="19">
        <f>i_shl</f>
        <v/>
      </c>
    </row>
    <row r="409">
      <c r="B409" s="2" t="inlineStr">
        <is>
          <t xml:space="preserve">  of which shares</t>
        </is>
      </c>
      <c r="C409" s="19">
        <f>Approvals!$C$407-Approvals!$C$408</f>
        <v/>
      </c>
    </row>
    <row r="410">
      <c r="B410" s="2" t="inlineStr">
        <is>
          <t>Ticking fee to closing</t>
        </is>
      </c>
      <c r="C410" s="19">
        <f>Approvals!$C$407*i_ticking*Approvals!$C$396</f>
        <v/>
      </c>
    </row>
    <row r="411">
      <c r="B411" s="2" t="inlineStr">
        <is>
          <t>Share of the year before closing (box period)</t>
        </is>
      </c>
      <c r="D411" s="24">
        <f>IF(D$4&lt;1,0,MAX(0,MIN(1,Approvals!$C$396-(D$4-1))))</f>
        <v/>
      </c>
      <c r="E411" s="24">
        <f>IF(E$4&lt;1,0,MAX(0,MIN(1,Approvals!$C$396-(E$4-1))))</f>
        <v/>
      </c>
      <c r="F411" s="24">
        <f>IF(F$4&lt;1,0,MAX(0,MIN(1,Approvals!$C$396-(F$4-1))))</f>
        <v/>
      </c>
      <c r="G411" s="24">
        <f>IF(G$4&lt;1,0,MAX(0,MIN(1,Approvals!$C$396-(G$4-1))))</f>
        <v/>
      </c>
      <c r="H411" s="24">
        <f>IF(H$4&lt;1,0,MAX(0,MIN(1,Approvals!$C$396-(H$4-1))))</f>
        <v/>
      </c>
      <c r="I411" s="24">
        <f>IF(I$4&lt;1,0,MAX(0,MIN(1,Approvals!$C$396-(I$4-1))))</f>
        <v/>
      </c>
      <c r="J411" s="24">
        <f>IF(J$4&lt;1,0,MAX(0,MIN(1,Approvals!$C$396-(J$4-1))))</f>
        <v/>
      </c>
      <c r="K411" s="24">
        <f>IF(K$4&lt;1,0,MAX(0,MIN(1,Approvals!$C$396-(K$4-1))))</f>
        <v/>
      </c>
      <c r="L411" s="24">
        <f>IF(L$4&lt;1,0,MAX(0,MIN(1,Approvals!$C$396-(L$4-1))))</f>
        <v/>
      </c>
      <c r="M411" s="24">
        <f>IF(M$4&lt;1,0,MAX(0,MIN(1,Approvals!$C$396-(M$4-1))))</f>
        <v/>
      </c>
      <c r="N411" s="24">
        <f>IF(N$4&lt;1,0,MAX(0,MIN(1,Approvals!$C$396-(N$4-1))))</f>
        <v/>
      </c>
      <c r="O411" s="24">
        <f>IF(O$4&lt;1,0,MAX(0,MIN(1,Approvals!$C$396-(O$4-1))))</f>
        <v/>
      </c>
      <c r="P411" s="24">
        <f>IF(P$4&lt;1,0,MAX(0,MIN(1,Approvals!$C$396-(P$4-1))))</f>
        <v/>
      </c>
      <c r="Q411" s="24">
        <f>IF(Q$4&lt;1,0,MAX(0,MIN(1,Approvals!$C$396-(Q$4-1))))</f>
        <v/>
      </c>
      <c r="R411" s="24">
        <f>IF(R$4&lt;1,0,MAX(0,MIN(1,Approvals!$C$396-(R$4-1))))</f>
        <v/>
      </c>
      <c r="S411" s="24">
        <f>IF(S$4&lt;1,0,MAX(0,MIN(1,Approvals!$C$396-(S$4-1))))</f>
        <v/>
      </c>
      <c r="T411" s="24">
        <f>IF(T$4&lt;1,0,MAX(0,MIN(1,Approvals!$C$396-(T$4-1))))</f>
        <v/>
      </c>
      <c r="U411" s="24">
        <f>IF(U$4&lt;1,0,MAX(0,MIN(1,Approvals!$C$396-(U$4-1))))</f>
        <v/>
      </c>
      <c r="V411" s="24">
        <f>IF(V$4&lt;1,0,MAX(0,MIN(1,Approvals!$C$396-(V$4-1))))</f>
        <v/>
      </c>
      <c r="W411" s="24">
        <f>IF(W$4&lt;1,0,MAX(0,MIN(1,Approvals!$C$396-(W$4-1))))</f>
        <v/>
      </c>
      <c r="X411" s="24">
        <f>IF(X$4&lt;1,0,MAX(0,MIN(1,Approvals!$C$396-(X$4-1))))</f>
        <v/>
      </c>
      <c r="Y411" s="24">
        <f>IF(Y$4&lt;1,0,MAX(0,MIN(1,Approvals!$C$396-(Y$4-1))))</f>
        <v/>
      </c>
      <c r="Z411" s="24">
        <f>IF(Z$4&lt;1,0,MAX(0,MIN(1,Approvals!$C$396-(Z$4-1))))</f>
        <v/>
      </c>
      <c r="AA411" s="24">
        <f>IF(AA$4&lt;1,0,MAX(0,MIN(1,Approvals!$C$396-(AA$4-1))))</f>
        <v/>
      </c>
      <c r="AB411" s="24">
        <f>IF(AB$4&lt;1,0,MAX(0,MIN(1,Approvals!$C$396-(AB$4-1))))</f>
        <v/>
      </c>
      <c r="AC411" s="24">
        <f>IF(AC$4&lt;1,0,MAX(0,MIN(1,Approvals!$C$396-(AC$4-1))))</f>
        <v/>
      </c>
      <c r="AD411" s="24">
        <f>IF(AD$4&lt;1,0,MAX(0,MIN(1,Approvals!$C$396-(AD$4-1))))</f>
        <v/>
      </c>
      <c r="AE411" s="24">
        <f>IF(AE$4&lt;1,0,MAX(0,MIN(1,Approvals!$C$396-(AE$4-1))))</f>
        <v/>
      </c>
      <c r="AF411" s="24">
        <f>IF(AF$4&lt;1,0,MAX(0,MIN(1,Approvals!$C$396-(AF$4-1))))</f>
        <v/>
      </c>
      <c r="AG411" s="24">
        <f>IF(AG$4&lt;1,0,MAX(0,MIN(1,Approvals!$C$396-(AG$4-1))))</f>
        <v/>
      </c>
      <c r="AH411" s="24">
        <f>IF(AH$4&lt;1,0,MAX(0,MIN(1,Approvals!$C$396-(AH$4-1))))</f>
        <v/>
      </c>
      <c r="AI411" s="24">
        <f>IF(AI$4&lt;1,0,MAX(0,MIN(1,Approvals!$C$396-(AI$4-1))))</f>
        <v/>
      </c>
    </row>
    <row r="412">
      <c r="B412" s="2" t="inlineStr">
        <is>
          <t>Box cash: free cash flow less interest on the old debt</t>
        </is>
      </c>
      <c r="D412" s="19">
        <f>D411*(Diligence!D145-i_old_rate*(i_old_tl+i_old_notes))</f>
        <v/>
      </c>
      <c r="E412" s="19">
        <f>E411*(Diligence!E145-i_old_rate*(i_old_tl+i_old_notes))</f>
        <v/>
      </c>
      <c r="F412" s="19">
        <f>F411*(Diligence!F145-i_old_rate*(i_old_tl+i_old_notes))</f>
        <v/>
      </c>
      <c r="G412" s="19">
        <f>G411*(Diligence!G145-i_old_rate*(i_old_tl+i_old_notes))</f>
        <v/>
      </c>
      <c r="H412" s="19">
        <f>H411*(Diligence!H145-i_old_rate*(i_old_tl+i_old_notes))</f>
        <v/>
      </c>
      <c r="I412" s="19">
        <f>I411*(Diligence!I145-i_old_rate*(i_old_tl+i_old_notes))</f>
        <v/>
      </c>
      <c r="J412" s="19">
        <f>J411*(Diligence!J145-i_old_rate*(i_old_tl+i_old_notes))</f>
        <v/>
      </c>
      <c r="K412" s="19">
        <f>K411*(Diligence!K145-i_old_rate*(i_old_tl+i_old_notes))</f>
        <v/>
      </c>
      <c r="L412" s="19">
        <f>L411*(Diligence!L145-i_old_rate*(i_old_tl+i_old_notes))</f>
        <v/>
      </c>
      <c r="M412" s="19">
        <f>M411*(Diligence!M145-i_old_rate*(i_old_tl+i_old_notes))</f>
        <v/>
      </c>
      <c r="N412" s="19">
        <f>N411*(Diligence!N145-i_old_rate*(i_old_tl+i_old_notes))</f>
        <v/>
      </c>
      <c r="O412" s="19">
        <f>O411*(Diligence!O145-i_old_rate*(i_old_tl+i_old_notes))</f>
        <v/>
      </c>
      <c r="P412" s="19">
        <f>P411*(Diligence!P145-i_old_rate*(i_old_tl+i_old_notes))</f>
        <v/>
      </c>
      <c r="Q412" s="19">
        <f>Q411*(Diligence!Q145-i_old_rate*(i_old_tl+i_old_notes))</f>
        <v/>
      </c>
      <c r="R412" s="19">
        <f>R411*(Diligence!R145-i_old_rate*(i_old_tl+i_old_notes))</f>
        <v/>
      </c>
      <c r="S412" s="19">
        <f>S411*(Diligence!S145-i_old_rate*(i_old_tl+i_old_notes))</f>
        <v/>
      </c>
      <c r="T412" s="19">
        <f>T411*(Diligence!T145-i_old_rate*(i_old_tl+i_old_notes))</f>
        <v/>
      </c>
      <c r="U412" s="19">
        <f>U411*(Diligence!U145-i_old_rate*(i_old_tl+i_old_notes))</f>
        <v/>
      </c>
      <c r="V412" s="19">
        <f>V411*(Diligence!V145-i_old_rate*(i_old_tl+i_old_notes))</f>
        <v/>
      </c>
      <c r="W412" s="19">
        <f>W411*(Diligence!W145-i_old_rate*(i_old_tl+i_old_notes))</f>
        <v/>
      </c>
      <c r="X412" s="19">
        <f>X411*(Diligence!X145-i_old_rate*(i_old_tl+i_old_notes))</f>
        <v/>
      </c>
      <c r="Y412" s="19">
        <f>Y411*(Diligence!Y145-i_old_rate*(i_old_tl+i_old_notes))</f>
        <v/>
      </c>
      <c r="Z412" s="19">
        <f>Z411*(Diligence!Z145-i_old_rate*(i_old_tl+i_old_notes))</f>
        <v/>
      </c>
      <c r="AA412" s="19">
        <f>AA411*(Diligence!AA145-i_old_rate*(i_old_tl+i_old_notes))</f>
        <v/>
      </c>
      <c r="AB412" s="19">
        <f>AB411*(Diligence!AB145-i_old_rate*(i_old_tl+i_old_notes))</f>
        <v/>
      </c>
      <c r="AC412" s="19">
        <f>AC411*(Diligence!AC145-i_old_rate*(i_old_tl+i_old_notes))</f>
        <v/>
      </c>
      <c r="AD412" s="19">
        <f>AD411*(Diligence!AD145-i_old_rate*(i_old_tl+i_old_notes))</f>
        <v/>
      </c>
      <c r="AE412" s="19">
        <f>AE411*(Diligence!AE145-i_old_rate*(i_old_tl+i_old_notes))</f>
        <v/>
      </c>
      <c r="AF412" s="19">
        <f>AF411*(Diligence!AF145-i_old_rate*(i_old_tl+i_old_notes))</f>
        <v/>
      </c>
      <c r="AG412" s="19">
        <f>AG411*(Diligence!AG145-i_old_rate*(i_old_tl+i_old_notes))</f>
        <v/>
      </c>
      <c r="AH412" s="19">
        <f>AH411*(Diligence!AH145-i_old_rate*(i_old_tl+i_old_notes))</f>
        <v/>
      </c>
      <c r="AI412" s="19">
        <f>AI411*(Diligence!AI145-i_old_rate*(i_old_tl+i_old_notes))</f>
        <v/>
      </c>
    </row>
    <row r="413">
      <c r="B413" s="2" t="inlineStr">
        <is>
          <t>Box cash generated from 1 January 2027 to closing</t>
        </is>
      </c>
      <c r="C413" s="19">
        <f>SUM(Approvals!D412:AI412)</f>
        <v/>
      </c>
    </row>
    <row r="414">
      <c r="B414" s="2" t="inlineStr">
        <is>
          <t>Cash in the company at closing</t>
        </is>
      </c>
      <c r="C414" s="19">
        <f>Approvals!$C$405-Approvals!$C$406+Approvals!$C$413</f>
        <v/>
      </c>
    </row>
    <row r="415">
      <c r="B415" s="2" t="inlineStr">
        <is>
          <t>Cash used at closing (above operating cash)</t>
        </is>
      </c>
      <c r="C415" s="19">
        <f>Approvals!$C$414-i_min_cash</f>
        <v/>
      </c>
    </row>
    <row r="417">
      <c r="B417" s="3" t="inlineStr">
        <is>
          <t>Sources and uses at closing</t>
        </is>
      </c>
    </row>
    <row r="418">
      <c r="B418" s="2" t="inlineStr">
        <is>
          <t>EBITDA 2026 (sizing basis)</t>
        </is>
      </c>
      <c r="C418" s="19">
        <f>Diligence!$D$139</f>
        <v/>
      </c>
    </row>
    <row r="419">
      <c r="B419" s="2" t="inlineStr">
        <is>
          <t>Opco multiple of 2026 EBITDA</t>
        </is>
      </c>
      <c r="C419" s="37">
        <f>IF(Approvals!$C$397=1,i_staple_x,i_opco_x)</f>
        <v/>
      </c>
    </row>
    <row r="420">
      <c r="B420" s="2" t="inlineStr">
        <is>
          <t>Opco rate</t>
        </is>
      </c>
      <c r="C420" s="23">
        <f>IF(Approvals!$C$397=1,i_staple_rate,i_opco_rate)</f>
        <v/>
      </c>
    </row>
    <row r="421">
      <c r="B421" s="2" t="inlineStr">
        <is>
          <t>Opco fees</t>
        </is>
      </c>
      <c r="C421" s="23">
        <f>IF(Approvals!$C$397=1,i_staple_fee,i_opco_fee)</f>
        <v/>
      </c>
    </row>
    <row r="422">
      <c r="B422" s="2" t="inlineStr">
        <is>
          <t>Opco senior debt (whole $ million)</t>
        </is>
      </c>
      <c r="C422" s="19">
        <f>ROUND(Approvals!$C$419*Approvals!$C$418,0)</f>
        <v/>
      </c>
    </row>
    <row r="423">
      <c r="B423" s="2" t="inlineStr">
        <is>
          <t>Holdco debt (whole $ million)</t>
        </is>
      </c>
      <c r="C423" s="19">
        <f>ROUND(i_hold_x*Approvals!$C$418,0)</f>
        <v/>
      </c>
    </row>
    <row r="424">
      <c r="B424" s="2" t="inlineStr">
        <is>
          <t>W&amp;I premium with insurance premium tax</t>
        </is>
      </c>
      <c r="C424" s="35">
        <f>i_wi_limit_pct*Approvals!$C$401*i_wi_rol*(1+i_wi_ipt)</f>
        <v/>
      </c>
    </row>
    <row r="425">
      <c r="B425" s="2" t="inlineStr">
        <is>
          <t>HSR filing fee (on the equity price)</t>
        </is>
      </c>
      <c r="C425" s="39">
        <f>IF(Approvals!$C$407&lt;INDEX(i_hsr_lo,1),0,LOOKUP(Approvals!$C$407,i_hsr_lo,i_hsr_fee))</f>
        <v/>
      </c>
    </row>
    <row r="426">
      <c r="B426" s="2" t="inlineStr">
        <is>
          <t>Transaction costs (advisers, W&amp;I, HSR)</t>
        </is>
      </c>
      <c r="C426" s="19">
        <f>i_costs_adv+Approvals!$C$424+Approvals!$C$425</f>
        <v/>
      </c>
    </row>
    <row r="427">
      <c r="B427" s="2" t="inlineStr">
        <is>
          <t>Financing fees</t>
        </is>
      </c>
      <c r="C427" s="19">
        <f>Approvals!$C$421*Approvals!$C$422+i_hold_fee*Approvals!$C$423</f>
        <v/>
      </c>
    </row>
    <row r="428">
      <c r="B428" s="2" t="inlineStr">
        <is>
          <t>Commitment fees, signing to closing</t>
        </is>
      </c>
      <c r="C428" s="19">
        <f>i_commit_fee*(Approvals!$C$422+Approvals!$C$423)*MAX(0,Approvals!$C$396-i_t_sign)</f>
        <v/>
      </c>
    </row>
    <row r="429">
      <c r="B429" s="3" t="inlineStr">
        <is>
          <t>Uses</t>
        </is>
      </c>
    </row>
    <row r="430">
      <c r="B430" s="2" t="inlineStr">
        <is>
          <t xml:space="preserve">  Equity price</t>
        </is>
      </c>
      <c r="C430" s="19">
        <f>Approvals!$C$407</f>
        <v/>
      </c>
    </row>
    <row r="431">
      <c r="B431" s="2" t="inlineStr">
        <is>
          <t xml:space="preserve">  Ticking fee</t>
        </is>
      </c>
      <c r="C431" s="19">
        <f>Approvals!$C$410</f>
        <v/>
      </c>
    </row>
    <row r="432">
      <c r="B432" s="2" t="inlineStr">
        <is>
          <t xml:space="preserve">  Repayment of existing debt and make-whole</t>
        </is>
      </c>
      <c r="C432" s="19">
        <f>Approvals!$C$402+Approvals!$C$403</f>
        <v/>
      </c>
    </row>
    <row r="433">
      <c r="B433" s="2" t="inlineStr">
        <is>
          <t xml:space="preserve">  Debt-like items settled</t>
        </is>
      </c>
      <c r="C433" s="19">
        <f>Approvals!$C$404</f>
        <v/>
      </c>
    </row>
    <row r="434">
      <c r="B434" s="2" t="inlineStr">
        <is>
          <t xml:space="preserve">  Transaction costs</t>
        </is>
      </c>
      <c r="C434" s="19">
        <f>Approvals!$C$426</f>
        <v/>
      </c>
    </row>
    <row r="435">
      <c r="B435" s="2" t="inlineStr">
        <is>
          <t xml:space="preserve">  Financing fees</t>
        </is>
      </c>
      <c r="C435" s="19">
        <f>Approvals!$C$427</f>
        <v/>
      </c>
    </row>
    <row r="436">
      <c r="B436" s="2" t="inlineStr">
        <is>
          <t xml:space="preserve">  Commitment fees</t>
        </is>
      </c>
      <c r="C436" s="19">
        <f>Approvals!$C$428</f>
        <v/>
      </c>
    </row>
    <row r="437">
      <c r="B437" s="3" t="inlineStr">
        <is>
          <t>Total uses</t>
        </is>
      </c>
      <c r="C437" s="31">
        <f>SUM(C430:C436)</f>
        <v/>
      </c>
    </row>
    <row r="438">
      <c r="B438" s="3" t="inlineStr">
        <is>
          <t>Sources</t>
        </is>
      </c>
    </row>
    <row r="439">
      <c r="B439" s="2" t="inlineStr">
        <is>
          <t xml:space="preserve">  Opco senior debt</t>
        </is>
      </c>
      <c r="C439" s="19">
        <f>Approvals!$C$422</f>
        <v/>
      </c>
    </row>
    <row r="440">
      <c r="B440" s="2" t="inlineStr">
        <is>
          <t xml:space="preserve">  Holdco debt</t>
        </is>
      </c>
      <c r="C440" s="19">
        <f>Approvals!$C$423</f>
        <v/>
      </c>
    </row>
    <row r="441">
      <c r="B441" s="2" t="inlineStr">
        <is>
          <t xml:space="preserve">  Cash in the company at closing</t>
        </is>
      </c>
      <c r="C441" s="19">
        <f>Approvals!$C$415</f>
        <v/>
      </c>
    </row>
    <row r="442">
      <c r="B442" s="3" t="inlineStr">
        <is>
          <t xml:space="preserve">  Equity from the consortium</t>
        </is>
      </c>
      <c r="C442" s="31">
        <f>Approvals!$C$437-Approvals!$C$422-Approvals!$C$423-Approvals!$C$415</f>
        <v/>
      </c>
    </row>
    <row r="443">
      <c r="B443" s="3" t="inlineStr">
        <is>
          <t>Total sources</t>
        </is>
      </c>
      <c r="C443" s="31">
        <f>SUM(C439:C442)</f>
        <v/>
      </c>
    </row>
    <row r="445">
      <c r="B445" s="3" t="inlineStr">
        <is>
          <t>Flows after closing (years in columns D to AI; closing, minority sale and exit in AJ to AL)</t>
        </is>
      </c>
    </row>
    <row r="446">
      <c r="B446" s="2" t="inlineStr">
        <is>
          <t>Share of the year owned</t>
        </is>
      </c>
      <c r="D446" s="24">
        <f>IF(D$3&gt;i_exit_year,0,MIN(1,MAX(0,D$4-Approvals!$C$396)))</f>
        <v/>
      </c>
      <c r="E446" s="24">
        <f>IF(E$3&gt;i_exit_year,0,MIN(1,MAX(0,E$4-Approvals!$C$396)))</f>
        <v/>
      </c>
      <c r="F446" s="24">
        <f>IF(F$3&gt;i_exit_year,0,MIN(1,MAX(0,F$4-Approvals!$C$396)))</f>
        <v/>
      </c>
      <c r="G446" s="24">
        <f>IF(G$3&gt;i_exit_year,0,MIN(1,MAX(0,G$4-Approvals!$C$396)))</f>
        <v/>
      </c>
      <c r="H446" s="24">
        <f>IF(H$3&gt;i_exit_year,0,MIN(1,MAX(0,H$4-Approvals!$C$396)))</f>
        <v/>
      </c>
      <c r="I446" s="24">
        <f>IF(I$3&gt;i_exit_year,0,MIN(1,MAX(0,I$4-Approvals!$C$396)))</f>
        <v/>
      </c>
      <c r="J446" s="24">
        <f>IF(J$3&gt;i_exit_year,0,MIN(1,MAX(0,J$4-Approvals!$C$396)))</f>
        <v/>
      </c>
      <c r="K446" s="24">
        <f>IF(K$3&gt;i_exit_year,0,MIN(1,MAX(0,K$4-Approvals!$C$396)))</f>
        <v/>
      </c>
      <c r="L446" s="24">
        <f>IF(L$3&gt;i_exit_year,0,MIN(1,MAX(0,L$4-Approvals!$C$396)))</f>
        <v/>
      </c>
      <c r="M446" s="24">
        <f>IF(M$3&gt;i_exit_year,0,MIN(1,MAX(0,M$4-Approvals!$C$396)))</f>
        <v/>
      </c>
      <c r="N446" s="24">
        <f>IF(N$3&gt;i_exit_year,0,MIN(1,MAX(0,N$4-Approvals!$C$396)))</f>
        <v/>
      </c>
      <c r="O446" s="24">
        <f>IF(O$3&gt;i_exit_year,0,MIN(1,MAX(0,O$4-Approvals!$C$396)))</f>
        <v/>
      </c>
      <c r="P446" s="24">
        <f>IF(P$3&gt;i_exit_year,0,MIN(1,MAX(0,P$4-Approvals!$C$396)))</f>
        <v/>
      </c>
      <c r="Q446" s="24">
        <f>IF(Q$3&gt;i_exit_year,0,MIN(1,MAX(0,Q$4-Approvals!$C$396)))</f>
        <v/>
      </c>
      <c r="R446" s="24">
        <f>IF(R$3&gt;i_exit_year,0,MIN(1,MAX(0,R$4-Approvals!$C$396)))</f>
        <v/>
      </c>
      <c r="S446" s="24">
        <f>IF(S$3&gt;i_exit_year,0,MIN(1,MAX(0,S$4-Approvals!$C$396)))</f>
        <v/>
      </c>
      <c r="T446" s="24">
        <f>IF(T$3&gt;i_exit_year,0,MIN(1,MAX(0,T$4-Approvals!$C$396)))</f>
        <v/>
      </c>
      <c r="U446" s="24">
        <f>IF(U$3&gt;i_exit_year,0,MIN(1,MAX(0,U$4-Approvals!$C$396)))</f>
        <v/>
      </c>
      <c r="V446" s="24">
        <f>IF(V$3&gt;i_exit_year,0,MIN(1,MAX(0,V$4-Approvals!$C$396)))</f>
        <v/>
      </c>
      <c r="W446" s="24">
        <f>IF(W$3&gt;i_exit_year,0,MIN(1,MAX(0,W$4-Approvals!$C$396)))</f>
        <v/>
      </c>
      <c r="X446" s="24">
        <f>IF(X$3&gt;i_exit_year,0,MIN(1,MAX(0,X$4-Approvals!$C$396)))</f>
        <v/>
      </c>
      <c r="Y446" s="24">
        <f>IF(Y$3&gt;i_exit_year,0,MIN(1,MAX(0,Y$4-Approvals!$C$396)))</f>
        <v/>
      </c>
      <c r="Z446" s="24">
        <f>IF(Z$3&gt;i_exit_year,0,MIN(1,MAX(0,Z$4-Approvals!$C$396)))</f>
        <v/>
      </c>
      <c r="AA446" s="24">
        <f>IF(AA$3&gt;i_exit_year,0,MIN(1,MAX(0,AA$4-Approvals!$C$396)))</f>
        <v/>
      </c>
      <c r="AB446" s="24">
        <f>IF(AB$3&gt;i_exit_year,0,MIN(1,MAX(0,AB$4-Approvals!$C$396)))</f>
        <v/>
      </c>
      <c r="AC446" s="24">
        <f>IF(AC$3&gt;i_exit_year,0,MIN(1,MAX(0,AC$4-Approvals!$C$396)))</f>
        <v/>
      </c>
      <c r="AD446" s="24">
        <f>IF(AD$3&gt;i_exit_year,0,MIN(1,MAX(0,AD$4-Approvals!$C$396)))</f>
        <v/>
      </c>
      <c r="AE446" s="24">
        <f>IF(AE$3&gt;i_exit_year,0,MIN(1,MAX(0,AE$4-Approvals!$C$396)))</f>
        <v/>
      </c>
      <c r="AF446" s="24">
        <f>IF(AF$3&gt;i_exit_year,0,MIN(1,MAX(0,AF$4-Approvals!$C$396)))</f>
        <v/>
      </c>
      <c r="AG446" s="24">
        <f>IF(AG$3&gt;i_exit_year,0,MIN(1,MAX(0,AG$4-Approvals!$C$396)))</f>
        <v/>
      </c>
      <c r="AH446" s="24">
        <f>IF(AH$3&gt;i_exit_year,0,MIN(1,MAX(0,AH$4-Approvals!$C$396)))</f>
        <v/>
      </c>
      <c r="AI446" s="24">
        <f>IF(AI$3&gt;i_exit_year,0,MIN(1,MAX(0,AI$4-Approvals!$C$396)))</f>
        <v/>
      </c>
    </row>
    <row r="447">
      <c r="B447" s="2" t="inlineStr">
        <is>
          <t>Opco rate (refinanced after the tenor)</t>
        </is>
      </c>
      <c r="D447" s="23">
        <f>IF(D$4&lt;=Approvals!$C$396+i_opco_tenor,Approvals!$C$420,Approvals!$C$420+Approvals!$C$400)</f>
        <v/>
      </c>
      <c r="E447" s="23">
        <f>IF(E$4&lt;=Approvals!$C$396+i_opco_tenor,Approvals!$C$420,Approvals!$C$420+Approvals!$C$400)</f>
        <v/>
      </c>
      <c r="F447" s="23">
        <f>IF(F$4&lt;=Approvals!$C$396+i_opco_tenor,Approvals!$C$420,Approvals!$C$420+Approvals!$C$400)</f>
        <v/>
      </c>
      <c r="G447" s="23">
        <f>IF(G$4&lt;=Approvals!$C$396+i_opco_tenor,Approvals!$C$420,Approvals!$C$420+Approvals!$C$400)</f>
        <v/>
      </c>
      <c r="H447" s="23">
        <f>IF(H$4&lt;=Approvals!$C$396+i_opco_tenor,Approvals!$C$420,Approvals!$C$420+Approvals!$C$400)</f>
        <v/>
      </c>
      <c r="I447" s="23">
        <f>IF(I$4&lt;=Approvals!$C$396+i_opco_tenor,Approvals!$C$420,Approvals!$C$420+Approvals!$C$400)</f>
        <v/>
      </c>
      <c r="J447" s="23">
        <f>IF(J$4&lt;=Approvals!$C$396+i_opco_tenor,Approvals!$C$420,Approvals!$C$420+Approvals!$C$400)</f>
        <v/>
      </c>
      <c r="K447" s="23">
        <f>IF(K$4&lt;=Approvals!$C$396+i_opco_tenor,Approvals!$C$420,Approvals!$C$420+Approvals!$C$400)</f>
        <v/>
      </c>
      <c r="L447" s="23">
        <f>IF(L$4&lt;=Approvals!$C$396+i_opco_tenor,Approvals!$C$420,Approvals!$C$420+Approvals!$C$400)</f>
        <v/>
      </c>
      <c r="M447" s="23">
        <f>IF(M$4&lt;=Approvals!$C$396+i_opco_tenor,Approvals!$C$420,Approvals!$C$420+Approvals!$C$400)</f>
        <v/>
      </c>
      <c r="N447" s="23">
        <f>IF(N$4&lt;=Approvals!$C$396+i_opco_tenor,Approvals!$C$420,Approvals!$C$420+Approvals!$C$400)</f>
        <v/>
      </c>
      <c r="O447" s="23">
        <f>IF(O$4&lt;=Approvals!$C$396+i_opco_tenor,Approvals!$C$420,Approvals!$C$420+Approvals!$C$400)</f>
        <v/>
      </c>
      <c r="P447" s="23">
        <f>IF(P$4&lt;=Approvals!$C$396+i_opco_tenor,Approvals!$C$420,Approvals!$C$420+Approvals!$C$400)</f>
        <v/>
      </c>
      <c r="Q447" s="23">
        <f>IF(Q$4&lt;=Approvals!$C$396+i_opco_tenor,Approvals!$C$420,Approvals!$C$420+Approvals!$C$400)</f>
        <v/>
      </c>
      <c r="R447" s="23">
        <f>IF(R$4&lt;=Approvals!$C$396+i_opco_tenor,Approvals!$C$420,Approvals!$C$420+Approvals!$C$400)</f>
        <v/>
      </c>
      <c r="S447" s="23">
        <f>IF(S$4&lt;=Approvals!$C$396+i_opco_tenor,Approvals!$C$420,Approvals!$C$420+Approvals!$C$400)</f>
        <v/>
      </c>
      <c r="T447" s="23">
        <f>IF(T$4&lt;=Approvals!$C$396+i_opco_tenor,Approvals!$C$420,Approvals!$C$420+Approvals!$C$400)</f>
        <v/>
      </c>
      <c r="U447" s="23">
        <f>IF(U$4&lt;=Approvals!$C$396+i_opco_tenor,Approvals!$C$420,Approvals!$C$420+Approvals!$C$400)</f>
        <v/>
      </c>
      <c r="V447" s="23">
        <f>IF(V$4&lt;=Approvals!$C$396+i_opco_tenor,Approvals!$C$420,Approvals!$C$420+Approvals!$C$400)</f>
        <v/>
      </c>
      <c r="W447" s="23">
        <f>IF(W$4&lt;=Approvals!$C$396+i_opco_tenor,Approvals!$C$420,Approvals!$C$420+Approvals!$C$400)</f>
        <v/>
      </c>
      <c r="X447" s="23">
        <f>IF(X$4&lt;=Approvals!$C$396+i_opco_tenor,Approvals!$C$420,Approvals!$C$420+Approvals!$C$400)</f>
        <v/>
      </c>
      <c r="Y447" s="23">
        <f>IF(Y$4&lt;=Approvals!$C$396+i_opco_tenor,Approvals!$C$420,Approvals!$C$420+Approvals!$C$400)</f>
        <v/>
      </c>
      <c r="Z447" s="23">
        <f>IF(Z$4&lt;=Approvals!$C$396+i_opco_tenor,Approvals!$C$420,Approvals!$C$420+Approvals!$C$400)</f>
        <v/>
      </c>
      <c r="AA447" s="23">
        <f>IF(AA$4&lt;=Approvals!$C$396+i_opco_tenor,Approvals!$C$420,Approvals!$C$420+Approvals!$C$400)</f>
        <v/>
      </c>
      <c r="AB447" s="23">
        <f>IF(AB$4&lt;=Approvals!$C$396+i_opco_tenor,Approvals!$C$420,Approvals!$C$420+Approvals!$C$400)</f>
        <v/>
      </c>
      <c r="AC447" s="23">
        <f>IF(AC$4&lt;=Approvals!$C$396+i_opco_tenor,Approvals!$C$420,Approvals!$C$420+Approvals!$C$400)</f>
        <v/>
      </c>
      <c r="AD447" s="23">
        <f>IF(AD$4&lt;=Approvals!$C$396+i_opco_tenor,Approvals!$C$420,Approvals!$C$420+Approvals!$C$400)</f>
        <v/>
      </c>
      <c r="AE447" s="23">
        <f>IF(AE$4&lt;=Approvals!$C$396+i_opco_tenor,Approvals!$C$420,Approvals!$C$420+Approvals!$C$400)</f>
        <v/>
      </c>
      <c r="AF447" s="23">
        <f>IF(AF$4&lt;=Approvals!$C$396+i_opco_tenor,Approvals!$C$420,Approvals!$C$420+Approvals!$C$400)</f>
        <v/>
      </c>
      <c r="AG447" s="23">
        <f>IF(AG$4&lt;=Approvals!$C$396+i_opco_tenor,Approvals!$C$420,Approvals!$C$420+Approvals!$C$400)</f>
        <v/>
      </c>
      <c r="AH447" s="23">
        <f>IF(AH$4&lt;=Approvals!$C$396+i_opco_tenor,Approvals!$C$420,Approvals!$C$420+Approvals!$C$400)</f>
        <v/>
      </c>
      <c r="AI447" s="23">
        <f>IF(AI$4&lt;=Approvals!$C$396+i_opco_tenor,Approvals!$C$420,Approvals!$C$420+Approvals!$C$400)</f>
        <v/>
      </c>
    </row>
    <row r="448">
      <c r="B448" s="2" t="inlineStr">
        <is>
          <t>Interest (opco and holdco)</t>
        </is>
      </c>
      <c r="D448" s="19">
        <f>D447*Approvals!$C$422+i_hold_rate*Approvals!$C$423</f>
        <v/>
      </c>
      <c r="E448" s="19">
        <f>E447*Approvals!$C$422+i_hold_rate*Approvals!$C$423</f>
        <v/>
      </c>
      <c r="F448" s="19">
        <f>F447*Approvals!$C$422+i_hold_rate*Approvals!$C$423</f>
        <v/>
      </c>
      <c r="G448" s="19">
        <f>G447*Approvals!$C$422+i_hold_rate*Approvals!$C$423</f>
        <v/>
      </c>
      <c r="H448" s="19">
        <f>H447*Approvals!$C$422+i_hold_rate*Approvals!$C$423</f>
        <v/>
      </c>
      <c r="I448" s="19">
        <f>I447*Approvals!$C$422+i_hold_rate*Approvals!$C$423</f>
        <v/>
      </c>
      <c r="J448" s="19">
        <f>J447*Approvals!$C$422+i_hold_rate*Approvals!$C$423</f>
        <v/>
      </c>
      <c r="K448" s="19">
        <f>K447*Approvals!$C$422+i_hold_rate*Approvals!$C$423</f>
        <v/>
      </c>
      <c r="L448" s="19">
        <f>L447*Approvals!$C$422+i_hold_rate*Approvals!$C$423</f>
        <v/>
      </c>
      <c r="M448" s="19">
        <f>M447*Approvals!$C$422+i_hold_rate*Approvals!$C$423</f>
        <v/>
      </c>
      <c r="N448" s="19">
        <f>N447*Approvals!$C$422+i_hold_rate*Approvals!$C$423</f>
        <v/>
      </c>
      <c r="O448" s="19">
        <f>O447*Approvals!$C$422+i_hold_rate*Approvals!$C$423</f>
        <v/>
      </c>
      <c r="P448" s="19">
        <f>P447*Approvals!$C$422+i_hold_rate*Approvals!$C$423</f>
        <v/>
      </c>
      <c r="Q448" s="19">
        <f>Q447*Approvals!$C$422+i_hold_rate*Approvals!$C$423</f>
        <v/>
      </c>
      <c r="R448" s="19">
        <f>R447*Approvals!$C$422+i_hold_rate*Approvals!$C$423</f>
        <v/>
      </c>
      <c r="S448" s="19">
        <f>S447*Approvals!$C$422+i_hold_rate*Approvals!$C$423</f>
        <v/>
      </c>
      <c r="T448" s="19">
        <f>T447*Approvals!$C$422+i_hold_rate*Approvals!$C$423</f>
        <v/>
      </c>
      <c r="U448" s="19">
        <f>U447*Approvals!$C$422+i_hold_rate*Approvals!$C$423</f>
        <v/>
      </c>
      <c r="V448" s="19">
        <f>V447*Approvals!$C$422+i_hold_rate*Approvals!$C$423</f>
        <v/>
      </c>
      <c r="W448" s="19">
        <f>W447*Approvals!$C$422+i_hold_rate*Approvals!$C$423</f>
        <v/>
      </c>
      <c r="X448" s="19">
        <f>X447*Approvals!$C$422+i_hold_rate*Approvals!$C$423</f>
        <v/>
      </c>
      <c r="Y448" s="19">
        <f>Y447*Approvals!$C$422+i_hold_rate*Approvals!$C$423</f>
        <v/>
      </c>
      <c r="Z448" s="19">
        <f>Z447*Approvals!$C$422+i_hold_rate*Approvals!$C$423</f>
        <v/>
      </c>
      <c r="AA448" s="19">
        <f>AA447*Approvals!$C$422+i_hold_rate*Approvals!$C$423</f>
        <v/>
      </c>
      <c r="AB448" s="19">
        <f>AB447*Approvals!$C$422+i_hold_rate*Approvals!$C$423</f>
        <v/>
      </c>
      <c r="AC448" s="19">
        <f>AC447*Approvals!$C$422+i_hold_rate*Approvals!$C$423</f>
        <v/>
      </c>
      <c r="AD448" s="19">
        <f>AD447*Approvals!$C$422+i_hold_rate*Approvals!$C$423</f>
        <v/>
      </c>
      <c r="AE448" s="19">
        <f>AE447*Approvals!$C$422+i_hold_rate*Approvals!$C$423</f>
        <v/>
      </c>
      <c r="AF448" s="19">
        <f>AF447*Approvals!$C$422+i_hold_rate*Approvals!$C$423</f>
        <v/>
      </c>
      <c r="AG448" s="19">
        <f>AG447*Approvals!$C$422+i_hold_rate*Approvals!$C$423</f>
        <v/>
      </c>
      <c r="AH448" s="19">
        <f>AH447*Approvals!$C$422+i_hold_rate*Approvals!$C$423</f>
        <v/>
      </c>
      <c r="AI448" s="19">
        <f>AI447*Approvals!$C$422+i_hold_rate*Approvals!$C$423</f>
        <v/>
      </c>
    </row>
    <row r="449">
      <c r="B449" s="2" t="inlineStr">
        <is>
          <t>Deductible interest (cap on EBITDA)</t>
        </is>
      </c>
      <c r="D449" s="19">
        <f>MIN(D448,i_int_cap*Diligence!D139)</f>
        <v/>
      </c>
      <c r="E449" s="19">
        <f>MIN(E448,i_int_cap*Diligence!E139)</f>
        <v/>
      </c>
      <c r="F449" s="19">
        <f>MIN(F448,i_int_cap*Diligence!F139)</f>
        <v/>
      </c>
      <c r="G449" s="19">
        <f>MIN(G448,i_int_cap*Diligence!G139)</f>
        <v/>
      </c>
      <c r="H449" s="19">
        <f>MIN(H448,i_int_cap*Diligence!H139)</f>
        <v/>
      </c>
      <c r="I449" s="19">
        <f>MIN(I448,i_int_cap*Diligence!I139)</f>
        <v/>
      </c>
      <c r="J449" s="19">
        <f>MIN(J448,i_int_cap*Diligence!J139)</f>
        <v/>
      </c>
      <c r="K449" s="19">
        <f>MIN(K448,i_int_cap*Diligence!K139)</f>
        <v/>
      </c>
      <c r="L449" s="19">
        <f>MIN(L448,i_int_cap*Diligence!L139)</f>
        <v/>
      </c>
      <c r="M449" s="19">
        <f>MIN(M448,i_int_cap*Diligence!M139)</f>
        <v/>
      </c>
      <c r="N449" s="19">
        <f>MIN(N448,i_int_cap*Diligence!N139)</f>
        <v/>
      </c>
      <c r="O449" s="19">
        <f>MIN(O448,i_int_cap*Diligence!O139)</f>
        <v/>
      </c>
      <c r="P449" s="19">
        <f>MIN(P448,i_int_cap*Diligence!P139)</f>
        <v/>
      </c>
      <c r="Q449" s="19">
        <f>MIN(Q448,i_int_cap*Diligence!Q139)</f>
        <v/>
      </c>
      <c r="R449" s="19">
        <f>MIN(R448,i_int_cap*Diligence!R139)</f>
        <v/>
      </c>
      <c r="S449" s="19">
        <f>MIN(S448,i_int_cap*Diligence!S139)</f>
        <v/>
      </c>
      <c r="T449" s="19">
        <f>MIN(T448,i_int_cap*Diligence!T139)</f>
        <v/>
      </c>
      <c r="U449" s="19">
        <f>MIN(U448,i_int_cap*Diligence!U139)</f>
        <v/>
      </c>
      <c r="V449" s="19">
        <f>MIN(V448,i_int_cap*Diligence!V139)</f>
        <v/>
      </c>
      <c r="W449" s="19">
        <f>MIN(W448,i_int_cap*Diligence!W139)</f>
        <v/>
      </c>
      <c r="X449" s="19">
        <f>MIN(X448,i_int_cap*Diligence!X139)</f>
        <v/>
      </c>
      <c r="Y449" s="19">
        <f>MIN(Y448,i_int_cap*Diligence!Y139)</f>
        <v/>
      </c>
      <c r="Z449" s="19">
        <f>MIN(Z448,i_int_cap*Diligence!Z139)</f>
        <v/>
      </c>
      <c r="AA449" s="19">
        <f>MIN(AA448,i_int_cap*Diligence!AA139)</f>
        <v/>
      </c>
      <c r="AB449" s="19">
        <f>MIN(AB448,i_int_cap*Diligence!AB139)</f>
        <v/>
      </c>
      <c r="AC449" s="19">
        <f>MIN(AC448,i_int_cap*Diligence!AC139)</f>
        <v/>
      </c>
      <c r="AD449" s="19">
        <f>MIN(AD448,i_int_cap*Diligence!AD139)</f>
        <v/>
      </c>
      <c r="AE449" s="19">
        <f>MIN(AE448,i_int_cap*Diligence!AE139)</f>
        <v/>
      </c>
      <c r="AF449" s="19">
        <f>MIN(AF448,i_int_cap*Diligence!AF139)</f>
        <v/>
      </c>
      <c r="AG449" s="19">
        <f>MIN(AG448,i_int_cap*Diligence!AG139)</f>
        <v/>
      </c>
      <c r="AH449" s="19">
        <f>MIN(AH448,i_int_cap*Diligence!AH139)</f>
        <v/>
      </c>
      <c r="AI449" s="19">
        <f>MIN(AI448,i_int_cap*Diligence!AI139)</f>
        <v/>
      </c>
    </row>
    <row r="450">
      <c r="B450" s="2" t="inlineStr">
        <is>
          <t>Cash tax with the debt</t>
        </is>
      </c>
      <c r="D450" s="19">
        <f>i_tax*MAX(0,Diligence!D139-Diligence!D142-D449)</f>
        <v/>
      </c>
      <c r="E450" s="19">
        <f>i_tax*MAX(0,Diligence!E139-Diligence!E142-E449)</f>
        <v/>
      </c>
      <c r="F450" s="19">
        <f>i_tax*MAX(0,Diligence!F139-Diligence!F142-F449)</f>
        <v/>
      </c>
      <c r="G450" s="19">
        <f>i_tax*MAX(0,Diligence!G139-Diligence!G142-G449)</f>
        <v/>
      </c>
      <c r="H450" s="19">
        <f>i_tax*MAX(0,Diligence!H139-Diligence!H142-H449)</f>
        <v/>
      </c>
      <c r="I450" s="19">
        <f>i_tax*MAX(0,Diligence!I139-Diligence!I142-I449)</f>
        <v/>
      </c>
      <c r="J450" s="19">
        <f>i_tax*MAX(0,Diligence!J139-Diligence!J142-J449)</f>
        <v/>
      </c>
      <c r="K450" s="19">
        <f>i_tax*MAX(0,Diligence!K139-Diligence!K142-K449)</f>
        <v/>
      </c>
      <c r="L450" s="19">
        <f>i_tax*MAX(0,Diligence!L139-Diligence!L142-L449)</f>
        <v/>
      </c>
      <c r="M450" s="19">
        <f>i_tax*MAX(0,Diligence!M139-Diligence!M142-M449)</f>
        <v/>
      </c>
      <c r="N450" s="19">
        <f>i_tax*MAX(0,Diligence!N139-Diligence!N142-N449)</f>
        <v/>
      </c>
      <c r="O450" s="19">
        <f>i_tax*MAX(0,Diligence!O139-Diligence!O142-O449)</f>
        <v/>
      </c>
      <c r="P450" s="19">
        <f>i_tax*MAX(0,Diligence!P139-Diligence!P142-P449)</f>
        <v/>
      </c>
      <c r="Q450" s="19">
        <f>i_tax*MAX(0,Diligence!Q139-Diligence!Q142-Q449)</f>
        <v/>
      </c>
      <c r="R450" s="19">
        <f>i_tax*MAX(0,Diligence!R139-Diligence!R142-R449)</f>
        <v/>
      </c>
      <c r="S450" s="19">
        <f>i_tax*MAX(0,Diligence!S139-Diligence!S142-S449)</f>
        <v/>
      </c>
      <c r="T450" s="19">
        <f>i_tax*MAX(0,Diligence!T139-Diligence!T142-T449)</f>
        <v/>
      </c>
      <c r="U450" s="19">
        <f>i_tax*MAX(0,Diligence!U139-Diligence!U142-U449)</f>
        <v/>
      </c>
      <c r="V450" s="19">
        <f>i_tax*MAX(0,Diligence!V139-Diligence!V142-V449)</f>
        <v/>
      </c>
      <c r="W450" s="19">
        <f>i_tax*MAX(0,Diligence!W139-Diligence!W142-W449)</f>
        <v/>
      </c>
      <c r="X450" s="19">
        <f>i_tax*MAX(0,Diligence!X139-Diligence!X142-X449)</f>
        <v/>
      </c>
      <c r="Y450" s="19">
        <f>i_tax*MAX(0,Diligence!Y139-Diligence!Y142-Y449)</f>
        <v/>
      </c>
      <c r="Z450" s="19">
        <f>i_tax*MAX(0,Diligence!Z139-Diligence!Z142-Z449)</f>
        <v/>
      </c>
      <c r="AA450" s="19">
        <f>i_tax*MAX(0,Diligence!AA139-Diligence!AA142-AA449)</f>
        <v/>
      </c>
      <c r="AB450" s="19">
        <f>i_tax*MAX(0,Diligence!AB139-Diligence!AB142-AB449)</f>
        <v/>
      </c>
      <c r="AC450" s="19">
        <f>i_tax*MAX(0,Diligence!AC139-Diligence!AC142-AC449)</f>
        <v/>
      </c>
      <c r="AD450" s="19">
        <f>i_tax*MAX(0,Diligence!AD139-Diligence!AD142-AD449)</f>
        <v/>
      </c>
      <c r="AE450" s="19">
        <f>i_tax*MAX(0,Diligence!AE139-Diligence!AE142-AE449)</f>
        <v/>
      </c>
      <c r="AF450" s="19">
        <f>i_tax*MAX(0,Diligence!AF139-Diligence!AF142-AF449)</f>
        <v/>
      </c>
      <c r="AG450" s="19">
        <f>i_tax*MAX(0,Diligence!AG139-Diligence!AG142-AG449)</f>
        <v/>
      </c>
      <c r="AH450" s="19">
        <f>i_tax*MAX(0,Diligence!AH139-Diligence!AH142-AH449)</f>
        <v/>
      </c>
      <c r="AI450" s="19">
        <f>i_tax*MAX(0,Diligence!AI139-Diligence!AI142-AI449)</f>
        <v/>
      </c>
    </row>
    <row r="451">
      <c r="B451" s="3" t="inlineStr">
        <is>
          <t>Cash flow to equity (full year)</t>
        </is>
      </c>
      <c r="D451" s="31">
        <f>Diligence!D139-Diligence!D140-Diligence!D141-D450-D448-Diligence!D144</f>
        <v/>
      </c>
      <c r="E451" s="31">
        <f>Diligence!E139-Diligence!E140-Diligence!E141-E450-E448-Diligence!E144</f>
        <v/>
      </c>
      <c r="F451" s="31">
        <f>Diligence!F139-Diligence!F140-Diligence!F141-F450-F448-Diligence!F144</f>
        <v/>
      </c>
      <c r="G451" s="31">
        <f>Diligence!G139-Diligence!G140-Diligence!G141-G450-G448-Diligence!G144</f>
        <v/>
      </c>
      <c r="H451" s="31">
        <f>Diligence!H139-Diligence!H140-Diligence!H141-H450-H448-Diligence!H144</f>
        <v/>
      </c>
      <c r="I451" s="31">
        <f>Diligence!I139-Diligence!I140-Diligence!I141-I450-I448-Diligence!I144</f>
        <v/>
      </c>
      <c r="J451" s="31">
        <f>Diligence!J139-Diligence!J140-Diligence!J141-J450-J448-Diligence!J144</f>
        <v/>
      </c>
      <c r="K451" s="31">
        <f>Diligence!K139-Diligence!K140-Diligence!K141-K450-K448-Diligence!K144</f>
        <v/>
      </c>
      <c r="L451" s="31">
        <f>Diligence!L139-Diligence!L140-Diligence!L141-L450-L448-Diligence!L144</f>
        <v/>
      </c>
      <c r="M451" s="31">
        <f>Diligence!M139-Diligence!M140-Diligence!M141-M450-M448-Diligence!M144</f>
        <v/>
      </c>
      <c r="N451" s="31">
        <f>Diligence!N139-Diligence!N140-Diligence!N141-N450-N448-Diligence!N144</f>
        <v/>
      </c>
      <c r="O451" s="31">
        <f>Diligence!O139-Diligence!O140-Diligence!O141-O450-O448-Diligence!O144</f>
        <v/>
      </c>
      <c r="P451" s="31">
        <f>Diligence!P139-Diligence!P140-Diligence!P141-P450-P448-Diligence!P144</f>
        <v/>
      </c>
      <c r="Q451" s="31">
        <f>Diligence!Q139-Diligence!Q140-Diligence!Q141-Q450-Q448-Diligence!Q144</f>
        <v/>
      </c>
      <c r="R451" s="31">
        <f>Diligence!R139-Diligence!R140-Diligence!R141-R450-R448-Diligence!R144</f>
        <v/>
      </c>
      <c r="S451" s="31">
        <f>Diligence!S139-Diligence!S140-Diligence!S141-S450-S448-Diligence!S144</f>
        <v/>
      </c>
      <c r="T451" s="31">
        <f>Diligence!T139-Diligence!T140-Diligence!T141-T450-T448-Diligence!T144</f>
        <v/>
      </c>
      <c r="U451" s="31">
        <f>Diligence!U139-Diligence!U140-Diligence!U141-U450-U448-Diligence!U144</f>
        <v/>
      </c>
      <c r="V451" s="31">
        <f>Diligence!V139-Diligence!V140-Diligence!V141-V450-V448-Diligence!V144</f>
        <v/>
      </c>
      <c r="W451" s="31">
        <f>Diligence!W139-Diligence!W140-Diligence!W141-W450-W448-Diligence!W144</f>
        <v/>
      </c>
      <c r="X451" s="31">
        <f>Diligence!X139-Diligence!X140-Diligence!X141-X450-X448-Diligence!X144</f>
        <v/>
      </c>
      <c r="Y451" s="31">
        <f>Diligence!Y139-Diligence!Y140-Diligence!Y141-Y450-Y448-Diligence!Y144</f>
        <v/>
      </c>
      <c r="Z451" s="31">
        <f>Diligence!Z139-Diligence!Z140-Diligence!Z141-Z450-Z448-Diligence!Z144</f>
        <v/>
      </c>
      <c r="AA451" s="31">
        <f>Diligence!AA139-Diligence!AA140-Diligence!AA141-AA450-AA448-Diligence!AA144</f>
        <v/>
      </c>
      <c r="AB451" s="31">
        <f>Diligence!AB139-Diligence!AB140-Diligence!AB141-AB450-AB448-Diligence!AB144</f>
        <v/>
      </c>
      <c r="AC451" s="31">
        <f>Diligence!AC139-Diligence!AC140-Diligence!AC141-AC450-AC448-Diligence!AC144</f>
        <v/>
      </c>
      <c r="AD451" s="31">
        <f>Diligence!AD139-Diligence!AD140-Diligence!AD141-AD450-AD448-Diligence!AD144</f>
        <v/>
      </c>
      <c r="AE451" s="31">
        <f>Diligence!AE139-Diligence!AE140-Diligence!AE141-AE450-AE448-Diligence!AE144</f>
        <v/>
      </c>
      <c r="AF451" s="31">
        <f>Diligence!AF139-Diligence!AF140-Diligence!AF141-AF450-AF448-Diligence!AF144</f>
        <v/>
      </c>
      <c r="AG451" s="31">
        <f>Diligence!AG139-Diligence!AG140-Diligence!AG141-AG450-AG448-Diligence!AG144</f>
        <v/>
      </c>
      <c r="AH451" s="31">
        <f>Diligence!AH139-Diligence!AH140-Diligence!AH141-AH450-AH448-Diligence!AH144</f>
        <v/>
      </c>
      <c r="AI451" s="31">
        <f>Diligence!AI139-Diligence!AI140-Diligence!AI141-AI450-AI448-Diligence!AI144</f>
        <v/>
      </c>
    </row>
    <row r="452">
      <c r="B452" s="2" t="inlineStr">
        <is>
          <t>Exit EV at the end of the exit year (DCF at the exit rate)</t>
        </is>
      </c>
      <c r="C452" s="19">
        <f>SUMPRODUCT((Approvals!$D$3:$AI$3&gt;i_exit_year)*(Approvals!$D$3:$AI$3&lt;=i_last)*Diligence!$D$145:$AI$145/(1+Approvals!$C$399)^(Approvals!$D$3:$AI$3-i_exit_year))+Diligence!$AI$145/(Approvals!$C$399-i_g)/(1+Approvals!$C$399)^(i_last-i_exit_year)</f>
        <v/>
      </c>
    </row>
    <row r="453">
      <c r="B453" s="2" t="inlineStr">
        <is>
          <t>Debt at exit (bullets)</t>
        </is>
      </c>
      <c r="C453" s="19">
        <f>Approvals!$C$422+Approvals!$C$423</f>
        <v/>
      </c>
    </row>
    <row r="454">
      <c r="B454" s="3" t="inlineStr">
        <is>
          <t>Equity value at exit</t>
        </is>
      </c>
      <c r="C454" s="31">
        <f>Approvals!$C$452-Approvals!$C$453</f>
        <v/>
      </c>
    </row>
    <row r="455">
      <c r="B455" s="2" t="inlineStr">
        <is>
          <t>Minority option: EV at the end of 2031 (minority buyer's rate)</t>
        </is>
      </c>
      <c r="C455" s="19">
        <f>SUMPRODUCT((Approvals!$D$3:$AI$3&gt;i_min_year)*(Approvals!$D$3:$AI$3&lt;=i_last)*Diligence!$D$145:$AI$145/(1+i_min_r)^(Approvals!$D$3:$AI$3-i_min_year))+Diligence!$AI$145/(i_min_r-i_g)/(1+i_min_r)^(i_last-i_min_year)</f>
        <v/>
      </c>
    </row>
    <row r="456">
      <c r="B456" s="2" t="inlineStr">
        <is>
          <t>Minority option: equity value in 2031</t>
        </is>
      </c>
      <c r="C456" s="19">
        <f>Approvals!$C$455-Approvals!$C$453</f>
        <v/>
      </c>
    </row>
    <row r="457">
      <c r="B457" s="2" t="inlineStr">
        <is>
          <t>Minority option: proceeds of the 49 percent sold</t>
        </is>
      </c>
      <c r="C457" s="19">
        <f>Approvals!$C$398*i_min_share*Approvals!$C$456*(1-i_min_disc)</f>
        <v/>
      </c>
    </row>
    <row r="458">
      <c r="B458" s="4" t="inlineStr">
        <is>
          <t>Time of each flow (years after 31 December 2026)</t>
        </is>
      </c>
      <c r="D458" s="28">
        <f>D$4</f>
        <v/>
      </c>
      <c r="E458" s="28">
        <f>E$4</f>
        <v/>
      </c>
      <c r="F458" s="28">
        <f>F$4</f>
        <v/>
      </c>
      <c r="G458" s="28">
        <f>G$4</f>
        <v/>
      </c>
      <c r="H458" s="28">
        <f>H$4</f>
        <v/>
      </c>
      <c r="I458" s="28">
        <f>I$4</f>
        <v/>
      </c>
      <c r="J458" s="28">
        <f>J$4</f>
        <v/>
      </c>
      <c r="K458" s="28">
        <f>K$4</f>
        <v/>
      </c>
      <c r="L458" s="28">
        <f>L$4</f>
        <v/>
      </c>
      <c r="M458" s="28">
        <f>M$4</f>
        <v/>
      </c>
      <c r="N458" s="28">
        <f>N$4</f>
        <v/>
      </c>
      <c r="O458" s="28">
        <f>O$4</f>
        <v/>
      </c>
      <c r="P458" s="28">
        <f>P$4</f>
        <v/>
      </c>
      <c r="Q458" s="28">
        <f>Q$4</f>
        <v/>
      </c>
      <c r="R458" s="28">
        <f>R$4</f>
        <v/>
      </c>
      <c r="S458" s="28">
        <f>S$4</f>
        <v/>
      </c>
      <c r="T458" s="28">
        <f>T$4</f>
        <v/>
      </c>
      <c r="U458" s="28">
        <f>U$4</f>
        <v/>
      </c>
      <c r="V458" s="28">
        <f>V$4</f>
        <v/>
      </c>
      <c r="W458" s="28">
        <f>W$4</f>
        <v/>
      </c>
      <c r="X458" s="28">
        <f>X$4</f>
        <v/>
      </c>
      <c r="Y458" s="28">
        <f>Y$4</f>
        <v/>
      </c>
      <c r="Z458" s="28">
        <f>Z$4</f>
        <v/>
      </c>
      <c r="AA458" s="28">
        <f>AA$4</f>
        <v/>
      </c>
      <c r="AB458" s="28">
        <f>AB$4</f>
        <v/>
      </c>
      <c r="AC458" s="28">
        <f>AC$4</f>
        <v/>
      </c>
      <c r="AD458" s="28">
        <f>AD$4</f>
        <v/>
      </c>
      <c r="AE458" s="28">
        <f>AE$4</f>
        <v/>
      </c>
      <c r="AF458" s="28">
        <f>AF$4</f>
        <v/>
      </c>
      <c r="AG458" s="28">
        <f>AG$4</f>
        <v/>
      </c>
      <c r="AH458" s="28">
        <f>AH$4</f>
        <v/>
      </c>
      <c r="AI458" s="28">
        <f>AI$4</f>
        <v/>
      </c>
      <c r="AJ458" s="28">
        <f>Approvals!$C$396</f>
        <v/>
      </c>
      <c r="AK458" s="28">
        <f>i_min_year-i_base_year</f>
        <v/>
      </c>
      <c r="AL458" s="28">
        <f>i_exit_year-i_base_year</f>
        <v/>
      </c>
    </row>
    <row r="459">
      <c r="B459" s="3" t="inlineStr">
        <is>
          <t>Levered flows (equity)</t>
        </is>
      </c>
      <c r="D459" s="31">
        <f>D446*D451*IF(AND(Approvals!$C$398=1,D458&gt;$AK$458+1E-9),1-i_min_share,1)</f>
        <v/>
      </c>
      <c r="E459" s="31">
        <f>E446*E451*IF(AND(Approvals!$C$398=1,E458&gt;$AK$458+1E-9),1-i_min_share,1)</f>
        <v/>
      </c>
      <c r="F459" s="31">
        <f>F446*F451*IF(AND(Approvals!$C$398=1,F458&gt;$AK$458+1E-9),1-i_min_share,1)</f>
        <v/>
      </c>
      <c r="G459" s="31">
        <f>G446*G451*IF(AND(Approvals!$C$398=1,G458&gt;$AK$458+1E-9),1-i_min_share,1)</f>
        <v/>
      </c>
      <c r="H459" s="31">
        <f>H446*H451*IF(AND(Approvals!$C$398=1,H458&gt;$AK$458+1E-9),1-i_min_share,1)</f>
        <v/>
      </c>
      <c r="I459" s="31">
        <f>I446*I451*IF(AND(Approvals!$C$398=1,I458&gt;$AK$458+1E-9),1-i_min_share,1)</f>
        <v/>
      </c>
      <c r="J459" s="31">
        <f>J446*J451*IF(AND(Approvals!$C$398=1,J458&gt;$AK$458+1E-9),1-i_min_share,1)</f>
        <v/>
      </c>
      <c r="K459" s="31">
        <f>K446*K451*IF(AND(Approvals!$C$398=1,K458&gt;$AK$458+1E-9),1-i_min_share,1)</f>
        <v/>
      </c>
      <c r="L459" s="31">
        <f>L446*L451*IF(AND(Approvals!$C$398=1,L458&gt;$AK$458+1E-9),1-i_min_share,1)</f>
        <v/>
      </c>
      <c r="M459" s="31">
        <f>M446*M451*IF(AND(Approvals!$C$398=1,M458&gt;$AK$458+1E-9),1-i_min_share,1)</f>
        <v/>
      </c>
      <c r="N459" s="31">
        <f>N446*N451*IF(AND(Approvals!$C$398=1,N458&gt;$AK$458+1E-9),1-i_min_share,1)</f>
        <v/>
      </c>
      <c r="O459" s="31">
        <f>O446*O451*IF(AND(Approvals!$C$398=1,O458&gt;$AK$458+1E-9),1-i_min_share,1)</f>
        <v/>
      </c>
      <c r="P459" s="31">
        <f>P446*P451*IF(AND(Approvals!$C$398=1,P458&gt;$AK$458+1E-9),1-i_min_share,1)</f>
        <v/>
      </c>
      <c r="Q459" s="31">
        <f>Q446*Q451*IF(AND(Approvals!$C$398=1,Q458&gt;$AK$458+1E-9),1-i_min_share,1)</f>
        <v/>
      </c>
      <c r="R459" s="31">
        <f>R446*R451*IF(AND(Approvals!$C$398=1,R458&gt;$AK$458+1E-9),1-i_min_share,1)</f>
        <v/>
      </c>
      <c r="S459" s="31">
        <f>S446*S451*IF(AND(Approvals!$C$398=1,S458&gt;$AK$458+1E-9),1-i_min_share,1)</f>
        <v/>
      </c>
      <c r="T459" s="31">
        <f>T446*T451*IF(AND(Approvals!$C$398=1,T458&gt;$AK$458+1E-9),1-i_min_share,1)</f>
        <v/>
      </c>
      <c r="U459" s="31">
        <f>U446*U451*IF(AND(Approvals!$C$398=1,U458&gt;$AK$458+1E-9),1-i_min_share,1)</f>
        <v/>
      </c>
      <c r="V459" s="31">
        <f>V446*V451*IF(AND(Approvals!$C$398=1,V458&gt;$AK$458+1E-9),1-i_min_share,1)</f>
        <v/>
      </c>
      <c r="W459" s="31">
        <f>W446*W451*IF(AND(Approvals!$C$398=1,W458&gt;$AK$458+1E-9),1-i_min_share,1)</f>
        <v/>
      </c>
      <c r="X459" s="31">
        <f>X446*X451*IF(AND(Approvals!$C$398=1,X458&gt;$AK$458+1E-9),1-i_min_share,1)</f>
        <v/>
      </c>
      <c r="Y459" s="31">
        <f>Y446*Y451*IF(AND(Approvals!$C$398=1,Y458&gt;$AK$458+1E-9),1-i_min_share,1)</f>
        <v/>
      </c>
      <c r="Z459" s="31">
        <f>Z446*Z451*IF(AND(Approvals!$C$398=1,Z458&gt;$AK$458+1E-9),1-i_min_share,1)</f>
        <v/>
      </c>
      <c r="AA459" s="31">
        <f>AA446*AA451*IF(AND(Approvals!$C$398=1,AA458&gt;$AK$458+1E-9),1-i_min_share,1)</f>
        <v/>
      </c>
      <c r="AB459" s="31">
        <f>AB446*AB451*IF(AND(Approvals!$C$398=1,AB458&gt;$AK$458+1E-9),1-i_min_share,1)</f>
        <v/>
      </c>
      <c r="AC459" s="31">
        <f>AC446*AC451*IF(AND(Approvals!$C$398=1,AC458&gt;$AK$458+1E-9),1-i_min_share,1)</f>
        <v/>
      </c>
      <c r="AD459" s="31">
        <f>AD446*AD451*IF(AND(Approvals!$C$398=1,AD458&gt;$AK$458+1E-9),1-i_min_share,1)</f>
        <v/>
      </c>
      <c r="AE459" s="31">
        <f>AE446*AE451*IF(AND(Approvals!$C$398=1,AE458&gt;$AK$458+1E-9),1-i_min_share,1)</f>
        <v/>
      </c>
      <c r="AF459" s="31">
        <f>AF446*AF451*IF(AND(Approvals!$C$398=1,AF458&gt;$AK$458+1E-9),1-i_min_share,1)</f>
        <v/>
      </c>
      <c r="AG459" s="31">
        <f>AG446*AG451*IF(AND(Approvals!$C$398=1,AG458&gt;$AK$458+1E-9),1-i_min_share,1)</f>
        <v/>
      </c>
      <c r="AH459" s="31">
        <f>AH446*AH451*IF(AND(Approvals!$C$398=1,AH458&gt;$AK$458+1E-9),1-i_min_share,1)</f>
        <v/>
      </c>
      <c r="AI459" s="31">
        <f>AI446*AI451*IF(AND(Approvals!$C$398=1,AI458&gt;$AK$458+1E-9),1-i_min_share,1)</f>
        <v/>
      </c>
      <c r="AJ459" s="31">
        <f>-Approvals!$C$442</f>
        <v/>
      </c>
      <c r="AK459" s="31">
        <f>Approvals!$C$457</f>
        <v/>
      </c>
      <c r="AL459" s="31">
        <f>Approvals!$C$454*IF(Approvals!$C$398=1,1-i_min_share,1)</f>
        <v/>
      </c>
    </row>
    <row r="460">
      <c r="B460" s="3" t="inlineStr">
        <is>
          <t>Unlevered flows (before financing)</t>
        </is>
      </c>
      <c r="D460" s="31">
        <f>D446*Diligence!D145</f>
        <v/>
      </c>
      <c r="E460" s="31">
        <f>E446*Diligence!E145</f>
        <v/>
      </c>
      <c r="F460" s="31">
        <f>F446*Diligence!F145</f>
        <v/>
      </c>
      <c r="G460" s="31">
        <f>G446*Diligence!G145</f>
        <v/>
      </c>
      <c r="H460" s="31">
        <f>H446*Diligence!H145</f>
        <v/>
      </c>
      <c r="I460" s="31">
        <f>I446*Diligence!I145</f>
        <v/>
      </c>
      <c r="J460" s="31">
        <f>J446*Diligence!J145</f>
        <v/>
      </c>
      <c r="K460" s="31">
        <f>K446*Diligence!K145</f>
        <v/>
      </c>
      <c r="L460" s="31">
        <f>L446*Diligence!L145</f>
        <v/>
      </c>
      <c r="M460" s="31">
        <f>M446*Diligence!M145</f>
        <v/>
      </c>
      <c r="N460" s="31">
        <f>N446*Diligence!N145</f>
        <v/>
      </c>
      <c r="O460" s="31">
        <f>O446*Diligence!O145</f>
        <v/>
      </c>
      <c r="P460" s="31">
        <f>P446*Diligence!P145</f>
        <v/>
      </c>
      <c r="Q460" s="31">
        <f>Q446*Diligence!Q145</f>
        <v/>
      </c>
      <c r="R460" s="31">
        <f>R446*Diligence!R145</f>
        <v/>
      </c>
      <c r="S460" s="31">
        <f>S446*Diligence!S145</f>
        <v/>
      </c>
      <c r="T460" s="31">
        <f>T446*Diligence!T145</f>
        <v/>
      </c>
      <c r="U460" s="31">
        <f>U446*Diligence!U145</f>
        <v/>
      </c>
      <c r="V460" s="31">
        <f>V446*Diligence!V145</f>
        <v/>
      </c>
      <c r="W460" s="31">
        <f>W446*Diligence!W145</f>
        <v/>
      </c>
      <c r="X460" s="31">
        <f>X446*Diligence!X145</f>
        <v/>
      </c>
      <c r="Y460" s="31">
        <f>Y446*Diligence!Y145</f>
        <v/>
      </c>
      <c r="Z460" s="31">
        <f>Z446*Diligence!Z145</f>
        <v/>
      </c>
      <c r="AA460" s="31">
        <f>AA446*Diligence!AA145</f>
        <v/>
      </c>
      <c r="AB460" s="31">
        <f>AB446*Diligence!AB145</f>
        <v/>
      </c>
      <c r="AC460" s="31">
        <f>AC446*Diligence!AC145</f>
        <v/>
      </c>
      <c r="AD460" s="31">
        <f>AD446*Diligence!AD145</f>
        <v/>
      </c>
      <c r="AE460" s="31">
        <f>AE446*Diligence!AE145</f>
        <v/>
      </c>
      <c r="AF460" s="31">
        <f>AF446*Diligence!AF145</f>
        <v/>
      </c>
      <c r="AG460" s="31">
        <f>AG446*Diligence!AG145</f>
        <v/>
      </c>
      <c r="AH460" s="31">
        <f>AH446*Diligence!AH145</f>
        <v/>
      </c>
      <c r="AI460" s="31">
        <f>AI446*Diligence!AI145</f>
        <v/>
      </c>
      <c r="AJ460" s="31">
        <f>-(Approvals!$C$437-Approvals!$C$415-Approvals!$C$427)</f>
        <v/>
      </c>
      <c r="AK460" s="19" t="n">
        <v>0</v>
      </c>
      <c r="AL460" s="31">
        <f>Approvals!$C$452</f>
        <v/>
      </c>
    </row>
    <row r="461">
      <c r="B461" s="4" t="inlineStr">
        <is>
          <t>Levered IRR (Newton steps from 10 percent)</t>
        </is>
      </c>
      <c r="D461" s="38" t="n">
        <v>0.1</v>
      </c>
      <c r="E461" s="40">
        <f>D461-SUMPRODUCT($D$459:$AL$459,(1+D461)^(-$D$458:$AL$458))/SUMPRODUCT($D$459:$AL$459*(-$D$458:$AL$458),(1+D461)^(-$D$458:$AL$458-1))</f>
        <v/>
      </c>
      <c r="F461" s="40">
        <f>E461-SUMPRODUCT($D$459:$AL$459,(1+E461)^(-$D$458:$AL$458))/SUMPRODUCT($D$459:$AL$459*(-$D$458:$AL$458),(1+E461)^(-$D$458:$AL$458-1))</f>
        <v/>
      </c>
      <c r="G461" s="40">
        <f>F461-SUMPRODUCT($D$459:$AL$459,(1+F461)^(-$D$458:$AL$458))/SUMPRODUCT($D$459:$AL$459*(-$D$458:$AL$458),(1+F461)^(-$D$458:$AL$458-1))</f>
        <v/>
      </c>
      <c r="H461" s="40">
        <f>G461-SUMPRODUCT($D$459:$AL$459,(1+G461)^(-$D$458:$AL$458))/SUMPRODUCT($D$459:$AL$459*(-$D$458:$AL$458),(1+G461)^(-$D$458:$AL$458-1))</f>
        <v/>
      </c>
      <c r="I461" s="40">
        <f>H461-SUMPRODUCT($D$459:$AL$459,(1+H461)^(-$D$458:$AL$458))/SUMPRODUCT($D$459:$AL$459*(-$D$458:$AL$458),(1+H461)^(-$D$458:$AL$458-1))</f>
        <v/>
      </c>
      <c r="J461" s="40">
        <f>I461-SUMPRODUCT($D$459:$AL$459,(1+I461)^(-$D$458:$AL$458))/SUMPRODUCT($D$459:$AL$459*(-$D$458:$AL$458),(1+I461)^(-$D$458:$AL$458-1))</f>
        <v/>
      </c>
      <c r="K461" s="40">
        <f>J461-SUMPRODUCT($D$459:$AL$459,(1+J461)^(-$D$458:$AL$458))/SUMPRODUCT($D$459:$AL$459*(-$D$458:$AL$458),(1+J461)^(-$D$458:$AL$458-1))</f>
        <v/>
      </c>
      <c r="L461" s="40">
        <f>K461-SUMPRODUCT($D$459:$AL$459,(1+K461)^(-$D$458:$AL$458))/SUMPRODUCT($D$459:$AL$459*(-$D$458:$AL$458),(1+K461)^(-$D$458:$AL$458-1))</f>
        <v/>
      </c>
      <c r="M461" s="40">
        <f>L461-SUMPRODUCT($D$459:$AL$459,(1+L461)^(-$D$458:$AL$458))/SUMPRODUCT($D$459:$AL$459*(-$D$458:$AL$458),(1+L461)^(-$D$458:$AL$458-1))</f>
        <v/>
      </c>
      <c r="N461" s="40">
        <f>M461-SUMPRODUCT($D$459:$AL$459,(1+M461)^(-$D$458:$AL$458))/SUMPRODUCT($D$459:$AL$459*(-$D$458:$AL$458),(1+M461)^(-$D$458:$AL$458-1))</f>
        <v/>
      </c>
      <c r="O461" s="40">
        <f>N461-SUMPRODUCT($D$459:$AL$459,(1+N461)^(-$D$458:$AL$458))/SUMPRODUCT($D$459:$AL$459*(-$D$458:$AL$458),(1+N461)^(-$D$458:$AL$458-1))</f>
        <v/>
      </c>
      <c r="P461" s="40">
        <f>O461-SUMPRODUCT($D$459:$AL$459,(1+O461)^(-$D$458:$AL$458))/SUMPRODUCT($D$459:$AL$459*(-$D$458:$AL$458),(1+O461)^(-$D$458:$AL$458-1))</f>
        <v/>
      </c>
      <c r="Q461" s="40">
        <f>P461-SUMPRODUCT($D$459:$AL$459,(1+P461)^(-$D$458:$AL$458))/SUMPRODUCT($D$459:$AL$459*(-$D$458:$AL$458),(1+P461)^(-$D$458:$AL$458-1))</f>
        <v/>
      </c>
      <c r="R461" s="40">
        <f>Q461-SUMPRODUCT($D$459:$AL$459,(1+Q461)^(-$D$458:$AL$458))/SUMPRODUCT($D$459:$AL$459*(-$D$458:$AL$458),(1+Q461)^(-$D$458:$AL$458-1))</f>
        <v/>
      </c>
    </row>
    <row r="462">
      <c r="B462" s="4" t="inlineStr">
        <is>
          <t>Unlevered IRR (Newton steps from 10 percent)</t>
        </is>
      </c>
      <c r="D462" s="38" t="n">
        <v>0.1</v>
      </c>
      <c r="E462" s="40">
        <f>D462-SUMPRODUCT($D$460:$AL$460,(1+D462)^(-$D$458:$AL$458))/SUMPRODUCT($D$460:$AL$460*(-$D$458:$AL$458),(1+D462)^(-$D$458:$AL$458-1))</f>
        <v/>
      </c>
      <c r="F462" s="40">
        <f>E462-SUMPRODUCT($D$460:$AL$460,(1+E462)^(-$D$458:$AL$458))/SUMPRODUCT($D$460:$AL$460*(-$D$458:$AL$458),(1+E462)^(-$D$458:$AL$458-1))</f>
        <v/>
      </c>
      <c r="G462" s="40">
        <f>F462-SUMPRODUCT($D$460:$AL$460,(1+F462)^(-$D$458:$AL$458))/SUMPRODUCT($D$460:$AL$460*(-$D$458:$AL$458),(1+F462)^(-$D$458:$AL$458-1))</f>
        <v/>
      </c>
      <c r="H462" s="40">
        <f>G462-SUMPRODUCT($D$460:$AL$460,(1+G462)^(-$D$458:$AL$458))/SUMPRODUCT($D$460:$AL$460*(-$D$458:$AL$458),(1+G462)^(-$D$458:$AL$458-1))</f>
        <v/>
      </c>
      <c r="I462" s="40">
        <f>H462-SUMPRODUCT($D$460:$AL$460,(1+H462)^(-$D$458:$AL$458))/SUMPRODUCT($D$460:$AL$460*(-$D$458:$AL$458),(1+H462)^(-$D$458:$AL$458-1))</f>
        <v/>
      </c>
      <c r="J462" s="40">
        <f>I462-SUMPRODUCT($D$460:$AL$460,(1+I462)^(-$D$458:$AL$458))/SUMPRODUCT($D$460:$AL$460*(-$D$458:$AL$458),(1+I462)^(-$D$458:$AL$458-1))</f>
        <v/>
      </c>
      <c r="K462" s="40">
        <f>J462-SUMPRODUCT($D$460:$AL$460,(1+J462)^(-$D$458:$AL$458))/SUMPRODUCT($D$460:$AL$460*(-$D$458:$AL$458),(1+J462)^(-$D$458:$AL$458-1))</f>
        <v/>
      </c>
      <c r="L462" s="40">
        <f>K462-SUMPRODUCT($D$460:$AL$460,(1+K462)^(-$D$458:$AL$458))/SUMPRODUCT($D$460:$AL$460*(-$D$458:$AL$458),(1+K462)^(-$D$458:$AL$458-1))</f>
        <v/>
      </c>
      <c r="M462" s="40">
        <f>L462-SUMPRODUCT($D$460:$AL$460,(1+L462)^(-$D$458:$AL$458))/SUMPRODUCT($D$460:$AL$460*(-$D$458:$AL$458),(1+L462)^(-$D$458:$AL$458-1))</f>
        <v/>
      </c>
      <c r="N462" s="40">
        <f>M462-SUMPRODUCT($D$460:$AL$460,(1+M462)^(-$D$458:$AL$458))/SUMPRODUCT($D$460:$AL$460*(-$D$458:$AL$458),(1+M462)^(-$D$458:$AL$458-1))</f>
        <v/>
      </c>
      <c r="O462" s="40">
        <f>N462-SUMPRODUCT($D$460:$AL$460,(1+N462)^(-$D$458:$AL$458))/SUMPRODUCT($D$460:$AL$460*(-$D$458:$AL$458),(1+N462)^(-$D$458:$AL$458-1))</f>
        <v/>
      </c>
      <c r="P462" s="40">
        <f>O462-SUMPRODUCT($D$460:$AL$460,(1+O462)^(-$D$458:$AL$458))/SUMPRODUCT($D$460:$AL$460*(-$D$458:$AL$458),(1+O462)^(-$D$458:$AL$458-1))</f>
        <v/>
      </c>
      <c r="Q462" s="40">
        <f>P462-SUMPRODUCT($D$460:$AL$460,(1+P462)^(-$D$458:$AL$458))/SUMPRODUCT($D$460:$AL$460*(-$D$458:$AL$458),(1+P462)^(-$D$458:$AL$458-1))</f>
        <v/>
      </c>
      <c r="R462" s="40">
        <f>Q462-SUMPRODUCT($D$460:$AL$460,(1+Q462)^(-$D$458:$AL$458))/SUMPRODUCT($D$460:$AL$460*(-$D$458:$AL$458),(1+Q462)^(-$D$458:$AL$458-1))</f>
        <v/>
      </c>
    </row>
    <row r="463">
      <c r="B463" s="3" t="inlineStr">
        <is>
          <t>Levered IRR (equity)</t>
        </is>
      </c>
      <c r="C463" s="33">
        <f>R461</f>
        <v/>
      </c>
    </row>
    <row r="464">
      <c r="B464" s="3" t="inlineStr">
        <is>
          <t>Unlevered IRR</t>
        </is>
      </c>
      <c r="C464" s="33">
        <f>R462</f>
        <v/>
      </c>
    </row>
    <row r="465">
      <c r="B465" s="2" t="inlineStr">
        <is>
          <t>Check: levered NPV at the levered IRR</t>
        </is>
      </c>
      <c r="C465" s="41">
        <f>SUMPRODUCT($D$459:$AL$459,(1+Approvals!$C$463)^(-$D$458:$AL$458))</f>
        <v/>
      </c>
    </row>
    <row r="466">
      <c r="B466" s="2" t="inlineStr">
        <is>
          <t>Check: unlevered NPV at the unlevered IRR</t>
        </is>
      </c>
      <c r="C466" s="41">
        <f>SUMPRODUCT($D$460:$AL$460,(1+Approvals!$C$464)^(-$D$458:$AL$458))</f>
        <v/>
      </c>
    </row>
    <row r="467">
      <c r="B467" s="2" t="inlineStr">
        <is>
          <t>Money multiple (cash in over cash out)</t>
        </is>
      </c>
      <c r="C467" s="37">
        <f>SUMIF($D$459:$AL$459,"&gt;0")/-SUMIF($D$459:$AL$459,"&lt;0")</f>
        <v/>
      </c>
    </row>
    <row r="468">
      <c r="B468" s="2" t="inlineStr">
        <is>
          <t>Present value at the target IRR of the flows after closing</t>
        </is>
      </c>
      <c r="C468" s="19">
        <f>SUMPRODUCT($D$459:$AL$459,(1+i_hurdle)^(-$D$458:$AL$458))+Approvals!$C$442*(1+i_hurdle)^(-Approvals!$C$396)</f>
        <v/>
      </c>
    </row>
    <row r="469">
      <c r="B469" s="2" t="inlineStr">
        <is>
          <t>Equity cheque that gives exactly the target IRR</t>
        </is>
      </c>
      <c r="C469" s="19">
        <f>Approvals!$C$468*(1+i_hurdle)^Approvals!$C$396</f>
        <v/>
      </c>
    </row>
    <row r="470">
      <c r="B470" s="2" t="inlineStr">
        <is>
          <t>EV less equity price (fixed bridge items)</t>
        </is>
      </c>
      <c r="C470" s="19">
        <f>Approvals!$C$401-Approvals!$C$407</f>
        <v/>
      </c>
    </row>
    <row r="471">
      <c r="B471" s="2" t="inlineStr">
        <is>
          <t>Equity cheque items that do not move with the price</t>
        </is>
      </c>
      <c r="C471" s="19">
        <f>Approvals!$C$432+Approvals!$C$404+i_costs_adv+Approvals!$C$427+Approvals!$C$428-Approvals!$C$422-Approvals!$C$423-Approvals!$C$415</f>
        <v/>
      </c>
    </row>
    <row r="472">
      <c r="B472" s="2" t="inlineStr">
        <is>
          <t>Walk-away EV, first pass (HSR fee at the bid)</t>
        </is>
      </c>
      <c r="C472" s="19">
        <f>(Approvals!$C$469-Approvals!$C$471-Approvals!$C$425+Approvals!$C$470*(1+i_ticking*Approvals!$C$396))/(1+i_ticking*Approvals!$C$396+i_wi_limit_pct*i_wi_rol*(1+i_wi_ipt))</f>
        <v/>
      </c>
    </row>
    <row r="473">
      <c r="B473" s="3" t="inlineStr">
        <is>
          <t>Walk-away EV (highest EV at the target IRR)</t>
        </is>
      </c>
      <c r="C473" s="31">
        <f>(Approvals!$C$469-Approvals!$C$471-IF(Approvals!$C$472-Approvals!$C$470&lt;INDEX(i_hsr_lo,1),0,LOOKUP(Approvals!$C$472-Approvals!$C$470,i_hsr_lo,i_hsr_fee))+Approvals!$C$470*(1+i_ticking*Approvals!$C$396))/(1+i_ticking*Approvals!$C$396+i_wi_limit_pct*i_wi_rol*(1+i_wi_ipt))</f>
        <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B1:C21"/>
  <sheetViews>
    <sheetView showGridLines="0" zoomScale="90" workbookViewId="0">
      <selection activeCell="A1" sqref="A1"/>
    </sheetView>
  </sheetViews>
  <sheetFormatPr baseColWidth="8" defaultRowHeight="15"/>
  <cols>
    <col width="2" customWidth="1" min="1" max="1"/>
    <col width="60" customWidth="1" min="2" max="2"/>
    <col width="13" customWidth="1" min="3" max="3"/>
  </cols>
  <sheetData>
    <row r="1">
      <c r="B1" s="1" t="inlineStr">
        <is>
          <t>SPA: W&amp;I insurance, the worked claim and the earn-out (chapter 14)</t>
        </is>
      </c>
    </row>
    <row r="3">
      <c r="B3" s="5" t="inlineStr">
        <is>
          <t>Buy-side W&amp;I policy</t>
        </is>
      </c>
    </row>
    <row r="4">
      <c r="B4" s="2" t="inlineStr">
        <is>
          <t>Limit (share of EV x bid EV)</t>
        </is>
      </c>
      <c r="C4" s="19">
        <f>i_wi_limit_pct*i_bid_ev</f>
        <v/>
      </c>
    </row>
    <row r="5">
      <c r="B5" s="2" t="inlineStr">
        <is>
          <t>Premium before tax (rate on line x limit)</t>
        </is>
      </c>
      <c r="C5" s="35">
        <f>C4*i_wi_rol</f>
        <v/>
      </c>
    </row>
    <row r="6">
      <c r="B6" s="2" t="inlineStr">
        <is>
          <t>Premium with insurance premium tax</t>
        </is>
      </c>
      <c r="C6" s="35">
        <f>C5*(1+i_wi_ipt)</f>
        <v/>
      </c>
    </row>
    <row r="7">
      <c r="B7" s="2" t="inlineStr">
        <is>
          <t>Retention</t>
        </is>
      </c>
      <c r="C7" s="35">
        <f>i_wi_ret*i_bid_ev</f>
        <v/>
      </c>
    </row>
    <row r="8">
      <c r="B8" s="2" t="inlineStr">
        <is>
          <t>Retention after 12 months</t>
        </is>
      </c>
      <c r="C8" s="35">
        <f>i_wi_ret12*i_bid_ev</f>
        <v/>
      </c>
    </row>
    <row r="10">
      <c r="B10" s="5" t="inlineStr">
        <is>
          <t>Worked claim</t>
        </is>
      </c>
    </row>
    <row r="11">
      <c r="B11" s="2" t="inlineStr">
        <is>
          <t>Claim: Dutch tax assessment for 2025</t>
        </is>
      </c>
      <c r="C11" s="35">
        <f>i_wi_claim</f>
        <v/>
      </c>
    </row>
    <row r="12">
      <c r="B12" s="2" t="inlineStr">
        <is>
          <t>Retention that applies (claim found within 12 months?)</t>
        </is>
      </c>
      <c r="C12" s="35">
        <f>IF(i_wi_t_claim&lt;=12,C7,C8)</f>
        <v/>
      </c>
    </row>
    <row r="13">
      <c r="B13" s="3" t="inlineStr">
        <is>
          <t>Insurer pays</t>
        </is>
      </c>
      <c r="C13" s="44">
        <f>MAX(0,C11-C12)</f>
        <v/>
      </c>
    </row>
    <row r="14">
      <c r="B14" s="2" t="inlineStr">
        <is>
          <t>Northgate bears</t>
        </is>
      </c>
      <c r="C14" s="35">
        <f>MIN(C11,C12)</f>
        <v/>
      </c>
    </row>
    <row r="16">
      <c r="B16" s="5" t="inlineStr">
        <is>
          <t>Earn-out (Bids sheet)</t>
        </is>
      </c>
    </row>
    <row r="17">
      <c r="B17" s="2" t="inlineStr">
        <is>
          <t>Earn-out amount</t>
        </is>
      </c>
      <c r="C17" s="19">
        <f>i_earnout</f>
        <v/>
      </c>
    </row>
    <row r="18">
      <c r="B18" s="2" t="inlineStr">
        <is>
          <t>Present value at 6.5 percent</t>
        </is>
      </c>
      <c r="C18" s="19">
        <f>Bids!$C$9</f>
        <v/>
      </c>
    </row>
    <row r="19">
      <c r="B19" s="2" t="inlineStr">
        <is>
          <t>Expected cost to the buyer</t>
        </is>
      </c>
      <c r="C19" s="19">
        <f>Bids!$C$10</f>
        <v/>
      </c>
    </row>
    <row r="20">
      <c r="B20" s="2" t="inlineStr">
        <is>
          <t>Expected expansion value to the buyer</t>
        </is>
      </c>
      <c r="C20" s="19">
        <f>Bids!$C$11</f>
        <v/>
      </c>
    </row>
    <row r="21">
      <c r="B21" s="2" t="inlineStr">
        <is>
          <t>Value to the seller</t>
        </is>
      </c>
      <c r="C21" s="19">
        <f>Bids!$C$12</f>
        <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B1:F16"/>
  <sheetViews>
    <sheetView showGridLines="0" zoomScale="90" workbookViewId="0">
      <selection activeCell="A1" sqref="A1"/>
    </sheetView>
  </sheetViews>
  <sheetFormatPr baseColWidth="8" defaultRowHeight="15"/>
  <cols>
    <col width="2" customWidth="1" min="1" max="1"/>
    <col width="48" customWidth="1" min="2" max="2"/>
    <col width="14" customWidth="1" min="3" max="3"/>
    <col width="14" customWidth="1" min="4" max="4"/>
    <col width="14" customWidth="1" min="5" max="5"/>
    <col width="14" customWidth="1" min="6" max="6"/>
  </cols>
  <sheetData>
    <row r="1">
      <c r="B1" s="1" t="inlineStr">
        <is>
          <t>Consortium: shares, cheques, dead deal costs and governance (chapter 7)</t>
        </is>
      </c>
    </row>
    <row r="3">
      <c r="B3" s="5" t="inlineStr">
        <is>
          <t>Partner</t>
        </is>
      </c>
      <c r="C3" s="5" t="inlineStr">
        <is>
          <t>Share</t>
        </is>
      </c>
      <c r="D3" s="5" t="inlineStr">
        <is>
          <t>Equity at closing</t>
        </is>
      </c>
      <c r="E3" s="5" t="inlineStr">
        <is>
          <t>Board seats</t>
        </is>
      </c>
      <c r="F3" s="5" t="inlineStr">
        <is>
          <t>Dead deal costs</t>
        </is>
      </c>
    </row>
    <row r="4">
      <c r="B4" s="2" t="inlineStr">
        <is>
          <t>Northgate Infrastructure Partners (lead)</t>
        </is>
      </c>
      <c r="C4" s="21">
        <f>i_ng_share</f>
        <v/>
      </c>
      <c r="D4" s="19">
        <f>C4*Financing!$C$31</f>
        <v/>
      </c>
      <c r="E4" s="22">
        <f>i_ng_seats</f>
        <v/>
      </c>
      <c r="F4" s="19">
        <f>C4*i_bid_costs</f>
        <v/>
      </c>
    </row>
    <row r="5">
      <c r="B5" s="2" t="inlineStr">
        <is>
          <t>Laurentide Pension Plan</t>
        </is>
      </c>
      <c r="C5" s="21">
        <f>i_la_share</f>
        <v/>
      </c>
      <c r="D5" s="19">
        <f>C5*Financing!$C$31</f>
        <v/>
      </c>
      <c r="E5" s="22">
        <f>i_la_seats</f>
        <v/>
      </c>
      <c r="F5" s="19">
        <f>C5*i_bid_costs</f>
        <v/>
      </c>
    </row>
    <row r="6">
      <c r="B6" s="2" t="inlineStr">
        <is>
          <t>Aldara Investment Authority (passive)</t>
        </is>
      </c>
      <c r="C6" s="21">
        <f>i_al_share</f>
        <v/>
      </c>
      <c r="D6" s="19">
        <f>C6*Financing!$C$31</f>
        <v/>
      </c>
      <c r="E6" s="22">
        <f>i_al_seats</f>
        <v/>
      </c>
      <c r="F6" s="19">
        <f>C6*i_bid_costs</f>
        <v/>
      </c>
    </row>
    <row r="7">
      <c r="B7" s="3" t="inlineStr">
        <is>
          <t>Total</t>
        </is>
      </c>
      <c r="C7" s="45">
        <f>SUM(C4:C6)</f>
        <v/>
      </c>
      <c r="D7" s="31">
        <f>SUM(D4:D6)</f>
        <v/>
      </c>
      <c r="E7" s="13">
        <f>SUM(E4:E6)+i_chair</f>
        <v/>
      </c>
      <c r="F7" s="31">
        <f>SUM(F4:F6)</f>
        <v/>
      </c>
    </row>
    <row r="9">
      <c r="B9" s="5" t="inlineStr">
        <is>
          <t>Reserved matters: which coalitions reach the threshold?</t>
        </is>
      </c>
      <c r="C9" s="5" t="inlineStr">
        <is>
          <t>Votes</t>
        </is>
      </c>
      <c r="D9" s="5" t="inlineStr">
        <is>
          <t>Passes</t>
        </is>
      </c>
    </row>
    <row r="10">
      <c r="B10" s="2" t="inlineStr">
        <is>
          <t>Northgate alone</t>
        </is>
      </c>
      <c r="C10" s="21">
        <f>i_ng_share</f>
        <v/>
      </c>
      <c r="D10" s="2">
        <f>IF(C10&gt;=i_reserved-1E-9,"yes","no")</f>
        <v/>
      </c>
    </row>
    <row r="11">
      <c r="B11" s="2" t="inlineStr">
        <is>
          <t>Northgate and Aldara</t>
        </is>
      </c>
      <c r="C11" s="21">
        <f>i_ng_share+i_al_share</f>
        <v/>
      </c>
      <c r="D11" s="2">
        <f>IF(C11&gt;=i_reserved-1E-9,"yes","no")</f>
        <v/>
      </c>
    </row>
    <row r="12">
      <c r="B12" s="2" t="inlineStr">
        <is>
          <t>Northgate and Laurentide</t>
        </is>
      </c>
      <c r="C12" s="21">
        <f>i_ng_share+i_la_share</f>
        <v/>
      </c>
      <c r="D12" s="2">
        <f>IF(C12&gt;=i_reserved-1E-9,"yes","no")</f>
        <v/>
      </c>
    </row>
    <row r="13">
      <c r="B13" s="2" t="inlineStr">
        <is>
          <t>Laurentide and Aldara</t>
        </is>
      </c>
      <c r="C13" s="21">
        <f>i_la_share+i_al_share</f>
        <v/>
      </c>
      <c r="D13" s="2">
        <f>IF(C13&gt;=i_reserved-1E-9,"yes","no")</f>
        <v/>
      </c>
    </row>
    <row r="14">
      <c r="B14" s="2" t="inlineStr">
        <is>
          <t>All three</t>
        </is>
      </c>
      <c r="C14" s="21">
        <f>i_ng_share+i_la_share+i_al_share</f>
        <v/>
      </c>
      <c r="D14" s="2">
        <f>IF(C14&gt;=i_reserved-1E-9,"yes","no")</f>
        <v/>
      </c>
    </row>
    <row r="16">
      <c r="B16" s="2" t="inlineStr">
        <is>
          <t>IRR of every partner (same terms)</t>
        </is>
      </c>
      <c r="C16" s="23">
        <f>Returns!$C$24</f>
        <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B1:AL129"/>
  <sheetViews>
    <sheetView showGridLines="0" zoomScale="90" workbookViewId="0">
      <selection activeCell="A1" sqref="A1"/>
    </sheetView>
  </sheetViews>
  <sheetFormatPr baseColWidth="8" defaultRowHeight="15"/>
  <cols>
    <col width="2" customWidth="1" min="1" max="1"/>
    <col width="52" customWidth="1" min="2" max="2"/>
    <col width="13"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 width="9.5" customWidth="1" min="29" max="29"/>
    <col width="9.5" customWidth="1" min="30" max="30"/>
    <col width="9.5" customWidth="1" min="31" max="31"/>
    <col width="9.5" customWidth="1" min="32" max="32"/>
    <col width="9.5" customWidth="1" min="33" max="33"/>
    <col width="9.5" customWidth="1" min="34" max="34"/>
    <col width="9.5" customWidth="1" min="35" max="35"/>
    <col width="11" customWidth="1" min="36" max="36"/>
    <col width="11" customWidth="1" min="37" max="37"/>
    <col width="11" customWidth="1" min="38" max="38"/>
  </cols>
  <sheetData>
    <row r="1">
      <c r="B1" s="1" t="inlineStr">
        <is>
          <t>Exit: minority sale in 2031, full sale in 2036, continuation vehicle (chapter 15)</t>
        </is>
      </c>
    </row>
    <row r="3">
      <c r="B3" s="5" t="inlineStr">
        <is>
          <t>Year</t>
        </is>
      </c>
      <c r="C3" s="6" t="n"/>
      <c r="D3" s="25">
        <f>i_base_year</f>
        <v/>
      </c>
      <c r="E3" s="25">
        <f>D3+1</f>
        <v/>
      </c>
      <c r="F3" s="25">
        <f>E3+1</f>
        <v/>
      </c>
      <c r="G3" s="25">
        <f>F3+1</f>
        <v/>
      </c>
      <c r="H3" s="25">
        <f>G3+1</f>
        <v/>
      </c>
      <c r="I3" s="25">
        <f>H3+1</f>
        <v/>
      </c>
      <c r="J3" s="25">
        <f>I3+1</f>
        <v/>
      </c>
      <c r="K3" s="25">
        <f>J3+1</f>
        <v/>
      </c>
      <c r="L3" s="25">
        <f>K3+1</f>
        <v/>
      </c>
      <c r="M3" s="25">
        <f>L3+1</f>
        <v/>
      </c>
      <c r="N3" s="25">
        <f>M3+1</f>
        <v/>
      </c>
      <c r="O3" s="25">
        <f>N3+1</f>
        <v/>
      </c>
      <c r="P3" s="25">
        <f>O3+1</f>
        <v/>
      </c>
      <c r="Q3" s="25">
        <f>P3+1</f>
        <v/>
      </c>
      <c r="R3" s="25">
        <f>Q3+1</f>
        <v/>
      </c>
      <c r="S3" s="25">
        <f>R3+1</f>
        <v/>
      </c>
      <c r="T3" s="25">
        <f>S3+1</f>
        <v/>
      </c>
      <c r="U3" s="25">
        <f>T3+1</f>
        <v/>
      </c>
      <c r="V3" s="25">
        <f>U3+1</f>
        <v/>
      </c>
      <c r="W3" s="25">
        <f>V3+1</f>
        <v/>
      </c>
      <c r="X3" s="25">
        <f>W3+1</f>
        <v/>
      </c>
      <c r="Y3" s="25">
        <f>X3+1</f>
        <v/>
      </c>
      <c r="Z3" s="25">
        <f>Y3+1</f>
        <v/>
      </c>
      <c r="AA3" s="25">
        <f>Z3+1</f>
        <v/>
      </c>
      <c r="AB3" s="25">
        <f>AA3+1</f>
        <v/>
      </c>
      <c r="AC3" s="25">
        <f>AB3+1</f>
        <v/>
      </c>
      <c r="AD3" s="25">
        <f>AC3+1</f>
        <v/>
      </c>
      <c r="AE3" s="25">
        <f>AD3+1</f>
        <v/>
      </c>
      <c r="AF3" s="25">
        <f>AE3+1</f>
        <v/>
      </c>
      <c r="AG3" s="25">
        <f>AF3+1</f>
        <v/>
      </c>
      <c r="AH3" s="25">
        <f>AG3+1</f>
        <v/>
      </c>
      <c r="AI3" s="25">
        <f>AH3+1</f>
        <v/>
      </c>
      <c r="AJ3" s="5" t="inlineStr">
        <is>
          <t>Closing</t>
        </is>
      </c>
      <c r="AK3" s="5" t="inlineStr">
        <is>
          <t>Minority sale</t>
        </is>
      </c>
      <c r="AL3" s="5" t="inlineStr">
        <is>
          <t>Exit</t>
        </is>
      </c>
    </row>
    <row r="4">
      <c r="B4" s="4" t="inlineStr">
        <is>
          <t>Years after 31 December 2026 (t)</t>
        </is>
      </c>
      <c r="D4" s="26">
        <f>D3-i_base_year</f>
        <v/>
      </c>
      <c r="E4" s="26">
        <f>E3-i_base_year</f>
        <v/>
      </c>
      <c r="F4" s="26">
        <f>F3-i_base_year</f>
        <v/>
      </c>
      <c r="G4" s="26">
        <f>G3-i_base_year</f>
        <v/>
      </c>
      <c r="H4" s="26">
        <f>H3-i_base_year</f>
        <v/>
      </c>
      <c r="I4" s="26">
        <f>I3-i_base_year</f>
        <v/>
      </c>
      <c r="J4" s="26">
        <f>J3-i_base_year</f>
        <v/>
      </c>
      <c r="K4" s="26">
        <f>K3-i_base_year</f>
        <v/>
      </c>
      <c r="L4" s="26">
        <f>L3-i_base_year</f>
        <v/>
      </c>
      <c r="M4" s="26">
        <f>M3-i_base_year</f>
        <v/>
      </c>
      <c r="N4" s="26">
        <f>N3-i_base_year</f>
        <v/>
      </c>
      <c r="O4" s="26">
        <f>O3-i_base_year</f>
        <v/>
      </c>
      <c r="P4" s="26">
        <f>P3-i_base_year</f>
        <v/>
      </c>
      <c r="Q4" s="26">
        <f>Q3-i_base_year</f>
        <v/>
      </c>
      <c r="R4" s="26">
        <f>R3-i_base_year</f>
        <v/>
      </c>
      <c r="S4" s="26">
        <f>S3-i_base_year</f>
        <v/>
      </c>
      <c r="T4" s="26">
        <f>T3-i_base_year</f>
        <v/>
      </c>
      <c r="U4" s="26">
        <f>U3-i_base_year</f>
        <v/>
      </c>
      <c r="V4" s="26">
        <f>V3-i_base_year</f>
        <v/>
      </c>
      <c r="W4" s="26">
        <f>W3-i_base_year</f>
        <v/>
      </c>
      <c r="X4" s="26">
        <f>X3-i_base_year</f>
        <v/>
      </c>
      <c r="Y4" s="26">
        <f>Y3-i_base_year</f>
        <v/>
      </c>
      <c r="Z4" s="26">
        <f>Z3-i_base_year</f>
        <v/>
      </c>
      <c r="AA4" s="26">
        <f>AA3-i_base_year</f>
        <v/>
      </c>
      <c r="AB4" s="26">
        <f>AB3-i_base_year</f>
        <v/>
      </c>
      <c r="AC4" s="26">
        <f>AC3-i_base_year</f>
        <v/>
      </c>
      <c r="AD4" s="26">
        <f>AD3-i_base_year</f>
        <v/>
      </c>
      <c r="AE4" s="26">
        <f>AE3-i_base_year</f>
        <v/>
      </c>
      <c r="AF4" s="26">
        <f>AF3-i_base_year</f>
        <v/>
      </c>
      <c r="AG4" s="26">
        <f>AG3-i_base_year</f>
        <v/>
      </c>
      <c r="AH4" s="26">
        <f>AH3-i_base_year</f>
        <v/>
      </c>
      <c r="AI4" s="26">
        <f>AI3-i_base_year</f>
        <v/>
      </c>
    </row>
    <row r="6">
      <c r="B6" s="5" t="inlineStr">
        <is>
          <t>Minority sale against full sale</t>
        </is>
      </c>
      <c r="C6" s="5" t="inlineStr">
        <is>
          <t>Minority</t>
        </is>
      </c>
      <c r="D6" s="5" t="inlineStr">
        <is>
          <t>Full (live)</t>
        </is>
      </c>
    </row>
    <row r="7">
      <c r="B7" s="2" t="inlineStr">
        <is>
          <t>EV at the end of 2031 (minority buyer's DCF)</t>
        </is>
      </c>
      <c r="C7" s="19">
        <f>Exit!$C$111</f>
        <v/>
      </c>
    </row>
    <row r="8">
      <c r="B8" s="2" t="inlineStr">
        <is>
          <t>Equity value in 2031</t>
        </is>
      </c>
      <c r="C8" s="19">
        <f>Exit!$C$112</f>
        <v/>
      </c>
    </row>
    <row r="9">
      <c r="B9" s="2" t="inlineStr">
        <is>
          <t>Proceeds of the 49 percent</t>
        </is>
      </c>
      <c r="C9" s="19">
        <f>Exit!$C$113</f>
        <v/>
      </c>
    </row>
    <row r="10">
      <c r="B10" s="2" t="inlineStr">
        <is>
          <t>Exit EV at the end of 2036</t>
        </is>
      </c>
      <c r="C10" s="19">
        <f>Exit!$C$108</f>
        <v/>
      </c>
      <c r="D10" s="19">
        <f>Returns!$C$13</f>
        <v/>
      </c>
    </row>
    <row r="11">
      <c r="B11" s="2" t="inlineStr">
        <is>
          <t>Equity value at exit</t>
        </is>
      </c>
      <c r="C11" s="19">
        <f>Exit!$C$110</f>
        <v/>
      </c>
      <c r="D11" s="19">
        <f>Returns!$C$15</f>
        <v/>
      </c>
    </row>
    <row r="12">
      <c r="B12" s="2" t="inlineStr">
        <is>
          <t>Levered IRR</t>
        </is>
      </c>
      <c r="C12" s="23">
        <f>Exit!$C$119</f>
        <v/>
      </c>
      <c r="D12" s="23">
        <f>Returns!$C$24</f>
        <v/>
      </c>
    </row>
    <row r="13">
      <c r="B13" s="2" t="inlineStr">
        <is>
          <t>Money multiple</t>
        </is>
      </c>
      <c r="C13" s="37">
        <f>Exit!$C$123</f>
        <v/>
      </c>
      <c r="D13" s="37">
        <f>Returns!$C$28</f>
        <v/>
      </c>
    </row>
    <row r="15">
      <c r="B15" s="5" t="inlineStr">
        <is>
          <t>Continuation vehicle at the end of 2036 for Northgate's share</t>
        </is>
      </c>
    </row>
    <row r="16">
      <c r="B16" s="2" t="inlineStr">
        <is>
          <t>NAV of Northgate's share (equity at exit x share)</t>
        </is>
      </c>
      <c r="C16" s="19">
        <f>Returns!$C$15*i_ng_share</f>
        <v/>
      </c>
    </row>
    <row r="17">
      <c r="B17" s="2" t="inlineStr">
        <is>
          <t>Price at the continuation vehicle discount</t>
        </is>
      </c>
      <c r="C17" s="19">
        <f>C16*i_cv_price</f>
        <v/>
      </c>
    </row>
    <row r="18">
      <c r="B18" s="2" t="inlineStr">
        <is>
          <t>Paid to LPs who sell</t>
        </is>
      </c>
      <c r="C18" s="19">
        <f>C17*(1-i_cv_roll)</f>
        <v/>
      </c>
    </row>
    <row r="19">
      <c r="B19" s="2" t="inlineStr">
        <is>
          <t>Value rolled by LPs who stay</t>
        </is>
      </c>
      <c r="C19" s="19">
        <f>C17*i_cv_roll</f>
        <v/>
      </c>
    </row>
    <row r="20">
      <c r="B20" s="3" t="inlineStr">
        <is>
          <t>New money from the lead secondary buyer (with growth capital)</t>
        </is>
      </c>
      <c r="C20" s="31">
        <f>C18+i_cv_growth</f>
        <v/>
      </c>
    </row>
    <row r="22">
      <c r="B22" s="5" t="inlineStr">
        <is>
          <t>Cash to equity by year (live case)</t>
        </is>
      </c>
    </row>
    <row r="23">
      <c r="B23" s="2" t="inlineStr">
        <is>
          <t>Cash flow to equity, full year</t>
        </is>
      </c>
      <c r="D23" s="19">
        <f>Returns!D12</f>
        <v/>
      </c>
      <c r="E23" s="19">
        <f>Returns!E12</f>
        <v/>
      </c>
      <c r="F23" s="19">
        <f>Returns!F12</f>
        <v/>
      </c>
      <c r="G23" s="19">
        <f>Returns!G12</f>
        <v/>
      </c>
      <c r="H23" s="19">
        <f>Returns!H12</f>
        <v/>
      </c>
      <c r="I23" s="19">
        <f>Returns!I12</f>
        <v/>
      </c>
      <c r="J23" s="19">
        <f>Returns!J12</f>
        <v/>
      </c>
      <c r="K23" s="19">
        <f>Returns!K12</f>
        <v/>
      </c>
      <c r="L23" s="19">
        <f>Returns!L12</f>
        <v/>
      </c>
      <c r="M23" s="19">
        <f>Returns!M12</f>
        <v/>
      </c>
      <c r="N23" s="19">
        <f>Returns!N12</f>
        <v/>
      </c>
      <c r="O23" s="19">
        <f>Returns!O12</f>
        <v/>
      </c>
      <c r="P23" s="19">
        <f>Returns!P12</f>
        <v/>
      </c>
      <c r="Q23" s="19">
        <f>Returns!Q12</f>
        <v/>
      </c>
      <c r="R23" s="19">
        <f>Returns!R12</f>
        <v/>
      </c>
      <c r="S23" s="19">
        <f>Returns!S12</f>
        <v/>
      </c>
      <c r="T23" s="19">
        <f>Returns!T12</f>
        <v/>
      </c>
      <c r="U23" s="19">
        <f>Returns!U12</f>
        <v/>
      </c>
      <c r="V23" s="19">
        <f>Returns!V12</f>
        <v/>
      </c>
      <c r="W23" s="19">
        <f>Returns!W12</f>
        <v/>
      </c>
      <c r="X23" s="19">
        <f>Returns!X12</f>
        <v/>
      </c>
      <c r="Y23" s="19">
        <f>Returns!Y12</f>
        <v/>
      </c>
      <c r="Z23" s="19">
        <f>Returns!Z12</f>
        <v/>
      </c>
      <c r="AA23" s="19">
        <f>Returns!AA12</f>
        <v/>
      </c>
      <c r="AB23" s="19">
        <f>Returns!AB12</f>
        <v/>
      </c>
      <c r="AC23" s="19">
        <f>Returns!AC12</f>
        <v/>
      </c>
      <c r="AD23" s="19">
        <f>Returns!AD12</f>
        <v/>
      </c>
      <c r="AE23" s="19">
        <f>Returns!AE12</f>
        <v/>
      </c>
      <c r="AF23" s="19">
        <f>Returns!AF12</f>
        <v/>
      </c>
      <c r="AG23" s="19">
        <f>Returns!AG12</f>
        <v/>
      </c>
      <c r="AH23" s="19">
        <f>Returns!AH12</f>
        <v/>
      </c>
      <c r="AI23" s="19">
        <f>Returns!AI12</f>
        <v/>
      </c>
    </row>
    <row r="24">
      <c r="B24" s="2" t="inlineStr">
        <is>
          <t>Interest</t>
        </is>
      </c>
      <c r="D24" s="19">
        <f>Returns!D9</f>
        <v/>
      </c>
      <c r="E24" s="19">
        <f>Returns!E9</f>
        <v/>
      </c>
      <c r="F24" s="19">
        <f>Returns!F9</f>
        <v/>
      </c>
      <c r="G24" s="19">
        <f>Returns!G9</f>
        <v/>
      </c>
      <c r="H24" s="19">
        <f>Returns!H9</f>
        <v/>
      </c>
      <c r="I24" s="19">
        <f>Returns!I9</f>
        <v/>
      </c>
      <c r="J24" s="19">
        <f>Returns!J9</f>
        <v/>
      </c>
      <c r="K24" s="19">
        <f>Returns!K9</f>
        <v/>
      </c>
      <c r="L24" s="19">
        <f>Returns!L9</f>
        <v/>
      </c>
      <c r="M24" s="19">
        <f>Returns!M9</f>
        <v/>
      </c>
      <c r="N24" s="19">
        <f>Returns!N9</f>
        <v/>
      </c>
      <c r="O24" s="19">
        <f>Returns!O9</f>
        <v/>
      </c>
      <c r="P24" s="19">
        <f>Returns!P9</f>
        <v/>
      </c>
      <c r="Q24" s="19">
        <f>Returns!Q9</f>
        <v/>
      </c>
      <c r="R24" s="19">
        <f>Returns!R9</f>
        <v/>
      </c>
      <c r="S24" s="19">
        <f>Returns!S9</f>
        <v/>
      </c>
      <c r="T24" s="19">
        <f>Returns!T9</f>
        <v/>
      </c>
      <c r="U24" s="19">
        <f>Returns!U9</f>
        <v/>
      </c>
      <c r="V24" s="19">
        <f>Returns!V9</f>
        <v/>
      </c>
      <c r="W24" s="19">
        <f>Returns!W9</f>
        <v/>
      </c>
      <c r="X24" s="19">
        <f>Returns!X9</f>
        <v/>
      </c>
      <c r="Y24" s="19">
        <f>Returns!Y9</f>
        <v/>
      </c>
      <c r="Z24" s="19">
        <f>Returns!Z9</f>
        <v/>
      </c>
      <c r="AA24" s="19">
        <f>Returns!AA9</f>
        <v/>
      </c>
      <c r="AB24" s="19">
        <f>Returns!AB9</f>
        <v/>
      </c>
      <c r="AC24" s="19">
        <f>Returns!AC9</f>
        <v/>
      </c>
      <c r="AD24" s="19">
        <f>Returns!AD9</f>
        <v/>
      </c>
      <c r="AE24" s="19">
        <f>Returns!AE9</f>
        <v/>
      </c>
      <c r="AF24" s="19">
        <f>Returns!AF9</f>
        <v/>
      </c>
      <c r="AG24" s="19">
        <f>Returns!AG9</f>
        <v/>
      </c>
      <c r="AH24" s="19">
        <f>Returns!AH9</f>
        <v/>
      </c>
      <c r="AI24" s="19">
        <f>Returns!AI9</f>
        <v/>
      </c>
    </row>
    <row r="25">
      <c r="B25" s="2" t="inlineStr">
        <is>
          <t>Cash tax with the debt</t>
        </is>
      </c>
      <c r="D25" s="19">
        <f>Returns!D11</f>
        <v/>
      </c>
      <c r="E25" s="19">
        <f>Returns!E11</f>
        <v/>
      </c>
      <c r="F25" s="19">
        <f>Returns!F11</f>
        <v/>
      </c>
      <c r="G25" s="19">
        <f>Returns!G11</f>
        <v/>
      </c>
      <c r="H25" s="19">
        <f>Returns!H11</f>
        <v/>
      </c>
      <c r="I25" s="19">
        <f>Returns!I11</f>
        <v/>
      </c>
      <c r="J25" s="19">
        <f>Returns!J11</f>
        <v/>
      </c>
      <c r="K25" s="19">
        <f>Returns!K11</f>
        <v/>
      </c>
      <c r="L25" s="19">
        <f>Returns!L11</f>
        <v/>
      </c>
      <c r="M25" s="19">
        <f>Returns!M11</f>
        <v/>
      </c>
      <c r="N25" s="19">
        <f>Returns!N11</f>
        <v/>
      </c>
      <c r="O25" s="19">
        <f>Returns!O11</f>
        <v/>
      </c>
      <c r="P25" s="19">
        <f>Returns!P11</f>
        <v/>
      </c>
      <c r="Q25" s="19">
        <f>Returns!Q11</f>
        <v/>
      </c>
      <c r="R25" s="19">
        <f>Returns!R11</f>
        <v/>
      </c>
      <c r="S25" s="19">
        <f>Returns!S11</f>
        <v/>
      </c>
      <c r="T25" s="19">
        <f>Returns!T11</f>
        <v/>
      </c>
      <c r="U25" s="19">
        <f>Returns!U11</f>
        <v/>
      </c>
      <c r="V25" s="19">
        <f>Returns!V11</f>
        <v/>
      </c>
      <c r="W25" s="19">
        <f>Returns!W11</f>
        <v/>
      </c>
      <c r="X25" s="19">
        <f>Returns!X11</f>
        <v/>
      </c>
      <c r="Y25" s="19">
        <f>Returns!Y11</f>
        <v/>
      </c>
      <c r="Z25" s="19">
        <f>Returns!Z11</f>
        <v/>
      </c>
      <c r="AA25" s="19">
        <f>Returns!AA11</f>
        <v/>
      </c>
      <c r="AB25" s="19">
        <f>Returns!AB11</f>
        <v/>
      </c>
      <c r="AC25" s="19">
        <f>Returns!AC11</f>
        <v/>
      </c>
      <c r="AD25" s="19">
        <f>Returns!AD11</f>
        <v/>
      </c>
      <c r="AE25" s="19">
        <f>Returns!AE11</f>
        <v/>
      </c>
      <c r="AF25" s="19">
        <f>Returns!AF11</f>
        <v/>
      </c>
      <c r="AG25" s="19">
        <f>Returns!AG11</f>
        <v/>
      </c>
      <c r="AH25" s="19">
        <f>Returns!AH11</f>
        <v/>
      </c>
      <c r="AI25" s="19">
        <f>Returns!AI11</f>
        <v/>
      </c>
    </row>
    <row r="26">
      <c r="B26" s="2" t="inlineStr">
        <is>
          <t>Levered flow received (share of the year owned)</t>
        </is>
      </c>
      <c r="D26" s="19">
        <f>Returns!D20</f>
        <v/>
      </c>
      <c r="E26" s="19">
        <f>Returns!E20</f>
        <v/>
      </c>
      <c r="F26" s="19">
        <f>Returns!F20</f>
        <v/>
      </c>
      <c r="G26" s="19">
        <f>Returns!G20</f>
        <v/>
      </c>
      <c r="H26" s="19">
        <f>Returns!H20</f>
        <v/>
      </c>
      <c r="I26" s="19">
        <f>Returns!I20</f>
        <v/>
      </c>
      <c r="J26" s="19">
        <f>Returns!J20</f>
        <v/>
      </c>
      <c r="K26" s="19">
        <f>Returns!K20</f>
        <v/>
      </c>
      <c r="L26" s="19">
        <f>Returns!L20</f>
        <v/>
      </c>
      <c r="M26" s="19">
        <f>Returns!M20</f>
        <v/>
      </c>
      <c r="N26" s="19">
        <f>Returns!N20</f>
        <v/>
      </c>
      <c r="O26" s="19">
        <f>Returns!O20</f>
        <v/>
      </c>
      <c r="P26" s="19">
        <f>Returns!P20</f>
        <v/>
      </c>
      <c r="Q26" s="19">
        <f>Returns!Q20</f>
        <v/>
      </c>
      <c r="R26" s="19">
        <f>Returns!R20</f>
        <v/>
      </c>
      <c r="S26" s="19">
        <f>Returns!S20</f>
        <v/>
      </c>
      <c r="T26" s="19">
        <f>Returns!T20</f>
        <v/>
      </c>
      <c r="U26" s="19">
        <f>Returns!U20</f>
        <v/>
      </c>
      <c r="V26" s="19">
        <f>Returns!V20</f>
        <v/>
      </c>
      <c r="W26" s="19">
        <f>Returns!W20</f>
        <v/>
      </c>
      <c r="X26" s="19">
        <f>Returns!X20</f>
        <v/>
      </c>
      <c r="Y26" s="19">
        <f>Returns!Y20</f>
        <v/>
      </c>
      <c r="Z26" s="19">
        <f>Returns!Z20</f>
        <v/>
      </c>
      <c r="AA26" s="19">
        <f>Returns!AA20</f>
        <v/>
      </c>
      <c r="AB26" s="19">
        <f>Returns!AB20</f>
        <v/>
      </c>
      <c r="AC26" s="19">
        <f>Returns!AC20</f>
        <v/>
      </c>
      <c r="AD26" s="19">
        <f>Returns!AD20</f>
        <v/>
      </c>
      <c r="AE26" s="19">
        <f>Returns!AE20</f>
        <v/>
      </c>
      <c r="AF26" s="19">
        <f>Returns!AF20</f>
        <v/>
      </c>
      <c r="AG26" s="19">
        <f>Returns!AG20</f>
        <v/>
      </c>
      <c r="AH26" s="19">
        <f>Returns!AH20</f>
        <v/>
      </c>
      <c r="AI26" s="19">
        <f>Returns!AI20</f>
        <v/>
      </c>
    </row>
    <row r="27">
      <c r="B27" s="2" t="inlineStr">
        <is>
          <t>Exit proceeds</t>
        </is>
      </c>
      <c r="D27" s="19">
        <f>IF(D$3=i_exit_year,Returns!$AL$20,0)</f>
        <v/>
      </c>
      <c r="E27" s="19">
        <f>IF(E$3=i_exit_year,Returns!$AL$20,0)</f>
        <v/>
      </c>
      <c r="F27" s="19">
        <f>IF(F$3=i_exit_year,Returns!$AL$20,0)</f>
        <v/>
      </c>
      <c r="G27" s="19">
        <f>IF(G$3=i_exit_year,Returns!$AL$20,0)</f>
        <v/>
      </c>
      <c r="H27" s="19">
        <f>IF(H$3=i_exit_year,Returns!$AL$20,0)</f>
        <v/>
      </c>
      <c r="I27" s="19">
        <f>IF(I$3=i_exit_year,Returns!$AL$20,0)</f>
        <v/>
      </c>
      <c r="J27" s="19">
        <f>IF(J$3=i_exit_year,Returns!$AL$20,0)</f>
        <v/>
      </c>
      <c r="K27" s="19">
        <f>IF(K$3=i_exit_year,Returns!$AL$20,0)</f>
        <v/>
      </c>
      <c r="L27" s="19">
        <f>IF(L$3=i_exit_year,Returns!$AL$20,0)</f>
        <v/>
      </c>
      <c r="M27" s="19">
        <f>IF(M$3=i_exit_year,Returns!$AL$20,0)</f>
        <v/>
      </c>
      <c r="N27" s="19">
        <f>IF(N$3=i_exit_year,Returns!$AL$20,0)</f>
        <v/>
      </c>
      <c r="O27" s="19">
        <f>IF(O$3=i_exit_year,Returns!$AL$20,0)</f>
        <v/>
      </c>
      <c r="P27" s="19">
        <f>IF(P$3=i_exit_year,Returns!$AL$20,0)</f>
        <v/>
      </c>
      <c r="Q27" s="19">
        <f>IF(Q$3=i_exit_year,Returns!$AL$20,0)</f>
        <v/>
      </c>
      <c r="R27" s="19">
        <f>IF(R$3=i_exit_year,Returns!$AL$20,0)</f>
        <v/>
      </c>
      <c r="S27" s="19">
        <f>IF(S$3=i_exit_year,Returns!$AL$20,0)</f>
        <v/>
      </c>
      <c r="T27" s="19">
        <f>IF(T$3=i_exit_year,Returns!$AL$20,0)</f>
        <v/>
      </c>
      <c r="U27" s="19">
        <f>IF(U$3=i_exit_year,Returns!$AL$20,0)</f>
        <v/>
      </c>
      <c r="V27" s="19">
        <f>IF(V$3=i_exit_year,Returns!$AL$20,0)</f>
        <v/>
      </c>
      <c r="W27" s="19">
        <f>IF(W$3=i_exit_year,Returns!$AL$20,0)</f>
        <v/>
      </c>
      <c r="X27" s="19">
        <f>IF(X$3=i_exit_year,Returns!$AL$20,0)</f>
        <v/>
      </c>
      <c r="Y27" s="19">
        <f>IF(Y$3=i_exit_year,Returns!$AL$20,0)</f>
        <v/>
      </c>
      <c r="Z27" s="19">
        <f>IF(Z$3=i_exit_year,Returns!$AL$20,0)</f>
        <v/>
      </c>
      <c r="AA27" s="19">
        <f>IF(AA$3=i_exit_year,Returns!$AL$20,0)</f>
        <v/>
      </c>
      <c r="AB27" s="19">
        <f>IF(AB$3=i_exit_year,Returns!$AL$20,0)</f>
        <v/>
      </c>
      <c r="AC27" s="19">
        <f>IF(AC$3=i_exit_year,Returns!$AL$20,0)</f>
        <v/>
      </c>
      <c r="AD27" s="19">
        <f>IF(AD$3=i_exit_year,Returns!$AL$20,0)</f>
        <v/>
      </c>
      <c r="AE27" s="19">
        <f>IF(AE$3=i_exit_year,Returns!$AL$20,0)</f>
        <v/>
      </c>
      <c r="AF27" s="19">
        <f>IF(AF$3=i_exit_year,Returns!$AL$20,0)</f>
        <v/>
      </c>
      <c r="AG27" s="19">
        <f>IF(AG$3=i_exit_year,Returns!$AL$20,0)</f>
        <v/>
      </c>
      <c r="AH27" s="19">
        <f>IF(AH$3=i_exit_year,Returns!$AL$20,0)</f>
        <v/>
      </c>
      <c r="AI27" s="19">
        <f>IF(AI$3=i_exit_year,Returns!$AL$20,0)</f>
        <v/>
      </c>
    </row>
    <row r="50">
      <c r="B50" s="5" t="inlineStr">
        <is>
          <t>Deal with a minority sale at the end of 2031 (forced), on the live case</t>
        </is>
      </c>
    </row>
    <row r="51">
      <c r="B51" s="4" t="inlineStr">
        <is>
          <t>Enterprise value at 31 December 2026</t>
        </is>
      </c>
      <c r="C51" s="29">
        <f>i_bid_ev</f>
        <v/>
      </c>
    </row>
    <row r="52">
      <c r="B52" s="4" t="inlineStr">
        <is>
          <t>Closing (years after 31 December 2026)</t>
        </is>
      </c>
      <c r="C52" s="28">
        <f>i_t_close</f>
        <v/>
      </c>
    </row>
    <row r="53">
      <c r="B53" s="4" t="inlineStr">
        <is>
          <t>Staple financing (1) or own debt (0)</t>
        </is>
      </c>
      <c r="C53" s="26">
        <f>i_sw_staple</f>
        <v/>
      </c>
    </row>
    <row r="54">
      <c r="B54" s="4" t="inlineStr">
        <is>
          <t>Minority sale in 2031 (1) or full exit (0)</t>
        </is>
      </c>
      <c r="C54" s="26">
        <f>1</f>
        <v/>
      </c>
    </row>
    <row r="55">
      <c r="B55" s="4" t="inlineStr">
        <is>
          <t>Exit discount rate</t>
        </is>
      </c>
      <c r="C55" s="38">
        <f>i_r_exit</f>
        <v/>
      </c>
    </row>
    <row r="56">
      <c r="B56" s="4" t="inlineStr">
        <is>
          <t>Change in the opco rate at refinancing</t>
        </is>
      </c>
      <c r="C56" s="38">
        <f>i_refi_shift</f>
        <v/>
      </c>
    </row>
    <row r="57">
      <c r="B57" s="2" t="inlineStr">
        <is>
          <t>Enterprise value</t>
        </is>
      </c>
      <c r="C57" s="19">
        <f>Exit!$C$51</f>
        <v/>
      </c>
    </row>
    <row r="58">
      <c r="B58" s="2" t="inlineStr">
        <is>
          <t>less existing financial debt (term loan and notes)</t>
        </is>
      </c>
      <c r="C58" s="19">
        <f>i_old_tl+i_old_notes</f>
        <v/>
      </c>
    </row>
    <row r="59">
      <c r="B59" s="2" t="inlineStr">
        <is>
          <t>less make-whole on the notes</t>
        </is>
      </c>
      <c r="C59" s="19">
        <f>i_make_whole</f>
        <v/>
      </c>
    </row>
    <row r="60">
      <c r="B60" s="2" t="inlineStr">
        <is>
          <t>less debt-like items (pension, accrued capex, 2026 tax)</t>
        </is>
      </c>
      <c r="C60" s="19">
        <f>i_pension+i_def_capex+i_acc_tax</f>
        <v/>
      </c>
    </row>
    <row r="61">
      <c r="B61" s="2" t="inlineStr">
        <is>
          <t>plus cash at the locked box date</t>
        </is>
      </c>
      <c r="C61" s="19">
        <f>i_lb_cash</f>
        <v/>
      </c>
    </row>
    <row r="62">
      <c r="B62" s="2" t="inlineStr">
        <is>
          <t>less permitted leakage</t>
        </is>
      </c>
      <c r="C62" s="19">
        <f>i_permitted_leak</f>
        <v/>
      </c>
    </row>
    <row r="63">
      <c r="B63" s="3" t="inlineStr">
        <is>
          <t>Equity price (shares and shareholder loan)</t>
        </is>
      </c>
      <c r="C63" s="31">
        <f>Exit!$C$57-Exit!$C$58-Exit!$C$59-Exit!$C$60+Exit!$C$61-Exit!$C$62</f>
        <v/>
      </c>
    </row>
    <row r="64">
      <c r="B64" s="2" t="inlineStr">
        <is>
          <t xml:space="preserve">  of which shareholder loan at face value</t>
        </is>
      </c>
      <c r="C64" s="19">
        <f>i_shl</f>
        <v/>
      </c>
    </row>
    <row r="65">
      <c r="B65" s="2" t="inlineStr">
        <is>
          <t xml:space="preserve">  of which shares</t>
        </is>
      </c>
      <c r="C65" s="19">
        <f>Exit!$C$63-Exit!$C$64</f>
        <v/>
      </c>
    </row>
    <row r="66">
      <c r="B66" s="2" t="inlineStr">
        <is>
          <t>Ticking fee to closing</t>
        </is>
      </c>
      <c r="C66" s="19">
        <f>Exit!$C$63*i_ticking*Exit!$C$52</f>
        <v/>
      </c>
    </row>
    <row r="67">
      <c r="B67" s="2" t="inlineStr">
        <is>
          <t>Share of the year before closing (box period)</t>
        </is>
      </c>
      <c r="D67" s="24">
        <f>IF(D$4&lt;1,0,MAX(0,MIN(1,Exit!$C$52-(D$4-1))))</f>
        <v/>
      </c>
      <c r="E67" s="24">
        <f>IF(E$4&lt;1,0,MAX(0,MIN(1,Exit!$C$52-(E$4-1))))</f>
        <v/>
      </c>
      <c r="F67" s="24">
        <f>IF(F$4&lt;1,0,MAX(0,MIN(1,Exit!$C$52-(F$4-1))))</f>
        <v/>
      </c>
      <c r="G67" s="24">
        <f>IF(G$4&lt;1,0,MAX(0,MIN(1,Exit!$C$52-(G$4-1))))</f>
        <v/>
      </c>
      <c r="H67" s="24">
        <f>IF(H$4&lt;1,0,MAX(0,MIN(1,Exit!$C$52-(H$4-1))))</f>
        <v/>
      </c>
      <c r="I67" s="24">
        <f>IF(I$4&lt;1,0,MAX(0,MIN(1,Exit!$C$52-(I$4-1))))</f>
        <v/>
      </c>
      <c r="J67" s="24">
        <f>IF(J$4&lt;1,0,MAX(0,MIN(1,Exit!$C$52-(J$4-1))))</f>
        <v/>
      </c>
      <c r="K67" s="24">
        <f>IF(K$4&lt;1,0,MAX(0,MIN(1,Exit!$C$52-(K$4-1))))</f>
        <v/>
      </c>
      <c r="L67" s="24">
        <f>IF(L$4&lt;1,0,MAX(0,MIN(1,Exit!$C$52-(L$4-1))))</f>
        <v/>
      </c>
      <c r="M67" s="24">
        <f>IF(M$4&lt;1,0,MAX(0,MIN(1,Exit!$C$52-(M$4-1))))</f>
        <v/>
      </c>
      <c r="N67" s="24">
        <f>IF(N$4&lt;1,0,MAX(0,MIN(1,Exit!$C$52-(N$4-1))))</f>
        <v/>
      </c>
      <c r="O67" s="24">
        <f>IF(O$4&lt;1,0,MAX(0,MIN(1,Exit!$C$52-(O$4-1))))</f>
        <v/>
      </c>
      <c r="P67" s="24">
        <f>IF(P$4&lt;1,0,MAX(0,MIN(1,Exit!$C$52-(P$4-1))))</f>
        <v/>
      </c>
      <c r="Q67" s="24">
        <f>IF(Q$4&lt;1,0,MAX(0,MIN(1,Exit!$C$52-(Q$4-1))))</f>
        <v/>
      </c>
      <c r="R67" s="24">
        <f>IF(R$4&lt;1,0,MAX(0,MIN(1,Exit!$C$52-(R$4-1))))</f>
        <v/>
      </c>
      <c r="S67" s="24">
        <f>IF(S$4&lt;1,0,MAX(0,MIN(1,Exit!$C$52-(S$4-1))))</f>
        <v/>
      </c>
      <c r="T67" s="24">
        <f>IF(T$4&lt;1,0,MAX(0,MIN(1,Exit!$C$52-(T$4-1))))</f>
        <v/>
      </c>
      <c r="U67" s="24">
        <f>IF(U$4&lt;1,0,MAX(0,MIN(1,Exit!$C$52-(U$4-1))))</f>
        <v/>
      </c>
      <c r="V67" s="24">
        <f>IF(V$4&lt;1,0,MAX(0,MIN(1,Exit!$C$52-(V$4-1))))</f>
        <v/>
      </c>
      <c r="W67" s="24">
        <f>IF(W$4&lt;1,0,MAX(0,MIN(1,Exit!$C$52-(W$4-1))))</f>
        <v/>
      </c>
      <c r="X67" s="24">
        <f>IF(X$4&lt;1,0,MAX(0,MIN(1,Exit!$C$52-(X$4-1))))</f>
        <v/>
      </c>
      <c r="Y67" s="24">
        <f>IF(Y$4&lt;1,0,MAX(0,MIN(1,Exit!$C$52-(Y$4-1))))</f>
        <v/>
      </c>
      <c r="Z67" s="24">
        <f>IF(Z$4&lt;1,0,MAX(0,MIN(1,Exit!$C$52-(Z$4-1))))</f>
        <v/>
      </c>
      <c r="AA67" s="24">
        <f>IF(AA$4&lt;1,0,MAX(0,MIN(1,Exit!$C$52-(AA$4-1))))</f>
        <v/>
      </c>
      <c r="AB67" s="24">
        <f>IF(AB$4&lt;1,0,MAX(0,MIN(1,Exit!$C$52-(AB$4-1))))</f>
        <v/>
      </c>
      <c r="AC67" s="24">
        <f>IF(AC$4&lt;1,0,MAX(0,MIN(1,Exit!$C$52-(AC$4-1))))</f>
        <v/>
      </c>
      <c r="AD67" s="24">
        <f>IF(AD$4&lt;1,0,MAX(0,MIN(1,Exit!$C$52-(AD$4-1))))</f>
        <v/>
      </c>
      <c r="AE67" s="24">
        <f>IF(AE$4&lt;1,0,MAX(0,MIN(1,Exit!$C$52-(AE$4-1))))</f>
        <v/>
      </c>
      <c r="AF67" s="24">
        <f>IF(AF$4&lt;1,0,MAX(0,MIN(1,Exit!$C$52-(AF$4-1))))</f>
        <v/>
      </c>
      <c r="AG67" s="24">
        <f>IF(AG$4&lt;1,0,MAX(0,MIN(1,Exit!$C$52-(AG$4-1))))</f>
        <v/>
      </c>
      <c r="AH67" s="24">
        <f>IF(AH$4&lt;1,0,MAX(0,MIN(1,Exit!$C$52-(AH$4-1))))</f>
        <v/>
      </c>
      <c r="AI67" s="24">
        <f>IF(AI$4&lt;1,0,MAX(0,MIN(1,Exit!$C$52-(AI$4-1))))</f>
        <v/>
      </c>
    </row>
    <row r="68">
      <c r="B68" s="2" t="inlineStr">
        <is>
          <t>Box cash: free cash flow less interest on the old debt</t>
        </is>
      </c>
      <c r="D68" s="19">
        <f>D67*(Platform!D16-i_old_rate*(i_old_tl+i_old_notes))</f>
        <v/>
      </c>
      <c r="E68" s="19">
        <f>E67*(Platform!E16-i_old_rate*(i_old_tl+i_old_notes))</f>
        <v/>
      </c>
      <c r="F68" s="19">
        <f>F67*(Platform!F16-i_old_rate*(i_old_tl+i_old_notes))</f>
        <v/>
      </c>
      <c r="G68" s="19">
        <f>G67*(Platform!G16-i_old_rate*(i_old_tl+i_old_notes))</f>
        <v/>
      </c>
      <c r="H68" s="19">
        <f>H67*(Platform!H16-i_old_rate*(i_old_tl+i_old_notes))</f>
        <v/>
      </c>
      <c r="I68" s="19">
        <f>I67*(Platform!I16-i_old_rate*(i_old_tl+i_old_notes))</f>
        <v/>
      </c>
      <c r="J68" s="19">
        <f>J67*(Platform!J16-i_old_rate*(i_old_tl+i_old_notes))</f>
        <v/>
      </c>
      <c r="K68" s="19">
        <f>K67*(Platform!K16-i_old_rate*(i_old_tl+i_old_notes))</f>
        <v/>
      </c>
      <c r="L68" s="19">
        <f>L67*(Platform!L16-i_old_rate*(i_old_tl+i_old_notes))</f>
        <v/>
      </c>
      <c r="M68" s="19">
        <f>M67*(Platform!M16-i_old_rate*(i_old_tl+i_old_notes))</f>
        <v/>
      </c>
      <c r="N68" s="19">
        <f>N67*(Platform!N16-i_old_rate*(i_old_tl+i_old_notes))</f>
        <v/>
      </c>
      <c r="O68" s="19">
        <f>O67*(Platform!O16-i_old_rate*(i_old_tl+i_old_notes))</f>
        <v/>
      </c>
      <c r="P68" s="19">
        <f>P67*(Platform!P16-i_old_rate*(i_old_tl+i_old_notes))</f>
        <v/>
      </c>
      <c r="Q68" s="19">
        <f>Q67*(Platform!Q16-i_old_rate*(i_old_tl+i_old_notes))</f>
        <v/>
      </c>
      <c r="R68" s="19">
        <f>R67*(Platform!R16-i_old_rate*(i_old_tl+i_old_notes))</f>
        <v/>
      </c>
      <c r="S68" s="19">
        <f>S67*(Platform!S16-i_old_rate*(i_old_tl+i_old_notes))</f>
        <v/>
      </c>
      <c r="T68" s="19">
        <f>T67*(Platform!T16-i_old_rate*(i_old_tl+i_old_notes))</f>
        <v/>
      </c>
      <c r="U68" s="19">
        <f>U67*(Platform!U16-i_old_rate*(i_old_tl+i_old_notes))</f>
        <v/>
      </c>
      <c r="V68" s="19">
        <f>V67*(Platform!V16-i_old_rate*(i_old_tl+i_old_notes))</f>
        <v/>
      </c>
      <c r="W68" s="19">
        <f>W67*(Platform!W16-i_old_rate*(i_old_tl+i_old_notes))</f>
        <v/>
      </c>
      <c r="X68" s="19">
        <f>X67*(Platform!X16-i_old_rate*(i_old_tl+i_old_notes))</f>
        <v/>
      </c>
      <c r="Y68" s="19">
        <f>Y67*(Platform!Y16-i_old_rate*(i_old_tl+i_old_notes))</f>
        <v/>
      </c>
      <c r="Z68" s="19">
        <f>Z67*(Platform!Z16-i_old_rate*(i_old_tl+i_old_notes))</f>
        <v/>
      </c>
      <c r="AA68" s="19">
        <f>AA67*(Platform!AA16-i_old_rate*(i_old_tl+i_old_notes))</f>
        <v/>
      </c>
      <c r="AB68" s="19">
        <f>AB67*(Platform!AB16-i_old_rate*(i_old_tl+i_old_notes))</f>
        <v/>
      </c>
      <c r="AC68" s="19">
        <f>AC67*(Platform!AC16-i_old_rate*(i_old_tl+i_old_notes))</f>
        <v/>
      </c>
      <c r="AD68" s="19">
        <f>AD67*(Platform!AD16-i_old_rate*(i_old_tl+i_old_notes))</f>
        <v/>
      </c>
      <c r="AE68" s="19">
        <f>AE67*(Platform!AE16-i_old_rate*(i_old_tl+i_old_notes))</f>
        <v/>
      </c>
      <c r="AF68" s="19">
        <f>AF67*(Platform!AF16-i_old_rate*(i_old_tl+i_old_notes))</f>
        <v/>
      </c>
      <c r="AG68" s="19">
        <f>AG67*(Platform!AG16-i_old_rate*(i_old_tl+i_old_notes))</f>
        <v/>
      </c>
      <c r="AH68" s="19">
        <f>AH67*(Platform!AH16-i_old_rate*(i_old_tl+i_old_notes))</f>
        <v/>
      </c>
      <c r="AI68" s="19">
        <f>AI67*(Platform!AI16-i_old_rate*(i_old_tl+i_old_notes))</f>
        <v/>
      </c>
    </row>
    <row r="69">
      <c r="B69" s="2" t="inlineStr">
        <is>
          <t>Box cash generated from 1 January 2027 to closing</t>
        </is>
      </c>
      <c r="C69" s="19">
        <f>SUM(Exit!D68:AI68)</f>
        <v/>
      </c>
    </row>
    <row r="70">
      <c r="B70" s="2" t="inlineStr">
        <is>
          <t>Cash in the company at closing</t>
        </is>
      </c>
      <c r="C70" s="19">
        <f>Exit!$C$61-Exit!$C$62+Exit!$C$69</f>
        <v/>
      </c>
    </row>
    <row r="71">
      <c r="B71" s="2" t="inlineStr">
        <is>
          <t>Cash used at closing (above operating cash)</t>
        </is>
      </c>
      <c r="C71" s="19">
        <f>Exit!$C$70-i_min_cash</f>
        <v/>
      </c>
    </row>
    <row r="73">
      <c r="B73" s="3" t="inlineStr">
        <is>
          <t>Sources and uses at closing</t>
        </is>
      </c>
    </row>
    <row r="74">
      <c r="B74" s="2" t="inlineStr">
        <is>
          <t>EBITDA 2026 (sizing basis)</t>
        </is>
      </c>
      <c r="C74" s="19">
        <f>Platform!$D$10</f>
        <v/>
      </c>
    </row>
    <row r="75">
      <c r="B75" s="2" t="inlineStr">
        <is>
          <t>Opco multiple of 2026 EBITDA</t>
        </is>
      </c>
      <c r="C75" s="37">
        <f>IF(Exit!$C$53=1,i_staple_x,i_opco_x)</f>
        <v/>
      </c>
    </row>
    <row r="76">
      <c r="B76" s="2" t="inlineStr">
        <is>
          <t>Opco rate</t>
        </is>
      </c>
      <c r="C76" s="23">
        <f>IF(Exit!$C$53=1,i_staple_rate,i_opco_rate)</f>
        <v/>
      </c>
    </row>
    <row r="77">
      <c r="B77" s="2" t="inlineStr">
        <is>
          <t>Opco fees</t>
        </is>
      </c>
      <c r="C77" s="23">
        <f>IF(Exit!$C$53=1,i_staple_fee,i_opco_fee)</f>
        <v/>
      </c>
    </row>
    <row r="78">
      <c r="B78" s="2" t="inlineStr">
        <is>
          <t>Opco senior debt (whole $ million)</t>
        </is>
      </c>
      <c r="C78" s="19">
        <f>ROUND(Exit!$C$75*Exit!$C$74,0)</f>
        <v/>
      </c>
    </row>
    <row r="79">
      <c r="B79" s="2" t="inlineStr">
        <is>
          <t>Holdco debt (whole $ million)</t>
        </is>
      </c>
      <c r="C79" s="19">
        <f>ROUND(i_hold_x*Exit!$C$74,0)</f>
        <v/>
      </c>
    </row>
    <row r="80">
      <c r="B80" s="2" t="inlineStr">
        <is>
          <t>W&amp;I premium with insurance premium tax</t>
        </is>
      </c>
      <c r="C80" s="35">
        <f>i_wi_limit_pct*Exit!$C$57*i_wi_rol*(1+i_wi_ipt)</f>
        <v/>
      </c>
    </row>
    <row r="81">
      <c r="B81" s="2" t="inlineStr">
        <is>
          <t>HSR filing fee (on the equity price)</t>
        </is>
      </c>
      <c r="C81" s="39">
        <f>IF(Exit!$C$63&lt;INDEX(i_hsr_lo,1),0,LOOKUP(Exit!$C$63,i_hsr_lo,i_hsr_fee))</f>
        <v/>
      </c>
    </row>
    <row r="82">
      <c r="B82" s="2" t="inlineStr">
        <is>
          <t>Transaction costs (advisers, W&amp;I, HSR)</t>
        </is>
      </c>
      <c r="C82" s="19">
        <f>i_costs_adv+Exit!$C$80+Exit!$C$81</f>
        <v/>
      </c>
    </row>
    <row r="83">
      <c r="B83" s="2" t="inlineStr">
        <is>
          <t>Financing fees</t>
        </is>
      </c>
      <c r="C83" s="19">
        <f>Exit!$C$77*Exit!$C$78+i_hold_fee*Exit!$C$79</f>
        <v/>
      </c>
    </row>
    <row r="84">
      <c r="B84" s="2" t="inlineStr">
        <is>
          <t>Commitment fees, signing to closing</t>
        </is>
      </c>
      <c r="C84" s="19">
        <f>i_commit_fee*(Exit!$C$78+Exit!$C$79)*MAX(0,Exit!$C$52-i_t_sign)</f>
        <v/>
      </c>
    </row>
    <row r="85">
      <c r="B85" s="3" t="inlineStr">
        <is>
          <t>Uses</t>
        </is>
      </c>
    </row>
    <row r="86">
      <c r="B86" s="2" t="inlineStr">
        <is>
          <t xml:space="preserve">  Equity price</t>
        </is>
      </c>
      <c r="C86" s="19">
        <f>Exit!$C$63</f>
        <v/>
      </c>
    </row>
    <row r="87">
      <c r="B87" s="2" t="inlineStr">
        <is>
          <t xml:space="preserve">  Ticking fee</t>
        </is>
      </c>
      <c r="C87" s="19">
        <f>Exit!$C$66</f>
        <v/>
      </c>
    </row>
    <row r="88">
      <c r="B88" s="2" t="inlineStr">
        <is>
          <t xml:space="preserve">  Repayment of existing debt and make-whole</t>
        </is>
      </c>
      <c r="C88" s="19">
        <f>Exit!$C$58+Exit!$C$59</f>
        <v/>
      </c>
    </row>
    <row r="89">
      <c r="B89" s="2" t="inlineStr">
        <is>
          <t xml:space="preserve">  Debt-like items settled</t>
        </is>
      </c>
      <c r="C89" s="19">
        <f>Exit!$C$60</f>
        <v/>
      </c>
    </row>
    <row r="90">
      <c r="B90" s="2" t="inlineStr">
        <is>
          <t xml:space="preserve">  Transaction costs</t>
        </is>
      </c>
      <c r="C90" s="19">
        <f>Exit!$C$82</f>
        <v/>
      </c>
    </row>
    <row r="91">
      <c r="B91" s="2" t="inlineStr">
        <is>
          <t xml:space="preserve">  Financing fees</t>
        </is>
      </c>
      <c r="C91" s="19">
        <f>Exit!$C$83</f>
        <v/>
      </c>
    </row>
    <row r="92">
      <c r="B92" s="2" t="inlineStr">
        <is>
          <t xml:space="preserve">  Commitment fees</t>
        </is>
      </c>
      <c r="C92" s="19">
        <f>Exit!$C$84</f>
        <v/>
      </c>
    </row>
    <row r="93">
      <c r="B93" s="3" t="inlineStr">
        <is>
          <t>Total uses</t>
        </is>
      </c>
      <c r="C93" s="31">
        <f>SUM(C86:C92)</f>
        <v/>
      </c>
    </row>
    <row r="94">
      <c r="B94" s="3" t="inlineStr">
        <is>
          <t>Sources</t>
        </is>
      </c>
    </row>
    <row r="95">
      <c r="B95" s="2" t="inlineStr">
        <is>
          <t xml:space="preserve">  Opco senior debt</t>
        </is>
      </c>
      <c r="C95" s="19">
        <f>Exit!$C$78</f>
        <v/>
      </c>
    </row>
    <row r="96">
      <c r="B96" s="2" t="inlineStr">
        <is>
          <t xml:space="preserve">  Holdco debt</t>
        </is>
      </c>
      <c r="C96" s="19">
        <f>Exit!$C$79</f>
        <v/>
      </c>
    </row>
    <row r="97">
      <c r="B97" s="2" t="inlineStr">
        <is>
          <t xml:space="preserve">  Cash in the company at closing</t>
        </is>
      </c>
      <c r="C97" s="19">
        <f>Exit!$C$71</f>
        <v/>
      </c>
    </row>
    <row r="98">
      <c r="B98" s="3" t="inlineStr">
        <is>
          <t xml:space="preserve">  Equity from the consortium</t>
        </is>
      </c>
      <c r="C98" s="31">
        <f>Exit!$C$93-Exit!$C$78-Exit!$C$79-Exit!$C$71</f>
        <v/>
      </c>
    </row>
    <row r="99">
      <c r="B99" s="3" t="inlineStr">
        <is>
          <t>Total sources</t>
        </is>
      </c>
      <c r="C99" s="31">
        <f>SUM(C95:C98)</f>
        <v/>
      </c>
    </row>
    <row r="101">
      <c r="B101" s="3" t="inlineStr">
        <is>
          <t>Flows after closing (years in columns D to AI; closing, minority sale and exit in AJ to AL)</t>
        </is>
      </c>
    </row>
    <row r="102">
      <c r="B102" s="2" t="inlineStr">
        <is>
          <t>Share of the year owned</t>
        </is>
      </c>
      <c r="D102" s="24">
        <f>IF(D$3&gt;i_exit_year,0,MIN(1,MAX(0,D$4-Exit!$C$52)))</f>
        <v/>
      </c>
      <c r="E102" s="24">
        <f>IF(E$3&gt;i_exit_year,0,MIN(1,MAX(0,E$4-Exit!$C$52)))</f>
        <v/>
      </c>
      <c r="F102" s="24">
        <f>IF(F$3&gt;i_exit_year,0,MIN(1,MAX(0,F$4-Exit!$C$52)))</f>
        <v/>
      </c>
      <c r="G102" s="24">
        <f>IF(G$3&gt;i_exit_year,0,MIN(1,MAX(0,G$4-Exit!$C$52)))</f>
        <v/>
      </c>
      <c r="H102" s="24">
        <f>IF(H$3&gt;i_exit_year,0,MIN(1,MAX(0,H$4-Exit!$C$52)))</f>
        <v/>
      </c>
      <c r="I102" s="24">
        <f>IF(I$3&gt;i_exit_year,0,MIN(1,MAX(0,I$4-Exit!$C$52)))</f>
        <v/>
      </c>
      <c r="J102" s="24">
        <f>IF(J$3&gt;i_exit_year,0,MIN(1,MAX(0,J$4-Exit!$C$52)))</f>
        <v/>
      </c>
      <c r="K102" s="24">
        <f>IF(K$3&gt;i_exit_year,0,MIN(1,MAX(0,K$4-Exit!$C$52)))</f>
        <v/>
      </c>
      <c r="L102" s="24">
        <f>IF(L$3&gt;i_exit_year,0,MIN(1,MAX(0,L$4-Exit!$C$52)))</f>
        <v/>
      </c>
      <c r="M102" s="24">
        <f>IF(M$3&gt;i_exit_year,0,MIN(1,MAX(0,M$4-Exit!$C$52)))</f>
        <v/>
      </c>
      <c r="N102" s="24">
        <f>IF(N$3&gt;i_exit_year,0,MIN(1,MAX(0,N$4-Exit!$C$52)))</f>
        <v/>
      </c>
      <c r="O102" s="24">
        <f>IF(O$3&gt;i_exit_year,0,MIN(1,MAX(0,O$4-Exit!$C$52)))</f>
        <v/>
      </c>
      <c r="P102" s="24">
        <f>IF(P$3&gt;i_exit_year,0,MIN(1,MAX(0,P$4-Exit!$C$52)))</f>
        <v/>
      </c>
      <c r="Q102" s="24">
        <f>IF(Q$3&gt;i_exit_year,0,MIN(1,MAX(0,Q$4-Exit!$C$52)))</f>
        <v/>
      </c>
      <c r="R102" s="24">
        <f>IF(R$3&gt;i_exit_year,0,MIN(1,MAX(0,R$4-Exit!$C$52)))</f>
        <v/>
      </c>
      <c r="S102" s="24">
        <f>IF(S$3&gt;i_exit_year,0,MIN(1,MAX(0,S$4-Exit!$C$52)))</f>
        <v/>
      </c>
      <c r="T102" s="24">
        <f>IF(T$3&gt;i_exit_year,0,MIN(1,MAX(0,T$4-Exit!$C$52)))</f>
        <v/>
      </c>
      <c r="U102" s="24">
        <f>IF(U$3&gt;i_exit_year,0,MIN(1,MAX(0,U$4-Exit!$C$52)))</f>
        <v/>
      </c>
      <c r="V102" s="24">
        <f>IF(V$3&gt;i_exit_year,0,MIN(1,MAX(0,V$4-Exit!$C$52)))</f>
        <v/>
      </c>
      <c r="W102" s="24">
        <f>IF(W$3&gt;i_exit_year,0,MIN(1,MAX(0,W$4-Exit!$C$52)))</f>
        <v/>
      </c>
      <c r="X102" s="24">
        <f>IF(X$3&gt;i_exit_year,0,MIN(1,MAX(0,X$4-Exit!$C$52)))</f>
        <v/>
      </c>
      <c r="Y102" s="24">
        <f>IF(Y$3&gt;i_exit_year,0,MIN(1,MAX(0,Y$4-Exit!$C$52)))</f>
        <v/>
      </c>
      <c r="Z102" s="24">
        <f>IF(Z$3&gt;i_exit_year,0,MIN(1,MAX(0,Z$4-Exit!$C$52)))</f>
        <v/>
      </c>
      <c r="AA102" s="24">
        <f>IF(AA$3&gt;i_exit_year,0,MIN(1,MAX(0,AA$4-Exit!$C$52)))</f>
        <v/>
      </c>
      <c r="AB102" s="24">
        <f>IF(AB$3&gt;i_exit_year,0,MIN(1,MAX(0,AB$4-Exit!$C$52)))</f>
        <v/>
      </c>
      <c r="AC102" s="24">
        <f>IF(AC$3&gt;i_exit_year,0,MIN(1,MAX(0,AC$4-Exit!$C$52)))</f>
        <v/>
      </c>
      <c r="AD102" s="24">
        <f>IF(AD$3&gt;i_exit_year,0,MIN(1,MAX(0,AD$4-Exit!$C$52)))</f>
        <v/>
      </c>
      <c r="AE102" s="24">
        <f>IF(AE$3&gt;i_exit_year,0,MIN(1,MAX(0,AE$4-Exit!$C$52)))</f>
        <v/>
      </c>
      <c r="AF102" s="24">
        <f>IF(AF$3&gt;i_exit_year,0,MIN(1,MAX(0,AF$4-Exit!$C$52)))</f>
        <v/>
      </c>
      <c r="AG102" s="24">
        <f>IF(AG$3&gt;i_exit_year,0,MIN(1,MAX(0,AG$4-Exit!$C$52)))</f>
        <v/>
      </c>
      <c r="AH102" s="24">
        <f>IF(AH$3&gt;i_exit_year,0,MIN(1,MAX(0,AH$4-Exit!$C$52)))</f>
        <v/>
      </c>
      <c r="AI102" s="24">
        <f>IF(AI$3&gt;i_exit_year,0,MIN(1,MAX(0,AI$4-Exit!$C$52)))</f>
        <v/>
      </c>
    </row>
    <row r="103">
      <c r="B103" s="2" t="inlineStr">
        <is>
          <t>Opco rate (refinanced after the tenor)</t>
        </is>
      </c>
      <c r="D103" s="23">
        <f>IF(D$4&lt;=Exit!$C$52+i_opco_tenor,Exit!$C$76,Exit!$C$76+Exit!$C$56)</f>
        <v/>
      </c>
      <c r="E103" s="23">
        <f>IF(E$4&lt;=Exit!$C$52+i_opco_tenor,Exit!$C$76,Exit!$C$76+Exit!$C$56)</f>
        <v/>
      </c>
      <c r="F103" s="23">
        <f>IF(F$4&lt;=Exit!$C$52+i_opco_tenor,Exit!$C$76,Exit!$C$76+Exit!$C$56)</f>
        <v/>
      </c>
      <c r="G103" s="23">
        <f>IF(G$4&lt;=Exit!$C$52+i_opco_tenor,Exit!$C$76,Exit!$C$76+Exit!$C$56)</f>
        <v/>
      </c>
      <c r="H103" s="23">
        <f>IF(H$4&lt;=Exit!$C$52+i_opco_tenor,Exit!$C$76,Exit!$C$76+Exit!$C$56)</f>
        <v/>
      </c>
      <c r="I103" s="23">
        <f>IF(I$4&lt;=Exit!$C$52+i_opco_tenor,Exit!$C$76,Exit!$C$76+Exit!$C$56)</f>
        <v/>
      </c>
      <c r="J103" s="23">
        <f>IF(J$4&lt;=Exit!$C$52+i_opco_tenor,Exit!$C$76,Exit!$C$76+Exit!$C$56)</f>
        <v/>
      </c>
      <c r="K103" s="23">
        <f>IF(K$4&lt;=Exit!$C$52+i_opco_tenor,Exit!$C$76,Exit!$C$76+Exit!$C$56)</f>
        <v/>
      </c>
      <c r="L103" s="23">
        <f>IF(L$4&lt;=Exit!$C$52+i_opco_tenor,Exit!$C$76,Exit!$C$76+Exit!$C$56)</f>
        <v/>
      </c>
      <c r="M103" s="23">
        <f>IF(M$4&lt;=Exit!$C$52+i_opco_tenor,Exit!$C$76,Exit!$C$76+Exit!$C$56)</f>
        <v/>
      </c>
      <c r="N103" s="23">
        <f>IF(N$4&lt;=Exit!$C$52+i_opco_tenor,Exit!$C$76,Exit!$C$76+Exit!$C$56)</f>
        <v/>
      </c>
      <c r="O103" s="23">
        <f>IF(O$4&lt;=Exit!$C$52+i_opco_tenor,Exit!$C$76,Exit!$C$76+Exit!$C$56)</f>
        <v/>
      </c>
      <c r="P103" s="23">
        <f>IF(P$4&lt;=Exit!$C$52+i_opco_tenor,Exit!$C$76,Exit!$C$76+Exit!$C$56)</f>
        <v/>
      </c>
      <c r="Q103" s="23">
        <f>IF(Q$4&lt;=Exit!$C$52+i_opco_tenor,Exit!$C$76,Exit!$C$76+Exit!$C$56)</f>
        <v/>
      </c>
      <c r="R103" s="23">
        <f>IF(R$4&lt;=Exit!$C$52+i_opco_tenor,Exit!$C$76,Exit!$C$76+Exit!$C$56)</f>
        <v/>
      </c>
      <c r="S103" s="23">
        <f>IF(S$4&lt;=Exit!$C$52+i_opco_tenor,Exit!$C$76,Exit!$C$76+Exit!$C$56)</f>
        <v/>
      </c>
      <c r="T103" s="23">
        <f>IF(T$4&lt;=Exit!$C$52+i_opco_tenor,Exit!$C$76,Exit!$C$76+Exit!$C$56)</f>
        <v/>
      </c>
      <c r="U103" s="23">
        <f>IF(U$4&lt;=Exit!$C$52+i_opco_tenor,Exit!$C$76,Exit!$C$76+Exit!$C$56)</f>
        <v/>
      </c>
      <c r="V103" s="23">
        <f>IF(V$4&lt;=Exit!$C$52+i_opco_tenor,Exit!$C$76,Exit!$C$76+Exit!$C$56)</f>
        <v/>
      </c>
      <c r="W103" s="23">
        <f>IF(W$4&lt;=Exit!$C$52+i_opco_tenor,Exit!$C$76,Exit!$C$76+Exit!$C$56)</f>
        <v/>
      </c>
      <c r="X103" s="23">
        <f>IF(X$4&lt;=Exit!$C$52+i_opco_tenor,Exit!$C$76,Exit!$C$76+Exit!$C$56)</f>
        <v/>
      </c>
      <c r="Y103" s="23">
        <f>IF(Y$4&lt;=Exit!$C$52+i_opco_tenor,Exit!$C$76,Exit!$C$76+Exit!$C$56)</f>
        <v/>
      </c>
      <c r="Z103" s="23">
        <f>IF(Z$4&lt;=Exit!$C$52+i_opco_tenor,Exit!$C$76,Exit!$C$76+Exit!$C$56)</f>
        <v/>
      </c>
      <c r="AA103" s="23">
        <f>IF(AA$4&lt;=Exit!$C$52+i_opco_tenor,Exit!$C$76,Exit!$C$76+Exit!$C$56)</f>
        <v/>
      </c>
      <c r="AB103" s="23">
        <f>IF(AB$4&lt;=Exit!$C$52+i_opco_tenor,Exit!$C$76,Exit!$C$76+Exit!$C$56)</f>
        <v/>
      </c>
      <c r="AC103" s="23">
        <f>IF(AC$4&lt;=Exit!$C$52+i_opco_tenor,Exit!$C$76,Exit!$C$76+Exit!$C$56)</f>
        <v/>
      </c>
      <c r="AD103" s="23">
        <f>IF(AD$4&lt;=Exit!$C$52+i_opco_tenor,Exit!$C$76,Exit!$C$76+Exit!$C$56)</f>
        <v/>
      </c>
      <c r="AE103" s="23">
        <f>IF(AE$4&lt;=Exit!$C$52+i_opco_tenor,Exit!$C$76,Exit!$C$76+Exit!$C$56)</f>
        <v/>
      </c>
      <c r="AF103" s="23">
        <f>IF(AF$4&lt;=Exit!$C$52+i_opco_tenor,Exit!$C$76,Exit!$C$76+Exit!$C$56)</f>
        <v/>
      </c>
      <c r="AG103" s="23">
        <f>IF(AG$4&lt;=Exit!$C$52+i_opco_tenor,Exit!$C$76,Exit!$C$76+Exit!$C$56)</f>
        <v/>
      </c>
      <c r="AH103" s="23">
        <f>IF(AH$4&lt;=Exit!$C$52+i_opco_tenor,Exit!$C$76,Exit!$C$76+Exit!$C$56)</f>
        <v/>
      </c>
      <c r="AI103" s="23">
        <f>IF(AI$4&lt;=Exit!$C$52+i_opco_tenor,Exit!$C$76,Exit!$C$76+Exit!$C$56)</f>
        <v/>
      </c>
    </row>
    <row r="104">
      <c r="B104" s="2" t="inlineStr">
        <is>
          <t>Interest (opco and holdco)</t>
        </is>
      </c>
      <c r="D104" s="19">
        <f>D103*Exit!$C$78+i_hold_rate*Exit!$C$79</f>
        <v/>
      </c>
      <c r="E104" s="19">
        <f>E103*Exit!$C$78+i_hold_rate*Exit!$C$79</f>
        <v/>
      </c>
      <c r="F104" s="19">
        <f>F103*Exit!$C$78+i_hold_rate*Exit!$C$79</f>
        <v/>
      </c>
      <c r="G104" s="19">
        <f>G103*Exit!$C$78+i_hold_rate*Exit!$C$79</f>
        <v/>
      </c>
      <c r="H104" s="19">
        <f>H103*Exit!$C$78+i_hold_rate*Exit!$C$79</f>
        <v/>
      </c>
      <c r="I104" s="19">
        <f>I103*Exit!$C$78+i_hold_rate*Exit!$C$79</f>
        <v/>
      </c>
      <c r="J104" s="19">
        <f>J103*Exit!$C$78+i_hold_rate*Exit!$C$79</f>
        <v/>
      </c>
      <c r="K104" s="19">
        <f>K103*Exit!$C$78+i_hold_rate*Exit!$C$79</f>
        <v/>
      </c>
      <c r="L104" s="19">
        <f>L103*Exit!$C$78+i_hold_rate*Exit!$C$79</f>
        <v/>
      </c>
      <c r="M104" s="19">
        <f>M103*Exit!$C$78+i_hold_rate*Exit!$C$79</f>
        <v/>
      </c>
      <c r="N104" s="19">
        <f>N103*Exit!$C$78+i_hold_rate*Exit!$C$79</f>
        <v/>
      </c>
      <c r="O104" s="19">
        <f>O103*Exit!$C$78+i_hold_rate*Exit!$C$79</f>
        <v/>
      </c>
      <c r="P104" s="19">
        <f>P103*Exit!$C$78+i_hold_rate*Exit!$C$79</f>
        <v/>
      </c>
      <c r="Q104" s="19">
        <f>Q103*Exit!$C$78+i_hold_rate*Exit!$C$79</f>
        <v/>
      </c>
      <c r="R104" s="19">
        <f>R103*Exit!$C$78+i_hold_rate*Exit!$C$79</f>
        <v/>
      </c>
      <c r="S104" s="19">
        <f>S103*Exit!$C$78+i_hold_rate*Exit!$C$79</f>
        <v/>
      </c>
      <c r="T104" s="19">
        <f>T103*Exit!$C$78+i_hold_rate*Exit!$C$79</f>
        <v/>
      </c>
      <c r="U104" s="19">
        <f>U103*Exit!$C$78+i_hold_rate*Exit!$C$79</f>
        <v/>
      </c>
      <c r="V104" s="19">
        <f>V103*Exit!$C$78+i_hold_rate*Exit!$C$79</f>
        <v/>
      </c>
      <c r="W104" s="19">
        <f>W103*Exit!$C$78+i_hold_rate*Exit!$C$79</f>
        <v/>
      </c>
      <c r="X104" s="19">
        <f>X103*Exit!$C$78+i_hold_rate*Exit!$C$79</f>
        <v/>
      </c>
      <c r="Y104" s="19">
        <f>Y103*Exit!$C$78+i_hold_rate*Exit!$C$79</f>
        <v/>
      </c>
      <c r="Z104" s="19">
        <f>Z103*Exit!$C$78+i_hold_rate*Exit!$C$79</f>
        <v/>
      </c>
      <c r="AA104" s="19">
        <f>AA103*Exit!$C$78+i_hold_rate*Exit!$C$79</f>
        <v/>
      </c>
      <c r="AB104" s="19">
        <f>AB103*Exit!$C$78+i_hold_rate*Exit!$C$79</f>
        <v/>
      </c>
      <c r="AC104" s="19">
        <f>AC103*Exit!$C$78+i_hold_rate*Exit!$C$79</f>
        <v/>
      </c>
      <c r="AD104" s="19">
        <f>AD103*Exit!$C$78+i_hold_rate*Exit!$C$79</f>
        <v/>
      </c>
      <c r="AE104" s="19">
        <f>AE103*Exit!$C$78+i_hold_rate*Exit!$C$79</f>
        <v/>
      </c>
      <c r="AF104" s="19">
        <f>AF103*Exit!$C$78+i_hold_rate*Exit!$C$79</f>
        <v/>
      </c>
      <c r="AG104" s="19">
        <f>AG103*Exit!$C$78+i_hold_rate*Exit!$C$79</f>
        <v/>
      </c>
      <c r="AH104" s="19">
        <f>AH103*Exit!$C$78+i_hold_rate*Exit!$C$79</f>
        <v/>
      </c>
      <c r="AI104" s="19">
        <f>AI103*Exit!$C$78+i_hold_rate*Exit!$C$79</f>
        <v/>
      </c>
    </row>
    <row r="105">
      <c r="B105" s="2" t="inlineStr">
        <is>
          <t>Deductible interest (cap on EBITDA)</t>
        </is>
      </c>
      <c r="D105" s="19">
        <f>MIN(D104,i_int_cap*Platform!D10)</f>
        <v/>
      </c>
      <c r="E105" s="19">
        <f>MIN(E104,i_int_cap*Platform!E10)</f>
        <v/>
      </c>
      <c r="F105" s="19">
        <f>MIN(F104,i_int_cap*Platform!F10)</f>
        <v/>
      </c>
      <c r="G105" s="19">
        <f>MIN(G104,i_int_cap*Platform!G10)</f>
        <v/>
      </c>
      <c r="H105" s="19">
        <f>MIN(H104,i_int_cap*Platform!H10)</f>
        <v/>
      </c>
      <c r="I105" s="19">
        <f>MIN(I104,i_int_cap*Platform!I10)</f>
        <v/>
      </c>
      <c r="J105" s="19">
        <f>MIN(J104,i_int_cap*Platform!J10)</f>
        <v/>
      </c>
      <c r="K105" s="19">
        <f>MIN(K104,i_int_cap*Platform!K10)</f>
        <v/>
      </c>
      <c r="L105" s="19">
        <f>MIN(L104,i_int_cap*Platform!L10)</f>
        <v/>
      </c>
      <c r="M105" s="19">
        <f>MIN(M104,i_int_cap*Platform!M10)</f>
        <v/>
      </c>
      <c r="N105" s="19">
        <f>MIN(N104,i_int_cap*Platform!N10)</f>
        <v/>
      </c>
      <c r="O105" s="19">
        <f>MIN(O104,i_int_cap*Platform!O10)</f>
        <v/>
      </c>
      <c r="P105" s="19">
        <f>MIN(P104,i_int_cap*Platform!P10)</f>
        <v/>
      </c>
      <c r="Q105" s="19">
        <f>MIN(Q104,i_int_cap*Platform!Q10)</f>
        <v/>
      </c>
      <c r="R105" s="19">
        <f>MIN(R104,i_int_cap*Platform!R10)</f>
        <v/>
      </c>
      <c r="S105" s="19">
        <f>MIN(S104,i_int_cap*Platform!S10)</f>
        <v/>
      </c>
      <c r="T105" s="19">
        <f>MIN(T104,i_int_cap*Platform!T10)</f>
        <v/>
      </c>
      <c r="U105" s="19">
        <f>MIN(U104,i_int_cap*Platform!U10)</f>
        <v/>
      </c>
      <c r="V105" s="19">
        <f>MIN(V104,i_int_cap*Platform!V10)</f>
        <v/>
      </c>
      <c r="W105" s="19">
        <f>MIN(W104,i_int_cap*Platform!W10)</f>
        <v/>
      </c>
      <c r="X105" s="19">
        <f>MIN(X104,i_int_cap*Platform!X10)</f>
        <v/>
      </c>
      <c r="Y105" s="19">
        <f>MIN(Y104,i_int_cap*Platform!Y10)</f>
        <v/>
      </c>
      <c r="Z105" s="19">
        <f>MIN(Z104,i_int_cap*Platform!Z10)</f>
        <v/>
      </c>
      <c r="AA105" s="19">
        <f>MIN(AA104,i_int_cap*Platform!AA10)</f>
        <v/>
      </c>
      <c r="AB105" s="19">
        <f>MIN(AB104,i_int_cap*Platform!AB10)</f>
        <v/>
      </c>
      <c r="AC105" s="19">
        <f>MIN(AC104,i_int_cap*Platform!AC10)</f>
        <v/>
      </c>
      <c r="AD105" s="19">
        <f>MIN(AD104,i_int_cap*Platform!AD10)</f>
        <v/>
      </c>
      <c r="AE105" s="19">
        <f>MIN(AE104,i_int_cap*Platform!AE10)</f>
        <v/>
      </c>
      <c r="AF105" s="19">
        <f>MIN(AF104,i_int_cap*Platform!AF10)</f>
        <v/>
      </c>
      <c r="AG105" s="19">
        <f>MIN(AG104,i_int_cap*Platform!AG10)</f>
        <v/>
      </c>
      <c r="AH105" s="19">
        <f>MIN(AH104,i_int_cap*Platform!AH10)</f>
        <v/>
      </c>
      <c r="AI105" s="19">
        <f>MIN(AI104,i_int_cap*Platform!AI10)</f>
        <v/>
      </c>
    </row>
    <row r="106">
      <c r="B106" s="2" t="inlineStr">
        <is>
          <t>Cash tax with the debt</t>
        </is>
      </c>
      <c r="D106" s="19">
        <f>i_tax*MAX(0,Platform!D10-Platform!D13-D105)</f>
        <v/>
      </c>
      <c r="E106" s="19">
        <f>i_tax*MAX(0,Platform!E10-Platform!E13-E105)</f>
        <v/>
      </c>
      <c r="F106" s="19">
        <f>i_tax*MAX(0,Platform!F10-Platform!F13-F105)</f>
        <v/>
      </c>
      <c r="G106" s="19">
        <f>i_tax*MAX(0,Platform!G10-Platform!G13-G105)</f>
        <v/>
      </c>
      <c r="H106" s="19">
        <f>i_tax*MAX(0,Platform!H10-Platform!H13-H105)</f>
        <v/>
      </c>
      <c r="I106" s="19">
        <f>i_tax*MAX(0,Platform!I10-Platform!I13-I105)</f>
        <v/>
      </c>
      <c r="J106" s="19">
        <f>i_tax*MAX(0,Platform!J10-Platform!J13-J105)</f>
        <v/>
      </c>
      <c r="K106" s="19">
        <f>i_tax*MAX(0,Platform!K10-Platform!K13-K105)</f>
        <v/>
      </c>
      <c r="L106" s="19">
        <f>i_tax*MAX(0,Platform!L10-Platform!L13-L105)</f>
        <v/>
      </c>
      <c r="M106" s="19">
        <f>i_tax*MAX(0,Platform!M10-Platform!M13-M105)</f>
        <v/>
      </c>
      <c r="N106" s="19">
        <f>i_tax*MAX(0,Platform!N10-Platform!N13-N105)</f>
        <v/>
      </c>
      <c r="O106" s="19">
        <f>i_tax*MAX(0,Platform!O10-Platform!O13-O105)</f>
        <v/>
      </c>
      <c r="P106" s="19">
        <f>i_tax*MAX(0,Platform!P10-Platform!P13-P105)</f>
        <v/>
      </c>
      <c r="Q106" s="19">
        <f>i_tax*MAX(0,Platform!Q10-Platform!Q13-Q105)</f>
        <v/>
      </c>
      <c r="R106" s="19">
        <f>i_tax*MAX(0,Platform!R10-Platform!R13-R105)</f>
        <v/>
      </c>
      <c r="S106" s="19">
        <f>i_tax*MAX(0,Platform!S10-Platform!S13-S105)</f>
        <v/>
      </c>
      <c r="T106" s="19">
        <f>i_tax*MAX(0,Platform!T10-Platform!T13-T105)</f>
        <v/>
      </c>
      <c r="U106" s="19">
        <f>i_tax*MAX(0,Platform!U10-Platform!U13-U105)</f>
        <v/>
      </c>
      <c r="V106" s="19">
        <f>i_tax*MAX(0,Platform!V10-Platform!V13-V105)</f>
        <v/>
      </c>
      <c r="W106" s="19">
        <f>i_tax*MAX(0,Platform!W10-Platform!W13-W105)</f>
        <v/>
      </c>
      <c r="X106" s="19">
        <f>i_tax*MAX(0,Platform!X10-Platform!X13-X105)</f>
        <v/>
      </c>
      <c r="Y106" s="19">
        <f>i_tax*MAX(0,Platform!Y10-Platform!Y13-Y105)</f>
        <v/>
      </c>
      <c r="Z106" s="19">
        <f>i_tax*MAX(0,Platform!Z10-Platform!Z13-Z105)</f>
        <v/>
      </c>
      <c r="AA106" s="19">
        <f>i_tax*MAX(0,Platform!AA10-Platform!AA13-AA105)</f>
        <v/>
      </c>
      <c r="AB106" s="19">
        <f>i_tax*MAX(0,Platform!AB10-Platform!AB13-AB105)</f>
        <v/>
      </c>
      <c r="AC106" s="19">
        <f>i_tax*MAX(0,Platform!AC10-Platform!AC13-AC105)</f>
        <v/>
      </c>
      <c r="AD106" s="19">
        <f>i_tax*MAX(0,Platform!AD10-Platform!AD13-AD105)</f>
        <v/>
      </c>
      <c r="AE106" s="19">
        <f>i_tax*MAX(0,Platform!AE10-Platform!AE13-AE105)</f>
        <v/>
      </c>
      <c r="AF106" s="19">
        <f>i_tax*MAX(0,Platform!AF10-Platform!AF13-AF105)</f>
        <v/>
      </c>
      <c r="AG106" s="19">
        <f>i_tax*MAX(0,Platform!AG10-Platform!AG13-AG105)</f>
        <v/>
      </c>
      <c r="AH106" s="19">
        <f>i_tax*MAX(0,Platform!AH10-Platform!AH13-AH105)</f>
        <v/>
      </c>
      <c r="AI106" s="19">
        <f>i_tax*MAX(0,Platform!AI10-Platform!AI13-AI105)</f>
        <v/>
      </c>
    </row>
    <row r="107">
      <c r="B107" s="3" t="inlineStr">
        <is>
          <t>Cash flow to equity (full year)</t>
        </is>
      </c>
      <c r="D107" s="31">
        <f>Platform!D10-Platform!D11-Platform!D12-D106-D104-Platform!D15</f>
        <v/>
      </c>
      <c r="E107" s="31">
        <f>Platform!E10-Platform!E11-Platform!E12-E106-E104-Platform!E15</f>
        <v/>
      </c>
      <c r="F107" s="31">
        <f>Platform!F10-Platform!F11-Platform!F12-F106-F104-Platform!F15</f>
        <v/>
      </c>
      <c r="G107" s="31">
        <f>Platform!G10-Platform!G11-Platform!G12-G106-G104-Platform!G15</f>
        <v/>
      </c>
      <c r="H107" s="31">
        <f>Platform!H10-Platform!H11-Platform!H12-H106-H104-Platform!H15</f>
        <v/>
      </c>
      <c r="I107" s="31">
        <f>Platform!I10-Platform!I11-Platform!I12-I106-I104-Platform!I15</f>
        <v/>
      </c>
      <c r="J107" s="31">
        <f>Platform!J10-Platform!J11-Platform!J12-J106-J104-Platform!J15</f>
        <v/>
      </c>
      <c r="K107" s="31">
        <f>Platform!K10-Platform!K11-Platform!K12-K106-K104-Platform!K15</f>
        <v/>
      </c>
      <c r="L107" s="31">
        <f>Platform!L10-Platform!L11-Platform!L12-L106-L104-Platform!L15</f>
        <v/>
      </c>
      <c r="M107" s="31">
        <f>Platform!M10-Platform!M11-Platform!M12-M106-M104-Platform!M15</f>
        <v/>
      </c>
      <c r="N107" s="31">
        <f>Platform!N10-Platform!N11-Platform!N12-N106-N104-Platform!N15</f>
        <v/>
      </c>
      <c r="O107" s="31">
        <f>Platform!O10-Platform!O11-Platform!O12-O106-O104-Platform!O15</f>
        <v/>
      </c>
      <c r="P107" s="31">
        <f>Platform!P10-Platform!P11-Platform!P12-P106-P104-Platform!P15</f>
        <v/>
      </c>
      <c r="Q107" s="31">
        <f>Platform!Q10-Platform!Q11-Platform!Q12-Q106-Q104-Platform!Q15</f>
        <v/>
      </c>
      <c r="R107" s="31">
        <f>Platform!R10-Platform!R11-Platform!R12-R106-R104-Platform!R15</f>
        <v/>
      </c>
      <c r="S107" s="31">
        <f>Platform!S10-Platform!S11-Platform!S12-S106-S104-Platform!S15</f>
        <v/>
      </c>
      <c r="T107" s="31">
        <f>Platform!T10-Platform!T11-Platform!T12-T106-T104-Platform!T15</f>
        <v/>
      </c>
      <c r="U107" s="31">
        <f>Platform!U10-Platform!U11-Platform!U12-U106-U104-Platform!U15</f>
        <v/>
      </c>
      <c r="V107" s="31">
        <f>Platform!V10-Platform!V11-Platform!V12-V106-V104-Platform!V15</f>
        <v/>
      </c>
      <c r="W107" s="31">
        <f>Platform!W10-Platform!W11-Platform!W12-W106-W104-Platform!W15</f>
        <v/>
      </c>
      <c r="X107" s="31">
        <f>Platform!X10-Platform!X11-Platform!X12-X106-X104-Platform!X15</f>
        <v/>
      </c>
      <c r="Y107" s="31">
        <f>Platform!Y10-Platform!Y11-Platform!Y12-Y106-Y104-Platform!Y15</f>
        <v/>
      </c>
      <c r="Z107" s="31">
        <f>Platform!Z10-Platform!Z11-Platform!Z12-Z106-Z104-Platform!Z15</f>
        <v/>
      </c>
      <c r="AA107" s="31">
        <f>Platform!AA10-Platform!AA11-Platform!AA12-AA106-AA104-Platform!AA15</f>
        <v/>
      </c>
      <c r="AB107" s="31">
        <f>Platform!AB10-Platform!AB11-Platform!AB12-AB106-AB104-Platform!AB15</f>
        <v/>
      </c>
      <c r="AC107" s="31">
        <f>Platform!AC10-Platform!AC11-Platform!AC12-AC106-AC104-Platform!AC15</f>
        <v/>
      </c>
      <c r="AD107" s="31">
        <f>Platform!AD10-Platform!AD11-Platform!AD12-AD106-AD104-Platform!AD15</f>
        <v/>
      </c>
      <c r="AE107" s="31">
        <f>Platform!AE10-Platform!AE11-Platform!AE12-AE106-AE104-Platform!AE15</f>
        <v/>
      </c>
      <c r="AF107" s="31">
        <f>Platform!AF10-Platform!AF11-Platform!AF12-AF106-AF104-Platform!AF15</f>
        <v/>
      </c>
      <c r="AG107" s="31">
        <f>Platform!AG10-Platform!AG11-Platform!AG12-AG106-AG104-Platform!AG15</f>
        <v/>
      </c>
      <c r="AH107" s="31">
        <f>Platform!AH10-Platform!AH11-Platform!AH12-AH106-AH104-Platform!AH15</f>
        <v/>
      </c>
      <c r="AI107" s="31">
        <f>Platform!AI10-Platform!AI11-Platform!AI12-AI106-AI104-Platform!AI15</f>
        <v/>
      </c>
    </row>
    <row r="108">
      <c r="B108" s="2" t="inlineStr">
        <is>
          <t>Exit EV at the end of the exit year (DCF at the exit rate)</t>
        </is>
      </c>
      <c r="C108" s="19">
        <f>SUMPRODUCT((Exit!$D$3:$AI$3&gt;i_exit_year)*(Exit!$D$3:$AI$3&lt;=i_last)*Platform!$D$16:$AI$16/(1+Exit!$C$55)^(Exit!$D$3:$AI$3-i_exit_year))+Platform!$AI$16/(Exit!$C$55-i_g)/(1+Exit!$C$55)^(i_last-i_exit_year)</f>
        <v/>
      </c>
    </row>
    <row r="109">
      <c r="B109" s="2" t="inlineStr">
        <is>
          <t>Debt at exit (bullets)</t>
        </is>
      </c>
      <c r="C109" s="19">
        <f>Exit!$C$78+Exit!$C$79</f>
        <v/>
      </c>
    </row>
    <row r="110">
      <c r="B110" s="3" t="inlineStr">
        <is>
          <t>Equity value at exit</t>
        </is>
      </c>
      <c r="C110" s="31">
        <f>Exit!$C$108-Exit!$C$109</f>
        <v/>
      </c>
    </row>
    <row r="111">
      <c r="B111" s="2" t="inlineStr">
        <is>
          <t>Minority option: EV at the end of 2031 (minority buyer's rate)</t>
        </is>
      </c>
      <c r="C111" s="19">
        <f>SUMPRODUCT((Exit!$D$3:$AI$3&gt;i_min_year)*(Exit!$D$3:$AI$3&lt;=i_last)*Platform!$D$16:$AI$16/(1+i_min_r)^(Exit!$D$3:$AI$3-i_min_year))+Platform!$AI$16/(i_min_r-i_g)/(1+i_min_r)^(i_last-i_min_year)</f>
        <v/>
      </c>
    </row>
    <row r="112">
      <c r="B112" s="2" t="inlineStr">
        <is>
          <t>Minority option: equity value in 2031</t>
        </is>
      </c>
      <c r="C112" s="19">
        <f>Exit!$C$111-Exit!$C$109</f>
        <v/>
      </c>
    </row>
    <row r="113">
      <c r="B113" s="2" t="inlineStr">
        <is>
          <t>Minority option: proceeds of the 49 percent sold</t>
        </is>
      </c>
      <c r="C113" s="19">
        <f>Exit!$C$54*i_min_share*Exit!$C$112*(1-i_min_disc)</f>
        <v/>
      </c>
    </row>
    <row r="114">
      <c r="B114" s="4" t="inlineStr">
        <is>
          <t>Time of each flow (years after 31 December 2026)</t>
        </is>
      </c>
      <c r="D114" s="28">
        <f>D$4</f>
        <v/>
      </c>
      <c r="E114" s="28">
        <f>E$4</f>
        <v/>
      </c>
      <c r="F114" s="28">
        <f>F$4</f>
        <v/>
      </c>
      <c r="G114" s="28">
        <f>G$4</f>
        <v/>
      </c>
      <c r="H114" s="28">
        <f>H$4</f>
        <v/>
      </c>
      <c r="I114" s="28">
        <f>I$4</f>
        <v/>
      </c>
      <c r="J114" s="28">
        <f>J$4</f>
        <v/>
      </c>
      <c r="K114" s="28">
        <f>K$4</f>
        <v/>
      </c>
      <c r="L114" s="28">
        <f>L$4</f>
        <v/>
      </c>
      <c r="M114" s="28">
        <f>M$4</f>
        <v/>
      </c>
      <c r="N114" s="28">
        <f>N$4</f>
        <v/>
      </c>
      <c r="O114" s="28">
        <f>O$4</f>
        <v/>
      </c>
      <c r="P114" s="28">
        <f>P$4</f>
        <v/>
      </c>
      <c r="Q114" s="28">
        <f>Q$4</f>
        <v/>
      </c>
      <c r="R114" s="28">
        <f>R$4</f>
        <v/>
      </c>
      <c r="S114" s="28">
        <f>S$4</f>
        <v/>
      </c>
      <c r="T114" s="28">
        <f>T$4</f>
        <v/>
      </c>
      <c r="U114" s="28">
        <f>U$4</f>
        <v/>
      </c>
      <c r="V114" s="28">
        <f>V$4</f>
        <v/>
      </c>
      <c r="W114" s="28">
        <f>W$4</f>
        <v/>
      </c>
      <c r="X114" s="28">
        <f>X$4</f>
        <v/>
      </c>
      <c r="Y114" s="28">
        <f>Y$4</f>
        <v/>
      </c>
      <c r="Z114" s="28">
        <f>Z$4</f>
        <v/>
      </c>
      <c r="AA114" s="28">
        <f>AA$4</f>
        <v/>
      </c>
      <c r="AB114" s="28">
        <f>AB$4</f>
        <v/>
      </c>
      <c r="AC114" s="28">
        <f>AC$4</f>
        <v/>
      </c>
      <c r="AD114" s="28">
        <f>AD$4</f>
        <v/>
      </c>
      <c r="AE114" s="28">
        <f>AE$4</f>
        <v/>
      </c>
      <c r="AF114" s="28">
        <f>AF$4</f>
        <v/>
      </c>
      <c r="AG114" s="28">
        <f>AG$4</f>
        <v/>
      </c>
      <c r="AH114" s="28">
        <f>AH$4</f>
        <v/>
      </c>
      <c r="AI114" s="28">
        <f>AI$4</f>
        <v/>
      </c>
      <c r="AJ114" s="28">
        <f>Exit!$C$52</f>
        <v/>
      </c>
      <c r="AK114" s="28">
        <f>i_min_year-i_base_year</f>
        <v/>
      </c>
      <c r="AL114" s="28">
        <f>i_exit_year-i_base_year</f>
        <v/>
      </c>
    </row>
    <row r="115">
      <c r="B115" s="3" t="inlineStr">
        <is>
          <t>Levered flows (equity)</t>
        </is>
      </c>
      <c r="D115" s="31">
        <f>D102*D107*IF(AND(Exit!$C$54=1,D114&gt;$AK$114+1E-9),1-i_min_share,1)</f>
        <v/>
      </c>
      <c r="E115" s="31">
        <f>E102*E107*IF(AND(Exit!$C$54=1,E114&gt;$AK$114+1E-9),1-i_min_share,1)</f>
        <v/>
      </c>
      <c r="F115" s="31">
        <f>F102*F107*IF(AND(Exit!$C$54=1,F114&gt;$AK$114+1E-9),1-i_min_share,1)</f>
        <v/>
      </c>
      <c r="G115" s="31">
        <f>G102*G107*IF(AND(Exit!$C$54=1,G114&gt;$AK$114+1E-9),1-i_min_share,1)</f>
        <v/>
      </c>
      <c r="H115" s="31">
        <f>H102*H107*IF(AND(Exit!$C$54=1,H114&gt;$AK$114+1E-9),1-i_min_share,1)</f>
        <v/>
      </c>
      <c r="I115" s="31">
        <f>I102*I107*IF(AND(Exit!$C$54=1,I114&gt;$AK$114+1E-9),1-i_min_share,1)</f>
        <v/>
      </c>
      <c r="J115" s="31">
        <f>J102*J107*IF(AND(Exit!$C$54=1,J114&gt;$AK$114+1E-9),1-i_min_share,1)</f>
        <v/>
      </c>
      <c r="K115" s="31">
        <f>K102*K107*IF(AND(Exit!$C$54=1,K114&gt;$AK$114+1E-9),1-i_min_share,1)</f>
        <v/>
      </c>
      <c r="L115" s="31">
        <f>L102*L107*IF(AND(Exit!$C$54=1,L114&gt;$AK$114+1E-9),1-i_min_share,1)</f>
        <v/>
      </c>
      <c r="M115" s="31">
        <f>M102*M107*IF(AND(Exit!$C$54=1,M114&gt;$AK$114+1E-9),1-i_min_share,1)</f>
        <v/>
      </c>
      <c r="N115" s="31">
        <f>N102*N107*IF(AND(Exit!$C$54=1,N114&gt;$AK$114+1E-9),1-i_min_share,1)</f>
        <v/>
      </c>
      <c r="O115" s="31">
        <f>O102*O107*IF(AND(Exit!$C$54=1,O114&gt;$AK$114+1E-9),1-i_min_share,1)</f>
        <v/>
      </c>
      <c r="P115" s="31">
        <f>P102*P107*IF(AND(Exit!$C$54=1,P114&gt;$AK$114+1E-9),1-i_min_share,1)</f>
        <v/>
      </c>
      <c r="Q115" s="31">
        <f>Q102*Q107*IF(AND(Exit!$C$54=1,Q114&gt;$AK$114+1E-9),1-i_min_share,1)</f>
        <v/>
      </c>
      <c r="R115" s="31">
        <f>R102*R107*IF(AND(Exit!$C$54=1,R114&gt;$AK$114+1E-9),1-i_min_share,1)</f>
        <v/>
      </c>
      <c r="S115" s="31">
        <f>S102*S107*IF(AND(Exit!$C$54=1,S114&gt;$AK$114+1E-9),1-i_min_share,1)</f>
        <v/>
      </c>
      <c r="T115" s="31">
        <f>T102*T107*IF(AND(Exit!$C$54=1,T114&gt;$AK$114+1E-9),1-i_min_share,1)</f>
        <v/>
      </c>
      <c r="U115" s="31">
        <f>U102*U107*IF(AND(Exit!$C$54=1,U114&gt;$AK$114+1E-9),1-i_min_share,1)</f>
        <v/>
      </c>
      <c r="V115" s="31">
        <f>V102*V107*IF(AND(Exit!$C$54=1,V114&gt;$AK$114+1E-9),1-i_min_share,1)</f>
        <v/>
      </c>
      <c r="W115" s="31">
        <f>W102*W107*IF(AND(Exit!$C$54=1,W114&gt;$AK$114+1E-9),1-i_min_share,1)</f>
        <v/>
      </c>
      <c r="X115" s="31">
        <f>X102*X107*IF(AND(Exit!$C$54=1,X114&gt;$AK$114+1E-9),1-i_min_share,1)</f>
        <v/>
      </c>
      <c r="Y115" s="31">
        <f>Y102*Y107*IF(AND(Exit!$C$54=1,Y114&gt;$AK$114+1E-9),1-i_min_share,1)</f>
        <v/>
      </c>
      <c r="Z115" s="31">
        <f>Z102*Z107*IF(AND(Exit!$C$54=1,Z114&gt;$AK$114+1E-9),1-i_min_share,1)</f>
        <v/>
      </c>
      <c r="AA115" s="31">
        <f>AA102*AA107*IF(AND(Exit!$C$54=1,AA114&gt;$AK$114+1E-9),1-i_min_share,1)</f>
        <v/>
      </c>
      <c r="AB115" s="31">
        <f>AB102*AB107*IF(AND(Exit!$C$54=1,AB114&gt;$AK$114+1E-9),1-i_min_share,1)</f>
        <v/>
      </c>
      <c r="AC115" s="31">
        <f>AC102*AC107*IF(AND(Exit!$C$54=1,AC114&gt;$AK$114+1E-9),1-i_min_share,1)</f>
        <v/>
      </c>
      <c r="AD115" s="31">
        <f>AD102*AD107*IF(AND(Exit!$C$54=1,AD114&gt;$AK$114+1E-9),1-i_min_share,1)</f>
        <v/>
      </c>
      <c r="AE115" s="31">
        <f>AE102*AE107*IF(AND(Exit!$C$54=1,AE114&gt;$AK$114+1E-9),1-i_min_share,1)</f>
        <v/>
      </c>
      <c r="AF115" s="31">
        <f>AF102*AF107*IF(AND(Exit!$C$54=1,AF114&gt;$AK$114+1E-9),1-i_min_share,1)</f>
        <v/>
      </c>
      <c r="AG115" s="31">
        <f>AG102*AG107*IF(AND(Exit!$C$54=1,AG114&gt;$AK$114+1E-9),1-i_min_share,1)</f>
        <v/>
      </c>
      <c r="AH115" s="31">
        <f>AH102*AH107*IF(AND(Exit!$C$54=1,AH114&gt;$AK$114+1E-9),1-i_min_share,1)</f>
        <v/>
      </c>
      <c r="AI115" s="31">
        <f>AI102*AI107*IF(AND(Exit!$C$54=1,AI114&gt;$AK$114+1E-9),1-i_min_share,1)</f>
        <v/>
      </c>
      <c r="AJ115" s="31">
        <f>-Exit!$C$98</f>
        <v/>
      </c>
      <c r="AK115" s="31">
        <f>Exit!$C$113</f>
        <v/>
      </c>
      <c r="AL115" s="31">
        <f>Exit!$C$110*IF(Exit!$C$54=1,1-i_min_share,1)</f>
        <v/>
      </c>
    </row>
    <row r="116">
      <c r="B116" s="3" t="inlineStr">
        <is>
          <t>Unlevered flows (before financing)</t>
        </is>
      </c>
      <c r="D116" s="31">
        <f>D102*Platform!D16</f>
        <v/>
      </c>
      <c r="E116" s="31">
        <f>E102*Platform!E16</f>
        <v/>
      </c>
      <c r="F116" s="31">
        <f>F102*Platform!F16</f>
        <v/>
      </c>
      <c r="G116" s="31">
        <f>G102*Platform!G16</f>
        <v/>
      </c>
      <c r="H116" s="31">
        <f>H102*Platform!H16</f>
        <v/>
      </c>
      <c r="I116" s="31">
        <f>I102*Platform!I16</f>
        <v/>
      </c>
      <c r="J116" s="31">
        <f>J102*Platform!J16</f>
        <v/>
      </c>
      <c r="K116" s="31">
        <f>K102*Platform!K16</f>
        <v/>
      </c>
      <c r="L116" s="31">
        <f>L102*Platform!L16</f>
        <v/>
      </c>
      <c r="M116" s="31">
        <f>M102*Platform!M16</f>
        <v/>
      </c>
      <c r="N116" s="31">
        <f>N102*Platform!N16</f>
        <v/>
      </c>
      <c r="O116" s="31">
        <f>O102*Platform!O16</f>
        <v/>
      </c>
      <c r="P116" s="31">
        <f>P102*Platform!P16</f>
        <v/>
      </c>
      <c r="Q116" s="31">
        <f>Q102*Platform!Q16</f>
        <v/>
      </c>
      <c r="R116" s="31">
        <f>R102*Platform!R16</f>
        <v/>
      </c>
      <c r="S116" s="31">
        <f>S102*Platform!S16</f>
        <v/>
      </c>
      <c r="T116" s="31">
        <f>T102*Platform!T16</f>
        <v/>
      </c>
      <c r="U116" s="31">
        <f>U102*Platform!U16</f>
        <v/>
      </c>
      <c r="V116" s="31">
        <f>V102*Platform!V16</f>
        <v/>
      </c>
      <c r="W116" s="31">
        <f>W102*Platform!W16</f>
        <v/>
      </c>
      <c r="X116" s="31">
        <f>X102*Platform!X16</f>
        <v/>
      </c>
      <c r="Y116" s="31">
        <f>Y102*Platform!Y16</f>
        <v/>
      </c>
      <c r="Z116" s="31">
        <f>Z102*Platform!Z16</f>
        <v/>
      </c>
      <c r="AA116" s="31">
        <f>AA102*Platform!AA16</f>
        <v/>
      </c>
      <c r="AB116" s="31">
        <f>AB102*Platform!AB16</f>
        <v/>
      </c>
      <c r="AC116" s="31">
        <f>AC102*Platform!AC16</f>
        <v/>
      </c>
      <c r="AD116" s="31">
        <f>AD102*Platform!AD16</f>
        <v/>
      </c>
      <c r="AE116" s="31">
        <f>AE102*Platform!AE16</f>
        <v/>
      </c>
      <c r="AF116" s="31">
        <f>AF102*Platform!AF16</f>
        <v/>
      </c>
      <c r="AG116" s="31">
        <f>AG102*Platform!AG16</f>
        <v/>
      </c>
      <c r="AH116" s="31">
        <f>AH102*Platform!AH16</f>
        <v/>
      </c>
      <c r="AI116" s="31">
        <f>AI102*Platform!AI16</f>
        <v/>
      </c>
      <c r="AJ116" s="31">
        <f>-(Exit!$C$93-Exit!$C$71-Exit!$C$83)</f>
        <v/>
      </c>
      <c r="AK116" s="19" t="n">
        <v>0</v>
      </c>
      <c r="AL116" s="31">
        <f>Exit!$C$108</f>
        <v/>
      </c>
    </row>
    <row r="117">
      <c r="B117" s="4" t="inlineStr">
        <is>
          <t>Levered IRR (Newton steps from 10 percent)</t>
        </is>
      </c>
      <c r="D117" s="38" t="n">
        <v>0.1</v>
      </c>
      <c r="E117" s="40">
        <f>D117-SUMPRODUCT($D$115:$AL$115,(1+D117)^(-$D$114:$AL$114))/SUMPRODUCT($D$115:$AL$115*(-$D$114:$AL$114),(1+D117)^(-$D$114:$AL$114-1))</f>
        <v/>
      </c>
      <c r="F117" s="40">
        <f>E117-SUMPRODUCT($D$115:$AL$115,(1+E117)^(-$D$114:$AL$114))/SUMPRODUCT($D$115:$AL$115*(-$D$114:$AL$114),(1+E117)^(-$D$114:$AL$114-1))</f>
        <v/>
      </c>
      <c r="G117" s="40">
        <f>F117-SUMPRODUCT($D$115:$AL$115,(1+F117)^(-$D$114:$AL$114))/SUMPRODUCT($D$115:$AL$115*(-$D$114:$AL$114),(1+F117)^(-$D$114:$AL$114-1))</f>
        <v/>
      </c>
      <c r="H117" s="40">
        <f>G117-SUMPRODUCT($D$115:$AL$115,(1+G117)^(-$D$114:$AL$114))/SUMPRODUCT($D$115:$AL$115*(-$D$114:$AL$114),(1+G117)^(-$D$114:$AL$114-1))</f>
        <v/>
      </c>
      <c r="I117" s="40">
        <f>H117-SUMPRODUCT($D$115:$AL$115,(1+H117)^(-$D$114:$AL$114))/SUMPRODUCT($D$115:$AL$115*(-$D$114:$AL$114),(1+H117)^(-$D$114:$AL$114-1))</f>
        <v/>
      </c>
      <c r="J117" s="40">
        <f>I117-SUMPRODUCT($D$115:$AL$115,(1+I117)^(-$D$114:$AL$114))/SUMPRODUCT($D$115:$AL$115*(-$D$114:$AL$114),(1+I117)^(-$D$114:$AL$114-1))</f>
        <v/>
      </c>
      <c r="K117" s="40">
        <f>J117-SUMPRODUCT($D$115:$AL$115,(1+J117)^(-$D$114:$AL$114))/SUMPRODUCT($D$115:$AL$115*(-$D$114:$AL$114),(1+J117)^(-$D$114:$AL$114-1))</f>
        <v/>
      </c>
      <c r="L117" s="40">
        <f>K117-SUMPRODUCT($D$115:$AL$115,(1+K117)^(-$D$114:$AL$114))/SUMPRODUCT($D$115:$AL$115*(-$D$114:$AL$114),(1+K117)^(-$D$114:$AL$114-1))</f>
        <v/>
      </c>
      <c r="M117" s="40">
        <f>L117-SUMPRODUCT($D$115:$AL$115,(1+L117)^(-$D$114:$AL$114))/SUMPRODUCT($D$115:$AL$115*(-$D$114:$AL$114),(1+L117)^(-$D$114:$AL$114-1))</f>
        <v/>
      </c>
      <c r="N117" s="40">
        <f>M117-SUMPRODUCT($D$115:$AL$115,(1+M117)^(-$D$114:$AL$114))/SUMPRODUCT($D$115:$AL$115*(-$D$114:$AL$114),(1+M117)^(-$D$114:$AL$114-1))</f>
        <v/>
      </c>
      <c r="O117" s="40">
        <f>N117-SUMPRODUCT($D$115:$AL$115,(1+N117)^(-$D$114:$AL$114))/SUMPRODUCT($D$115:$AL$115*(-$D$114:$AL$114),(1+N117)^(-$D$114:$AL$114-1))</f>
        <v/>
      </c>
      <c r="P117" s="40">
        <f>O117-SUMPRODUCT($D$115:$AL$115,(1+O117)^(-$D$114:$AL$114))/SUMPRODUCT($D$115:$AL$115*(-$D$114:$AL$114),(1+O117)^(-$D$114:$AL$114-1))</f>
        <v/>
      </c>
      <c r="Q117" s="40">
        <f>P117-SUMPRODUCT($D$115:$AL$115,(1+P117)^(-$D$114:$AL$114))/SUMPRODUCT($D$115:$AL$115*(-$D$114:$AL$114),(1+P117)^(-$D$114:$AL$114-1))</f>
        <v/>
      </c>
      <c r="R117" s="40">
        <f>Q117-SUMPRODUCT($D$115:$AL$115,(1+Q117)^(-$D$114:$AL$114))/SUMPRODUCT($D$115:$AL$115*(-$D$114:$AL$114),(1+Q117)^(-$D$114:$AL$114-1))</f>
        <v/>
      </c>
    </row>
    <row r="118">
      <c r="B118" s="4" t="inlineStr">
        <is>
          <t>Unlevered IRR (Newton steps from 10 percent)</t>
        </is>
      </c>
      <c r="D118" s="38" t="n">
        <v>0.1</v>
      </c>
      <c r="E118" s="40">
        <f>D118-SUMPRODUCT($D$116:$AL$116,(1+D118)^(-$D$114:$AL$114))/SUMPRODUCT($D$116:$AL$116*(-$D$114:$AL$114),(1+D118)^(-$D$114:$AL$114-1))</f>
        <v/>
      </c>
      <c r="F118" s="40">
        <f>E118-SUMPRODUCT($D$116:$AL$116,(1+E118)^(-$D$114:$AL$114))/SUMPRODUCT($D$116:$AL$116*(-$D$114:$AL$114),(1+E118)^(-$D$114:$AL$114-1))</f>
        <v/>
      </c>
      <c r="G118" s="40">
        <f>F118-SUMPRODUCT($D$116:$AL$116,(1+F118)^(-$D$114:$AL$114))/SUMPRODUCT($D$116:$AL$116*(-$D$114:$AL$114),(1+F118)^(-$D$114:$AL$114-1))</f>
        <v/>
      </c>
      <c r="H118" s="40">
        <f>G118-SUMPRODUCT($D$116:$AL$116,(1+G118)^(-$D$114:$AL$114))/SUMPRODUCT($D$116:$AL$116*(-$D$114:$AL$114),(1+G118)^(-$D$114:$AL$114-1))</f>
        <v/>
      </c>
      <c r="I118" s="40">
        <f>H118-SUMPRODUCT($D$116:$AL$116,(1+H118)^(-$D$114:$AL$114))/SUMPRODUCT($D$116:$AL$116*(-$D$114:$AL$114),(1+H118)^(-$D$114:$AL$114-1))</f>
        <v/>
      </c>
      <c r="J118" s="40">
        <f>I118-SUMPRODUCT($D$116:$AL$116,(1+I118)^(-$D$114:$AL$114))/SUMPRODUCT($D$116:$AL$116*(-$D$114:$AL$114),(1+I118)^(-$D$114:$AL$114-1))</f>
        <v/>
      </c>
      <c r="K118" s="40">
        <f>J118-SUMPRODUCT($D$116:$AL$116,(1+J118)^(-$D$114:$AL$114))/SUMPRODUCT($D$116:$AL$116*(-$D$114:$AL$114),(1+J118)^(-$D$114:$AL$114-1))</f>
        <v/>
      </c>
      <c r="L118" s="40">
        <f>K118-SUMPRODUCT($D$116:$AL$116,(1+K118)^(-$D$114:$AL$114))/SUMPRODUCT($D$116:$AL$116*(-$D$114:$AL$114),(1+K118)^(-$D$114:$AL$114-1))</f>
        <v/>
      </c>
      <c r="M118" s="40">
        <f>L118-SUMPRODUCT($D$116:$AL$116,(1+L118)^(-$D$114:$AL$114))/SUMPRODUCT($D$116:$AL$116*(-$D$114:$AL$114),(1+L118)^(-$D$114:$AL$114-1))</f>
        <v/>
      </c>
      <c r="N118" s="40">
        <f>M118-SUMPRODUCT($D$116:$AL$116,(1+M118)^(-$D$114:$AL$114))/SUMPRODUCT($D$116:$AL$116*(-$D$114:$AL$114),(1+M118)^(-$D$114:$AL$114-1))</f>
        <v/>
      </c>
      <c r="O118" s="40">
        <f>N118-SUMPRODUCT($D$116:$AL$116,(1+N118)^(-$D$114:$AL$114))/SUMPRODUCT($D$116:$AL$116*(-$D$114:$AL$114),(1+N118)^(-$D$114:$AL$114-1))</f>
        <v/>
      </c>
      <c r="P118" s="40">
        <f>O118-SUMPRODUCT($D$116:$AL$116,(1+O118)^(-$D$114:$AL$114))/SUMPRODUCT($D$116:$AL$116*(-$D$114:$AL$114),(1+O118)^(-$D$114:$AL$114-1))</f>
        <v/>
      </c>
      <c r="Q118" s="40">
        <f>P118-SUMPRODUCT($D$116:$AL$116,(1+P118)^(-$D$114:$AL$114))/SUMPRODUCT($D$116:$AL$116*(-$D$114:$AL$114),(1+P118)^(-$D$114:$AL$114-1))</f>
        <v/>
      </c>
      <c r="R118" s="40">
        <f>Q118-SUMPRODUCT($D$116:$AL$116,(1+Q118)^(-$D$114:$AL$114))/SUMPRODUCT($D$116:$AL$116*(-$D$114:$AL$114),(1+Q118)^(-$D$114:$AL$114-1))</f>
        <v/>
      </c>
    </row>
    <row r="119">
      <c r="B119" s="3" t="inlineStr">
        <is>
          <t>Levered IRR (equity)</t>
        </is>
      </c>
      <c r="C119" s="33">
        <f>R117</f>
        <v/>
      </c>
    </row>
    <row r="120">
      <c r="B120" s="3" t="inlineStr">
        <is>
          <t>Unlevered IRR</t>
        </is>
      </c>
      <c r="C120" s="33">
        <f>R118</f>
        <v/>
      </c>
    </row>
    <row r="121">
      <c r="B121" s="2" t="inlineStr">
        <is>
          <t>Check: levered NPV at the levered IRR</t>
        </is>
      </c>
      <c r="C121" s="41">
        <f>SUMPRODUCT($D$115:$AL$115,(1+Exit!$C$119)^(-$D$114:$AL$114))</f>
        <v/>
      </c>
    </row>
    <row r="122">
      <c r="B122" s="2" t="inlineStr">
        <is>
          <t>Check: unlevered NPV at the unlevered IRR</t>
        </is>
      </c>
      <c r="C122" s="41">
        <f>SUMPRODUCT($D$116:$AL$116,(1+Exit!$C$120)^(-$D$114:$AL$114))</f>
        <v/>
      </c>
    </row>
    <row r="123">
      <c r="B123" s="2" t="inlineStr">
        <is>
          <t>Money multiple (cash in over cash out)</t>
        </is>
      </c>
      <c r="C123" s="37">
        <f>SUMIF($D$115:$AL$115,"&gt;0")/-SUMIF($D$115:$AL$115,"&lt;0")</f>
        <v/>
      </c>
    </row>
    <row r="124">
      <c r="B124" s="2" t="inlineStr">
        <is>
          <t>Present value at the target IRR of the flows after closing</t>
        </is>
      </c>
      <c r="C124" s="19">
        <f>SUMPRODUCT($D$115:$AL$115,(1+i_hurdle)^(-$D$114:$AL$114))+Exit!$C$98*(1+i_hurdle)^(-Exit!$C$52)</f>
        <v/>
      </c>
    </row>
    <row r="125">
      <c r="B125" s="2" t="inlineStr">
        <is>
          <t>Equity cheque that gives exactly the target IRR</t>
        </is>
      </c>
      <c r="C125" s="19">
        <f>Exit!$C$124*(1+i_hurdle)^Exit!$C$52</f>
        <v/>
      </c>
    </row>
    <row r="126">
      <c r="B126" s="2" t="inlineStr">
        <is>
          <t>EV less equity price (fixed bridge items)</t>
        </is>
      </c>
      <c r="C126" s="19">
        <f>Exit!$C$57-Exit!$C$63</f>
        <v/>
      </c>
    </row>
    <row r="127">
      <c r="B127" s="2" t="inlineStr">
        <is>
          <t>Equity cheque items that do not move with the price</t>
        </is>
      </c>
      <c r="C127" s="19">
        <f>Exit!$C$88+Exit!$C$60+i_costs_adv+Exit!$C$83+Exit!$C$84-Exit!$C$78-Exit!$C$79-Exit!$C$71</f>
        <v/>
      </c>
    </row>
    <row r="128">
      <c r="B128" s="2" t="inlineStr">
        <is>
          <t>Walk-away EV, first pass (HSR fee at the bid)</t>
        </is>
      </c>
      <c r="C128" s="19">
        <f>(Exit!$C$125-Exit!$C$127-Exit!$C$81+Exit!$C$126*(1+i_ticking*Exit!$C$52))/(1+i_ticking*Exit!$C$52+i_wi_limit_pct*i_wi_rol*(1+i_wi_ipt))</f>
        <v/>
      </c>
    </row>
    <row r="129">
      <c r="B129" s="3" t="inlineStr">
        <is>
          <t>Walk-away EV (highest EV at the target IRR)</t>
        </is>
      </c>
      <c r="C129" s="31">
        <f>(Exit!$C$125-Exit!$C$127-IF(Exit!$C$128-Exit!$C$126&lt;INDEX(i_hsr_lo,1),0,LOOKUP(Exit!$C$128-Exit!$C$126,i_hsr_lo,i_hsr_fee))+Exit!$C$126*(1+i_ticking*Exit!$C$52))/(1+i_ticking*Exit!$C$52+i_wi_limit_pct*i_wi_rol*(1+i_wi_ipt))</f>
        <v/>
      </c>
    </row>
  </sheetData>
  <pageMargins left="0.75" right="0.75" top="1" bottom="1" header="0.5" footer="0.5"/>
  <drawing xmlns:r="http://schemas.openxmlformats.org/officeDocument/2006/relationships" r:id="rId1"/>
</worksheet>
</file>

<file path=xl/worksheets/sheet17.xml><?xml version="1.0" encoding="utf-8"?>
<worksheet xmlns="http://schemas.openxmlformats.org/spreadsheetml/2006/main">
  <sheetPr>
    <outlinePr summaryBelow="1" summaryRight="1"/>
    <pageSetUpPr/>
  </sheetPr>
  <dimension ref="B1:H362"/>
  <sheetViews>
    <sheetView showGridLines="0" zoomScale="90" workbookViewId="0">
      <selection activeCell="A1" sqref="A1"/>
    </sheetView>
  </sheetViews>
  <sheetFormatPr baseColWidth="8" defaultRowHeight="15"/>
  <cols>
    <col width="2" customWidth="1" min="1" max="1"/>
    <col width="22" customWidth="1" min="2" max="2"/>
    <col width="46" customWidth="1" min="3" max="3"/>
    <col width="16" customWidth="1" min="4" max="4"/>
    <col width="16" customWidth="1" min="5" max="5"/>
    <col width="12" customWidth="1" min="6" max="6"/>
    <col width="12" customWidth="1" min="7" max="7"/>
    <col width="9" customWidth="1" min="8" max="8"/>
  </cols>
  <sheetData>
    <row r="1">
      <c r="B1" s="1" t="inlineStr">
        <is>
          <t>Checks: identities, and every case figure of the book beside the formula that produces it</t>
        </is>
      </c>
    </row>
    <row r="2">
      <c r="B2" s="4" t="inlineStr">
        <is>
          <t>Model value: the figure computed by the book's Python model (model.py), the source of every number printed in the book. Tolerance is rounding only.</t>
        </is>
      </c>
    </row>
    <row r="4">
      <c r="B4" s="3" t="inlineStr">
        <is>
          <t>Result</t>
        </is>
      </c>
      <c r="C4" s="3">
        <f>IF((COUNTIF(H7:H17,"OK")+COUNTIF(H20:H362,"OK"))=354,"ALL CHECKS OK","SOME CHECKS FAIL")</f>
        <v/>
      </c>
      <c r="D4" s="13">
        <f>(COUNTIF(H7:H17,"OK")+COUNTIF(H20:H362,"OK"))</f>
        <v/>
      </c>
      <c r="E4" s="3">
        <f>"of "&amp;354</f>
        <v/>
      </c>
    </row>
    <row r="6">
      <c r="B6" s="5" t="inlineStr">
        <is>
          <t>Identity</t>
        </is>
      </c>
      <c r="C6" s="6" t="n"/>
      <c r="D6" s="5" t="inlineStr">
        <is>
          <t>Difference</t>
        </is>
      </c>
      <c r="E6" s="5" t="inlineStr"/>
      <c r="F6" s="5" t="inlineStr"/>
      <c r="G6" s="5" t="inlineStr">
        <is>
          <t>Tolerance</t>
        </is>
      </c>
      <c r="H6" s="5" t="inlineStr">
        <is>
          <t>Flag</t>
        </is>
      </c>
    </row>
    <row r="7">
      <c r="B7" s="2" t="inlineStr">
        <is>
          <t>Sources equal uses</t>
        </is>
      </c>
      <c r="D7" s="41">
        <f>Financing!$C$32-Financing!$C$26</f>
        <v/>
      </c>
      <c r="G7" s="46" t="n">
        <v>1e-06</v>
      </c>
      <c r="H7" s="3">
        <f>IF(ABS(D7)&lt;=G7,"OK","ERROR")</f>
        <v/>
      </c>
    </row>
    <row r="8">
      <c r="B8" s="2" t="inlineStr">
        <is>
          <t>Bridge adds up: EV to shares plus shareholder loan</t>
        </is>
      </c>
      <c r="D8" s="41">
        <f>Price!$C$13-Price!$C$14-Price!$C$15-Price!$C$16+Price!$C$17-Price!$C$18-Price!$C$20-Price!$C$21</f>
        <v/>
      </c>
      <c r="G8" s="46" t="n">
        <v>1e-06</v>
      </c>
      <c r="H8" s="3">
        <f>IF(ABS(D8)&lt;=G8,"OK","ERROR")</f>
        <v/>
      </c>
    </row>
    <row r="9">
      <c r="B9" s="2" t="inlineStr">
        <is>
          <t>EBITDA equals business units less corporate costs, all years</t>
        </is>
      </c>
      <c r="D9" s="41">
        <f>SUMPRODUCT(ABS(Platform!$D$10:$AI$10-(Segments!$D$36:$AI$36+Segments!$D$51:$AI$51+Segments!$D$66:$AI$66+Segments!$D$82:$AI$82+Segments!$D$93:$AI$93-Platform!$D$9:$AI$9)))</f>
        <v/>
      </c>
      <c r="G9" s="46" t="n">
        <v>1e-06</v>
      </c>
      <c r="H9" s="3">
        <f>IF(ABS(D9)&lt;=G9,"OK","ERROR")</f>
        <v/>
      </c>
    </row>
    <row r="10">
      <c r="B10" s="2" t="inlineStr">
        <is>
          <t>Free cash flow identity, all years</t>
        </is>
      </c>
      <c r="D10" s="41">
        <f>SUMPRODUCT(ABS(Platform!$D$16:$AI$16-(Platform!$D$10:$AI$10-Platform!$D$11:$AI$11-Platform!$D$12:$AI$12-Platform!$D$14:$AI$14-Platform!$D$15:$AI$15)))</f>
        <v/>
      </c>
      <c r="G10" s="46" t="n">
        <v>1e-06</v>
      </c>
      <c r="H10" s="3">
        <f>IF(ABS(D10)&lt;=G10,"OK","ERROR")</f>
        <v/>
      </c>
    </row>
    <row r="11">
      <c r="B11" s="2" t="inlineStr">
        <is>
          <t>DCF sheet EV equals the Platform EV</t>
        </is>
      </c>
      <c r="D11" s="41">
        <f>DCF!$C$13-Platform!$C$21</f>
        <v/>
      </c>
      <c r="G11" s="46" t="n">
        <v>1e-06</v>
      </c>
      <c r="H11" s="3">
        <f>IF(ABS(D11)&lt;=G11,"OK","ERROR")</f>
        <v/>
      </c>
    </row>
    <row r="12">
      <c r="B12" s="2" t="inlineStr">
        <is>
          <t>Value bridge adds up</t>
        </is>
      </c>
      <c r="D12" s="41">
        <f>Diligence!$C$7+Diligence!$D$8+Diligence!$D$9+Diligence!$D$10+Diligence!$D$11-Diligence!$C$11</f>
        <v/>
      </c>
      <c r="G12" s="46" t="n">
        <v>1e-06</v>
      </c>
      <c r="H12" s="3">
        <f>IF(ABS(D12)&lt;=G12,"OK","ERROR")</f>
        <v/>
      </c>
    </row>
    <row r="13">
      <c r="B13" s="2" t="inlineStr">
        <is>
          <t>NPV at the levered IRR is zero</t>
        </is>
      </c>
      <c r="D13" s="41">
        <f>Returns!$C$26</f>
        <v/>
      </c>
      <c r="G13" s="46" t="n">
        <v>1e-06</v>
      </c>
      <c r="H13" s="3">
        <f>IF(ABS(D13)&lt;=G13,"OK","ERROR")</f>
        <v/>
      </c>
    </row>
    <row r="14">
      <c r="B14" s="2" t="inlineStr">
        <is>
          <t>NPV at the unlevered IRR is zero</t>
        </is>
      </c>
      <c r="D14" s="41">
        <f>Returns!$C$27</f>
        <v/>
      </c>
      <c r="G14" s="46" t="n">
        <v>1e-06</v>
      </c>
      <c r="H14" s="3">
        <f>IF(ABS(D14)&lt;=G14,"OK","ERROR")</f>
        <v/>
      </c>
    </row>
    <row r="15">
      <c r="B15" s="2" t="inlineStr">
        <is>
          <t>Walk-away: bisection equals the direct solution</t>
        </is>
      </c>
      <c r="D15" s="41">
        <f>Returns!$C$86</f>
        <v/>
      </c>
      <c r="G15" s="46" t="n">
        <v>1e-06</v>
      </c>
      <c r="H15" s="3">
        <f>IF(ABS(D15)&lt;=G15,"OK","ERROR")</f>
        <v/>
      </c>
    </row>
    <row r="16">
      <c r="B16" s="2" t="inlineStr">
        <is>
          <t>Consortium cheques add up to the equity</t>
        </is>
      </c>
      <c r="D16" s="41">
        <f>Consortium!$D$7-Financing!$C$31</f>
        <v/>
      </c>
      <c r="G16" s="46" t="n">
        <v>1e-06</v>
      </c>
      <c r="H16" s="3">
        <f>IF(ABS(D16)&lt;=G16,"OK","ERROR")</f>
        <v/>
      </c>
    </row>
    <row r="17">
      <c r="B17" s="2" t="inlineStr">
        <is>
          <t>Capacity is 4.2 million m3</t>
        </is>
      </c>
      <c r="D17" s="41">
        <f>Multiples!$C$14-4.2</f>
        <v/>
      </c>
      <c r="G17" s="46" t="n">
        <v>1e-06</v>
      </c>
      <c r="H17" s="3">
        <f>IF(ABS(D17)&lt;=G17,"OK","ERROR")</f>
        <v/>
      </c>
    </row>
    <row r="19">
      <c r="B19" s="5" t="inlineStr">
        <is>
          <t>Fact key (_FACTS.md)</t>
        </is>
      </c>
      <c r="C19" s="5" t="inlineStr">
        <is>
          <t>Figure</t>
        </is>
      </c>
      <c r="D19" s="5" t="inlineStr">
        <is>
          <t>Workbook</t>
        </is>
      </c>
      <c r="E19" s="5" t="inlineStr">
        <is>
          <t>Model value</t>
        </is>
      </c>
      <c r="F19" s="5" t="inlineStr">
        <is>
          <t>Difference</t>
        </is>
      </c>
      <c r="G19" s="5" t="inlineStr">
        <is>
          <t>Tolerance</t>
        </is>
      </c>
      <c r="H19" s="5" t="inlineStr">
        <is>
          <t>Flag</t>
        </is>
      </c>
    </row>
    <row r="20">
      <c r="B20" s="2" t="inlineStr">
        <is>
          <t>seg_W</t>
        </is>
      </c>
      <c r="C20" s="2" t="inlineStr">
        <is>
          <t>Westerhaven 2026 storage revenue</t>
        </is>
      </c>
      <c r="D20" s="19">
        <f>Segments!$D$29</f>
        <v/>
      </c>
      <c r="E20" s="29" t="n">
        <v>150.2496</v>
      </c>
      <c r="F20" s="47">
        <f>D20-E20</f>
        <v/>
      </c>
      <c r="G20" s="46" t="n">
        <v>0.0001</v>
      </c>
      <c r="H20" s="3">
        <f>IF(ABS(F20)&lt;=G20,"OK","ERROR")</f>
        <v/>
      </c>
    </row>
    <row r="21">
      <c r="B21" s="2" t="inlineStr">
        <is>
          <t>seg_W</t>
        </is>
      </c>
      <c r="C21" s="2" t="inlineStr">
        <is>
          <t>Westerhaven 2026 ancillary revenue</t>
        </is>
      </c>
      <c r="D21" s="19">
        <f>Segments!$D$30</f>
        <v/>
      </c>
      <c r="E21" s="29" t="n">
        <v>30.04992</v>
      </c>
      <c r="F21" s="47">
        <f>D21-E21</f>
        <v/>
      </c>
      <c r="G21" s="46" t="n">
        <v>0.0001</v>
      </c>
      <c r="H21" s="3">
        <f>IF(ABS(F21)&lt;=G21,"OK","ERROR")</f>
        <v/>
      </c>
    </row>
    <row r="22">
      <c r="B22" s="2" t="inlineStr">
        <is>
          <t>seg_W</t>
        </is>
      </c>
      <c r="C22" s="2" t="inlineStr">
        <is>
          <t>Westerhaven 2026 revenue</t>
        </is>
      </c>
      <c r="D22" s="19">
        <f>Segments!$D$31</f>
        <v/>
      </c>
      <c r="E22" s="29" t="n">
        <v>180.29952</v>
      </c>
      <c r="F22" s="47">
        <f>D22-E22</f>
        <v/>
      </c>
      <c r="G22" s="46" t="n">
        <v>0.0001</v>
      </c>
      <c r="H22" s="3">
        <f>IF(ABS(F22)&lt;=G22,"OK","ERROR")</f>
        <v/>
      </c>
    </row>
    <row r="23">
      <c r="B23" s="2" t="inlineStr">
        <is>
          <t>seg_W</t>
        </is>
      </c>
      <c r="C23" s="2" t="inlineStr">
        <is>
          <t>Westerhaven 2026 operating cost</t>
        </is>
      </c>
      <c r="D23" s="19">
        <f>Segments!$D$35</f>
        <v/>
      </c>
      <c r="E23" s="29" t="n">
        <v>90.04193279999998</v>
      </c>
      <c r="F23" s="47">
        <f>D23-E23</f>
        <v/>
      </c>
      <c r="G23" s="46" t="n">
        <v>0.0001</v>
      </c>
      <c r="H23" s="3">
        <f>IF(ABS(F23)&lt;=G23,"OK","ERROR")</f>
        <v/>
      </c>
    </row>
    <row r="24">
      <c r="B24" s="2" t="inlineStr">
        <is>
          <t>seg_W</t>
        </is>
      </c>
      <c r="C24" s="2" t="inlineStr">
        <is>
          <t>Westerhaven 2026 EBITDA</t>
        </is>
      </c>
      <c r="D24" s="19">
        <f>Segments!$D$36</f>
        <v/>
      </c>
      <c r="E24" s="29" t="n">
        <v>90.25758719999999</v>
      </c>
      <c r="F24" s="47">
        <f>D24-E24</f>
        <v/>
      </c>
      <c r="G24" s="46" t="n">
        <v>0.0001</v>
      </c>
      <c r="H24" s="3">
        <f>IF(ABS(F24)&lt;=G24,"OK","ERROR")</f>
        <v/>
      </c>
    </row>
    <row r="25">
      <c r="B25" s="2" t="inlineStr">
        <is>
          <t>seg_W</t>
        </is>
      </c>
      <c r="C25" s="2" t="inlineStr">
        <is>
          <t>Westerhaven 2026 maintenance capex</t>
        </is>
      </c>
      <c r="D25" s="19">
        <f>Segments!$D$37</f>
        <v/>
      </c>
      <c r="E25" s="29" t="n">
        <v>14.4</v>
      </c>
      <c r="F25" s="47">
        <f>D25-E25</f>
        <v/>
      </c>
      <c r="G25" s="46" t="n">
        <v>0.0001</v>
      </c>
      <c r="H25" s="3">
        <f>IF(ABS(F25)&lt;=G25,"OK","ERROR")</f>
        <v/>
      </c>
    </row>
    <row r="26">
      <c r="B26" s="2" t="inlineStr">
        <is>
          <t>seg_W</t>
        </is>
      </c>
      <c r="C26" s="2" t="inlineStr">
        <is>
          <t>Westerhaven 2026 EBITDA margin</t>
        </is>
      </c>
      <c r="D26" s="21">
        <f>Platform!$C$150</f>
        <v/>
      </c>
      <c r="E26" s="27" t="n">
        <v>0.500598044853364</v>
      </c>
      <c r="F26" s="47">
        <f>D26-E26</f>
        <v/>
      </c>
      <c r="G26" s="46" t="n">
        <v>1e-07</v>
      </c>
      <c r="H26" s="3">
        <f>IF(ABS(F26)&lt;=G26,"OK","ERROR")</f>
        <v/>
      </c>
    </row>
    <row r="27">
      <c r="B27" s="2" t="inlineStr">
        <is>
          <t>seg_R</t>
        </is>
      </c>
      <c r="C27" s="2" t="inlineStr">
        <is>
          <t>Rhine Inland 2026 storage revenue</t>
        </is>
      </c>
      <c r="D27" s="19">
        <f>Segments!$D$45</f>
        <v/>
      </c>
      <c r="E27" s="29" t="n">
        <v>52.704</v>
      </c>
      <c r="F27" s="47">
        <f>D27-E27</f>
        <v/>
      </c>
      <c r="G27" s="46" t="n">
        <v>0.0001</v>
      </c>
      <c r="H27" s="3">
        <f>IF(ABS(F27)&lt;=G27,"OK","ERROR")</f>
        <v/>
      </c>
    </row>
    <row r="28">
      <c r="B28" s="2" t="inlineStr">
        <is>
          <t>seg_R</t>
        </is>
      </c>
      <c r="C28" s="2" t="inlineStr">
        <is>
          <t>Rhine Inland 2026 ancillary revenue</t>
        </is>
      </c>
      <c r="D28" s="19">
        <f>Segments!$D$46</f>
        <v/>
      </c>
      <c r="E28" s="29" t="n">
        <v>7.9056</v>
      </c>
      <c r="F28" s="47">
        <f>D28-E28</f>
        <v/>
      </c>
      <c r="G28" s="46" t="n">
        <v>0.0001</v>
      </c>
      <c r="H28" s="3">
        <f>IF(ABS(F28)&lt;=G28,"OK","ERROR")</f>
        <v/>
      </c>
    </row>
    <row r="29">
      <c r="B29" s="2" t="inlineStr">
        <is>
          <t>seg_R</t>
        </is>
      </c>
      <c r="C29" s="2" t="inlineStr">
        <is>
          <t>Rhine Inland 2026 revenue</t>
        </is>
      </c>
      <c r="D29" s="19">
        <f>Segments!$D$47</f>
        <v/>
      </c>
      <c r="E29" s="29" t="n">
        <v>60.6096</v>
      </c>
      <c r="F29" s="47">
        <f>D29-E29</f>
        <v/>
      </c>
      <c r="G29" s="46" t="n">
        <v>0.0001</v>
      </c>
      <c r="H29" s="3">
        <f>IF(ABS(F29)&lt;=G29,"OK","ERROR")</f>
        <v/>
      </c>
    </row>
    <row r="30">
      <c r="B30" s="2" t="inlineStr">
        <is>
          <t>seg_R</t>
        </is>
      </c>
      <c r="C30" s="2" t="inlineStr">
        <is>
          <t>Rhine Inland 2026 operating cost</t>
        </is>
      </c>
      <c r="D30" s="19">
        <f>Segments!$D$50</f>
        <v/>
      </c>
      <c r="E30" s="29" t="n">
        <v>30.06096</v>
      </c>
      <c r="F30" s="47">
        <f>D30-E30</f>
        <v/>
      </c>
      <c r="G30" s="46" t="n">
        <v>0.0001</v>
      </c>
      <c r="H30" s="3">
        <f>IF(ABS(F30)&lt;=G30,"OK","ERROR")</f>
        <v/>
      </c>
    </row>
    <row r="31">
      <c r="B31" s="2" t="inlineStr">
        <is>
          <t>seg_R</t>
        </is>
      </c>
      <c r="C31" s="2" t="inlineStr">
        <is>
          <t>Rhine Inland 2026 EBITDA</t>
        </is>
      </c>
      <c r="D31" s="19">
        <f>Segments!$D$51</f>
        <v/>
      </c>
      <c r="E31" s="29" t="n">
        <v>30.54864</v>
      </c>
      <c r="F31" s="47">
        <f>D31-E31</f>
        <v/>
      </c>
      <c r="G31" s="46" t="n">
        <v>0.0001</v>
      </c>
      <c r="H31" s="3">
        <f>IF(ABS(F31)&lt;=G31,"OK","ERROR")</f>
        <v/>
      </c>
    </row>
    <row r="32">
      <c r="B32" s="2" t="inlineStr">
        <is>
          <t>seg_R</t>
        </is>
      </c>
      <c r="C32" s="2" t="inlineStr">
        <is>
          <t>Rhine Inland 2026 maintenance capex</t>
        </is>
      </c>
      <c r="D32" s="19">
        <f>Segments!$D$52</f>
        <v/>
      </c>
      <c r="E32" s="29" t="n">
        <v>5.600000000000001</v>
      </c>
      <c r="F32" s="47">
        <f>D32-E32</f>
        <v/>
      </c>
      <c r="G32" s="46" t="n">
        <v>0.0001</v>
      </c>
      <c r="H32" s="3">
        <f>IF(ABS(F32)&lt;=G32,"OK","ERROR")</f>
        <v/>
      </c>
    </row>
    <row r="33">
      <c r="B33" s="2" t="inlineStr">
        <is>
          <t>seg_R</t>
        </is>
      </c>
      <c r="C33" s="2" t="inlineStr">
        <is>
          <t>Rhine Inland 2026 EBITDA margin</t>
        </is>
      </c>
      <c r="D33" s="21">
        <f>Platform!$C$151</f>
        <v/>
      </c>
      <c r="E33" s="27" t="n">
        <v>0.5040231250494971</v>
      </c>
      <c r="F33" s="47">
        <f>D33-E33</f>
        <v/>
      </c>
      <c r="G33" s="46" t="n">
        <v>1e-07</v>
      </c>
      <c r="H33" s="3">
        <f>IF(ABS(F33)&lt;=G33,"OK","ERROR")</f>
        <v/>
      </c>
    </row>
    <row r="34">
      <c r="B34" s="2" t="inlineStr">
        <is>
          <t>seg_T</t>
        </is>
      </c>
      <c r="C34" s="2" t="inlineStr">
        <is>
          <t>Thamesbridge 2026 storage revenue</t>
        </is>
      </c>
      <c r="D34" s="19">
        <f>Segments!$D$60</f>
        <v/>
      </c>
      <c r="E34" s="29" t="n">
        <v>32.7888</v>
      </c>
      <c r="F34" s="47">
        <f>D34-E34</f>
        <v/>
      </c>
      <c r="G34" s="46" t="n">
        <v>0.0001</v>
      </c>
      <c r="H34" s="3">
        <f>IF(ABS(F34)&lt;=G34,"OK","ERROR")</f>
        <v/>
      </c>
    </row>
    <row r="35">
      <c r="B35" s="2" t="inlineStr">
        <is>
          <t>seg_T</t>
        </is>
      </c>
      <c r="C35" s="2" t="inlineStr">
        <is>
          <t>Thamesbridge 2026 ancillary revenue</t>
        </is>
      </c>
      <c r="D35" s="19">
        <f>Segments!$D$61</f>
        <v/>
      </c>
      <c r="E35" s="29" t="n">
        <v>5.901984000000001</v>
      </c>
      <c r="F35" s="47">
        <f>D35-E35</f>
        <v/>
      </c>
      <c r="G35" s="46" t="n">
        <v>0.0001</v>
      </c>
      <c r="H35" s="3">
        <f>IF(ABS(F35)&lt;=G35,"OK","ERROR")</f>
        <v/>
      </c>
    </row>
    <row r="36">
      <c r="B36" s="2" t="inlineStr">
        <is>
          <t>seg_T</t>
        </is>
      </c>
      <c r="C36" s="2" t="inlineStr">
        <is>
          <t>Thamesbridge 2026 revenue</t>
        </is>
      </c>
      <c r="D36" s="19">
        <f>Segments!$D$62</f>
        <v/>
      </c>
      <c r="E36" s="29" t="n">
        <v>38.690784</v>
      </c>
      <c r="F36" s="47">
        <f>D36-E36</f>
        <v/>
      </c>
      <c r="G36" s="46" t="n">
        <v>0.0001</v>
      </c>
      <c r="H36" s="3">
        <f>IF(ABS(F36)&lt;=G36,"OK","ERROR")</f>
        <v/>
      </c>
    </row>
    <row r="37">
      <c r="B37" s="2" t="inlineStr">
        <is>
          <t>seg_T</t>
        </is>
      </c>
      <c r="C37" s="2" t="inlineStr">
        <is>
          <t>Thamesbridge 2026 operating cost</t>
        </is>
      </c>
      <c r="D37" s="19">
        <f>Segments!$D$65</f>
        <v/>
      </c>
      <c r="E37" s="29" t="n">
        <v>18.7190784</v>
      </c>
      <c r="F37" s="47">
        <f>D37-E37</f>
        <v/>
      </c>
      <c r="G37" s="46" t="n">
        <v>0.0001</v>
      </c>
      <c r="H37" s="3">
        <f>IF(ABS(F37)&lt;=G37,"OK","ERROR")</f>
        <v/>
      </c>
    </row>
    <row r="38">
      <c r="B38" s="2" t="inlineStr">
        <is>
          <t>seg_T</t>
        </is>
      </c>
      <c r="C38" s="2" t="inlineStr">
        <is>
          <t>Thamesbridge 2026 EBITDA</t>
        </is>
      </c>
      <c r="D38" s="19">
        <f>Segments!$D$66</f>
        <v/>
      </c>
      <c r="E38" s="29" t="n">
        <v>19.9717056</v>
      </c>
      <c r="F38" s="47">
        <f>D38-E38</f>
        <v/>
      </c>
      <c r="G38" s="46" t="n">
        <v>0.0001</v>
      </c>
      <c r="H38" s="3">
        <f>IF(ABS(F38)&lt;=G38,"OK","ERROR")</f>
        <v/>
      </c>
    </row>
    <row r="39">
      <c r="B39" s="2" t="inlineStr">
        <is>
          <t>seg_T</t>
        </is>
      </c>
      <c r="C39" s="2" t="inlineStr">
        <is>
          <t>Thamesbridge 2026 maintenance capex</t>
        </is>
      </c>
      <c r="D39" s="19">
        <f>Segments!$D$67</f>
        <v/>
      </c>
      <c r="E39" s="29" t="n">
        <v>3.6</v>
      </c>
      <c r="F39" s="47">
        <f>D39-E39</f>
        <v/>
      </c>
      <c r="G39" s="46" t="n">
        <v>0.0001</v>
      </c>
      <c r="H39" s="3">
        <f>IF(ABS(F39)&lt;=G39,"OK","ERROR")</f>
        <v/>
      </c>
    </row>
    <row r="40">
      <c r="B40" s="2" t="inlineStr">
        <is>
          <t>seg_T</t>
        </is>
      </c>
      <c r="C40" s="2" t="inlineStr">
        <is>
          <t>Thamesbridge 2026 EBITDA margin</t>
        </is>
      </c>
      <c r="D40" s="21">
        <f>Platform!$C$152</f>
        <v/>
      </c>
      <c r="E40" s="27" t="n">
        <v>0.5161876688774257</v>
      </c>
      <c r="F40" s="47">
        <f>D40-E40</f>
        <v/>
      </c>
      <c r="G40" s="46" t="n">
        <v>1e-07</v>
      </c>
      <c r="H40" s="3">
        <f>IF(ABS(F40)&lt;=G40,"OK","ERROR")</f>
        <v/>
      </c>
    </row>
    <row r="41">
      <c r="B41" s="2" t="inlineStr">
        <is>
          <t>seg_G</t>
        </is>
      </c>
      <c r="C41" s="2" t="inlineStr">
        <is>
          <t>Sabine Bend 2026 storage revenue</t>
        </is>
      </c>
      <c r="D41" s="19">
        <f>Segments!$D$75</f>
        <v/>
      </c>
      <c r="E41" s="29" t="n">
        <v>73.416</v>
      </c>
      <c r="F41" s="47">
        <f>D41-E41</f>
        <v/>
      </c>
      <c r="G41" s="46" t="n">
        <v>0.0001</v>
      </c>
      <c r="H41" s="3">
        <f>IF(ABS(F41)&lt;=G41,"OK","ERROR")</f>
        <v/>
      </c>
    </row>
    <row r="42">
      <c r="B42" s="2" t="inlineStr">
        <is>
          <t>seg_G</t>
        </is>
      </c>
      <c r="C42" s="2" t="inlineStr">
        <is>
          <t>Sabine Bend 2026 ancillary revenue</t>
        </is>
      </c>
      <c r="D42" s="19">
        <f>Segments!$D$76</f>
        <v/>
      </c>
      <c r="E42" s="29" t="n">
        <v>18.354</v>
      </c>
      <c r="F42" s="47">
        <f>D42-E42</f>
        <v/>
      </c>
      <c r="G42" s="46" t="n">
        <v>0.0001</v>
      </c>
      <c r="H42" s="3">
        <f>IF(ABS(F42)&lt;=G42,"OK","ERROR")</f>
        <v/>
      </c>
    </row>
    <row r="43">
      <c r="B43" s="2" t="inlineStr">
        <is>
          <t>seg_G</t>
        </is>
      </c>
      <c r="C43" s="2" t="inlineStr">
        <is>
          <t>Sabine Bend 2026 revenue</t>
        </is>
      </c>
      <c r="D43" s="19">
        <f>Segments!$D$77</f>
        <v/>
      </c>
      <c r="E43" s="29" t="n">
        <v>91.77</v>
      </c>
      <c r="F43" s="47">
        <f>D43-E43</f>
        <v/>
      </c>
      <c r="G43" s="46" t="n">
        <v>0.0001</v>
      </c>
      <c r="H43" s="3">
        <f>IF(ABS(F43)&lt;=G43,"OK","ERROR")</f>
        <v/>
      </c>
    </row>
    <row r="44">
      <c r="B44" s="2" t="inlineStr">
        <is>
          <t>seg_G</t>
        </is>
      </c>
      <c r="C44" s="2" t="inlineStr">
        <is>
          <t>Sabine Bend 2026 operating cost</t>
        </is>
      </c>
      <c r="D44" s="19">
        <f>Segments!$D$81</f>
        <v/>
      </c>
      <c r="E44" s="29" t="n">
        <v>38.1593</v>
      </c>
      <c r="F44" s="47">
        <f>D44-E44</f>
        <v/>
      </c>
      <c r="G44" s="46" t="n">
        <v>0.0001</v>
      </c>
      <c r="H44" s="3">
        <f>IF(ABS(F44)&lt;=G44,"OK","ERROR")</f>
        <v/>
      </c>
    </row>
    <row r="45">
      <c r="B45" s="2" t="inlineStr">
        <is>
          <t>seg_G</t>
        </is>
      </c>
      <c r="C45" s="2" t="inlineStr">
        <is>
          <t>Sabine Bend 2026 EBITDA</t>
        </is>
      </c>
      <c r="D45" s="19">
        <f>Segments!$D$82</f>
        <v/>
      </c>
      <c r="E45" s="29" t="n">
        <v>53.61069999999999</v>
      </c>
      <c r="F45" s="47">
        <f>D45-E45</f>
        <v/>
      </c>
      <c r="G45" s="46" t="n">
        <v>0.0001</v>
      </c>
      <c r="H45" s="3">
        <f>IF(ABS(F45)&lt;=G45,"OK","ERROR")</f>
        <v/>
      </c>
    </row>
    <row r="46">
      <c r="B46" s="2" t="inlineStr">
        <is>
          <t>seg_G</t>
        </is>
      </c>
      <c r="C46" s="2" t="inlineStr">
        <is>
          <t>Sabine Bend 2026 maintenance capex</t>
        </is>
      </c>
      <c r="D46" s="19">
        <f>Segments!$D$83</f>
        <v/>
      </c>
      <c r="E46" s="29" t="n">
        <v>6.899999999999999</v>
      </c>
      <c r="F46" s="47">
        <f>D46-E46</f>
        <v/>
      </c>
      <c r="G46" s="46" t="n">
        <v>0.0001</v>
      </c>
      <c r="H46" s="3">
        <f>IF(ABS(F46)&lt;=G46,"OK","ERROR")</f>
        <v/>
      </c>
    </row>
    <row r="47">
      <c r="B47" s="2" t="inlineStr">
        <is>
          <t>seg_G</t>
        </is>
      </c>
      <c r="C47" s="2" t="inlineStr">
        <is>
          <t>Sabine Bend 2026 EBITDA margin</t>
        </is>
      </c>
      <c r="D47" s="21">
        <f>Platform!$C$153</f>
        <v/>
      </c>
      <c r="E47" s="27" t="n">
        <v>0.5841854636591478</v>
      </c>
      <c r="F47" s="47">
        <f>D47-E47</f>
        <v/>
      </c>
      <c r="G47" s="46" t="n">
        <v>1e-07</v>
      </c>
      <c r="H47" s="3">
        <f>IF(ABS(F47)&lt;=G47,"OK","ERROR")</f>
        <v/>
      </c>
    </row>
    <row r="48">
      <c r="B48" s="2" t="inlineStr">
        <is>
          <t>ebitda_2026</t>
        </is>
      </c>
      <c r="C48" s="2" t="inlineStr">
        <is>
          <t>2026 revenue</t>
        </is>
      </c>
      <c r="D48" s="19">
        <f>Platform!$D$7</f>
        <v/>
      </c>
      <c r="E48" s="29" t="n">
        <v>371.369904</v>
      </c>
      <c r="F48" s="47">
        <f>D48-E48</f>
        <v/>
      </c>
      <c r="G48" s="46" t="n">
        <v>0.0001</v>
      </c>
      <c r="H48" s="3">
        <f>IF(ABS(F48)&lt;=G48,"OK","ERROR")</f>
        <v/>
      </c>
    </row>
    <row r="49">
      <c r="B49" s="2" t="inlineStr">
        <is>
          <t>ebitda_2026</t>
        </is>
      </c>
      <c r="C49" s="2" t="inlineStr">
        <is>
          <t>2026 business unit EBITDA</t>
        </is>
      </c>
      <c r="D49" s="19">
        <f>Platform!$C$137</f>
        <v/>
      </c>
      <c r="E49" s="29" t="n">
        <v>194.3886328</v>
      </c>
      <c r="F49" s="47">
        <f>D49-E49</f>
        <v/>
      </c>
      <c r="G49" s="46" t="n">
        <v>0.0001</v>
      </c>
      <c r="H49" s="3">
        <f>IF(ABS(F49)&lt;=G49,"OK","ERROR")</f>
        <v/>
      </c>
    </row>
    <row r="50">
      <c r="B50" s="2" t="inlineStr">
        <is>
          <t>ebitda_2026</t>
        </is>
      </c>
      <c r="C50" s="2" t="inlineStr">
        <is>
          <t>2026 corporate costs</t>
        </is>
      </c>
      <c r="D50" s="19">
        <f>Platform!$D$9</f>
        <v/>
      </c>
      <c r="E50" s="29" t="n">
        <v>14</v>
      </c>
      <c r="F50" s="47">
        <f>D50-E50</f>
        <v/>
      </c>
      <c r="G50" s="46" t="n">
        <v>0.0001</v>
      </c>
      <c r="H50" s="3">
        <f>IF(ABS(F50)&lt;=G50,"OK","ERROR")</f>
        <v/>
      </c>
    </row>
    <row r="51">
      <c r="B51" s="2" t="inlineStr">
        <is>
          <t>ebitda_2026</t>
        </is>
      </c>
      <c r="C51" s="2" t="inlineStr">
        <is>
          <t>2026 EBITDA</t>
        </is>
      </c>
      <c r="D51" s="19">
        <f>Platform!$D$10</f>
        <v/>
      </c>
      <c r="E51" s="29" t="n">
        <v>180.3886328</v>
      </c>
      <c r="F51" s="47">
        <f>D51-E51</f>
        <v/>
      </c>
      <c r="G51" s="46" t="n">
        <v>0.0001</v>
      </c>
      <c r="H51" s="3">
        <f>IF(ABS(F51)&lt;=G51,"OK","ERROR")</f>
        <v/>
      </c>
    </row>
    <row r="52">
      <c r="B52" s="2" t="inlineStr">
        <is>
          <t>ebitda_2026</t>
        </is>
      </c>
      <c r="C52" s="2" t="inlineStr">
        <is>
          <t>2026 EBITDA margin</t>
        </is>
      </c>
      <c r="D52" s="21">
        <f>Platform!$C$138</f>
        <v/>
      </c>
      <c r="E52" s="27" t="n">
        <v>0.4857384264504105</v>
      </c>
      <c r="F52" s="47">
        <f>D52-E52</f>
        <v/>
      </c>
      <c r="G52" s="46" t="n">
        <v>1e-07</v>
      </c>
      <c r="H52" s="3">
        <f>IF(ABS(F52)&lt;=G52,"OK","ERROR")</f>
        <v/>
      </c>
    </row>
    <row r="53">
      <c r="B53" s="2" t="inlineStr">
        <is>
          <t>ebitda_2026</t>
        </is>
      </c>
      <c r="C53" s="2" t="inlineStr">
        <is>
          <t>2026 maintenance capex</t>
        </is>
      </c>
      <c r="D53" s="19">
        <f>Platform!$D$11</f>
        <v/>
      </c>
      <c r="E53" s="29" t="n">
        <v>30.5</v>
      </c>
      <c r="F53" s="47">
        <f>D53-E53</f>
        <v/>
      </c>
      <c r="G53" s="46" t="n">
        <v>0.0001</v>
      </c>
      <c r="H53" s="3">
        <f>IF(ABS(F53)&lt;=G53,"OK","ERROR")</f>
        <v/>
      </c>
    </row>
    <row r="54">
      <c r="B54" s="2" t="inlineStr">
        <is>
          <t>ebitda_2026</t>
        </is>
      </c>
      <c r="C54" s="2" t="inlineStr">
        <is>
          <t>2026 maintenance capex share</t>
        </is>
      </c>
      <c r="D54" s="21">
        <f>Platform!$C$139</f>
        <v/>
      </c>
      <c r="E54" s="27" t="n">
        <v>0.1690793900179724</v>
      </c>
      <c r="F54" s="47">
        <f>D54-E54</f>
        <v/>
      </c>
      <c r="G54" s="46" t="n">
        <v>1e-07</v>
      </c>
      <c r="H54" s="3">
        <f>IF(ABS(F54)&lt;=G54,"OK","ERROR")</f>
        <v/>
      </c>
    </row>
    <row r="55">
      <c r="B55" s="2" t="inlineStr">
        <is>
          <t>ebitda_2026</t>
        </is>
      </c>
      <c r="C55" s="2" t="inlineStr">
        <is>
          <t>2026 unlevered tax</t>
        </is>
      </c>
      <c r="D55" s="19">
        <f>Platform!$D$14</f>
        <v/>
      </c>
      <c r="E55" s="29" t="n">
        <v>26.37327187199999</v>
      </c>
      <c r="F55" s="47">
        <f>D55-E55</f>
        <v/>
      </c>
      <c r="G55" s="46" t="n">
        <v>0.0001</v>
      </c>
      <c r="H55" s="3">
        <f>IF(ABS(F55)&lt;=G55,"OK","ERROR")</f>
        <v/>
      </c>
    </row>
    <row r="56">
      <c r="B56" s="2" t="inlineStr">
        <is>
          <t>ebitda_2026</t>
        </is>
      </c>
      <c r="C56" s="2" t="inlineStr">
        <is>
          <t>2026 free cash flow</t>
        </is>
      </c>
      <c r="D56" s="19">
        <f>Platform!$D$16</f>
        <v/>
      </c>
      <c r="E56" s="29" t="n">
        <v>123.515360928</v>
      </c>
      <c r="F56" s="47">
        <f>D56-E56</f>
        <v/>
      </c>
      <c r="G56" s="46" t="n">
        <v>0.0001</v>
      </c>
      <c r="H56" s="3">
        <f>IF(ABS(F56)&lt;=G56,"OK","ERROR")</f>
        <v/>
      </c>
    </row>
    <row r="57">
      <c r="B57" s="2" t="inlineStr">
        <is>
          <t>ebitda_2026</t>
        </is>
      </c>
      <c r="C57" s="2" t="inlineStr">
        <is>
          <t>2026 FCF share of EBITDA</t>
        </is>
      </c>
      <c r="D57" s="21">
        <f>Platform!$C$140</f>
        <v/>
      </c>
      <c r="E57" s="27" t="n">
        <v>0.6847180945428176</v>
      </c>
      <c r="F57" s="47">
        <f>D57-E57</f>
        <v/>
      </c>
      <c r="G57" s="46" t="n">
        <v>1e-07</v>
      </c>
      <c r="H57" s="3">
        <f>IF(ABS(F57)&lt;=G57,"OK","ERROR")</f>
        <v/>
      </c>
    </row>
    <row r="58">
      <c r="B58" s="2" t="inlineStr">
        <is>
          <t>ebitda_shares</t>
        </is>
      </c>
      <c r="C58" s="2" t="inlineStr">
        <is>
          <t>Westerhaven share of 2026 EBITDA</t>
        </is>
      </c>
      <c r="D58" s="21">
        <f>Platform!$C$141</f>
        <v/>
      </c>
      <c r="E58" s="27" t="n">
        <v>0.4643151500163233</v>
      </c>
      <c r="F58" s="47">
        <f>D58-E58</f>
        <v/>
      </c>
      <c r="G58" s="46" t="n">
        <v>1e-07</v>
      </c>
      <c r="H58" s="3">
        <f>IF(ABS(F58)&lt;=G58,"OK","ERROR")</f>
        <v/>
      </c>
    </row>
    <row r="59">
      <c r="B59" s="2" t="inlineStr">
        <is>
          <t>ebitda_shares</t>
        </is>
      </c>
      <c r="C59" s="2" t="inlineStr">
        <is>
          <t>Rhine Inland share of 2026 EBITDA</t>
        </is>
      </c>
      <c r="D59" s="21">
        <f>Platform!$C$142</f>
        <v/>
      </c>
      <c r="E59" s="27" t="n">
        <v>0.1571523990882249</v>
      </c>
      <c r="F59" s="47">
        <f>D59-E59</f>
        <v/>
      </c>
      <c r="G59" s="46" t="n">
        <v>1e-07</v>
      </c>
      <c r="H59" s="3">
        <f>IF(ABS(F59)&lt;=G59,"OK","ERROR")</f>
        <v/>
      </c>
    </row>
    <row r="60">
      <c r="B60" s="2" t="inlineStr">
        <is>
          <t>ebitda_shares</t>
        </is>
      </c>
      <c r="C60" s="2" t="inlineStr">
        <is>
          <t>Thamesbridge share of 2026 EBITDA</t>
        </is>
      </c>
      <c r="D60" s="21">
        <f>Platform!$C$143</f>
        <v/>
      </c>
      <c r="E60" s="27" t="n">
        <v>0.1027411187183369</v>
      </c>
      <c r="F60" s="47">
        <f>D60-E60</f>
        <v/>
      </c>
      <c r="G60" s="46" t="n">
        <v>1e-07</v>
      </c>
      <c r="H60" s="3">
        <f>IF(ABS(F60)&lt;=G60,"OK","ERROR")</f>
        <v/>
      </c>
    </row>
    <row r="61">
      <c r="B61" s="2" t="inlineStr">
        <is>
          <t>ebitda_shares</t>
        </is>
      </c>
      <c r="C61" s="2" t="inlineStr">
        <is>
          <t>Sabine Bend share of 2026 EBITDA</t>
        </is>
      </c>
      <c r="D61" s="21">
        <f>Platform!$C$144</f>
        <v/>
      </c>
      <c r="E61" s="27" t="n">
        <v>0.2757913321771148</v>
      </c>
      <c r="F61" s="47">
        <f>D61-E61</f>
        <v/>
      </c>
      <c r="G61" s="46" t="n">
        <v>1e-07</v>
      </c>
      <c r="H61" s="3">
        <f>IF(ABS(F61)&lt;=G61,"OK","ERROR")</f>
        <v/>
      </c>
    </row>
    <row r="62">
      <c r="B62" s="2" t="inlineStr">
        <is>
          <t>geo_revenue</t>
        </is>
      </c>
      <c r="C62" s="2" t="inlineStr">
        <is>
          <t>Netherlands revenue</t>
        </is>
      </c>
      <c r="D62" s="19">
        <f>Platform!$C$145</f>
        <v/>
      </c>
      <c r="E62" s="29" t="n">
        <v>240.90912</v>
      </c>
      <c r="F62" s="47">
        <f>D62-E62</f>
        <v/>
      </c>
      <c r="G62" s="46" t="n">
        <v>0.0001</v>
      </c>
      <c r="H62" s="3">
        <f>IF(ABS(F62)&lt;=G62,"OK","ERROR")</f>
        <v/>
      </c>
    </row>
    <row r="63">
      <c r="B63" s="2" t="inlineStr">
        <is>
          <t>geo_revenue</t>
        </is>
      </c>
      <c r="C63" s="2" t="inlineStr">
        <is>
          <t>Netherlands revenue (EUR)</t>
        </is>
      </c>
      <c r="D63" s="34">
        <f>Platform!$C$146</f>
        <v/>
      </c>
      <c r="E63" s="36" t="n">
        <v>209.4861913043478</v>
      </c>
      <c r="F63" s="47">
        <f>D63-E63</f>
        <v/>
      </c>
      <c r="G63" s="46" t="n">
        <v>0.0001</v>
      </c>
      <c r="H63" s="3">
        <f>IF(ABS(F63)&lt;=G63,"OK","ERROR")</f>
        <v/>
      </c>
    </row>
    <row r="64">
      <c r="B64" s="2" t="inlineStr">
        <is>
          <t>geo_revenue</t>
        </is>
      </c>
      <c r="C64" s="2" t="inlineStr">
        <is>
          <t>UK revenue</t>
        </is>
      </c>
      <c r="D64" s="19">
        <f>Platform!$C$147</f>
        <v/>
      </c>
      <c r="E64" s="29" t="n">
        <v>38.690784</v>
      </c>
      <c r="F64" s="47">
        <f>D64-E64</f>
        <v/>
      </c>
      <c r="G64" s="46" t="n">
        <v>0.0001</v>
      </c>
      <c r="H64" s="3">
        <f>IF(ABS(F64)&lt;=G64,"OK","ERROR")</f>
        <v/>
      </c>
    </row>
    <row r="65">
      <c r="B65" s="2" t="inlineStr">
        <is>
          <t>geo_revenue</t>
        </is>
      </c>
      <c r="C65" s="2" t="inlineStr">
        <is>
          <t>UK revenue (GBP)</t>
        </is>
      </c>
      <c r="D65" s="34">
        <f>Platform!$C$148</f>
        <v/>
      </c>
      <c r="E65" s="36" t="n">
        <v>29.76214153846154</v>
      </c>
      <c r="F65" s="47">
        <f>D65-E65</f>
        <v/>
      </c>
      <c r="G65" s="46" t="n">
        <v>0.0001</v>
      </c>
      <c r="H65" s="3">
        <f>IF(ABS(F65)&lt;=G65,"OK","ERROR")</f>
        <v/>
      </c>
    </row>
    <row r="66">
      <c r="B66" s="2" t="inlineStr">
        <is>
          <t>geo_revenue</t>
        </is>
      </c>
      <c r="C66" s="2" t="inlineStr">
        <is>
          <t>US revenue</t>
        </is>
      </c>
      <c r="D66" s="19">
        <f>Platform!$C$149</f>
        <v/>
      </c>
      <c r="E66" s="29" t="n">
        <v>91.77</v>
      </c>
      <c r="F66" s="47">
        <f>D66-E66</f>
        <v/>
      </c>
      <c r="G66" s="46" t="n">
        <v>0.0001</v>
      </c>
      <c r="H66" s="3">
        <f>IF(ABS(F66)&lt;=G66,"OK","ERROR")</f>
        <v/>
      </c>
    </row>
    <row r="67">
      <c r="B67" s="2" t="inlineStr">
        <is>
          <t>pl_2027</t>
        </is>
      </c>
      <c r="C67" s="2" t="inlineStr">
        <is>
          <t>2027 revenue</t>
        </is>
      </c>
      <c r="D67" s="19">
        <f>Platform!$E$7</f>
        <v/>
      </c>
      <c r="E67" s="29" t="n">
        <v>379.72572684</v>
      </c>
      <c r="F67" s="47">
        <f>D67-E67</f>
        <v/>
      </c>
      <c r="G67" s="46" t="n">
        <v>0.0001</v>
      </c>
      <c r="H67" s="3">
        <f>IF(ABS(F67)&lt;=G67,"OK","ERROR")</f>
        <v/>
      </c>
    </row>
    <row r="68">
      <c r="B68" s="2" t="inlineStr">
        <is>
          <t>pl_2027</t>
        </is>
      </c>
      <c r="C68" s="2" t="inlineStr">
        <is>
          <t>2027 EBITDA</t>
        </is>
      </c>
      <c r="D68" s="19">
        <f>Platform!$E$10</f>
        <v/>
      </c>
      <c r="E68" s="29" t="n">
        <v>182.541002038</v>
      </c>
      <c r="F68" s="47">
        <f>D68-E68</f>
        <v/>
      </c>
      <c r="G68" s="46" t="n">
        <v>0.0001</v>
      </c>
      <c r="H68" s="3">
        <f>IF(ABS(F68)&lt;=G68,"OK","ERROR")</f>
        <v/>
      </c>
    </row>
    <row r="69">
      <c r="B69" s="2" t="inlineStr">
        <is>
          <t>pl_2027</t>
        </is>
      </c>
      <c r="C69" s="2" t="inlineStr">
        <is>
          <t>2027 maintenance capex</t>
        </is>
      </c>
      <c r="D69" s="19">
        <f>Platform!$E$11</f>
        <v/>
      </c>
      <c r="E69" s="29" t="n">
        <v>31.2625</v>
      </c>
      <c r="F69" s="47">
        <f>D69-E69</f>
        <v/>
      </c>
      <c r="G69" s="46" t="n">
        <v>0.0001</v>
      </c>
      <c r="H69" s="3">
        <f>IF(ABS(F69)&lt;=G69,"OK","ERROR")</f>
        <v/>
      </c>
    </row>
    <row r="70">
      <c r="B70" s="2" t="inlineStr">
        <is>
          <t>pl_2027</t>
        </is>
      </c>
      <c r="C70" s="2" t="inlineStr">
        <is>
          <t>2027 unlevered tax</t>
        </is>
      </c>
      <c r="D70" s="19">
        <f>Platform!$E$14</f>
        <v/>
      </c>
      <c r="E70" s="29" t="n">
        <v>26.70684048911999</v>
      </c>
      <c r="F70" s="47">
        <f>D70-E70</f>
        <v/>
      </c>
      <c r="G70" s="46" t="n">
        <v>0.0001</v>
      </c>
      <c r="H70" s="3">
        <f>IF(ABS(F70)&lt;=G70,"OK","ERROR")</f>
        <v/>
      </c>
    </row>
    <row r="71">
      <c r="B71" s="2" t="inlineStr">
        <is>
          <t>pl_2027</t>
        </is>
      </c>
      <c r="C71" s="2" t="inlineStr">
        <is>
          <t>2027 free cash flow</t>
        </is>
      </c>
      <c r="D71" s="19">
        <f>Platform!$E$16</f>
        <v/>
      </c>
      <c r="E71" s="29" t="n">
        <v>124.57166154888</v>
      </c>
      <c r="F71" s="47">
        <f>D71-E71</f>
        <v/>
      </c>
      <c r="G71" s="46" t="n">
        <v>0.0001</v>
      </c>
      <c r="H71" s="3">
        <f>IF(ABS(F71)&lt;=G71,"OK","ERROR")</f>
        <v/>
      </c>
    </row>
    <row r="72">
      <c r="B72" s="2" t="inlineStr">
        <is>
          <t>pl_2028</t>
        </is>
      </c>
      <c r="C72" s="2" t="inlineStr">
        <is>
          <t>2028 revenue</t>
        </is>
      </c>
      <c r="D72" s="19">
        <f>Platform!$F$7</f>
        <v/>
      </c>
      <c r="E72" s="29" t="n">
        <v>387.2433497903808</v>
      </c>
      <c r="F72" s="47">
        <f>D72-E72</f>
        <v/>
      </c>
      <c r="G72" s="46" t="n">
        <v>0.0001</v>
      </c>
      <c r="H72" s="3">
        <f>IF(ABS(F72)&lt;=G72,"OK","ERROR")</f>
        <v/>
      </c>
    </row>
    <row r="73">
      <c r="B73" s="2" t="inlineStr">
        <is>
          <t>pl_2028</t>
        </is>
      </c>
      <c r="C73" s="2" t="inlineStr">
        <is>
          <t>2028 EBITDA</t>
        </is>
      </c>
      <c r="D73" s="19">
        <f>Platform!$F$10</f>
        <v/>
      </c>
      <c r="E73" s="29" t="n">
        <v>185.4238071222142</v>
      </c>
      <c r="F73" s="47">
        <f>D73-E73</f>
        <v/>
      </c>
      <c r="G73" s="46" t="n">
        <v>0.0001</v>
      </c>
      <c r="H73" s="3">
        <f>IF(ABS(F73)&lt;=G73,"OK","ERROR")</f>
        <v/>
      </c>
    </row>
    <row r="74">
      <c r="B74" s="2" t="inlineStr">
        <is>
          <t>pl_2028</t>
        </is>
      </c>
      <c r="C74" s="2" t="inlineStr">
        <is>
          <t>2028 maintenance capex</t>
        </is>
      </c>
      <c r="D74" s="19">
        <f>Platform!$F$11</f>
        <v/>
      </c>
      <c r="E74" s="29" t="n">
        <v>53.0565625</v>
      </c>
      <c r="F74" s="47">
        <f>D74-E74</f>
        <v/>
      </c>
      <c r="G74" s="46" t="n">
        <v>0.0001</v>
      </c>
      <c r="H74" s="3">
        <f>IF(ABS(F74)&lt;=G74,"OK","ERROR")</f>
        <v/>
      </c>
    </row>
    <row r="75">
      <c r="B75" s="2" t="inlineStr">
        <is>
          <t>pl_2028</t>
        </is>
      </c>
      <c r="C75" s="2" t="inlineStr">
        <is>
          <t>2028 unlevered tax</t>
        </is>
      </c>
      <c r="D75" s="19">
        <f>Platform!$F$14</f>
        <v/>
      </c>
      <c r="E75" s="29" t="n">
        <v>22.16813870933142</v>
      </c>
      <c r="F75" s="47">
        <f>D75-E75</f>
        <v/>
      </c>
      <c r="G75" s="46" t="n">
        <v>0.0001</v>
      </c>
      <c r="H75" s="3">
        <f>IF(ABS(F75)&lt;=G75,"OK","ERROR")</f>
        <v/>
      </c>
    </row>
    <row r="76">
      <c r="B76" s="2" t="inlineStr">
        <is>
          <t>pl_2028</t>
        </is>
      </c>
      <c r="C76" s="2" t="inlineStr">
        <is>
          <t>2028 free cash flow</t>
        </is>
      </c>
      <c r="D76" s="19">
        <f>Platform!$F$16</f>
        <v/>
      </c>
      <c r="E76" s="29" t="n">
        <v>110.1991059128828</v>
      </c>
      <c r="F76" s="47">
        <f>D76-E76</f>
        <v/>
      </c>
      <c r="G76" s="46" t="n">
        <v>0.0001</v>
      </c>
      <c r="H76" s="3">
        <f>IF(ABS(F76)&lt;=G76,"OK","ERROR")</f>
        <v/>
      </c>
    </row>
    <row r="77">
      <c r="B77" s="2" t="inlineStr">
        <is>
          <t>pl_2029</t>
        </is>
      </c>
      <c r="C77" s="2" t="inlineStr">
        <is>
          <t>2029 revenue</t>
        </is>
      </c>
      <c r="D77" s="19">
        <f>Platform!$G$7</f>
        <v/>
      </c>
      <c r="E77" s="29" t="n">
        <v>364.8706909717523</v>
      </c>
      <c r="F77" s="47">
        <f>D77-E77</f>
        <v/>
      </c>
      <c r="G77" s="46" t="n">
        <v>0.0001</v>
      </c>
      <c r="H77" s="3">
        <f>IF(ABS(F77)&lt;=G77,"OK","ERROR")</f>
        <v/>
      </c>
    </row>
    <row r="78">
      <c r="B78" s="2" t="inlineStr">
        <is>
          <t>pl_2029</t>
        </is>
      </c>
      <c r="C78" s="2" t="inlineStr">
        <is>
          <t>2029 EBITDA</t>
        </is>
      </c>
      <c r="D78" s="19">
        <f>Platform!$G$10</f>
        <v/>
      </c>
      <c r="E78" s="29" t="n">
        <v>162.5174243627991</v>
      </c>
      <c r="F78" s="47">
        <f>D78-E78</f>
        <v/>
      </c>
      <c r="G78" s="46" t="n">
        <v>0.0001</v>
      </c>
      <c r="H78" s="3">
        <f>IF(ABS(F78)&lt;=G78,"OK","ERROR")</f>
        <v/>
      </c>
    </row>
    <row r="79">
      <c r="B79" s="2" t="inlineStr">
        <is>
          <t>pl_2029</t>
        </is>
      </c>
      <c r="C79" s="2" t="inlineStr">
        <is>
          <t>2029 maintenance capex</t>
        </is>
      </c>
      <c r="D79" s="19">
        <f>Platform!$G$11</f>
        <v/>
      </c>
      <c r="E79" s="29" t="n">
        <v>59.76742968749998</v>
      </c>
      <c r="F79" s="47">
        <f>D79-E79</f>
        <v/>
      </c>
      <c r="G79" s="46" t="n">
        <v>0.0001</v>
      </c>
      <c r="H79" s="3">
        <f>IF(ABS(F79)&lt;=G79,"OK","ERROR")</f>
        <v/>
      </c>
    </row>
    <row r="80">
      <c r="B80" s="2" t="inlineStr">
        <is>
          <t>pl_2029</t>
        </is>
      </c>
      <c r="C80" s="2" t="inlineStr">
        <is>
          <t>2029 unlevered tax</t>
        </is>
      </c>
      <c r="D80" s="19">
        <f>Platform!$G$14</f>
        <v/>
      </c>
      <c r="E80" s="29" t="n">
        <v>15.0599987220718</v>
      </c>
      <c r="F80" s="47">
        <f>D80-E80</f>
        <v/>
      </c>
      <c r="G80" s="46" t="n">
        <v>0.0001</v>
      </c>
      <c r="H80" s="3">
        <f>IF(ABS(F80)&lt;=G80,"OK","ERROR")</f>
        <v/>
      </c>
    </row>
    <row r="81">
      <c r="B81" s="2" t="inlineStr">
        <is>
          <t>pl_2029</t>
        </is>
      </c>
      <c r="C81" s="2" t="inlineStr">
        <is>
          <t>2029 free cash flow</t>
        </is>
      </c>
      <c r="D81" s="19">
        <f>Platform!$G$16</f>
        <v/>
      </c>
      <c r="E81" s="29" t="n">
        <v>87.68999595322738</v>
      </c>
      <c r="F81" s="47">
        <f>D81-E81</f>
        <v/>
      </c>
      <c r="G81" s="46" t="n">
        <v>0.0001</v>
      </c>
      <c r="H81" s="3">
        <f>IF(ABS(F81)&lt;=G81,"OK","ERROR")</f>
        <v/>
      </c>
    </row>
    <row r="82">
      <c r="B82" s="2" t="inlineStr">
        <is>
          <t>pl_2030</t>
        </is>
      </c>
      <c r="C82" s="2" t="inlineStr">
        <is>
          <t>2030 revenue</t>
        </is>
      </c>
      <c r="D82" s="19">
        <f>Platform!$H$7</f>
        <v/>
      </c>
      <c r="E82" s="29" t="n">
        <v>386.9421388101605</v>
      </c>
      <c r="F82" s="47">
        <f>D82-E82</f>
        <v/>
      </c>
      <c r="G82" s="46" t="n">
        <v>0.0001</v>
      </c>
      <c r="H82" s="3">
        <f>IF(ABS(F82)&lt;=G82,"OK","ERROR")</f>
        <v/>
      </c>
    </row>
    <row r="83">
      <c r="B83" s="2" t="inlineStr">
        <is>
          <t>pl_2030</t>
        </is>
      </c>
      <c r="C83" s="2" t="inlineStr">
        <is>
          <t>2030 EBITDA</t>
        </is>
      </c>
      <c r="D83" s="19">
        <f>Platform!$H$10</f>
        <v/>
      </c>
      <c r="E83" s="29" t="n">
        <v>177.7383711687042</v>
      </c>
      <c r="F83" s="47">
        <f>D83-E83</f>
        <v/>
      </c>
      <c r="G83" s="46" t="n">
        <v>0.0001</v>
      </c>
      <c r="H83" s="3">
        <f>IF(ABS(F83)&lt;=G83,"OK","ERROR")</f>
        <v/>
      </c>
    </row>
    <row r="84">
      <c r="B84" s="2" t="inlineStr">
        <is>
          <t>pl_2030</t>
        </is>
      </c>
      <c r="C84" s="2" t="inlineStr">
        <is>
          <t>2030 maintenance capex</t>
        </is>
      </c>
      <c r="D84" s="19">
        <f>Platform!$H$11</f>
        <v/>
      </c>
      <c r="E84" s="29" t="n">
        <v>33.66629316406249</v>
      </c>
      <c r="F84" s="47">
        <f>D84-E84</f>
        <v/>
      </c>
      <c r="G84" s="46" t="n">
        <v>0.0001</v>
      </c>
      <c r="H84" s="3">
        <f>IF(ABS(F84)&lt;=G84,"OK","ERROR")</f>
        <v/>
      </c>
    </row>
    <row r="85">
      <c r="B85" s="2" t="inlineStr">
        <is>
          <t>pl_2030</t>
        </is>
      </c>
      <c r="C85" s="2" t="inlineStr">
        <is>
          <t>2030 unlevered tax</t>
        </is>
      </c>
      <c r="D85" s="19">
        <f>Platform!$H$14</f>
        <v/>
      </c>
      <c r="E85" s="29" t="n">
        <v>24.97729872111401</v>
      </c>
      <c r="F85" s="47">
        <f>D85-E85</f>
        <v/>
      </c>
      <c r="G85" s="46" t="n">
        <v>0.0001</v>
      </c>
      <c r="H85" s="3">
        <f>IF(ABS(F85)&lt;=G85,"OK","ERROR")</f>
        <v/>
      </c>
    </row>
    <row r="86">
      <c r="B86" s="2" t="inlineStr">
        <is>
          <t>pl_2030</t>
        </is>
      </c>
      <c r="C86" s="2" t="inlineStr">
        <is>
          <t>2030 free cash flow</t>
        </is>
      </c>
      <c r="D86" s="19">
        <f>Platform!$H$16</f>
        <v/>
      </c>
      <c r="E86" s="29" t="n">
        <v>119.0947792835277</v>
      </c>
      <c r="F86" s="47">
        <f>D86-E86</f>
        <v/>
      </c>
      <c r="G86" s="46" t="n">
        <v>0.0001</v>
      </c>
      <c r="H86" s="3">
        <f>IF(ABS(F86)&lt;=G86,"OK","ERROR")</f>
        <v/>
      </c>
    </row>
    <row r="87">
      <c r="B87" s="2" t="inlineStr">
        <is>
          <t>pl_2031</t>
        </is>
      </c>
      <c r="C87" s="2" t="inlineStr">
        <is>
          <t>2031 revenue</t>
        </is>
      </c>
      <c r="D87" s="19">
        <f>Platform!$I$7</f>
        <v/>
      </c>
      <c r="E87" s="29" t="n">
        <v>405.6418167270285</v>
      </c>
      <c r="F87" s="47">
        <f>D87-E87</f>
        <v/>
      </c>
      <c r="G87" s="46" t="n">
        <v>0.0001</v>
      </c>
      <c r="H87" s="3">
        <f>IF(ABS(F87)&lt;=G87,"OK","ERROR")</f>
        <v/>
      </c>
    </row>
    <row r="88">
      <c r="B88" s="2" t="inlineStr">
        <is>
          <t>pl_2031</t>
        </is>
      </c>
      <c r="C88" s="2" t="inlineStr">
        <is>
          <t>2031 EBITDA</t>
        </is>
      </c>
      <c r="D88" s="19">
        <f>Platform!$I$10</f>
        <v/>
      </c>
      <c r="E88" s="29" t="n">
        <v>189.9565289078859</v>
      </c>
      <c r="F88" s="47">
        <f>D88-E88</f>
        <v/>
      </c>
      <c r="G88" s="46" t="n">
        <v>0.0001</v>
      </c>
      <c r="H88" s="3">
        <f>IF(ABS(F88)&lt;=G88,"OK","ERROR")</f>
        <v/>
      </c>
    </row>
    <row r="89">
      <c r="B89" s="2" t="inlineStr">
        <is>
          <t>pl_2031</t>
        </is>
      </c>
      <c r="C89" s="2" t="inlineStr">
        <is>
          <t>2031 maintenance capex</t>
        </is>
      </c>
      <c r="D89" s="19">
        <f>Platform!$I$11</f>
        <v/>
      </c>
      <c r="E89" s="29" t="n">
        <v>34.50795049316405</v>
      </c>
      <c r="F89" s="47">
        <f>D89-E89</f>
        <v/>
      </c>
      <c r="G89" s="46" t="n">
        <v>0.0001</v>
      </c>
      <c r="H89" s="3">
        <f>IF(ABS(F89)&lt;=G89,"OK","ERROR")</f>
        <v/>
      </c>
    </row>
    <row r="90">
      <c r="B90" s="2" t="inlineStr">
        <is>
          <t>pl_2031</t>
        </is>
      </c>
      <c r="C90" s="2" t="inlineStr">
        <is>
          <t>2031 unlevered tax</t>
        </is>
      </c>
      <c r="D90" s="19">
        <f>Platform!$I$14</f>
        <v/>
      </c>
      <c r="E90" s="29" t="n">
        <v>27.70765881953323</v>
      </c>
      <c r="F90" s="47">
        <f>D90-E90</f>
        <v/>
      </c>
      <c r="G90" s="46" t="n">
        <v>0.0001</v>
      </c>
      <c r="H90" s="3">
        <f>IF(ABS(F90)&lt;=G90,"OK","ERROR")</f>
        <v/>
      </c>
    </row>
    <row r="91">
      <c r="B91" s="2" t="inlineStr">
        <is>
          <t>pl_2031</t>
        </is>
      </c>
      <c r="C91" s="2" t="inlineStr">
        <is>
          <t>2031 free cash flow</t>
        </is>
      </c>
      <c r="D91" s="19">
        <f>Platform!$I$16</f>
        <v/>
      </c>
      <c r="E91" s="29" t="n">
        <v>127.7409195951886</v>
      </c>
      <c r="F91" s="47">
        <f>D91-E91</f>
        <v/>
      </c>
      <c r="G91" s="46" t="n">
        <v>0.0001</v>
      </c>
      <c r="H91" s="3">
        <f>IF(ABS(F91)&lt;=G91,"OK","ERROR")</f>
        <v/>
      </c>
    </row>
    <row r="92">
      <c r="B92" s="2" t="inlineStr">
        <is>
          <t>pl_2036</t>
        </is>
      </c>
      <c r="C92" s="2" t="inlineStr">
        <is>
          <t>2036 revenue</t>
        </is>
      </c>
      <c r="D92" s="19">
        <f>Platform!$N$7</f>
        <v/>
      </c>
      <c r="E92" s="29" t="n">
        <v>453.0157476280895</v>
      </c>
      <c r="F92" s="47">
        <f>D92-E92</f>
        <v/>
      </c>
      <c r="G92" s="46" t="n">
        <v>0.0001</v>
      </c>
      <c r="H92" s="3">
        <f>IF(ABS(F92)&lt;=G92,"OK","ERROR")</f>
        <v/>
      </c>
    </row>
    <row r="93">
      <c r="B93" s="2" t="inlineStr">
        <is>
          <t>pl_2036</t>
        </is>
      </c>
      <c r="C93" s="2" t="inlineStr">
        <is>
          <t>2036 EBITDA</t>
        </is>
      </c>
      <c r="D93" s="19">
        <f>Platform!$N$10</f>
        <v/>
      </c>
      <c r="E93" s="29" t="n">
        <v>209.5290753196537</v>
      </c>
      <c r="F93" s="47">
        <f>D93-E93</f>
        <v/>
      </c>
      <c r="G93" s="46" t="n">
        <v>0.0001</v>
      </c>
      <c r="H93" s="3">
        <f>IF(ABS(F93)&lt;=G93,"OK","ERROR")</f>
        <v/>
      </c>
    </row>
    <row r="94">
      <c r="B94" s="2" t="inlineStr">
        <is>
          <t>pl_2036</t>
        </is>
      </c>
      <c r="C94" s="2" t="inlineStr">
        <is>
          <t>2036 maintenance capex</t>
        </is>
      </c>
      <c r="D94" s="19">
        <f>Platform!$N$11</f>
        <v/>
      </c>
      <c r="E94" s="29" t="n">
        <v>39.04257859798888</v>
      </c>
      <c r="F94" s="47">
        <f>D94-E94</f>
        <v/>
      </c>
      <c r="G94" s="46" t="n">
        <v>0.0001</v>
      </c>
      <c r="H94" s="3">
        <f>IF(ABS(F94)&lt;=G94,"OK","ERROR")</f>
        <v/>
      </c>
    </row>
    <row r="95">
      <c r="B95" s="2" t="inlineStr">
        <is>
          <t>pl_2036</t>
        </is>
      </c>
      <c r="C95" s="2" t="inlineStr">
        <is>
          <t>2036 unlevered tax</t>
        </is>
      </c>
      <c r="D95" s="19">
        <f>Platform!$N$14</f>
        <v/>
      </c>
      <c r="E95" s="29" t="n">
        <v>31.31675921319954</v>
      </c>
      <c r="F95" s="47">
        <f>D95-E95</f>
        <v/>
      </c>
      <c r="G95" s="46" t="n">
        <v>0.0001</v>
      </c>
      <c r="H95" s="3">
        <f>IF(ABS(F95)&lt;=G95,"OK","ERROR")</f>
        <v/>
      </c>
    </row>
    <row r="96">
      <c r="B96" s="2" t="inlineStr">
        <is>
          <t>pl_2036</t>
        </is>
      </c>
      <c r="C96" s="2" t="inlineStr">
        <is>
          <t>2036 free cash flow</t>
        </is>
      </c>
      <c r="D96" s="19">
        <f>Platform!$N$16</f>
        <v/>
      </c>
      <c r="E96" s="29" t="n">
        <v>139.1697375084652</v>
      </c>
      <c r="F96" s="47">
        <f>D96-E96</f>
        <v/>
      </c>
      <c r="G96" s="46" t="n">
        <v>0.0001</v>
      </c>
      <c r="H96" s="3">
        <f>IF(ABS(F96)&lt;=G96,"OK","ERROR")</f>
        <v/>
      </c>
    </row>
    <row r="97">
      <c r="B97" s="2" t="inlineStr">
        <is>
          <t>pl_2041</t>
        </is>
      </c>
      <c r="C97" s="2" t="inlineStr">
        <is>
          <t>2041 revenue</t>
        </is>
      </c>
      <c r="D97" s="19">
        <f>Platform!$S$7</f>
        <v/>
      </c>
      <c r="E97" s="29" t="n">
        <v>488.7294009339167</v>
      </c>
      <c r="F97" s="47">
        <f>D97-E97</f>
        <v/>
      </c>
      <c r="G97" s="46" t="n">
        <v>0.0001</v>
      </c>
      <c r="H97" s="3">
        <f>IF(ABS(F97)&lt;=G97,"OK","ERROR")</f>
        <v/>
      </c>
    </row>
    <row r="98">
      <c r="B98" s="2" t="inlineStr">
        <is>
          <t>pl_2041</t>
        </is>
      </c>
      <c r="C98" s="2" t="inlineStr">
        <is>
          <t>2041 EBITDA</t>
        </is>
      </c>
      <c r="D98" s="19">
        <f>Platform!$S$10</f>
        <v/>
      </c>
      <c r="E98" s="29" t="n">
        <v>215.9520232391376</v>
      </c>
      <c r="F98" s="47">
        <f>D98-E98</f>
        <v/>
      </c>
      <c r="G98" s="46" t="n">
        <v>0.0001</v>
      </c>
      <c r="H98" s="3">
        <f>IF(ABS(F98)&lt;=G98,"OK","ERROR")</f>
        <v/>
      </c>
    </row>
    <row r="99">
      <c r="B99" s="2" t="inlineStr">
        <is>
          <t>pl_2041</t>
        </is>
      </c>
      <c r="C99" s="2" t="inlineStr">
        <is>
          <t>2041 maintenance capex</t>
        </is>
      </c>
      <c r="D99" s="19">
        <f>Platform!$S$11</f>
        <v/>
      </c>
      <c r="E99" s="29" t="n">
        <v>44.17309407819234</v>
      </c>
      <c r="F99" s="47">
        <f>D99-E99</f>
        <v/>
      </c>
      <c r="G99" s="46" t="n">
        <v>0.0001</v>
      </c>
      <c r="H99" s="3">
        <f>IF(ABS(F99)&lt;=G99,"OK","ERROR")</f>
        <v/>
      </c>
    </row>
    <row r="100">
      <c r="B100" s="2" t="inlineStr">
        <is>
          <t>pl_2041</t>
        </is>
      </c>
      <c r="C100" s="2" t="inlineStr">
        <is>
          <t>2041 unlevered tax</t>
        </is>
      </c>
      <c r="D100" s="19">
        <f>Platform!$S$14</f>
        <v/>
      </c>
      <c r="E100" s="29" t="n">
        <v>31.62694299862685</v>
      </c>
      <c r="F100" s="47">
        <f>D100-E100</f>
        <v/>
      </c>
      <c r="G100" s="46" t="n">
        <v>0.0001</v>
      </c>
      <c r="H100" s="3">
        <f>IF(ABS(F100)&lt;=G100,"OK","ERROR")</f>
        <v/>
      </c>
    </row>
    <row r="101">
      <c r="B101" s="2" t="inlineStr">
        <is>
          <t>pl_2041</t>
        </is>
      </c>
      <c r="C101" s="2" t="inlineStr">
        <is>
          <t>2041 free cash flow</t>
        </is>
      </c>
      <c r="D101" s="19">
        <f>Platform!$S$16</f>
        <v/>
      </c>
      <c r="E101" s="29" t="n">
        <v>140.1519861623184</v>
      </c>
      <c r="F101" s="47">
        <f>D101-E101</f>
        <v/>
      </c>
      <c r="G101" s="46" t="n">
        <v>0.0001</v>
      </c>
      <c r="H101" s="3">
        <f>IF(ABS(F101)&lt;=G101,"OK","ERROR")</f>
        <v/>
      </c>
    </row>
    <row r="102">
      <c r="B102" s="2" t="inlineStr">
        <is>
          <t>pl_2046</t>
        </is>
      </c>
      <c r="C102" s="2" t="inlineStr">
        <is>
          <t>2046 revenue</t>
        </is>
      </c>
      <c r="D102" s="19">
        <f>Platform!$X$7</f>
        <v/>
      </c>
      <c r="E102" s="29" t="n">
        <v>528.6768935794978</v>
      </c>
      <c r="F102" s="47">
        <f>D102-E102</f>
        <v/>
      </c>
      <c r="G102" s="46" t="n">
        <v>0.0001</v>
      </c>
      <c r="H102" s="3">
        <f>IF(ABS(F102)&lt;=G102,"OK","ERROR")</f>
        <v/>
      </c>
    </row>
    <row r="103">
      <c r="B103" s="2" t="inlineStr">
        <is>
          <t>pl_2046</t>
        </is>
      </c>
      <c r="C103" s="2" t="inlineStr">
        <is>
          <t>2046 EBITDA</t>
        </is>
      </c>
      <c r="D103" s="19">
        <f>Platform!$X$10</f>
        <v/>
      </c>
      <c r="E103" s="29" t="n">
        <v>222.8407460588027</v>
      </c>
      <c r="F103" s="47">
        <f>D103-E103</f>
        <v/>
      </c>
      <c r="G103" s="46" t="n">
        <v>0.0001</v>
      </c>
      <c r="H103" s="3">
        <f>IF(ABS(F103)&lt;=G103,"OK","ERROR")</f>
        <v/>
      </c>
    </row>
    <row r="104">
      <c r="B104" s="2" t="inlineStr">
        <is>
          <t>pl_2046</t>
        </is>
      </c>
      <c r="C104" s="2" t="inlineStr">
        <is>
          <t>2046 maintenance capex</t>
        </is>
      </c>
      <c r="D104" s="19">
        <f>Platform!$X$11</f>
        <v/>
      </c>
      <c r="E104" s="29" t="n">
        <v>49.97780142885702</v>
      </c>
      <c r="F104" s="47">
        <f>D104-E104</f>
        <v/>
      </c>
      <c r="G104" s="46" t="n">
        <v>0.0001</v>
      </c>
      <c r="H104" s="3">
        <f>IF(ABS(F104)&lt;=G104,"OK","ERROR")</f>
        <v/>
      </c>
    </row>
    <row r="105">
      <c r="B105" s="2" t="inlineStr">
        <is>
          <t>pl_2046</t>
        </is>
      </c>
      <c r="C105" s="2" t="inlineStr">
        <is>
          <t>2046 unlevered tax</t>
        </is>
      </c>
      <c r="D105" s="19">
        <f>Platform!$X$14</f>
        <v/>
      </c>
      <c r="E105" s="29" t="n">
        <v>41.48710671118697</v>
      </c>
      <c r="F105" s="47">
        <f>D105-E105</f>
        <v/>
      </c>
      <c r="G105" s="46" t="n">
        <v>0.0001</v>
      </c>
      <c r="H105" s="3">
        <f>IF(ABS(F105)&lt;=G105,"OK","ERROR")</f>
        <v/>
      </c>
    </row>
    <row r="106">
      <c r="B106" s="2" t="inlineStr">
        <is>
          <t>pl_2046</t>
        </is>
      </c>
      <c r="C106" s="2" t="inlineStr">
        <is>
          <t>2046 free cash flow</t>
        </is>
      </c>
      <c r="D106" s="19">
        <f>Platform!$X$16</f>
        <v/>
      </c>
      <c r="E106" s="29" t="n">
        <v>131.3758379187587</v>
      </c>
      <c r="F106" s="47">
        <f>D106-E106</f>
        <v/>
      </c>
      <c r="G106" s="46" t="n">
        <v>0.0001</v>
      </c>
      <c r="H106" s="3">
        <f>IF(ABS(F106)&lt;=G106,"OK","ERROR")</f>
        <v/>
      </c>
    </row>
    <row r="107">
      <c r="B107" s="2" t="inlineStr">
        <is>
          <t>pl_2056</t>
        </is>
      </c>
      <c r="C107" s="2" t="inlineStr">
        <is>
          <t>2056 revenue</t>
        </is>
      </c>
      <c r="D107" s="19">
        <f>Platform!$AH$7</f>
        <v/>
      </c>
      <c r="E107" s="29" t="n">
        <v>641.8979704063266</v>
      </c>
      <c r="F107" s="47">
        <f>D107-E107</f>
        <v/>
      </c>
      <c r="G107" s="46" t="n">
        <v>0.0001</v>
      </c>
      <c r="H107" s="3">
        <f>IF(ABS(F107)&lt;=G107,"OK","ERROR")</f>
        <v/>
      </c>
    </row>
    <row r="108">
      <c r="B108" s="2" t="inlineStr">
        <is>
          <t>pl_2056</t>
        </is>
      </c>
      <c r="C108" s="2" t="inlineStr">
        <is>
          <t>2056 EBITDA</t>
        </is>
      </c>
      <c r="D108" s="19">
        <f>Platform!$AH$10</f>
        <v/>
      </c>
      <c r="E108" s="29" t="n">
        <v>254.5099939164181</v>
      </c>
      <c r="F108" s="47">
        <f>D108-E108</f>
        <v/>
      </c>
      <c r="G108" s="46" t="n">
        <v>0.0001</v>
      </c>
      <c r="H108" s="3">
        <f>IF(ABS(F108)&lt;=G108,"OK","ERROR")</f>
        <v/>
      </c>
    </row>
    <row r="109">
      <c r="B109" s="2" t="inlineStr">
        <is>
          <t>pl_2056</t>
        </is>
      </c>
      <c r="C109" s="2" t="inlineStr">
        <is>
          <t>2056 maintenance capex</t>
        </is>
      </c>
      <c r="D109" s="19">
        <f>Platform!$AH$11</f>
        <v/>
      </c>
      <c r="E109" s="29" t="n">
        <v>63.97581116199447</v>
      </c>
      <c r="F109" s="47">
        <f>D109-E109</f>
        <v/>
      </c>
      <c r="G109" s="46" t="n">
        <v>0.0001</v>
      </c>
      <c r="H109" s="3">
        <f>IF(ABS(F109)&lt;=G109,"OK","ERROR")</f>
        <v/>
      </c>
    </row>
    <row r="110">
      <c r="B110" s="2" t="inlineStr">
        <is>
          <t>pl_2056</t>
        </is>
      </c>
      <c r="C110" s="2" t="inlineStr">
        <is>
          <t>2056 unlevered tax</t>
        </is>
      </c>
      <c r="D110" s="19">
        <f>Platform!$AH$14</f>
        <v/>
      </c>
      <c r="E110" s="29" t="n">
        <v>45.72820386106167</v>
      </c>
      <c r="F110" s="47">
        <f>D110-E110</f>
        <v/>
      </c>
      <c r="G110" s="46" t="n">
        <v>0.0001</v>
      </c>
      <c r="H110" s="3">
        <f>IF(ABS(F110)&lt;=G110,"OK","ERROR")</f>
        <v/>
      </c>
    </row>
    <row r="111">
      <c r="B111" s="2" t="inlineStr">
        <is>
          <t>pl_2056</t>
        </is>
      </c>
      <c r="C111" s="2" t="inlineStr">
        <is>
          <t>2056 free cash flow</t>
        </is>
      </c>
      <c r="D111" s="19">
        <f>Platform!$AH$16</f>
        <v/>
      </c>
      <c r="E111" s="29" t="n">
        <v>92.36678941631732</v>
      </c>
      <c r="F111" s="47">
        <f>D111-E111</f>
        <v/>
      </c>
      <c r="G111" s="46" t="n">
        <v>0.0001</v>
      </c>
      <c r="H111" s="3">
        <f>IF(ABS(F111)&lt;=G111,"OK","ERROR")</f>
        <v/>
      </c>
    </row>
    <row r="112">
      <c r="B112" s="2" t="inlineStr">
        <is>
          <t>pl_2056</t>
        </is>
      </c>
      <c r="C112" s="2" t="inlineStr">
        <is>
          <t>2056 handback works</t>
        </is>
      </c>
      <c r="D112" s="19">
        <f>Platform!$AH$15</f>
        <v/>
      </c>
      <c r="E112" s="29" t="n">
        <v>52.43918947704464</v>
      </c>
      <c r="F112" s="47">
        <f>D112-E112</f>
        <v/>
      </c>
      <c r="G112" s="46" t="n">
        <v>0.0001</v>
      </c>
      <c r="H112" s="3">
        <f>IF(ABS(F112)&lt;=G112,"OK","ERROR")</f>
        <v/>
      </c>
    </row>
    <row r="113">
      <c r="B113" s="2" t="inlineStr">
        <is>
          <t>plan_vs_base_ebitda</t>
        </is>
      </c>
      <c r="C113" s="2" t="inlineStr">
        <is>
          <t>2027 EBITDA, seller's plan</t>
        </is>
      </c>
      <c r="D113" s="19">
        <f>Platform!$E$118</f>
        <v/>
      </c>
      <c r="E113" s="29" t="n">
        <v>184.078502038</v>
      </c>
      <c r="F113" s="47">
        <f>D113-E113</f>
        <v/>
      </c>
      <c r="G113" s="46" t="n">
        <v>0.0001</v>
      </c>
      <c r="H113" s="3">
        <f>IF(ABS(F113)&lt;=G113,"OK","ERROR")</f>
        <v/>
      </c>
    </row>
    <row r="114">
      <c r="B114" s="2" t="inlineStr">
        <is>
          <t>plan_vs_base_ebitda</t>
        </is>
      </c>
      <c r="C114" s="2" t="inlineStr">
        <is>
          <t>2027 EBITDA, buyer's base</t>
        </is>
      </c>
      <c r="D114" s="19">
        <f>Platform!$E$10</f>
        <v/>
      </c>
      <c r="E114" s="29" t="n">
        <v>182.541002038</v>
      </c>
      <c r="F114" s="47">
        <f>D114-E114</f>
        <v/>
      </c>
      <c r="G114" s="46" t="n">
        <v>0.0001</v>
      </c>
      <c r="H114" s="3">
        <f>IF(ABS(F114)&lt;=G114,"OK","ERROR")</f>
        <v/>
      </c>
    </row>
    <row r="115">
      <c r="B115" s="2" t="inlineStr">
        <is>
          <t>plan_vs_base_ebitda</t>
        </is>
      </c>
      <c r="C115" s="2" t="inlineStr">
        <is>
          <t>2029 EBITDA, seller's plan</t>
        </is>
      </c>
      <c r="D115" s="19">
        <f>Platform!$G$118</f>
        <v/>
      </c>
      <c r="E115" s="29" t="n">
        <v>193.3702205540744</v>
      </c>
      <c r="F115" s="47">
        <f>D115-E115</f>
        <v/>
      </c>
      <c r="G115" s="46" t="n">
        <v>0.0001</v>
      </c>
      <c r="H115" s="3">
        <f>IF(ABS(F115)&lt;=G115,"OK","ERROR")</f>
        <v/>
      </c>
    </row>
    <row r="116">
      <c r="B116" s="2" t="inlineStr">
        <is>
          <t>plan_vs_base_ebitda</t>
        </is>
      </c>
      <c r="C116" s="2" t="inlineStr">
        <is>
          <t>2029 EBITDA, buyer's base</t>
        </is>
      </c>
      <c r="D116" s="19">
        <f>Platform!$G$10</f>
        <v/>
      </c>
      <c r="E116" s="29" t="n">
        <v>162.5174243627991</v>
      </c>
      <c r="F116" s="47">
        <f>D116-E116</f>
        <v/>
      </c>
      <c r="G116" s="46" t="n">
        <v>0.0001</v>
      </c>
      <c r="H116" s="3">
        <f>IF(ABS(F116)&lt;=G116,"OK","ERROR")</f>
        <v/>
      </c>
    </row>
    <row r="117">
      <c r="B117" s="2" t="inlineStr">
        <is>
          <t>plan_vs_base_ebitda</t>
        </is>
      </c>
      <c r="C117" s="2" t="inlineStr">
        <is>
          <t>2031 EBITDA, seller's plan</t>
        </is>
      </c>
      <c r="D117" s="19">
        <f>Platform!$I$118</f>
        <v/>
      </c>
      <c r="E117" s="29" t="n">
        <v>202.8889290218575</v>
      </c>
      <c r="F117" s="47">
        <f>D117-E117</f>
        <v/>
      </c>
      <c r="G117" s="46" t="n">
        <v>0.0001</v>
      </c>
      <c r="H117" s="3">
        <f>IF(ABS(F117)&lt;=G117,"OK","ERROR")</f>
        <v/>
      </c>
    </row>
    <row r="118">
      <c r="B118" s="2" t="inlineStr">
        <is>
          <t>plan_vs_base_ebitda</t>
        </is>
      </c>
      <c r="C118" s="2" t="inlineStr">
        <is>
          <t>2031 EBITDA, buyer's base</t>
        </is>
      </c>
      <c r="D118" s="19">
        <f>Platform!$I$10</f>
        <v/>
      </c>
      <c r="E118" s="29" t="n">
        <v>189.9565289078859</v>
      </c>
      <c r="F118" s="47">
        <f>D118-E118</f>
        <v/>
      </c>
      <c r="G118" s="46" t="n">
        <v>0.0001</v>
      </c>
      <c r="H118" s="3">
        <f>IF(ABS(F118)&lt;=G118,"OK","ERROR")</f>
        <v/>
      </c>
    </row>
    <row r="119">
      <c r="B119" s="2" t="inlineStr">
        <is>
          <t>w_dip</t>
        </is>
      </c>
      <c r="C119" s="2" t="inlineStr">
        <is>
          <t>Westerhaven occupancy 2029</t>
        </is>
      </c>
      <c r="D119" s="21">
        <f>Segments!$G$28</f>
        <v/>
      </c>
      <c r="E119" s="27" t="n">
        <v>0.7899999999999999</v>
      </c>
      <c r="F119" s="47">
        <f>D119-E119</f>
        <v/>
      </c>
      <c r="G119" s="46" t="n">
        <v>1e-07</v>
      </c>
      <c r="H119" s="3">
        <f>IF(ABS(F119)&lt;=G119,"OK","ERROR")</f>
        <v/>
      </c>
    </row>
    <row r="120">
      <c r="B120" s="2" t="inlineStr">
        <is>
          <t>w_dip</t>
        </is>
      </c>
      <c r="C120" s="2" t="inlineStr">
        <is>
          <t>Westerhaven occupancy 2030</t>
        </is>
      </c>
      <c r="D120" s="21">
        <f>Segments!$H$28</f>
        <v/>
      </c>
      <c r="E120" s="27" t="n">
        <v>0.86</v>
      </c>
      <c r="F120" s="47">
        <f>D120-E120</f>
        <v/>
      </c>
      <c r="G120" s="46" t="n">
        <v>1e-07</v>
      </c>
      <c r="H120" s="3">
        <f>IF(ABS(F120)&lt;=G120,"OK","ERROR")</f>
        <v/>
      </c>
    </row>
    <row r="121">
      <c r="B121" s="2" t="inlineStr">
        <is>
          <t>w_dip</t>
        </is>
      </c>
      <c r="C121" s="2" t="inlineStr">
        <is>
          <t>Westerhaven occupancy 2031</t>
        </is>
      </c>
      <c r="D121" s="21">
        <f>Segments!$I$28</f>
        <v/>
      </c>
      <c r="E121" s="27" t="n">
        <v>0.9099999999999999</v>
      </c>
      <c r="F121" s="47">
        <f>D121-E121</f>
        <v/>
      </c>
      <c r="G121" s="46" t="n">
        <v>1e-07</v>
      </c>
      <c r="H121" s="3">
        <f>IF(ABS(F121)&lt;=G121,"OK","ERROR")</f>
        <v/>
      </c>
    </row>
    <row r="122">
      <c r="B122" s="2" t="inlineStr">
        <is>
          <t>rab_values</t>
        </is>
      </c>
      <c r="C122" s="2" t="inlineStr">
        <is>
          <t>RAB case 1: value</t>
        </is>
      </c>
      <c r="D122" s="19">
        <f>Multiples!$C$48</f>
        <v/>
      </c>
      <c r="E122" s="29" t="n">
        <v>1999.999999999999</v>
      </c>
      <c r="F122" s="47">
        <f>D122-E122</f>
        <v/>
      </c>
      <c r="G122" s="46" t="n">
        <v>0.0001</v>
      </c>
      <c r="H122" s="3">
        <f>IF(ABS(F122)&lt;=G122,"OK","ERROR")</f>
        <v/>
      </c>
    </row>
    <row r="123">
      <c r="B123" s="2" t="inlineStr">
        <is>
          <t>rab_values</t>
        </is>
      </c>
      <c r="C123" s="2" t="inlineStr">
        <is>
          <t>RAB case 2: value</t>
        </is>
      </c>
      <c r="D123" s="19">
        <f>Multiples!$C$49</f>
        <v/>
      </c>
      <c r="E123" s="29" t="n">
        <v>2203.957818924564</v>
      </c>
      <c r="F123" s="47">
        <f>D123-E123</f>
        <v/>
      </c>
      <c r="G123" s="46" t="n">
        <v>0.0001</v>
      </c>
      <c r="H123" s="3">
        <f>IF(ABS(F123)&lt;=G123,"OK","ERROR")</f>
        <v/>
      </c>
    </row>
    <row r="124">
      <c r="B124" s="2" t="inlineStr">
        <is>
          <t>rab_values</t>
        </is>
      </c>
      <c r="C124" s="2" t="inlineStr">
        <is>
          <t>RAB case 2: multiple of RAB</t>
        </is>
      </c>
      <c r="D124" s="37">
        <f>Multiples!$D$49</f>
        <v/>
      </c>
      <c r="E124" s="48" t="n">
        <v>1.101978909462282</v>
      </c>
      <c r="F124" s="47">
        <f>D124-E124</f>
        <v/>
      </c>
      <c r="G124" s="46" t="n">
        <v>0.0001</v>
      </c>
      <c r="H124" s="3">
        <f>IF(ABS(F124)&lt;=G124,"OK","ERROR")</f>
        <v/>
      </c>
    </row>
    <row r="125">
      <c r="B125" s="2" t="inlineStr">
        <is>
          <t>rab_values</t>
        </is>
      </c>
      <c r="C125" s="2" t="inlineStr">
        <is>
          <t>RAB case 3: value</t>
        </is>
      </c>
      <c r="D125" s="19">
        <f>Multiples!$C$50</f>
        <v/>
      </c>
      <c r="E125" s="29" t="n">
        <v>2341.681157396764</v>
      </c>
      <c r="F125" s="47">
        <f>D125-E125</f>
        <v/>
      </c>
      <c r="G125" s="46" t="n">
        <v>0.0001</v>
      </c>
      <c r="H125" s="3">
        <f>IF(ABS(F125)&lt;=G125,"OK","ERROR")</f>
        <v/>
      </c>
    </row>
    <row r="126">
      <c r="B126" s="2" t="inlineStr">
        <is>
          <t>rab_values</t>
        </is>
      </c>
      <c r="C126" s="2" t="inlineStr">
        <is>
          <t>RAB case 3: multiple of RAB</t>
        </is>
      </c>
      <c r="D126" s="37">
        <f>Multiples!$D$50</f>
        <v/>
      </c>
      <c r="E126" s="48" t="n">
        <v>1.170840578698382</v>
      </c>
      <c r="F126" s="47">
        <f>D126-E126</f>
        <v/>
      </c>
      <c r="G126" s="46" t="n">
        <v>0.0001</v>
      </c>
      <c r="H126" s="3">
        <f>IF(ABS(F126)&lt;=G126,"OK","ERROR")</f>
        <v/>
      </c>
    </row>
    <row r="127">
      <c r="B127" s="2" t="inlineStr">
        <is>
          <t>rab_values</t>
        </is>
      </c>
      <c r="C127" s="2" t="inlineStr">
        <is>
          <t>RAB case 4: value</t>
        </is>
      </c>
      <c r="D127" s="19">
        <f>Multiples!$C$51</f>
        <v/>
      </c>
      <c r="E127" s="29" t="n">
        <v>2492.477458919861</v>
      </c>
      <c r="F127" s="47">
        <f>D127-E127</f>
        <v/>
      </c>
      <c r="G127" s="46" t="n">
        <v>0.0001</v>
      </c>
      <c r="H127" s="3">
        <f>IF(ABS(F127)&lt;=G127,"OK","ERROR")</f>
        <v/>
      </c>
    </row>
    <row r="128">
      <c r="B128" s="2" t="inlineStr">
        <is>
          <t>rab_values</t>
        </is>
      </c>
      <c r="C128" s="2" t="inlineStr">
        <is>
          <t>RAB case 4: multiple of RAB</t>
        </is>
      </c>
      <c r="D128" s="37">
        <f>Multiples!$D$51</f>
        <v/>
      </c>
      <c r="E128" s="48" t="n">
        <v>1.24623872945993</v>
      </c>
      <c r="F128" s="47">
        <f>D128-E128</f>
        <v/>
      </c>
      <c r="G128" s="46" t="n">
        <v>0.0001</v>
      </c>
      <c r="H128" s="3">
        <f>IF(ABS(F128)&lt;=G128,"OK","ERROR")</f>
        <v/>
      </c>
    </row>
    <row r="129">
      <c r="B129" s="2" t="inlineStr">
        <is>
          <t>first_round</t>
        </is>
      </c>
      <c r="C129" s="2" t="inlineStr">
        <is>
          <t>First-round low / 2026 EBITDA</t>
        </is>
      </c>
      <c r="D129" s="37">
        <f>Diligence!$C$19</f>
        <v/>
      </c>
      <c r="E129" s="48" t="n">
        <v>10.8099937880343</v>
      </c>
      <c r="F129" s="47">
        <f>D129-E129</f>
        <v/>
      </c>
      <c r="G129" s="46" t="n">
        <v>0.0001</v>
      </c>
      <c r="H129" s="3">
        <f>IF(ABS(F129)&lt;=G129,"OK","ERROR")</f>
        <v/>
      </c>
    </row>
    <row r="130">
      <c r="B130" s="2" t="inlineStr">
        <is>
          <t>first_round</t>
        </is>
      </c>
      <c r="C130" s="2" t="inlineStr">
        <is>
          <t>First-round high / 2026 EBITDA</t>
        </is>
      </c>
      <c r="D130" s="37">
        <f>Diligence!$C$20</f>
        <v/>
      </c>
      <c r="E130" s="48" t="n">
        <v>11.36435244383093</v>
      </c>
      <c r="F130" s="47">
        <f>D130-E130</f>
        <v/>
      </c>
      <c r="G130" s="46" t="n">
        <v>0.0001</v>
      </c>
      <c r="H130" s="3">
        <f>IF(ABS(F130)&lt;=G130,"OK","ERROR")</f>
        <v/>
      </c>
    </row>
    <row r="131">
      <c r="B131" s="2" t="inlineStr">
        <is>
          <t>plan_ev</t>
        </is>
      </c>
      <c r="C131" s="2" t="inlineStr">
        <is>
          <t>Seller's plan EV</t>
        </is>
      </c>
      <c r="D131" s="19">
        <f>Diligence!$C$7</f>
        <v/>
      </c>
      <c r="E131" s="29" t="n">
        <v>2079.090221015339</v>
      </c>
      <c r="F131" s="47">
        <f>D131-E131</f>
        <v/>
      </c>
      <c r="G131" s="46" t="n">
        <v>0.0001</v>
      </c>
      <c r="H131" s="3">
        <f>IF(ABS(F131)&lt;=G131,"OK","ERROR")</f>
        <v/>
      </c>
    </row>
    <row r="132">
      <c r="B132" s="2" t="inlineStr">
        <is>
          <t>plan_ev</t>
        </is>
      </c>
      <c r="C132" s="2" t="inlineStr">
        <is>
          <t>Seller's plan / 2026 EBITDA</t>
        </is>
      </c>
      <c r="D132" s="37">
        <f>Diligence!$C$14</f>
        <v/>
      </c>
      <c r="E132" s="48" t="n">
        <v>11.52561660201983</v>
      </c>
      <c r="F132" s="47">
        <f>D132-E132</f>
        <v/>
      </c>
      <c r="G132" s="46" t="n">
        <v>0.0001</v>
      </c>
      <c r="H132" s="3">
        <f>IF(ABS(F132)&lt;=G132,"OK","ERROR")</f>
        <v/>
      </c>
    </row>
    <row r="133">
      <c r="B133" s="2" t="inlineStr">
        <is>
          <t>plan_ev</t>
        </is>
      </c>
      <c r="C133" s="2" t="inlineStr">
        <is>
          <t>Seller's plan with the expansion</t>
        </is>
      </c>
      <c r="D133" s="19">
        <f>Diligence!$C$15</f>
        <v/>
      </c>
      <c r="E133" s="29" t="n">
        <v>2139.460944390393</v>
      </c>
      <c r="F133" s="47">
        <f>D133-E133</f>
        <v/>
      </c>
      <c r="G133" s="46" t="n">
        <v>0.0001</v>
      </c>
      <c r="H133" s="3">
        <f>IF(ABS(F133)&lt;=G133,"OK","ERROR")</f>
        <v/>
      </c>
    </row>
    <row r="134">
      <c r="B134" s="2" t="inlineStr">
        <is>
          <t>plan_ev</t>
        </is>
      </c>
      <c r="C134" s="2" t="inlineStr">
        <is>
          <t>Seller's plan at 6.0 percent</t>
        </is>
      </c>
      <c r="D134" s="19">
        <f>Diligence!$C$16</f>
        <v/>
      </c>
      <c r="E134" s="29" t="n">
        <v>2250.879642337843</v>
      </c>
      <c r="F134" s="47">
        <f>D134-E134</f>
        <v/>
      </c>
      <c r="G134" s="46" t="n">
        <v>0.0001</v>
      </c>
      <c r="H134" s="3">
        <f>IF(ABS(F134)&lt;=G134,"OK","ERROR")</f>
        <v/>
      </c>
    </row>
    <row r="135">
      <c r="B135" s="2" t="inlineStr">
        <is>
          <t>dd_bridge</t>
        </is>
      </c>
      <c r="C135" s="2" t="inlineStr">
        <is>
          <t>Bridge step 0: EV</t>
        </is>
      </c>
      <c r="D135" s="19">
        <f>Diligence!$C$7</f>
        <v/>
      </c>
      <c r="E135" s="29" t="n">
        <v>2079.090221015339</v>
      </c>
      <c r="F135" s="47">
        <f>D135-E135</f>
        <v/>
      </c>
      <c r="G135" s="46" t="n">
        <v>0.0001</v>
      </c>
      <c r="H135" s="3">
        <f>IF(ABS(F135)&lt;=G135,"OK","ERROR")</f>
        <v/>
      </c>
    </row>
    <row r="136">
      <c r="B136" s="2" t="inlineStr">
        <is>
          <t>dd_bridge</t>
        </is>
      </c>
      <c r="C136" s="2" t="inlineStr">
        <is>
          <t>Bridge step 1: EV</t>
        </is>
      </c>
      <c r="D136" s="19">
        <f>Diligence!$C$8</f>
        <v/>
      </c>
      <c r="E136" s="29" t="n">
        <v>2013.224918508429</v>
      </c>
      <c r="F136" s="47">
        <f>D136-E136</f>
        <v/>
      </c>
      <c r="G136" s="46" t="n">
        <v>0.0001</v>
      </c>
      <c r="H136" s="3">
        <f>IF(ABS(F136)&lt;=G136,"OK","ERROR")</f>
        <v/>
      </c>
    </row>
    <row r="137">
      <c r="B137" s="2" t="inlineStr">
        <is>
          <t>dd_bridge</t>
        </is>
      </c>
      <c r="C137" s="2" t="inlineStr">
        <is>
          <t>Bridge step 1: change</t>
        </is>
      </c>
      <c r="D137" s="19">
        <f>Diligence!$D$8</f>
        <v/>
      </c>
      <c r="E137" s="29" t="n">
        <v>-65.86530250690953</v>
      </c>
      <c r="F137" s="47">
        <f>D137-E137</f>
        <v/>
      </c>
      <c r="G137" s="46" t="n">
        <v>0.0001</v>
      </c>
      <c r="H137" s="3">
        <f>IF(ABS(F137)&lt;=G137,"OK","ERROR")</f>
        <v/>
      </c>
    </row>
    <row r="138">
      <c r="B138" s="2" t="inlineStr">
        <is>
          <t>dd_bridge</t>
        </is>
      </c>
      <c r="C138" s="2" t="inlineStr">
        <is>
          <t>Bridge step 2: EV</t>
        </is>
      </c>
      <c r="D138" s="19">
        <f>Diligence!$C$9</f>
        <v/>
      </c>
      <c r="E138" s="29" t="n">
        <v>1985.668727322399</v>
      </c>
      <c r="F138" s="47">
        <f>D138-E138</f>
        <v/>
      </c>
      <c r="G138" s="46" t="n">
        <v>0.0001</v>
      </c>
      <c r="H138" s="3">
        <f>IF(ABS(F138)&lt;=G138,"OK","ERROR")</f>
        <v/>
      </c>
    </row>
    <row r="139">
      <c r="B139" s="2" t="inlineStr">
        <is>
          <t>dd_bridge</t>
        </is>
      </c>
      <c r="C139" s="2" t="inlineStr">
        <is>
          <t>Bridge step 2: change</t>
        </is>
      </c>
      <c r="D139" s="19">
        <f>Diligence!$D$9</f>
        <v/>
      </c>
      <c r="E139" s="29" t="n">
        <v>-27.55619118602999</v>
      </c>
      <c r="F139" s="47">
        <f>D139-E139</f>
        <v/>
      </c>
      <c r="G139" s="46" t="n">
        <v>0.0001</v>
      </c>
      <c r="H139" s="3">
        <f>IF(ABS(F139)&lt;=G139,"OK","ERROR")</f>
        <v/>
      </c>
    </row>
    <row r="140">
      <c r="B140" s="2" t="inlineStr">
        <is>
          <t>dd_bridge</t>
        </is>
      </c>
      <c r="C140" s="2" t="inlineStr">
        <is>
          <t>Bridge step 3: EV</t>
        </is>
      </c>
      <c r="D140" s="19">
        <f>Diligence!$C$10</f>
        <v/>
      </c>
      <c r="E140" s="29" t="n">
        <v>1954.650513814531</v>
      </c>
      <c r="F140" s="47">
        <f>D140-E140</f>
        <v/>
      </c>
      <c r="G140" s="46" t="n">
        <v>0.0001</v>
      </c>
      <c r="H140" s="3">
        <f>IF(ABS(F140)&lt;=G140,"OK","ERROR")</f>
        <v/>
      </c>
    </row>
    <row r="141">
      <c r="B141" s="2" t="inlineStr">
        <is>
          <t>dd_bridge</t>
        </is>
      </c>
      <c r="C141" s="2" t="inlineStr">
        <is>
          <t>Bridge step 3: change</t>
        </is>
      </c>
      <c r="D141" s="19">
        <f>Diligence!$D$10</f>
        <v/>
      </c>
      <c r="E141" s="29" t="n">
        <v>-31.01821350786895</v>
      </c>
      <c r="F141" s="47">
        <f>D141-E141</f>
        <v/>
      </c>
      <c r="G141" s="46" t="n">
        <v>0.0001</v>
      </c>
      <c r="H141" s="3">
        <f>IF(ABS(F141)&lt;=G141,"OK","ERROR")</f>
        <v/>
      </c>
    </row>
    <row r="142">
      <c r="B142" s="2" t="inlineStr">
        <is>
          <t>dd_bridge</t>
        </is>
      </c>
      <c r="C142" s="2" t="inlineStr">
        <is>
          <t>Bridge step 4: EV</t>
        </is>
      </c>
      <c r="D142" s="19">
        <f>Diligence!$C$11</f>
        <v/>
      </c>
      <c r="E142" s="29" t="n">
        <v>1927.290804887583</v>
      </c>
      <c r="F142" s="47">
        <f>D142-E142</f>
        <v/>
      </c>
      <c r="G142" s="46" t="n">
        <v>0.0001</v>
      </c>
      <c r="H142" s="3">
        <f>IF(ABS(F142)&lt;=G142,"OK","ERROR")</f>
        <v/>
      </c>
    </row>
    <row r="143">
      <c r="B143" s="2" t="inlineStr">
        <is>
          <t>dd_bridge</t>
        </is>
      </c>
      <c r="C143" s="2" t="inlineStr">
        <is>
          <t>Bridge step 4: change</t>
        </is>
      </c>
      <c r="D143" s="19">
        <f>Diligence!$D$11</f>
        <v/>
      </c>
      <c r="E143" s="29" t="n">
        <v>-27.35970892694718</v>
      </c>
      <c r="F143" s="47">
        <f>D143-E143</f>
        <v/>
      </c>
      <c r="G143" s="46" t="n">
        <v>0.0001</v>
      </c>
      <c r="H143" s="3">
        <f>IF(ABS(F143)&lt;=G143,"OK","ERROR")</f>
        <v/>
      </c>
    </row>
    <row r="144">
      <c r="B144" s="2" t="inlineStr">
        <is>
          <t>chip</t>
        </is>
      </c>
      <c r="C144" s="2" t="inlineStr">
        <is>
          <t>Midpoint of the first-round range</t>
        </is>
      </c>
      <c r="D144" s="19">
        <f>Diligence!$C$21</f>
        <v/>
      </c>
      <c r="E144" s="29" t="n">
        <v>2000</v>
      </c>
      <c r="F144" s="47">
        <f>D144-E144</f>
        <v/>
      </c>
      <c r="G144" s="46" t="n">
        <v>0.0001</v>
      </c>
      <c r="H144" s="3">
        <f>IF(ABS(F144)&lt;=G144,"OK","ERROR")</f>
        <v/>
      </c>
    </row>
    <row r="145">
      <c r="B145" s="2" t="inlineStr">
        <is>
          <t>chip</t>
        </is>
      </c>
      <c r="C145" s="2" t="inlineStr">
        <is>
          <t>Price chip</t>
        </is>
      </c>
      <c r="D145" s="19">
        <f>Diligence!$C$22</f>
        <v/>
      </c>
      <c r="E145" s="29" t="n">
        <v>170</v>
      </c>
      <c r="F145" s="47">
        <f>D145-E145</f>
        <v/>
      </c>
      <c r="G145" s="46" t="n">
        <v>0.0001</v>
      </c>
      <c r="H145" s="3">
        <f>IF(ABS(F145)&lt;=G145,"OK","ERROR")</f>
        <v/>
      </c>
    </row>
    <row r="146">
      <c r="B146" s="2" t="inlineStr">
        <is>
          <t>chip</t>
        </is>
      </c>
      <c r="C146" s="2" t="inlineStr">
        <is>
          <t>Price chip, percent</t>
        </is>
      </c>
      <c r="D146" s="21">
        <f>Diligence!$C$23</f>
        <v/>
      </c>
      <c r="E146" s="27" t="n">
        <v>0.08499999999999996</v>
      </c>
      <c r="F146" s="47">
        <f>D146-E146</f>
        <v/>
      </c>
      <c r="G146" s="46" t="n">
        <v>1e-07</v>
      </c>
      <c r="H146" s="3">
        <f>IF(ABS(F146)&lt;=G146,"OK","ERROR")</f>
        <v/>
      </c>
    </row>
    <row r="147">
      <c r="B147" s="2" t="inlineStr">
        <is>
          <t>chip</t>
        </is>
      </c>
      <c r="C147" s="2" t="inlineStr">
        <is>
          <t>Explained by diligence</t>
        </is>
      </c>
      <c r="D147" s="19">
        <f>Diligence!$C$24</f>
        <v/>
      </c>
      <c r="E147" s="29" t="n">
        <v>151.7994161277556</v>
      </c>
      <c r="F147" s="47">
        <f>D147-E147</f>
        <v/>
      </c>
      <c r="G147" s="46" t="n">
        <v>0.0001</v>
      </c>
      <c r="H147" s="3">
        <f>IF(ABS(F147)&lt;=G147,"OK","ERROR")</f>
        <v/>
      </c>
    </row>
    <row r="148">
      <c r="B148" s="2" t="inlineStr">
        <is>
          <t>chip</t>
        </is>
      </c>
      <c r="C148" s="2" t="inlineStr">
        <is>
          <t>Midpoint below the plan</t>
        </is>
      </c>
      <c r="D148" s="19">
        <f>Diligence!$C$25</f>
        <v/>
      </c>
      <c r="E148" s="29" t="n">
        <v>79.09022101533901</v>
      </c>
      <c r="F148" s="47">
        <f>D148-E148</f>
        <v/>
      </c>
      <c r="G148" s="46" t="n">
        <v>0.0001</v>
      </c>
      <c r="H148" s="3">
        <f>IF(ABS(F148)&lt;=G148,"OK","ERROR")</f>
        <v/>
      </c>
    </row>
    <row r="149">
      <c r="B149" s="2" t="inlineStr">
        <is>
          <t>chip</t>
        </is>
      </c>
      <c r="C149" s="2" t="inlineStr">
        <is>
          <t>Base DCF less the bid</t>
        </is>
      </c>
      <c r="D149" s="19">
        <f>Diligence!$C$26</f>
        <v/>
      </c>
      <c r="E149" s="29" t="n">
        <v>97.29080488758336</v>
      </c>
      <c r="F149" s="47">
        <f>D149-E149</f>
        <v/>
      </c>
      <c r="G149" s="46" t="n">
        <v>0.0001</v>
      </c>
      <c r="H149" s="3">
        <f>IF(ABS(F149)&lt;=G149,"OK","ERROR")</f>
        <v/>
      </c>
    </row>
    <row r="150">
      <c r="B150" s="2" t="inlineStr">
        <is>
          <t>dd_total</t>
        </is>
      </c>
      <c r="C150" s="2" t="inlineStr">
        <is>
          <t>Diligence cut</t>
        </is>
      </c>
      <c r="D150" s="19">
        <f>Diligence!$C$12</f>
        <v/>
      </c>
      <c r="E150" s="29" t="n">
        <v>151.7994161277556</v>
      </c>
      <c r="F150" s="47">
        <f>D150-E150</f>
        <v/>
      </c>
      <c r="G150" s="46" t="n">
        <v>0.0001</v>
      </c>
      <c r="H150" s="3">
        <f>IF(ABS(F150)&lt;=G150,"OK","ERROR")</f>
        <v/>
      </c>
    </row>
    <row r="151">
      <c r="B151" s="2" t="inlineStr">
        <is>
          <t>dd_total</t>
        </is>
      </c>
      <c r="C151" s="2" t="inlineStr">
        <is>
          <t>Diligence cut, percent</t>
        </is>
      </c>
      <c r="D151" s="21">
        <f>Diligence!$C$13</f>
        <v/>
      </c>
      <c r="E151" s="27" t="n">
        <v>0.07301242370021985</v>
      </c>
      <c r="F151" s="47">
        <f>D151-E151</f>
        <v/>
      </c>
      <c r="G151" s="46" t="n">
        <v>1e-07</v>
      </c>
      <c r="H151" s="3">
        <f>IF(ABS(F151)&lt;=G151,"OK","ERROR")</f>
        <v/>
      </c>
    </row>
    <row r="152">
      <c r="B152" s="2" t="inlineStr">
        <is>
          <t>dcf_inputs</t>
        </is>
      </c>
      <c r="C152" s="2" t="inlineStr">
        <is>
          <t>Handback works in 2056 dollars</t>
        </is>
      </c>
      <c r="D152" s="19">
        <f>DCF!$C$17</f>
        <v/>
      </c>
      <c r="E152" s="29" t="n">
        <v>52.43918947704464</v>
      </c>
      <c r="F152" s="47">
        <f>D152-E152</f>
        <v/>
      </c>
      <c r="G152" s="46" t="n">
        <v>0.0001</v>
      </c>
      <c r="H152" s="3">
        <f>IF(ABS(F152)&lt;=G152,"OK","ERROR")</f>
        <v/>
      </c>
    </row>
    <row r="153">
      <c r="B153" s="2" t="inlineStr">
        <is>
          <t>dcf_base</t>
        </is>
      </c>
      <c r="C153" s="2" t="inlineStr">
        <is>
          <t>EV</t>
        </is>
      </c>
      <c r="D153" s="19">
        <f>DCF!$C$13</f>
        <v/>
      </c>
      <c r="E153" s="29" t="n">
        <v>1927.290804887583</v>
      </c>
      <c r="F153" s="47">
        <f>D153-E153</f>
        <v/>
      </c>
      <c r="G153" s="46" t="n">
        <v>0.0001</v>
      </c>
      <c r="H153" s="3">
        <f>IF(ABS(F153)&lt;=G153,"OK","ERROR")</f>
        <v/>
      </c>
    </row>
    <row r="154">
      <c r="B154" s="2" t="inlineStr">
        <is>
          <t>dcf_base</t>
        </is>
      </c>
      <c r="C154" s="2" t="inlineStr">
        <is>
          <t>EV / 2026 EBITDA</t>
        </is>
      </c>
      <c r="D154" s="37">
        <f>DCF!$C$14</f>
        <v/>
      </c>
      <c r="E154" s="48" t="n">
        <v>10.68410339926687</v>
      </c>
      <c r="F154" s="47">
        <f>D154-E154</f>
        <v/>
      </c>
      <c r="G154" s="46" t="n">
        <v>0.0001</v>
      </c>
      <c r="H154" s="3">
        <f>IF(ABS(F154)&lt;=G154,"OK","ERROR")</f>
        <v/>
      </c>
    </row>
    <row r="155">
      <c r="B155" s="2" t="inlineStr">
        <is>
          <t>dcf_base</t>
        </is>
      </c>
      <c r="C155" s="2" t="inlineStr">
        <is>
          <t>EV / 2027 EBITDA</t>
        </is>
      </c>
      <c r="D155" s="37">
        <f>DCF!$C$15</f>
        <v/>
      </c>
      <c r="E155" s="48" t="n">
        <v>10.55812548068721</v>
      </c>
      <c r="F155" s="47">
        <f>D155-E155</f>
        <v/>
      </c>
      <c r="G155" s="46" t="n">
        <v>0.0001</v>
      </c>
      <c r="H155" s="3">
        <f>IF(ABS(F155)&lt;=G155,"OK","ERROR")</f>
        <v/>
      </c>
    </row>
    <row r="156">
      <c r="B156" s="2" t="inlineStr">
        <is>
          <t>dcf_base</t>
        </is>
      </c>
      <c r="C156" s="2" t="inlineStr">
        <is>
          <t>PV of 2027 to 2056 cash flows</t>
        </is>
      </c>
      <c r="D156" s="19">
        <f>DCF!$C$10</f>
        <v/>
      </c>
      <c r="E156" s="29" t="n">
        <v>1679.329442669598</v>
      </c>
      <c r="F156" s="47">
        <f>D156-E156</f>
        <v/>
      </c>
      <c r="G156" s="46" t="n">
        <v>0.0001</v>
      </c>
      <c r="H156" s="3">
        <f>IF(ABS(F156)&lt;=G156,"OK","ERROR")</f>
        <v/>
      </c>
    </row>
    <row r="157">
      <c r="B157" s="2" t="inlineStr">
        <is>
          <t>dcf_base</t>
        </is>
      </c>
      <c r="C157" s="2" t="inlineStr">
        <is>
          <t>Terminal value at 2056</t>
        </is>
      </c>
      <c r="D157" s="19">
        <f>DCF!$C$11</f>
        <v/>
      </c>
      <c r="E157" s="29" t="n">
        <v>1640.107243996154</v>
      </c>
      <c r="F157" s="47">
        <f>D157-E157</f>
        <v/>
      </c>
      <c r="G157" s="46" t="n">
        <v>0.0001</v>
      </c>
      <c r="H157" s="3">
        <f>IF(ABS(F157)&lt;=G157,"OK","ERROR")</f>
        <v/>
      </c>
    </row>
    <row r="158">
      <c r="B158" s="2" t="inlineStr">
        <is>
          <t>dcf_base</t>
        </is>
      </c>
      <c r="C158" s="2" t="inlineStr">
        <is>
          <t>PV of the terminal value</t>
        </is>
      </c>
      <c r="D158" s="19">
        <f>DCF!$C$12</f>
        <v/>
      </c>
      <c r="E158" s="29" t="n">
        <v>247.9613622179853</v>
      </c>
      <c r="F158" s="47">
        <f>D158-E158</f>
        <v/>
      </c>
      <c r="G158" s="46" t="n">
        <v>0.0001</v>
      </c>
      <c r="H158" s="3">
        <f>IF(ABS(F158)&lt;=G158,"OK","ERROR")</f>
        <v/>
      </c>
    </row>
    <row r="159">
      <c r="B159" s="2" t="inlineStr">
        <is>
          <t>dcf_base</t>
        </is>
      </c>
      <c r="C159" s="2" t="inlineStr">
        <is>
          <t>Terminal value share of EV</t>
        </is>
      </c>
      <c r="D159" s="21">
        <f>DCF!$C$16</f>
        <v/>
      </c>
      <c r="E159" s="27" t="n">
        <v>0.1286579905788782</v>
      </c>
      <c r="F159" s="47">
        <f>D159-E159</f>
        <v/>
      </c>
      <c r="G159" s="46" t="n">
        <v>1e-07</v>
      </c>
      <c r="H159" s="3">
        <f>IF(ABS(F159)&lt;=G159,"OK","ERROR")</f>
        <v/>
      </c>
    </row>
    <row r="160">
      <c r="B160" s="2" t="inlineStr">
        <is>
          <t>concession</t>
        </is>
      </c>
      <c r="C160" s="2" t="inlineStr">
        <is>
          <t>Westerhaven contribution</t>
        </is>
      </c>
      <c r="D160" s="19">
        <f>DCF!$C$30</f>
        <v/>
      </c>
      <c r="E160" s="29" t="n">
        <v>791.1429950820498</v>
      </c>
      <c r="F160" s="47">
        <f>D160-E160</f>
        <v/>
      </c>
      <c r="G160" s="46" t="n">
        <v>0.0001</v>
      </c>
      <c r="H160" s="3">
        <f>IF(ABS(F160)&lt;=G160,"OK","ERROR")</f>
        <v/>
      </c>
    </row>
    <row r="161">
      <c r="B161" s="2" t="inlineStr">
        <is>
          <t>concession</t>
        </is>
      </c>
      <c r="C161" s="2" t="inlineStr">
        <is>
          <t>Base EV</t>
        </is>
      </c>
      <c r="D161" s="19">
        <f>DCF!$C$28</f>
        <v/>
      </c>
      <c r="E161" s="29" t="n">
        <v>1927.290804887583</v>
      </c>
      <c r="F161" s="47">
        <f>D161-E161</f>
        <v/>
      </c>
      <c r="G161" s="46" t="n">
        <v>0.0001</v>
      </c>
      <c r="H161" s="3">
        <f>IF(ABS(F161)&lt;=G161,"OK","ERROR")</f>
        <v/>
      </c>
    </row>
    <row r="162">
      <c r="B162" s="2" t="inlineStr">
        <is>
          <t>concession</t>
        </is>
      </c>
      <c r="C162" s="2" t="inlineStr">
        <is>
          <t>Westerhaven share of EV</t>
        </is>
      </c>
      <c r="D162" s="21">
        <f>DCF!$C$31</f>
        <v/>
      </c>
      <c r="E162" s="27" t="n">
        <v>0.4104948734647215</v>
      </c>
      <c r="F162" s="47">
        <f>D162-E162</f>
        <v/>
      </c>
      <c r="G162" s="46" t="n">
        <v>1e-07</v>
      </c>
      <c r="H162" s="3">
        <f>IF(ABS(F162)&lt;=G162,"OK","ERROR")</f>
        <v/>
      </c>
    </row>
    <row r="163">
      <c r="B163" s="2" t="inlineStr">
        <is>
          <t>concession</t>
        </is>
      </c>
      <c r="C163" s="2" t="inlineStr">
        <is>
          <t>Westerhaven share of segment EBITDA</t>
        </is>
      </c>
      <c r="D163" s="21">
        <f>Platform!$C$141</f>
        <v/>
      </c>
      <c r="E163" s="27" t="n">
        <v>0.4643151500163233</v>
      </c>
      <c r="F163" s="47">
        <f>D163-E163</f>
        <v/>
      </c>
      <c r="G163" s="46" t="n">
        <v>1e-07</v>
      </c>
      <c r="H163" s="3">
        <f>IF(ABS(F163)&lt;=G163,"OK","ERROR")</f>
        <v/>
      </c>
    </row>
    <row r="164">
      <c r="B164" s="2" t="inlineStr">
        <is>
          <t>renewal</t>
        </is>
      </c>
      <c r="C164" s="2" t="inlineStr">
        <is>
          <t>EV with renewal</t>
        </is>
      </c>
      <c r="D164" s="19">
        <f>DCF!$C$32</f>
        <v/>
      </c>
      <c r="E164" s="29" t="n">
        <v>2104.121348456012</v>
      </c>
      <c r="F164" s="47">
        <f>D164-E164</f>
        <v/>
      </c>
      <c r="G164" s="46" t="n">
        <v>0.0001</v>
      </c>
      <c r="H164" s="3">
        <f>IF(ABS(F164)&lt;=G164,"OK","ERROR")</f>
        <v/>
      </c>
    </row>
    <row r="165">
      <c r="B165" s="2" t="inlineStr">
        <is>
          <t>renewal</t>
        </is>
      </c>
      <c r="C165" s="2" t="inlineStr">
        <is>
          <t>Gain from renewal</t>
        </is>
      </c>
      <c r="D165" s="19">
        <f>DCF!$C$33</f>
        <v/>
      </c>
      <c r="E165" s="29" t="n">
        <v>176.8305435684288</v>
      </c>
      <c r="F165" s="47">
        <f>D165-E165</f>
        <v/>
      </c>
      <c r="G165" s="46" t="n">
        <v>0.0001</v>
      </c>
      <c r="H165" s="3">
        <f>IF(ABS(F165)&lt;=G165,"OK","ERROR")</f>
        <v/>
      </c>
    </row>
    <row r="166">
      <c r="B166" s="2" t="inlineStr">
        <is>
          <t>dcf_r60</t>
        </is>
      </c>
      <c r="C166" s="2" t="inlineStr">
        <is>
          <t>EV at 6.0 percent</t>
        </is>
      </c>
      <c r="D166" s="19">
        <f>DCF!$D$23</f>
        <v/>
      </c>
      <c r="E166" s="29" t="n">
        <v>2090.392285710035</v>
      </c>
      <c r="F166" s="47">
        <f>D166-E166</f>
        <v/>
      </c>
      <c r="G166" s="46" t="n">
        <v>0.0001</v>
      </c>
      <c r="H166" s="3">
        <f>IF(ABS(F166)&lt;=G166,"OK","ERROR")</f>
        <v/>
      </c>
    </row>
    <row r="167">
      <c r="B167" s="2" t="inlineStr">
        <is>
          <t>dcf_r60</t>
        </is>
      </c>
      <c r="C167" s="2" t="inlineStr">
        <is>
          <t>Change against 6.5 percent</t>
        </is>
      </c>
      <c r="D167" s="19">
        <f>(DCF!$D$23-DCF!$C$13)</f>
        <v/>
      </c>
      <c r="E167" s="29" t="n">
        <v>163.1014808224513</v>
      </c>
      <c r="F167" s="47">
        <f>D167-E167</f>
        <v/>
      </c>
      <c r="G167" s="46" t="n">
        <v>0.0001</v>
      </c>
      <c r="H167" s="3">
        <f>IF(ABS(F167)&lt;=G167,"OK","ERROR")</f>
        <v/>
      </c>
    </row>
    <row r="168">
      <c r="B168" s="2" t="inlineStr">
        <is>
          <t>dcf_r70</t>
        </is>
      </c>
      <c r="C168" s="2" t="inlineStr">
        <is>
          <t>EV at 7.0 percent</t>
        </is>
      </c>
      <c r="D168" s="19">
        <f>DCF!$H$23</f>
        <v/>
      </c>
      <c r="E168" s="29" t="n">
        <v>1788.939691009633</v>
      </c>
      <c r="F168" s="47">
        <f>D168-E168</f>
        <v/>
      </c>
      <c r="G168" s="46" t="n">
        <v>0.0001</v>
      </c>
      <c r="H168" s="3">
        <f>IF(ABS(F168)&lt;=G168,"OK","ERROR")</f>
        <v/>
      </c>
    </row>
    <row r="169">
      <c r="B169" s="2" t="inlineStr">
        <is>
          <t>dcf_r70</t>
        </is>
      </c>
      <c r="C169" s="2" t="inlineStr">
        <is>
          <t>Change against 6.5 percent</t>
        </is>
      </c>
      <c r="D169" s="19">
        <f>(DCF!$H$23-DCF!$C$13)</f>
        <v/>
      </c>
      <c r="E169" s="29" t="n">
        <v>-138.3511138779506</v>
      </c>
      <c r="F169" s="47">
        <f>D169-E169</f>
        <v/>
      </c>
      <c r="G169" s="46" t="n">
        <v>0.0001</v>
      </c>
      <c r="H169" s="3">
        <f>IF(ABS(F169)&lt;=G169,"OK","ERROR")</f>
        <v/>
      </c>
    </row>
    <row r="170">
      <c r="B170" s="2" t="inlineStr">
        <is>
          <t>dcf_g</t>
        </is>
      </c>
      <c r="C170" s="2" t="inlineStr">
        <is>
          <t>EV at 0.5 percent growth</t>
        </is>
      </c>
      <c r="D170" s="19">
        <f>DCF!$F$21</f>
        <v/>
      </c>
      <c r="E170" s="29" t="n">
        <v>1885.963911184586</v>
      </c>
      <c r="F170" s="47">
        <f>D170-E170</f>
        <v/>
      </c>
      <c r="G170" s="46" t="n">
        <v>0.0001</v>
      </c>
      <c r="H170" s="3">
        <f>IF(ABS(F170)&lt;=G170,"OK","ERROR")</f>
        <v/>
      </c>
    </row>
    <row r="171">
      <c r="B171" s="2" t="inlineStr">
        <is>
          <t>dcf_g</t>
        </is>
      </c>
      <c r="C171" s="2" t="inlineStr">
        <is>
          <t>EV at 2.5 percent growth</t>
        </is>
      </c>
      <c r="D171" s="19">
        <f>DCF!$F$25</f>
        <v/>
      </c>
      <c r="E171" s="29" t="n">
        <v>1989.28114544208</v>
      </c>
      <c r="F171" s="47">
        <f>D171-E171</f>
        <v/>
      </c>
      <c r="G171" s="46" t="n">
        <v>0.0001</v>
      </c>
      <c r="H171" s="3">
        <f>IF(ABS(F171)&lt;=G171,"OK","ERROR")</f>
        <v/>
      </c>
    </row>
    <row r="172">
      <c r="B172" s="2" t="inlineStr">
        <is>
          <t>prec_stats</t>
        </is>
      </c>
      <c r="C172" s="2" t="inlineStr">
        <is>
          <t>Median</t>
        </is>
      </c>
      <c r="D172" s="37">
        <f>Multiples!$C$9</f>
        <v/>
      </c>
      <c r="E172" s="48" t="n">
        <v>12.8</v>
      </c>
      <c r="F172" s="47">
        <f>D172-E172</f>
        <v/>
      </c>
      <c r="G172" s="46" t="n">
        <v>0.0001</v>
      </c>
      <c r="H172" s="3">
        <f>IF(ABS(F172)&lt;=G172,"OK","ERROR")</f>
        <v/>
      </c>
    </row>
    <row r="173">
      <c r="B173" s="2" t="inlineStr">
        <is>
          <t>prec_stats</t>
        </is>
      </c>
      <c r="C173" s="2" t="inlineStr">
        <is>
          <t>Mean</t>
        </is>
      </c>
      <c r="D173" s="37">
        <f>Multiples!$C$10</f>
        <v/>
      </c>
      <c r="E173" s="48" t="n">
        <v>12.62</v>
      </c>
      <c r="F173" s="47">
        <f>D173-E173</f>
        <v/>
      </c>
      <c r="G173" s="46" t="n">
        <v>0.0001</v>
      </c>
      <c r="H173" s="3">
        <f>IF(ABS(F173)&lt;=G173,"OK","ERROR")</f>
        <v/>
      </c>
    </row>
    <row r="174">
      <c r="B174" s="2" t="inlineStr">
        <is>
          <t>prec_stats</t>
        </is>
      </c>
      <c r="C174" s="2" t="inlineStr">
        <is>
          <t>Median x 2026 EBITDA</t>
        </is>
      </c>
      <c r="D174" s="19">
        <f>Multiples!$C$13</f>
        <v/>
      </c>
      <c r="E174" s="29" t="n">
        <v>2308.97449984</v>
      </c>
      <c r="F174" s="47">
        <f>D174-E174</f>
        <v/>
      </c>
      <c r="G174" s="46" t="n">
        <v>0.0001</v>
      </c>
      <c r="H174" s="3">
        <f>IF(ABS(F174)&lt;=G174,"OK","ERROR")</f>
        <v/>
      </c>
    </row>
    <row r="175">
      <c r="B175" s="2" t="inlineStr">
        <is>
          <t>bid_multiples</t>
        </is>
      </c>
      <c r="C175" s="2" t="inlineStr">
        <is>
          <t>Bid / 2026 EBITDA</t>
        </is>
      </c>
      <c r="D175" s="37">
        <f>Multiples!$C$16</f>
        <v/>
      </c>
      <c r="E175" s="48" t="n">
        <v>10.14476340107834</v>
      </c>
      <c r="F175" s="47">
        <f>D175-E175</f>
        <v/>
      </c>
      <c r="G175" s="46" t="n">
        <v>0.0001</v>
      </c>
      <c r="H175" s="3">
        <f>IF(ABS(F175)&lt;=G175,"OK","ERROR")</f>
        <v/>
      </c>
    </row>
    <row r="176">
      <c r="B176" s="2" t="inlineStr">
        <is>
          <t>bid_multiples</t>
        </is>
      </c>
      <c r="C176" s="2" t="inlineStr">
        <is>
          <t>Bid / 2027 EBITDA</t>
        </is>
      </c>
      <c r="D176" s="37">
        <f>Multiples!$C$17</f>
        <v/>
      </c>
      <c r="E176" s="48" t="n">
        <v>10.02514492398286</v>
      </c>
      <c r="F176" s="47">
        <f>D176-E176</f>
        <v/>
      </c>
      <c r="G176" s="46" t="n">
        <v>0.0001</v>
      </c>
      <c r="H176" s="3">
        <f>IF(ABS(F176)&lt;=G176,"OK","ERROR")</f>
        <v/>
      </c>
    </row>
    <row r="177">
      <c r="B177" s="2" t="inlineStr">
        <is>
          <t>bid_multiples</t>
        </is>
      </c>
      <c r="C177" s="2" t="inlineStr">
        <is>
          <t>Halvard / 2026 EBITDA</t>
        </is>
      </c>
      <c r="D177" s="37">
        <f>Multiples!$C$18</f>
        <v/>
      </c>
      <c r="E177" s="48" t="n">
        <v>10.47737859455632</v>
      </c>
      <c r="F177" s="47">
        <f>D177-E177</f>
        <v/>
      </c>
      <c r="G177" s="46" t="n">
        <v>0.0001</v>
      </c>
      <c r="H177" s="3">
        <f>IF(ABS(F177)&lt;=G177,"OK","ERROR")</f>
        <v/>
      </c>
    </row>
    <row r="178">
      <c r="B178" s="2" t="inlineStr">
        <is>
          <t>football_field</t>
        </is>
      </c>
      <c r="C178" s="2" t="inlineStr">
        <is>
          <t>Precedents low</t>
        </is>
      </c>
      <c r="D178" s="34">
        <f>Multiples!$C$22</f>
        <v/>
      </c>
      <c r="E178" s="36" t="n">
        <v>1912.11950768</v>
      </c>
      <c r="F178" s="47">
        <f>D178-E178</f>
        <v/>
      </c>
      <c r="G178" s="46" t="n">
        <v>0.0001</v>
      </c>
      <c r="H178" s="3">
        <f>IF(ABS(F178)&lt;=G178,"OK","ERROR")</f>
        <v/>
      </c>
    </row>
    <row r="179">
      <c r="B179" s="2" t="inlineStr">
        <is>
          <t>football_field</t>
        </is>
      </c>
      <c r="C179" s="2" t="inlineStr">
        <is>
          <t>Precedents high</t>
        </is>
      </c>
      <c r="D179" s="34">
        <f>Multiples!$D$22</f>
        <v/>
      </c>
      <c r="E179" s="36" t="n">
        <v>2561.518585759999</v>
      </c>
      <c r="F179" s="47">
        <f>D179-E179</f>
        <v/>
      </c>
      <c r="G179" s="46" t="n">
        <v>0.0001</v>
      </c>
      <c r="H179" s="3">
        <f>IF(ABS(F179)&lt;=G179,"OK","ERROR")</f>
        <v/>
      </c>
    </row>
    <row r="180">
      <c r="B180" s="2" t="inlineStr">
        <is>
          <t>football_field</t>
        </is>
      </c>
      <c r="C180" s="2" t="inlineStr">
        <is>
          <t>Walk-away (football field)</t>
        </is>
      </c>
      <c r="D180" s="34">
        <f>Multiples!$C$25</f>
        <v/>
      </c>
      <c r="E180" s="36" t="n">
        <v>1851.079009194932</v>
      </c>
      <c r="F180" s="47">
        <f>D180-E180</f>
        <v/>
      </c>
      <c r="G180" s="46" t="n">
        <v>0.0001</v>
      </c>
      <c r="H180" s="3">
        <f>IF(ABS(F180)&lt;=G180,"OK","ERROR")</f>
        <v/>
      </c>
    </row>
    <row r="181">
      <c r="B181" s="2" t="inlineStr">
        <is>
          <t>ev_per_m3</t>
        </is>
      </c>
      <c r="C181" s="2" t="inlineStr">
        <is>
          <t>EV per m3</t>
        </is>
      </c>
      <c r="D181" s="34">
        <f>Multiples!$C$15</f>
        <v/>
      </c>
      <c r="E181" s="36" t="n">
        <v>435.7142857142857</v>
      </c>
      <c r="F181" s="47">
        <f>D181-E181</f>
        <v/>
      </c>
      <c r="G181" s="46" t="n">
        <v>0.0001</v>
      </c>
      <c r="H181" s="3">
        <f>IF(ABS(F181)&lt;=G181,"OK","ERROR")</f>
        <v/>
      </c>
    </row>
    <row r="182">
      <c r="B182" s="2" t="inlineStr">
        <is>
          <t>bridge</t>
        </is>
      </c>
      <c r="C182" s="2" t="inlineStr">
        <is>
          <t>Existing debt</t>
        </is>
      </c>
      <c r="D182" s="19">
        <f>Price!$C$14</f>
        <v/>
      </c>
      <c r="E182" s="29" t="n">
        <v>1200</v>
      </c>
      <c r="F182" s="47">
        <f>D182-E182</f>
        <v/>
      </c>
      <c r="G182" s="46" t="n">
        <v>0.0001</v>
      </c>
      <c r="H182" s="3">
        <f>IF(ABS(F182)&lt;=G182,"OK","ERROR")</f>
        <v/>
      </c>
    </row>
    <row r="183">
      <c r="B183" s="2" t="inlineStr">
        <is>
          <t>bridge</t>
        </is>
      </c>
      <c r="C183" s="2" t="inlineStr">
        <is>
          <t>Debt-like items</t>
        </is>
      </c>
      <c r="D183" s="19">
        <f>Price!$C$16</f>
        <v/>
      </c>
      <c r="E183" s="29" t="n">
        <v>39</v>
      </c>
      <c r="F183" s="47">
        <f>D183-E183</f>
        <v/>
      </c>
      <c r="G183" s="46" t="n">
        <v>0.0001</v>
      </c>
      <c r="H183" s="3">
        <f>IF(ABS(F183)&lt;=G183,"OK","ERROR")</f>
        <v/>
      </c>
    </row>
    <row r="184">
      <c r="B184" s="2" t="inlineStr">
        <is>
          <t>bridge</t>
        </is>
      </c>
      <c r="C184" s="2" t="inlineStr">
        <is>
          <t>Equity price</t>
        </is>
      </c>
      <c r="D184" s="19">
        <f>Price!$C$19</f>
        <v/>
      </c>
      <c r="E184" s="29" t="n">
        <v>663</v>
      </c>
      <c r="F184" s="47">
        <f>D184-E184</f>
        <v/>
      </c>
      <c r="G184" s="46" t="n">
        <v>0.0001</v>
      </c>
      <c r="H184" s="3">
        <f>IF(ABS(F184)&lt;=G184,"OK","ERROR")</f>
        <v/>
      </c>
    </row>
    <row r="185">
      <c r="B185" s="2" t="inlineStr">
        <is>
          <t>bridge</t>
        </is>
      </c>
      <c r="C185" s="2" t="inlineStr">
        <is>
          <t>Shares</t>
        </is>
      </c>
      <c r="D185" s="19">
        <f>Price!$C$21</f>
        <v/>
      </c>
      <c r="E185" s="29" t="n">
        <v>363</v>
      </c>
      <c r="F185" s="47">
        <f>D185-E185</f>
        <v/>
      </c>
      <c r="G185" s="46" t="n">
        <v>0.0001</v>
      </c>
      <c r="H185" s="3">
        <f>IF(ABS(F185)&lt;=G185,"OK","ERROR")</f>
        <v/>
      </c>
    </row>
    <row r="186">
      <c r="B186" s="2" t="inlineStr">
        <is>
          <t>ticking</t>
        </is>
      </c>
      <c r="C186" s="2" t="inlineStr">
        <is>
          <t>Ticking fee</t>
        </is>
      </c>
      <c r="D186" s="19">
        <f>Price!$C$22</f>
        <v/>
      </c>
      <c r="E186" s="29" t="n">
        <v>39.78</v>
      </c>
      <c r="F186" s="47">
        <f>D186-E186</f>
        <v/>
      </c>
      <c r="G186" s="46" t="n">
        <v>0.0001</v>
      </c>
      <c r="H186" s="3">
        <f>IF(ABS(F186)&lt;=G186,"OK","ERROR")</f>
        <v/>
      </c>
    </row>
    <row r="187">
      <c r="B187" s="2" t="inlineStr">
        <is>
          <t>ticking</t>
        </is>
      </c>
      <c r="C187" s="2" t="inlineStr">
        <is>
          <t>Ticking fee per day</t>
        </is>
      </c>
      <c r="D187" s="35">
        <f>Price!$C$30</f>
        <v/>
      </c>
      <c r="E187" s="49" t="n">
        <v>0.1453150684931507</v>
      </c>
      <c r="F187" s="47">
        <f>D187-E187</f>
        <v/>
      </c>
      <c r="G187" s="46" t="n">
        <v>0.0001</v>
      </c>
      <c r="H187" s="3">
        <f>IF(ABS(F187)&lt;=G187,"OK","ERROR")</f>
        <v/>
      </c>
    </row>
    <row r="188">
      <c r="B188" s="2" t="inlineStr">
        <is>
          <t>box_cash</t>
        </is>
      </c>
      <c r="C188" s="2" t="inlineStr">
        <is>
          <t>Box cash</t>
        </is>
      </c>
      <c r="D188" s="19">
        <f>Price!$C$25</f>
        <v/>
      </c>
      <c r="E188" s="29" t="n">
        <v>50.22874616166001</v>
      </c>
      <c r="F188" s="47">
        <f>D188-E188</f>
        <v/>
      </c>
      <c r="G188" s="46" t="n">
        <v>0.0001</v>
      </c>
      <c r="H188" s="3">
        <f>IF(ABS(F188)&lt;=G188,"OK","ERROR")</f>
        <v/>
      </c>
    </row>
    <row r="189">
      <c r="B189" s="2" t="inlineStr">
        <is>
          <t>box_cash</t>
        </is>
      </c>
      <c r="C189" s="2" t="inlineStr">
        <is>
          <t>Cash at closing</t>
        </is>
      </c>
      <c r="D189" s="19">
        <f>Price!$C$26</f>
        <v/>
      </c>
      <c r="E189" s="29" t="n">
        <v>130.22874616166</v>
      </c>
      <c r="F189" s="47">
        <f>D189-E189</f>
        <v/>
      </c>
      <c r="G189" s="46" t="n">
        <v>0.0001</v>
      </c>
      <c r="H189" s="3">
        <f>IF(ABS(F189)&lt;=G189,"OK","ERROR")</f>
        <v/>
      </c>
    </row>
    <row r="190">
      <c r="B190" s="2" t="inlineStr">
        <is>
          <t>box_cash</t>
        </is>
      </c>
      <c r="C190" s="2" t="inlineStr">
        <is>
          <t>Cash used at closing</t>
        </is>
      </c>
      <c r="D190" s="19">
        <f>Price!$C$27</f>
        <v/>
      </c>
      <c r="E190" s="29" t="n">
        <v>110.22874616166</v>
      </c>
      <c r="F190" s="47">
        <f>D190-E190</f>
        <v/>
      </c>
      <c r="G190" s="46" t="n">
        <v>0.0001</v>
      </c>
      <c r="H190" s="3">
        <f>IF(ABS(F190)&lt;=G190,"OK","ERROR")</f>
        <v/>
      </c>
    </row>
    <row r="191">
      <c r="B191" s="2" t="inlineStr">
        <is>
          <t>box_yield</t>
        </is>
      </c>
      <c r="C191" s="2" t="inlineStr">
        <is>
          <t>Box cash a year</t>
        </is>
      </c>
      <c r="D191" s="19">
        <f>Price!$C$31</f>
        <v/>
      </c>
      <c r="E191" s="29" t="n">
        <v>66.97166154888001</v>
      </c>
      <c r="F191" s="47">
        <f>D191-E191</f>
        <v/>
      </c>
      <c r="G191" s="46" t="n">
        <v>0.0001</v>
      </c>
      <c r="H191" s="3">
        <f>IF(ABS(F191)&lt;=G191,"OK","ERROR")</f>
        <v/>
      </c>
    </row>
    <row r="192">
      <c r="B192" s="2" t="inlineStr">
        <is>
          <t>box_yield</t>
        </is>
      </c>
      <c r="C192" s="2" t="inlineStr">
        <is>
          <t>Box yield</t>
        </is>
      </c>
      <c r="D192" s="21">
        <f>Price!$C$32</f>
        <v/>
      </c>
      <c r="E192" s="27" t="n">
        <v>0.1010130641762896</v>
      </c>
      <c r="F192" s="47">
        <f>D192-E192</f>
        <v/>
      </c>
      <c r="G192" s="46" t="n">
        <v>1e-07</v>
      </c>
      <c r="H192" s="3">
        <f>IF(ABS(F192)&lt;=G192,"OK","ERROR")</f>
        <v/>
      </c>
    </row>
    <row r="193">
      <c r="B193" s="2" t="inlineStr">
        <is>
          <t>completion_alt</t>
        </is>
      </c>
      <c r="C193" s="2" t="inlineStr">
        <is>
          <t>Cash at closing</t>
        </is>
      </c>
      <c r="D193" s="19">
        <f>Price!$C$39</f>
        <v/>
      </c>
      <c r="E193" s="29" t="n">
        <v>130.22874616166</v>
      </c>
      <c r="F193" s="47">
        <f>D193-E193</f>
        <v/>
      </c>
      <c r="G193" s="46" t="n">
        <v>0.0001</v>
      </c>
      <c r="H193" s="3">
        <f>IF(ABS(F193)&lt;=G193,"OK","ERROR")</f>
        <v/>
      </c>
    </row>
    <row r="194">
      <c r="B194" s="2" t="inlineStr">
        <is>
          <t>completion_alt</t>
        </is>
      </c>
      <c r="C194" s="2" t="inlineStr">
        <is>
          <t>Working capital adjustment</t>
        </is>
      </c>
      <c r="D194" s="19">
        <f>Price!$C$40</f>
        <v/>
      </c>
      <c r="E194" s="29" t="n">
        <v>-6</v>
      </c>
      <c r="F194" s="47">
        <f>D194-E194</f>
        <v/>
      </c>
      <c r="G194" s="46" t="n">
        <v>0.0001</v>
      </c>
      <c r="H194" s="3">
        <f>IF(ABS(F194)&lt;=G194,"OK","ERROR")</f>
        <v/>
      </c>
    </row>
    <row r="195">
      <c r="B195" s="2" t="inlineStr">
        <is>
          <t>completion_alt</t>
        </is>
      </c>
      <c r="C195" s="2" t="inlineStr">
        <is>
          <t>Equity price</t>
        </is>
      </c>
      <c r="D195" s="19">
        <f>Price!$C$41</f>
        <v/>
      </c>
      <c r="E195" s="29" t="n">
        <v>707.22874616166</v>
      </c>
      <c r="F195" s="47">
        <f>D195-E195</f>
        <v/>
      </c>
      <c r="G195" s="46" t="n">
        <v>0.0001</v>
      </c>
      <c r="H195" s="3">
        <f>IF(ABS(F195)&lt;=G195,"OK","ERROR")</f>
        <v/>
      </c>
    </row>
    <row r="196">
      <c r="B196" s="2" t="inlineStr">
        <is>
          <t>seller_proceeds</t>
        </is>
      </c>
      <c r="C196" s="2" t="inlineStr">
        <is>
          <t>Proceeds at closing</t>
        </is>
      </c>
      <c r="D196" s="19">
        <f>Price!$C$33</f>
        <v/>
      </c>
      <c r="E196" s="29" t="n">
        <v>702.78</v>
      </c>
      <c r="F196" s="47">
        <f>D196-E196</f>
        <v/>
      </c>
      <c r="G196" s="46" t="n">
        <v>0.0001</v>
      </c>
      <c r="H196" s="3">
        <f>IF(ABS(F196)&lt;=G196,"OK","ERROR")</f>
        <v/>
      </c>
    </row>
    <row r="197">
      <c r="B197" s="2" t="inlineStr">
        <is>
          <t>bid_halvard</t>
        </is>
      </c>
      <c r="C197" s="2" t="inlineStr">
        <is>
          <t>Halvard EV</t>
        </is>
      </c>
      <c r="D197" s="19">
        <f>Bids!$D$16</f>
        <v/>
      </c>
      <c r="E197" s="29" t="n">
        <v>1890</v>
      </c>
      <c r="F197" s="47">
        <f>D197-E197</f>
        <v/>
      </c>
      <c r="G197" s="46" t="n">
        <v>0.0001</v>
      </c>
      <c r="H197" s="3">
        <f>IF(ABS(F197)&lt;=G197,"OK","ERROR")</f>
        <v/>
      </c>
    </row>
    <row r="198">
      <c r="B198" s="2" t="inlineStr">
        <is>
          <t>bid_halvard</t>
        </is>
      </c>
      <c r="C198" s="2" t="inlineStr">
        <is>
          <t>Cash kept by the seller</t>
        </is>
      </c>
      <c r="D198" s="19">
        <f>Bids!$D$19</f>
        <v/>
      </c>
      <c r="E198" s="29" t="n">
        <v>80.12143802710071</v>
      </c>
      <c r="F198" s="47">
        <f>D198-E198</f>
        <v/>
      </c>
      <c r="G198" s="46" t="n">
        <v>0.0001</v>
      </c>
      <c r="H198" s="3">
        <f>IF(ABS(F198)&lt;=G198,"OK","ERROR")</f>
        <v/>
      </c>
    </row>
    <row r="199">
      <c r="B199" s="2" t="inlineStr">
        <is>
          <t>seller_compare</t>
        </is>
      </c>
      <c r="C199" s="2" t="inlineStr">
        <is>
          <t>Northgate proceeds</t>
        </is>
      </c>
      <c r="D199" s="19">
        <f>Bids!$C$20</f>
        <v/>
      </c>
      <c r="E199" s="29" t="n">
        <v>702.7800000000001</v>
      </c>
      <c r="F199" s="47">
        <f>D199-E199</f>
        <v/>
      </c>
      <c r="G199" s="46" t="n">
        <v>0.0001</v>
      </c>
      <c r="H199" s="3">
        <f>IF(ABS(F199)&lt;=G199,"OK","ERROR")</f>
        <v/>
      </c>
    </row>
    <row r="200">
      <c r="B200" s="2" t="inlineStr">
        <is>
          <t>seller_compare</t>
        </is>
      </c>
      <c r="C200" s="2" t="inlineStr">
        <is>
          <t>Northgate PV</t>
        </is>
      </c>
      <c r="D200" s="19">
        <f>Bids!$C$24</f>
        <v/>
      </c>
      <c r="E200" s="29" t="n">
        <v>663.3635079964782</v>
      </c>
      <c r="F200" s="47">
        <f>D200-E200</f>
        <v/>
      </c>
      <c r="G200" s="46" t="n">
        <v>0.0001</v>
      </c>
      <c r="H200" s="3">
        <f>IF(ABS(F200)&lt;=G200,"OK","ERROR")</f>
        <v/>
      </c>
    </row>
    <row r="201">
      <c r="B201" s="2" t="inlineStr">
        <is>
          <t>seller_compare</t>
        </is>
      </c>
      <c r="C201" s="2" t="inlineStr">
        <is>
          <t>Northgate earn-out to the seller</t>
        </is>
      </c>
      <c r="D201" s="19">
        <f>Bids!$C$25</f>
        <v/>
      </c>
      <c r="E201" s="29" t="n">
        <v>48.11252243246881</v>
      </c>
      <c r="F201" s="47">
        <f>D201-E201</f>
        <v/>
      </c>
      <c r="G201" s="46" t="n">
        <v>0.0001</v>
      </c>
      <c r="H201" s="3">
        <f>IF(ABS(F201)&lt;=G201,"OK","ERROR")</f>
        <v/>
      </c>
    </row>
    <row r="202">
      <c r="B202" s="2" t="inlineStr">
        <is>
          <t>seller_compare</t>
        </is>
      </c>
      <c r="C202" s="2" t="inlineStr">
        <is>
          <t>Northgate risk-adjusted</t>
        </is>
      </c>
      <c r="D202" s="19">
        <f>Bids!$C$28</f>
        <v/>
      </c>
      <c r="E202" s="29" t="n">
        <v>706.1247900652601</v>
      </c>
      <c r="F202" s="47">
        <f>D202-E202</f>
        <v/>
      </c>
      <c r="G202" s="46" t="n">
        <v>0.0001</v>
      </c>
      <c r="H202" s="3">
        <f>IF(ABS(F202)&lt;=G202,"OK","ERROR")</f>
        <v/>
      </c>
    </row>
    <row r="203">
      <c r="B203" s="2" t="inlineStr">
        <is>
          <t>seller_compare</t>
        </is>
      </c>
      <c r="C203" s="2" t="inlineStr">
        <is>
          <t>Halvard proceeds</t>
        </is>
      </c>
      <c r="D203" s="19">
        <f>Bids!$D$20</f>
        <v/>
      </c>
      <c r="E203" s="29" t="n">
        <v>803.1214380271007</v>
      </c>
      <c r="F203" s="47">
        <f>D203-E203</f>
        <v/>
      </c>
      <c r="G203" s="46" t="n">
        <v>0.0001</v>
      </c>
      <c r="H203" s="3">
        <f>IF(ABS(F203)&lt;=G203,"OK","ERROR")</f>
        <v/>
      </c>
    </row>
    <row r="204">
      <c r="B204" s="2" t="inlineStr">
        <is>
          <t>seller_compare</t>
        </is>
      </c>
      <c r="C204" s="2" t="inlineStr">
        <is>
          <t>Halvard PV</t>
        </is>
      </c>
      <c r="D204" s="19">
        <f>Bids!$D$24</f>
        <v/>
      </c>
      <c r="E204" s="29" t="n">
        <v>710.8943140613834</v>
      </c>
      <c r="F204" s="47">
        <f>D204-E204</f>
        <v/>
      </c>
      <c r="G204" s="46" t="n">
        <v>0.0001</v>
      </c>
      <c r="H204" s="3">
        <f>IF(ABS(F204)&lt;=G204,"OK","ERROR")</f>
        <v/>
      </c>
    </row>
    <row r="205">
      <c r="B205" s="2" t="inlineStr">
        <is>
          <t>seller_compare</t>
        </is>
      </c>
      <c r="C205" s="2" t="inlineStr">
        <is>
          <t>Halvard risk-adjusted</t>
        </is>
      </c>
      <c r="D205" s="19">
        <f>Bids!$D$28</f>
        <v/>
      </c>
      <c r="E205" s="29" t="n">
        <v>671.3108542072229</v>
      </c>
      <c r="F205" s="47">
        <f>D205-E205</f>
        <v/>
      </c>
      <c r="G205" s="46" t="n">
        <v>0.0001</v>
      </c>
      <c r="H205" s="3">
        <f>IF(ABS(F205)&lt;=G205,"OK","ERROR")</f>
        <v/>
      </c>
    </row>
    <row r="206">
      <c r="B206" s="2" t="inlineStr">
        <is>
          <t>seller_compare</t>
        </is>
      </c>
      <c r="C206" s="2" t="inlineStr">
        <is>
          <t>Northgate without the earn-out</t>
        </is>
      </c>
      <c r="D206" s="19">
        <f>Bids!$C$29</f>
        <v/>
      </c>
      <c r="E206" s="29" t="n">
        <v>659.4556433057653</v>
      </c>
      <c r="F206" s="47">
        <f>D206-E206</f>
        <v/>
      </c>
      <c r="G206" s="46" t="n">
        <v>0.0001</v>
      </c>
      <c r="H206" s="3">
        <f>IF(ABS(F206)&lt;=G206,"OK","ERROR")</f>
        <v/>
      </c>
    </row>
    <row r="207">
      <c r="B207" s="2" t="inlineStr">
        <is>
          <t>expansion</t>
        </is>
      </c>
      <c r="C207" s="2" t="inlineStr">
        <is>
          <t>Expansion capex</t>
        </is>
      </c>
      <c r="D207" s="19">
        <f>Bids!$C$7</f>
        <v/>
      </c>
      <c r="E207" s="29" t="n">
        <v>171.661875</v>
      </c>
      <c r="F207" s="47">
        <f>D207-E207</f>
        <v/>
      </c>
      <c r="G207" s="46" t="n">
        <v>0.0001</v>
      </c>
      <c r="H207" s="3">
        <f>IF(ABS(F207)&lt;=G207,"OK","ERROR")</f>
        <v/>
      </c>
    </row>
    <row r="208">
      <c r="B208" s="2" t="inlineStr">
        <is>
          <t>expansion</t>
        </is>
      </c>
      <c r="C208" s="2" t="inlineStr">
        <is>
          <t>Expansion NPV</t>
        </is>
      </c>
      <c r="D208" s="19">
        <f>Bids!$C$8</f>
        <v/>
      </c>
      <c r="E208" s="29" t="n">
        <v>60.37072337505356</v>
      </c>
      <c r="F208" s="47">
        <f>D208-E208</f>
        <v/>
      </c>
      <c r="G208" s="46" t="n">
        <v>0.0001</v>
      </c>
      <c r="H208" s="3">
        <f>IF(ABS(F208)&lt;=G208,"OK","ERROR")</f>
        <v/>
      </c>
    </row>
    <row r="209">
      <c r="B209" s="2" t="inlineStr">
        <is>
          <t>earnout</t>
        </is>
      </c>
      <c r="C209" s="2" t="inlineStr">
        <is>
          <t>Earn-out PV</t>
        </is>
      </c>
      <c r="D209" s="19">
        <f>Bids!$C$9</f>
        <v/>
      </c>
      <c r="E209" s="29" t="n">
        <v>54.59172767453626</v>
      </c>
      <c r="F209" s="47">
        <f>D209-E209</f>
        <v/>
      </c>
      <c r="G209" s="46" t="n">
        <v>0.0001</v>
      </c>
      <c r="H209" s="3">
        <f>IF(ABS(F209)&lt;=G209,"OK","ERROR")</f>
        <v/>
      </c>
    </row>
    <row r="210">
      <c r="B210" s="2" t="inlineStr">
        <is>
          <t>earnout</t>
        </is>
      </c>
      <c r="C210" s="2" t="inlineStr">
        <is>
          <t>Buyer expected cost</t>
        </is>
      </c>
      <c r="D210" s="19">
        <f>Bids!$C$10</f>
        <v/>
      </c>
      <c r="E210" s="29" t="n">
        <v>30.02545022099494</v>
      </c>
      <c r="F210" s="47">
        <f>D210-E210</f>
        <v/>
      </c>
      <c r="G210" s="46" t="n">
        <v>0.0001</v>
      </c>
      <c r="H210" s="3">
        <f>IF(ABS(F210)&lt;=G210,"OK","ERROR")</f>
        <v/>
      </c>
    </row>
    <row r="211">
      <c r="B211" s="2" t="inlineStr">
        <is>
          <t>earnout</t>
        </is>
      </c>
      <c r="C211" s="2" t="inlineStr">
        <is>
          <t>Buyer expected value</t>
        </is>
      </c>
      <c r="D211" s="19">
        <f>Bids!$C$11</f>
        <v/>
      </c>
      <c r="E211" s="29" t="n">
        <v>33.20389785627946</v>
      </c>
      <c r="F211" s="47">
        <f>D211-E211</f>
        <v/>
      </c>
      <c r="G211" s="46" t="n">
        <v>0.0001</v>
      </c>
      <c r="H211" s="3">
        <f>IF(ABS(F211)&lt;=G211,"OK","ERROR")</f>
        <v/>
      </c>
    </row>
    <row r="212">
      <c r="B212" s="2" t="inlineStr">
        <is>
          <t>earnout</t>
        </is>
      </c>
      <c r="C212" s="2" t="inlineStr">
        <is>
          <t>Seller value</t>
        </is>
      </c>
      <c r="D212" s="19">
        <f>Bids!$C$12</f>
        <v/>
      </c>
      <c r="E212" s="29" t="n">
        <v>48.11252243246881</v>
      </c>
      <c r="F212" s="47">
        <f>D212-E212</f>
        <v/>
      </c>
      <c r="G212" s="46" t="n">
        <v>0.0001</v>
      </c>
      <c r="H212" s="3">
        <f>IF(ABS(F212)&lt;=G212,"OK","ERROR")</f>
        <v/>
      </c>
    </row>
    <row r="213">
      <c r="B213" s="2" t="inlineStr">
        <is>
          <t>ashgrove_returns</t>
        </is>
      </c>
      <c r="C213" s="2" t="inlineStr">
        <is>
          <t>Distributions</t>
        </is>
      </c>
      <c r="D213" s="19">
        <f>Bids!$C$36</f>
        <v/>
      </c>
      <c r="E213" s="29" t="n">
        <v>465</v>
      </c>
      <c r="F213" s="47">
        <f>D213-E213</f>
        <v/>
      </c>
      <c r="G213" s="46" t="n">
        <v>0.0001</v>
      </c>
      <c r="H213" s="3">
        <f>IF(ABS(F213)&lt;=G213,"OK","ERROR")</f>
        <v/>
      </c>
    </row>
    <row r="214">
      <c r="B214" s="2" t="inlineStr">
        <is>
          <t>ashgrove_returns</t>
        </is>
      </c>
      <c r="C214" s="2" t="inlineStr">
        <is>
          <t>Money multiple</t>
        </is>
      </c>
      <c r="D214" s="37">
        <f>Bids!$C$37</f>
        <v/>
      </c>
      <c r="E214" s="48" t="n">
        <v>1.9463</v>
      </c>
      <c r="F214" s="47">
        <f>D214-E214</f>
        <v/>
      </c>
      <c r="G214" s="46" t="n">
        <v>0.0001</v>
      </c>
      <c r="H214" s="3">
        <f>IF(ABS(F214)&lt;=G214,"OK","ERROR")</f>
        <v/>
      </c>
    </row>
    <row r="215">
      <c r="B215" s="2" t="inlineStr">
        <is>
          <t>ashgrove_returns</t>
        </is>
      </c>
      <c r="C215" s="2" t="inlineStr">
        <is>
          <t>IRR</t>
        </is>
      </c>
      <c r="D215" s="23">
        <f>Bids!$C$35</f>
        <v/>
      </c>
      <c r="E215" s="38" t="n">
        <v>0.07244696969878628</v>
      </c>
      <c r="F215" s="47">
        <f>D215-E215</f>
        <v/>
      </c>
      <c r="G215" s="46" t="n">
        <v>1e-07</v>
      </c>
      <c r="H215" s="3">
        <f>IF(ABS(F215)&lt;=G215,"OK","ERROR")</f>
        <v/>
      </c>
    </row>
    <row r="216">
      <c r="B216" s="2" t="inlineStr">
        <is>
          <t>irr_bid</t>
        </is>
      </c>
      <c r="C216" s="2" t="inlineStr">
        <is>
          <t>Levered IRR</t>
        </is>
      </c>
      <c r="D216" s="23">
        <f>Returns!$C$24</f>
        <v/>
      </c>
      <c r="E216" s="38" t="n">
        <v>0.09982107959934094</v>
      </c>
      <c r="F216" s="47">
        <f>D216-E216</f>
        <v/>
      </c>
      <c r="G216" s="46" t="n">
        <v>1e-07</v>
      </c>
      <c r="H216" s="3">
        <f>IF(ABS(F216)&lt;=G216,"OK","ERROR")</f>
        <v/>
      </c>
    </row>
    <row r="217">
      <c r="B217" s="2" t="inlineStr">
        <is>
          <t>irr_bid</t>
        </is>
      </c>
      <c r="C217" s="2" t="inlineStr">
        <is>
          <t>Money multiple</t>
        </is>
      </c>
      <c r="D217" s="37">
        <f>Returns!$C$28</f>
        <v/>
      </c>
      <c r="E217" s="48" t="n">
        <v>1.990386449748292</v>
      </c>
      <c r="F217" s="47">
        <f>D217-E217</f>
        <v/>
      </c>
      <c r="G217" s="46" t="n">
        <v>0.0001</v>
      </c>
      <c r="H217" s="3">
        <f>IF(ABS(F217)&lt;=G217,"OK","ERROR")</f>
        <v/>
      </c>
    </row>
    <row r="218">
      <c r="B218" s="2" t="inlineStr">
        <is>
          <t>irr_bid</t>
        </is>
      </c>
      <c r="C218" s="2" t="inlineStr">
        <is>
          <t>Unlevered IRR</t>
        </is>
      </c>
      <c r="D218" s="23">
        <f>Returns!$C$25</f>
        <v/>
      </c>
      <c r="E218" s="38" t="n">
        <v>0.0689880673649218</v>
      </c>
      <c r="F218" s="47">
        <f>D218-E218</f>
        <v/>
      </c>
      <c r="G218" s="46" t="n">
        <v>1e-07</v>
      </c>
      <c r="H218" s="3">
        <f>IF(ABS(F218)&lt;=G218,"OK","ERROR")</f>
        <v/>
      </c>
    </row>
    <row r="219">
      <c r="B219" s="2" t="inlineStr">
        <is>
          <t>irr_bid</t>
        </is>
      </c>
      <c r="C219" s="2" t="inlineStr">
        <is>
          <t>Equity at closing</t>
        </is>
      </c>
      <c r="D219" s="19">
        <f>Financing!$C$31</f>
        <v/>
      </c>
      <c r="E219" s="29" t="n">
        <v>728.52281383834</v>
      </c>
      <c r="F219" s="47">
        <f>D219-E219</f>
        <v/>
      </c>
      <c r="G219" s="46" t="n">
        <v>0.0001</v>
      </c>
      <c r="H219" s="3">
        <f>IF(ABS(F219)&lt;=G219,"OK","ERROR")</f>
        <v/>
      </c>
    </row>
    <row r="220">
      <c r="B220" s="2" t="inlineStr">
        <is>
          <t>walkaway</t>
        </is>
      </c>
      <c r="C220" s="2" t="inlineStr">
        <is>
          <t>Walk-away EV (bisection)</t>
        </is>
      </c>
      <c r="D220" s="19">
        <f>Returns!$C$85</f>
        <v/>
      </c>
      <c r="E220" s="29" t="n">
        <v>1851.079009194932</v>
      </c>
      <c r="F220" s="47">
        <f>D220-E220</f>
        <v/>
      </c>
      <c r="G220" s="46" t="n">
        <v>0.0001</v>
      </c>
      <c r="H220" s="3">
        <f>IF(ABS(F220)&lt;=G220,"OK","ERROR")</f>
        <v/>
      </c>
    </row>
    <row r="221">
      <c r="B221" s="2" t="inlineStr">
        <is>
          <t>walkaway</t>
        </is>
      </c>
      <c r="C221" s="2" t="inlineStr">
        <is>
          <t>Walk-away EV (direct)</t>
        </is>
      </c>
      <c r="D221" s="19">
        <f>Returns!$C$34</f>
        <v/>
      </c>
      <c r="E221" s="29" t="n">
        <v>1851.079009194932</v>
      </c>
      <c r="F221" s="47">
        <f>D221-E221</f>
        <v/>
      </c>
      <c r="G221" s="46" t="n">
        <v>0.0001</v>
      </c>
      <c r="H221" s="3">
        <f>IF(ABS(F221)&lt;=G221,"OK","ERROR")</f>
        <v/>
      </c>
    </row>
    <row r="222">
      <c r="B222" s="2" t="inlineStr">
        <is>
          <t>walkaway</t>
        </is>
      </c>
      <c r="C222" s="2" t="inlineStr">
        <is>
          <t>Walk-away / 2026 EBITDA</t>
        </is>
      </c>
      <c r="D222" s="37">
        <f>Returns!$C$40</f>
        <v/>
      </c>
      <c r="E222" s="48" t="n">
        <v>10.26161671310661</v>
      </c>
      <c r="F222" s="47">
        <f>D222-E222</f>
        <v/>
      </c>
      <c r="G222" s="46" t="n">
        <v>0.0001</v>
      </c>
      <c r="H222" s="3">
        <f>IF(ABS(F222)&lt;=G222,"OK","ERROR")</f>
        <v/>
      </c>
    </row>
    <row r="223">
      <c r="B223" s="2" t="inlineStr">
        <is>
          <t>walkaway</t>
        </is>
      </c>
      <c r="C223" s="2" t="inlineStr">
        <is>
          <t>Headroom</t>
        </is>
      </c>
      <c r="D223" s="19">
        <f>Returns!$C$41</f>
        <v/>
      </c>
      <c r="E223" s="29" t="n">
        <v>21.07900919493159</v>
      </c>
      <c r="F223" s="47">
        <f>D223-E223</f>
        <v/>
      </c>
      <c r="G223" s="46" t="n">
        <v>0.0001</v>
      </c>
      <c r="H223" s="3">
        <f>IF(ABS(F223)&lt;=G223,"OK","ERROR")</f>
        <v/>
      </c>
    </row>
    <row r="224">
      <c r="B224" s="2" t="inlineStr">
        <is>
          <t>sens_0</t>
        </is>
      </c>
      <c r="C224" s="2" t="inlineStr">
        <is>
          <t>Levered IRR</t>
        </is>
      </c>
      <c r="D224" s="23">
        <f>Sensitivities!$C$635</f>
        <v/>
      </c>
      <c r="E224" s="38" t="n">
        <v>0.09982107959934094</v>
      </c>
      <c r="F224" s="47">
        <f>D224-E224</f>
        <v/>
      </c>
      <c r="G224" s="46" t="n">
        <v>1e-07</v>
      </c>
      <c r="H224" s="3">
        <f>IF(ABS(F224)&lt;=G224,"OK","ERROR")</f>
        <v/>
      </c>
    </row>
    <row r="225">
      <c r="B225" s="2" t="inlineStr">
        <is>
          <t>sens_0</t>
        </is>
      </c>
      <c r="C225" s="2" t="inlineStr">
        <is>
          <t>Unlevered IRR</t>
        </is>
      </c>
      <c r="D225" s="23">
        <f>Sensitivities!$C$636</f>
        <v/>
      </c>
      <c r="E225" s="38" t="n">
        <v>0.0689880673649218</v>
      </c>
      <c r="F225" s="47">
        <f>D225-E225</f>
        <v/>
      </c>
      <c r="G225" s="46" t="n">
        <v>1e-07</v>
      </c>
      <c r="H225" s="3">
        <f>IF(ABS(F225)&lt;=G225,"OK","ERROR")</f>
        <v/>
      </c>
    </row>
    <row r="226">
      <c r="B226" s="2" t="inlineStr">
        <is>
          <t>sens_0</t>
        </is>
      </c>
      <c r="C226" s="2" t="inlineStr">
        <is>
          <t>Walk-away EV</t>
        </is>
      </c>
      <c r="D226" s="19">
        <f>Sensitivities!$C$645</f>
        <v/>
      </c>
      <c r="E226" s="29" t="n">
        <v>1851.079009194932</v>
      </c>
      <c r="F226" s="47">
        <f>D226-E226</f>
        <v/>
      </c>
      <c r="G226" s="46" t="n">
        <v>0.0001</v>
      </c>
      <c r="H226" s="3">
        <f>IF(ABS(F226)&lt;=G226,"OK","ERROR")</f>
        <v/>
      </c>
    </row>
    <row r="227">
      <c r="B227" s="2" t="inlineStr">
        <is>
          <t>sens_1</t>
        </is>
      </c>
      <c r="C227" s="2" t="inlineStr">
        <is>
          <t>Levered IRR</t>
        </is>
      </c>
      <c r="D227" s="23">
        <f>Sensitivities!$C$717</f>
        <v/>
      </c>
      <c r="E227" s="38" t="n">
        <v>0.07036708937600789</v>
      </c>
      <c r="F227" s="47">
        <f>D227-E227</f>
        <v/>
      </c>
      <c r="G227" s="46" t="n">
        <v>1e-07</v>
      </c>
      <c r="H227" s="3">
        <f>IF(ABS(F227)&lt;=G227,"OK","ERROR")</f>
        <v/>
      </c>
    </row>
    <row r="228">
      <c r="B228" s="2" t="inlineStr">
        <is>
          <t>sens_1</t>
        </is>
      </c>
      <c r="C228" s="2" t="inlineStr">
        <is>
          <t>Unlevered IRR</t>
        </is>
      </c>
      <c r="D228" s="23">
        <f>Sensitivities!$C$718</f>
        <v/>
      </c>
      <c r="E228" s="38" t="n">
        <v>0.05789132947202524</v>
      </c>
      <c r="F228" s="47">
        <f>D228-E228</f>
        <v/>
      </c>
      <c r="G228" s="46" t="n">
        <v>1e-07</v>
      </c>
      <c r="H228" s="3">
        <f>IF(ABS(F228)&lt;=G228,"OK","ERROR")</f>
        <v/>
      </c>
    </row>
    <row r="229">
      <c r="B229" s="2" t="inlineStr">
        <is>
          <t>sens_1</t>
        </is>
      </c>
      <c r="C229" s="2" t="inlineStr">
        <is>
          <t>Walk-away EV</t>
        </is>
      </c>
      <c r="D229" s="19">
        <f>Sensitivities!$C$727</f>
        <v/>
      </c>
      <c r="E229" s="29" t="n">
        <v>1734.930738336463</v>
      </c>
      <c r="F229" s="47">
        <f>D229-E229</f>
        <v/>
      </c>
      <c r="G229" s="46" t="n">
        <v>0.0001</v>
      </c>
      <c r="H229" s="3">
        <f>IF(ABS(F229)&lt;=G229,"OK","ERROR")</f>
        <v/>
      </c>
    </row>
    <row r="230">
      <c r="B230" s="2" t="inlineStr">
        <is>
          <t>sens_1</t>
        </is>
      </c>
      <c r="C230" s="2" t="inlineStr">
        <is>
          <t>Change vs base</t>
        </is>
      </c>
      <c r="D230" s="19">
        <f>Sensitivities!$F$8</f>
        <v/>
      </c>
      <c r="E230" s="29" t="n">
        <v>-116.148270858469</v>
      </c>
      <c r="F230" s="47">
        <f>D230-E230</f>
        <v/>
      </c>
      <c r="G230" s="46" t="n">
        <v>0.0001</v>
      </c>
      <c r="H230" s="3">
        <f>IF(ABS(F230)&lt;=G230,"OK","ERROR")</f>
        <v/>
      </c>
    </row>
    <row r="231">
      <c r="B231" s="2" t="inlineStr">
        <is>
          <t>sens_2</t>
        </is>
      </c>
      <c r="C231" s="2" t="inlineStr">
        <is>
          <t>Levered IRR</t>
        </is>
      </c>
      <c r="D231" s="23">
        <f>Sensitivities!$C$799</f>
        <v/>
      </c>
      <c r="E231" s="38" t="n">
        <v>0.08665632258293343</v>
      </c>
      <c r="F231" s="47">
        <f>D231-E231</f>
        <v/>
      </c>
      <c r="G231" s="46" t="n">
        <v>1e-07</v>
      </c>
      <c r="H231" s="3">
        <f>IF(ABS(F231)&lt;=G231,"OK","ERROR")</f>
        <v/>
      </c>
    </row>
    <row r="232">
      <c r="B232" s="2" t="inlineStr">
        <is>
          <t>sens_2</t>
        </is>
      </c>
      <c r="C232" s="2" t="inlineStr">
        <is>
          <t>Unlevered IRR</t>
        </is>
      </c>
      <c r="D232" s="23">
        <f>Sensitivities!$C$800</f>
        <v/>
      </c>
      <c r="E232" s="38" t="n">
        <v>0.06313528212395425</v>
      </c>
      <c r="F232" s="47">
        <f>D232-E232</f>
        <v/>
      </c>
      <c r="G232" s="46" t="n">
        <v>1e-07</v>
      </c>
      <c r="H232" s="3">
        <f>IF(ABS(F232)&lt;=G232,"OK","ERROR")</f>
        <v/>
      </c>
    </row>
    <row r="233">
      <c r="B233" s="2" t="inlineStr">
        <is>
          <t>sens_2</t>
        </is>
      </c>
      <c r="C233" s="2" t="inlineStr">
        <is>
          <t>Walk-away EV</t>
        </is>
      </c>
      <c r="D233" s="19">
        <f>Sensitivities!$C$809</f>
        <v/>
      </c>
      <c r="E233" s="29" t="n">
        <v>1795.530085745521</v>
      </c>
      <c r="F233" s="47">
        <f>D233-E233</f>
        <v/>
      </c>
      <c r="G233" s="46" t="n">
        <v>0.0001</v>
      </c>
      <c r="H233" s="3">
        <f>IF(ABS(F233)&lt;=G233,"OK","ERROR")</f>
        <v/>
      </c>
    </row>
    <row r="234">
      <c r="B234" s="2" t="inlineStr">
        <is>
          <t>sens_2</t>
        </is>
      </c>
      <c r="C234" s="2" t="inlineStr">
        <is>
          <t>Change vs base</t>
        </is>
      </c>
      <c r="D234" s="19">
        <f>Sensitivities!$F$9</f>
        <v/>
      </c>
      <c r="E234" s="29" t="n">
        <v>-55.54892344941027</v>
      </c>
      <c r="F234" s="47">
        <f>D234-E234</f>
        <v/>
      </c>
      <c r="G234" s="46" t="n">
        <v>0.0001</v>
      </c>
      <c r="H234" s="3">
        <f>IF(ABS(F234)&lt;=G234,"OK","ERROR")</f>
        <v/>
      </c>
    </row>
    <row r="235">
      <c r="B235" s="2" t="inlineStr">
        <is>
          <t>sens_3</t>
        </is>
      </c>
      <c r="C235" s="2" t="inlineStr">
        <is>
          <t>Levered IRR</t>
        </is>
      </c>
      <c r="D235" s="23">
        <f>Sensitivities!$C$881</f>
        <v/>
      </c>
      <c r="E235" s="38" t="n">
        <v>0.1315095844030113</v>
      </c>
      <c r="F235" s="47">
        <f>D235-E235</f>
        <v/>
      </c>
      <c r="G235" s="46" t="n">
        <v>1e-07</v>
      </c>
      <c r="H235" s="3">
        <f>IF(ABS(F235)&lt;=G235,"OK","ERROR")</f>
        <v/>
      </c>
    </row>
    <row r="236">
      <c r="B236" s="2" t="inlineStr">
        <is>
          <t>sens_3</t>
        </is>
      </c>
      <c r="C236" s="2" t="inlineStr">
        <is>
          <t>Unlevered IRR</t>
        </is>
      </c>
      <c r="D236" s="23">
        <f>Sensitivities!$C$882</f>
        <v/>
      </c>
      <c r="E236" s="38" t="n">
        <v>0.08386696997696574</v>
      </c>
      <c r="F236" s="47">
        <f>D236-E236</f>
        <v/>
      </c>
      <c r="G236" s="46" t="n">
        <v>1e-07</v>
      </c>
      <c r="H236" s="3">
        <f>IF(ABS(F236)&lt;=G236,"OK","ERROR")</f>
        <v/>
      </c>
    </row>
    <row r="237">
      <c r="B237" s="2" t="inlineStr">
        <is>
          <t>sens_3</t>
        </is>
      </c>
      <c r="C237" s="2" t="inlineStr">
        <is>
          <t>Walk-away EV</t>
        </is>
      </c>
      <c r="D237" s="19">
        <f>Sensitivities!$C$891</f>
        <v/>
      </c>
      <c r="E237" s="29" t="n">
        <v>2009.522883629167</v>
      </c>
      <c r="F237" s="47">
        <f>D237-E237</f>
        <v/>
      </c>
      <c r="G237" s="46" t="n">
        <v>0.0001</v>
      </c>
      <c r="H237" s="3">
        <f>IF(ABS(F237)&lt;=G237,"OK","ERROR")</f>
        <v/>
      </c>
    </row>
    <row r="238">
      <c r="B238" s="2" t="inlineStr">
        <is>
          <t>sens_3</t>
        </is>
      </c>
      <c r="C238" s="2" t="inlineStr">
        <is>
          <t>Change vs base</t>
        </is>
      </c>
      <c r="D238" s="19">
        <f>Sensitivities!$F$10</f>
        <v/>
      </c>
      <c r="E238" s="29" t="n">
        <v>158.4438744342356</v>
      </c>
      <c r="F238" s="47">
        <f>D238-E238</f>
        <v/>
      </c>
      <c r="G238" s="46" t="n">
        <v>0.0001</v>
      </c>
      <c r="H238" s="3">
        <f>IF(ABS(F238)&lt;=G238,"OK","ERROR")</f>
        <v/>
      </c>
    </row>
    <row r="239">
      <c r="B239" s="2" t="inlineStr">
        <is>
          <t>sens_4</t>
        </is>
      </c>
      <c r="C239" s="2" t="inlineStr">
        <is>
          <t>Levered IRR</t>
        </is>
      </c>
      <c r="D239" s="23">
        <f>Sensitivities!$C$963</f>
        <v/>
      </c>
      <c r="E239" s="38" t="n">
        <v>0.0639426484041713</v>
      </c>
      <c r="F239" s="47">
        <f>D239-E239</f>
        <v/>
      </c>
      <c r="G239" s="46" t="n">
        <v>1e-07</v>
      </c>
      <c r="H239" s="3">
        <f>IF(ABS(F239)&lt;=G239,"OK","ERROR")</f>
        <v/>
      </c>
    </row>
    <row r="240">
      <c r="B240" s="2" t="inlineStr">
        <is>
          <t>sens_4</t>
        </is>
      </c>
      <c r="C240" s="2" t="inlineStr">
        <is>
          <t>Unlevered IRR</t>
        </is>
      </c>
      <c r="D240" s="23">
        <f>Sensitivities!$C$964</f>
        <v/>
      </c>
      <c r="E240" s="38" t="n">
        <v>0.05434643325491539</v>
      </c>
      <c r="F240" s="47">
        <f>D240-E240</f>
        <v/>
      </c>
      <c r="G240" s="46" t="n">
        <v>1e-07</v>
      </c>
      <c r="H240" s="3">
        <f>IF(ABS(F240)&lt;=G240,"OK","ERROR")</f>
        <v/>
      </c>
    </row>
    <row r="241">
      <c r="B241" s="2" t="inlineStr">
        <is>
          <t>sens_4</t>
        </is>
      </c>
      <c r="C241" s="2" t="inlineStr">
        <is>
          <t>Walk-away EV</t>
        </is>
      </c>
      <c r="D241" s="19">
        <f>Sensitivities!$C$973</f>
        <v/>
      </c>
      <c r="E241" s="29" t="n">
        <v>1711.074564500622</v>
      </c>
      <c r="F241" s="47">
        <f>D241-E241</f>
        <v/>
      </c>
      <c r="G241" s="46" t="n">
        <v>0.0001</v>
      </c>
      <c r="H241" s="3">
        <f>IF(ABS(F241)&lt;=G241,"OK","ERROR")</f>
        <v/>
      </c>
    </row>
    <row r="242">
      <c r="B242" s="2" t="inlineStr">
        <is>
          <t>sens_4</t>
        </is>
      </c>
      <c r="C242" s="2" t="inlineStr">
        <is>
          <t>Change vs base</t>
        </is>
      </c>
      <c r="D242" s="19">
        <f>Sensitivities!$F$11</f>
        <v/>
      </c>
      <c r="E242" s="29" t="n">
        <v>-140.0044446943093</v>
      </c>
      <c r="F242" s="47">
        <f>D242-E242</f>
        <v/>
      </c>
      <c r="G242" s="46" t="n">
        <v>0.0001</v>
      </c>
      <c r="H242" s="3">
        <f>IF(ABS(F242)&lt;=G242,"OK","ERROR")</f>
        <v/>
      </c>
    </row>
    <row r="243">
      <c r="B243" s="2" t="inlineStr">
        <is>
          <t>sens_5</t>
        </is>
      </c>
      <c r="C243" s="2" t="inlineStr">
        <is>
          <t>Levered IRR</t>
        </is>
      </c>
      <c r="D243" s="23">
        <f>Sensitivities!$C$1045</f>
        <v/>
      </c>
      <c r="E243" s="38" t="n">
        <v>0.1046173399604012</v>
      </c>
      <c r="F243" s="47">
        <f>D243-E243</f>
        <v/>
      </c>
      <c r="G243" s="46" t="n">
        <v>1e-07</v>
      </c>
      <c r="H243" s="3">
        <f>IF(ABS(F243)&lt;=G243,"OK","ERROR")</f>
        <v/>
      </c>
    </row>
    <row r="244">
      <c r="B244" s="2" t="inlineStr">
        <is>
          <t>sens_5</t>
        </is>
      </c>
      <c r="C244" s="2" t="inlineStr">
        <is>
          <t>Unlevered IRR</t>
        </is>
      </c>
      <c r="D244" s="23">
        <f>Sensitivities!$C$1046</f>
        <v/>
      </c>
      <c r="E244" s="38" t="n">
        <v>0.07194644569439845</v>
      </c>
      <c r="F244" s="47">
        <f>D244-E244</f>
        <v/>
      </c>
      <c r="G244" s="46" t="n">
        <v>1e-07</v>
      </c>
      <c r="H244" s="3">
        <f>IF(ABS(F244)&lt;=G244,"OK","ERROR")</f>
        <v/>
      </c>
    </row>
    <row r="245">
      <c r="B245" s="2" t="inlineStr">
        <is>
          <t>sens_5</t>
        </is>
      </c>
      <c r="C245" s="2" t="inlineStr">
        <is>
          <t>Walk-away EV</t>
        </is>
      </c>
      <c r="D245" s="19">
        <f>Sensitivities!$C$1055</f>
        <v/>
      </c>
      <c r="E245" s="29" t="n">
        <v>1872.143480313961</v>
      </c>
      <c r="F245" s="47">
        <f>D245-E245</f>
        <v/>
      </c>
      <c r="G245" s="46" t="n">
        <v>0.0001</v>
      </c>
      <c r="H245" s="3">
        <f>IF(ABS(F245)&lt;=G245,"OK","ERROR")</f>
        <v/>
      </c>
    </row>
    <row r="246">
      <c r="B246" s="2" t="inlineStr">
        <is>
          <t>sens_5</t>
        </is>
      </c>
      <c r="C246" s="2" t="inlineStr">
        <is>
          <t>Change vs base</t>
        </is>
      </c>
      <c r="D246" s="19">
        <f>Sensitivities!$F$12</f>
        <v/>
      </c>
      <c r="E246" s="29" t="n">
        <v>21.0644711190298</v>
      </c>
      <c r="F246" s="47">
        <f>D246-E246</f>
        <v/>
      </c>
      <c r="G246" s="46" t="n">
        <v>0.0001</v>
      </c>
      <c r="H246" s="3">
        <f>IF(ABS(F246)&lt;=G246,"OK","ERROR")</f>
        <v/>
      </c>
    </row>
    <row r="247">
      <c r="B247" s="2" t="inlineStr">
        <is>
          <t>sens_6</t>
        </is>
      </c>
      <c r="C247" s="2" t="inlineStr">
        <is>
          <t>Levered IRR</t>
        </is>
      </c>
      <c r="D247" s="23">
        <f>Sensitivities!$C$1127</f>
        <v/>
      </c>
      <c r="E247" s="38" t="n">
        <v>0.04160375466131339</v>
      </c>
      <c r="F247" s="47">
        <f>D247-E247</f>
        <v/>
      </c>
      <c r="G247" s="46" t="n">
        <v>1e-07</v>
      </c>
      <c r="H247" s="3">
        <f>IF(ABS(F247)&lt;=G247,"OK","ERROR")</f>
        <v/>
      </c>
    </row>
    <row r="248">
      <c r="B248" s="2" t="inlineStr">
        <is>
          <t>sens_6</t>
        </is>
      </c>
      <c r="C248" s="2" t="inlineStr">
        <is>
          <t>Unlevered IRR</t>
        </is>
      </c>
      <c r="D248" s="23">
        <f>Sensitivities!$C$1128</f>
        <v/>
      </c>
      <c r="E248" s="38" t="n">
        <v>0.04655746991996745</v>
      </c>
      <c r="F248" s="47">
        <f>D248-E248</f>
        <v/>
      </c>
      <c r="G248" s="46" t="n">
        <v>1e-07</v>
      </c>
      <c r="H248" s="3">
        <f>IF(ABS(F248)&lt;=G248,"OK","ERROR")</f>
        <v/>
      </c>
    </row>
    <row r="249">
      <c r="B249" s="2" t="inlineStr">
        <is>
          <t>sens_6</t>
        </is>
      </c>
      <c r="C249" s="2" t="inlineStr">
        <is>
          <t>Walk-away EV</t>
        </is>
      </c>
      <c r="D249" s="19">
        <f>Sensitivities!$C$1137</f>
        <v/>
      </c>
      <c r="E249" s="29" t="n">
        <v>1626.064712046274</v>
      </c>
      <c r="F249" s="47">
        <f>D249-E249</f>
        <v/>
      </c>
      <c r="G249" s="46" t="n">
        <v>0.0001</v>
      </c>
      <c r="H249" s="3">
        <f>IF(ABS(F249)&lt;=G249,"OK","ERROR")</f>
        <v/>
      </c>
    </row>
    <row r="250">
      <c r="B250" s="2" t="inlineStr">
        <is>
          <t>sens_6</t>
        </is>
      </c>
      <c r="C250" s="2" t="inlineStr">
        <is>
          <t>Change vs base</t>
        </is>
      </c>
      <c r="D250" s="19">
        <f>Sensitivities!$F$13</f>
        <v/>
      </c>
      <c r="E250" s="29" t="n">
        <v>-225.014297148658</v>
      </c>
      <c r="F250" s="47">
        <f>D250-E250</f>
        <v/>
      </c>
      <c r="G250" s="46" t="n">
        <v>0.0001</v>
      </c>
      <c r="H250" s="3">
        <f>IF(ABS(F250)&lt;=G250,"OK","ERROR")</f>
        <v/>
      </c>
    </row>
    <row r="251">
      <c r="B251" s="2" t="inlineStr">
        <is>
          <t>sens_7</t>
        </is>
      </c>
      <c r="C251" s="2" t="inlineStr">
        <is>
          <t>Levered IRR</t>
        </is>
      </c>
      <c r="D251" s="23">
        <f>Sensitivities!$C$1209</f>
        <v/>
      </c>
      <c r="E251" s="38" t="n">
        <v>0.07845192941401902</v>
      </c>
      <c r="F251" s="47">
        <f>D251-E251</f>
        <v/>
      </c>
      <c r="G251" s="46" t="n">
        <v>1e-07</v>
      </c>
      <c r="H251" s="3">
        <f>IF(ABS(F251)&lt;=G251,"OK","ERROR")</f>
        <v/>
      </c>
    </row>
    <row r="252">
      <c r="B252" s="2" t="inlineStr">
        <is>
          <t>sens_7</t>
        </is>
      </c>
      <c r="C252" s="2" t="inlineStr">
        <is>
          <t>Unlevered IRR</t>
        </is>
      </c>
      <c r="D252" s="23">
        <f>Sensitivities!$C$1210</f>
        <v/>
      </c>
      <c r="E252" s="38" t="n">
        <v>0.06031594833928067</v>
      </c>
      <c r="F252" s="47">
        <f>D252-E252</f>
        <v/>
      </c>
      <c r="G252" s="46" t="n">
        <v>1e-07</v>
      </c>
      <c r="H252" s="3">
        <f>IF(ABS(F252)&lt;=G252,"OK","ERROR")</f>
        <v/>
      </c>
    </row>
    <row r="253">
      <c r="B253" s="2" t="inlineStr">
        <is>
          <t>sens_7</t>
        </is>
      </c>
      <c r="C253" s="2" t="inlineStr">
        <is>
          <t>Walk-away EV</t>
        </is>
      </c>
      <c r="D253" s="19">
        <f>Sensitivities!$C$1219</f>
        <v/>
      </c>
      <c r="E253" s="29" t="n">
        <v>1761.011098467903</v>
      </c>
      <c r="F253" s="47">
        <f>D253-E253</f>
        <v/>
      </c>
      <c r="G253" s="46" t="n">
        <v>0.0001</v>
      </c>
      <c r="H253" s="3">
        <f>IF(ABS(F253)&lt;=G253,"OK","ERROR")</f>
        <v/>
      </c>
    </row>
    <row r="254">
      <c r="B254" s="2" t="inlineStr">
        <is>
          <t>sens_7</t>
        </is>
      </c>
      <c r="C254" s="2" t="inlineStr">
        <is>
          <t>Change vs base</t>
        </is>
      </c>
      <c r="D254" s="19">
        <f>Sensitivities!$F$14</f>
        <v/>
      </c>
      <c r="E254" s="29" t="n">
        <v>-90.06791072702845</v>
      </c>
      <c r="F254" s="47">
        <f>D254-E254</f>
        <v/>
      </c>
      <c r="G254" s="46" t="n">
        <v>0.0001</v>
      </c>
      <c r="H254" s="3">
        <f>IF(ABS(F254)&lt;=G254,"OK","ERROR")</f>
        <v/>
      </c>
    </row>
    <row r="255">
      <c r="B255" s="2" t="inlineStr">
        <is>
          <t>sens_8</t>
        </is>
      </c>
      <c r="C255" s="2" t="inlineStr">
        <is>
          <t>Levered IRR</t>
        </is>
      </c>
      <c r="D255" s="23">
        <f>Sensitivities!$C$1291</f>
        <v/>
      </c>
      <c r="E255" s="38" t="n">
        <v>0.05594712548764191</v>
      </c>
      <c r="F255" s="47">
        <f>D255-E255</f>
        <v/>
      </c>
      <c r="G255" s="46" t="n">
        <v>1e-07</v>
      </c>
      <c r="H255" s="3">
        <f>IF(ABS(F255)&lt;=G255,"OK","ERROR")</f>
        <v/>
      </c>
    </row>
    <row r="256">
      <c r="B256" s="2" t="inlineStr">
        <is>
          <t>sens_8</t>
        </is>
      </c>
      <c r="C256" s="2" t="inlineStr">
        <is>
          <t>Unlevered IRR</t>
        </is>
      </c>
      <c r="D256" s="23">
        <f>Sensitivities!$C$1292</f>
        <v/>
      </c>
      <c r="E256" s="38" t="n">
        <v>0.05162243682005918</v>
      </c>
      <c r="F256" s="47">
        <f>D256-E256</f>
        <v/>
      </c>
      <c r="G256" s="46" t="n">
        <v>1e-07</v>
      </c>
      <c r="H256" s="3">
        <f>IF(ABS(F256)&lt;=G256,"OK","ERROR")</f>
        <v/>
      </c>
    </row>
    <row r="257">
      <c r="B257" s="2" t="inlineStr">
        <is>
          <t>sens_8</t>
        </is>
      </c>
      <c r="C257" s="2" t="inlineStr">
        <is>
          <t>Walk-away EV</t>
        </is>
      </c>
      <c r="D257" s="19">
        <f>Sensitivities!$C$1301</f>
        <v/>
      </c>
      <c r="E257" s="29" t="n">
        <v>1680.825658430805</v>
      </c>
      <c r="F257" s="47">
        <f>D257-E257</f>
        <v/>
      </c>
      <c r="G257" s="46" t="n">
        <v>0.0001</v>
      </c>
      <c r="H257" s="3">
        <f>IF(ABS(F257)&lt;=G257,"OK","ERROR")</f>
        <v/>
      </c>
    </row>
    <row r="258">
      <c r="B258" s="2" t="inlineStr">
        <is>
          <t>sens_8</t>
        </is>
      </c>
      <c r="C258" s="2" t="inlineStr">
        <is>
          <t>Change vs base</t>
        </is>
      </c>
      <c r="D258" s="19">
        <f>Sensitivities!$F$15</f>
        <v/>
      </c>
      <c r="E258" s="29" t="n">
        <v>-170.2533507641265</v>
      </c>
      <c r="F258" s="47">
        <f>D258-E258</f>
        <v/>
      </c>
      <c r="G258" s="46" t="n">
        <v>0.0001</v>
      </c>
      <c r="H258" s="3">
        <f>IF(ABS(F258)&lt;=G258,"OK","ERROR")</f>
        <v/>
      </c>
    </row>
    <row r="259">
      <c r="B259" s="2" t="inlineStr">
        <is>
          <t>sens_9</t>
        </is>
      </c>
      <c r="C259" s="2" t="inlineStr">
        <is>
          <t>Levered IRR</t>
        </is>
      </c>
      <c r="D259" s="23">
        <f>Sensitivities!$C$1373</f>
        <v/>
      </c>
      <c r="E259" s="38" t="n">
        <v>0.1267793639419784</v>
      </c>
      <c r="F259" s="47">
        <f>D259-E259</f>
        <v/>
      </c>
      <c r="G259" s="46" t="n">
        <v>1e-07</v>
      </c>
      <c r="H259" s="3">
        <f>IF(ABS(F259)&lt;=G259,"OK","ERROR")</f>
        <v/>
      </c>
    </row>
    <row r="260">
      <c r="B260" s="2" t="inlineStr">
        <is>
          <t>sens_9</t>
        </is>
      </c>
      <c r="C260" s="2" t="inlineStr">
        <is>
          <t>Unlevered IRR</t>
        </is>
      </c>
      <c r="D260" s="23">
        <f>Sensitivities!$C$1374</f>
        <v/>
      </c>
      <c r="E260" s="38" t="n">
        <v>0.08211607192209025</v>
      </c>
      <c r="F260" s="47">
        <f>D260-E260</f>
        <v/>
      </c>
      <c r="G260" s="46" t="n">
        <v>1e-07</v>
      </c>
      <c r="H260" s="3">
        <f>IF(ABS(F260)&lt;=G260,"OK","ERROR")</f>
        <v/>
      </c>
    </row>
    <row r="261">
      <c r="B261" s="2" t="inlineStr">
        <is>
          <t>sens_9</t>
        </is>
      </c>
      <c r="C261" s="2" t="inlineStr">
        <is>
          <t>Walk-away EV</t>
        </is>
      </c>
      <c r="D261" s="19">
        <f>Sensitivities!$C$1383</f>
        <v/>
      </c>
      <c r="E261" s="29" t="n">
        <v>1986.181208920257</v>
      </c>
      <c r="F261" s="47">
        <f>D261-E261</f>
        <v/>
      </c>
      <c r="G261" s="46" t="n">
        <v>0.0001</v>
      </c>
      <c r="H261" s="3">
        <f>IF(ABS(F261)&lt;=G261,"OK","ERROR")</f>
        <v/>
      </c>
    </row>
    <row r="262">
      <c r="B262" s="2" t="inlineStr">
        <is>
          <t>sens_9</t>
        </is>
      </c>
      <c r="C262" s="2" t="inlineStr">
        <is>
          <t>Change vs base</t>
        </is>
      </c>
      <c r="D262" s="19">
        <f>Sensitivities!$F$16</f>
        <v/>
      </c>
      <c r="E262" s="29" t="n">
        <v>135.1021997253251</v>
      </c>
      <c r="F262" s="47">
        <f>D262-E262</f>
        <v/>
      </c>
      <c r="G262" s="46" t="n">
        <v>0.0001</v>
      </c>
      <c r="H262" s="3">
        <f>IF(ABS(F262)&lt;=G262,"OK","ERROR")</f>
        <v/>
      </c>
    </row>
    <row r="263">
      <c r="B263" s="2" t="inlineStr">
        <is>
          <t>sens_10</t>
        </is>
      </c>
      <c r="C263" s="2" t="inlineStr">
        <is>
          <t>Levered IRR</t>
        </is>
      </c>
      <c r="D263" s="23">
        <f>Sensitivities!$C$1455</f>
        <v/>
      </c>
      <c r="E263" s="38" t="n">
        <v>0.1006078803622857</v>
      </c>
      <c r="F263" s="47">
        <f>D263-E263</f>
        <v/>
      </c>
      <c r="G263" s="46" t="n">
        <v>1e-07</v>
      </c>
      <c r="H263" s="3">
        <f>IF(ABS(F263)&lt;=G263,"OK","ERROR")</f>
        <v/>
      </c>
    </row>
    <row r="264">
      <c r="B264" s="2" t="inlineStr">
        <is>
          <t>sens_10</t>
        </is>
      </c>
      <c r="C264" s="2" t="inlineStr">
        <is>
          <t>Unlevered IRR</t>
        </is>
      </c>
      <c r="D264" s="23">
        <f>Sensitivities!$C$1456</f>
        <v/>
      </c>
      <c r="E264" s="38" t="n">
        <v>0.06939438801428233</v>
      </c>
      <c r="F264" s="47">
        <f>D264-E264</f>
        <v/>
      </c>
      <c r="G264" s="46" t="n">
        <v>1e-07</v>
      </c>
      <c r="H264" s="3">
        <f>IF(ABS(F264)&lt;=G264,"OK","ERROR")</f>
        <v/>
      </c>
    </row>
    <row r="265">
      <c r="B265" s="2" t="inlineStr">
        <is>
          <t>sens_10</t>
        </is>
      </c>
      <c r="C265" s="2" t="inlineStr">
        <is>
          <t>Walk-away EV</t>
        </is>
      </c>
      <c r="D265" s="19">
        <f>Sensitivities!$C$1465</f>
        <v/>
      </c>
      <c r="E265" s="29" t="n">
        <v>1852.858907186331</v>
      </c>
      <c r="F265" s="47">
        <f>D265-E265</f>
        <v/>
      </c>
      <c r="G265" s="46" t="n">
        <v>0.0001</v>
      </c>
      <c r="H265" s="3">
        <f>IF(ABS(F265)&lt;=G265,"OK","ERROR")</f>
        <v/>
      </c>
    </row>
    <row r="266">
      <c r="B266" s="2" t="inlineStr">
        <is>
          <t>sens_10</t>
        </is>
      </c>
      <c r="C266" s="2" t="inlineStr">
        <is>
          <t>Change vs base</t>
        </is>
      </c>
      <c r="D266" s="19">
        <f>Sensitivities!$F$17</f>
        <v/>
      </c>
      <c r="E266" s="29" t="n">
        <v>1.779897991399139</v>
      </c>
      <c r="F266" s="47">
        <f>D266-E266</f>
        <v/>
      </c>
      <c r="G266" s="46" t="n">
        <v>0.0001</v>
      </c>
      <c r="H266" s="3">
        <f>IF(ABS(F266)&lt;=G266,"OK","ERROR")</f>
        <v/>
      </c>
    </row>
    <row r="267">
      <c r="B267" s="2" t="inlineStr">
        <is>
          <t>exit_full</t>
        </is>
      </c>
      <c r="C267" s="2" t="inlineStr">
        <is>
          <t>Exit EV</t>
        </is>
      </c>
      <c r="D267" s="19">
        <f>Returns!$C$13</f>
        <v/>
      </c>
      <c r="E267" s="29" t="n">
        <v>1950.712279613682</v>
      </c>
      <c r="F267" s="47">
        <f>D267-E267</f>
        <v/>
      </c>
      <c r="G267" s="46" t="n">
        <v>0.0001</v>
      </c>
      <c r="H267" s="3">
        <f>IF(ABS(F267)&lt;=G267,"OK","ERROR")</f>
        <v/>
      </c>
    </row>
    <row r="268">
      <c r="B268" s="2" t="inlineStr">
        <is>
          <t>exit_full</t>
        </is>
      </c>
      <c r="C268" s="2" t="inlineStr">
        <is>
          <t>Exit / 2037 EBITDA</t>
        </is>
      </c>
      <c r="D268" s="37">
        <f>Returns!$C$37</f>
        <v/>
      </c>
      <c r="E268" s="48" t="n">
        <v>9.249045567168821</v>
      </c>
      <c r="F268" s="47">
        <f>D268-E268</f>
        <v/>
      </c>
      <c r="G268" s="46" t="n">
        <v>0.0001</v>
      </c>
      <c r="H268" s="3">
        <f>IF(ABS(F268)&lt;=G268,"OK","ERROR")</f>
        <v/>
      </c>
    </row>
    <row r="269">
      <c r="B269" s="2" t="inlineStr">
        <is>
          <t>exit_full</t>
        </is>
      </c>
      <c r="C269" s="2" t="inlineStr">
        <is>
          <t>Debt at exit</t>
        </is>
      </c>
      <c r="D269" s="19">
        <f>Returns!$C$14</f>
        <v/>
      </c>
      <c r="E269" s="29" t="n">
        <v>1172</v>
      </c>
      <c r="F269" s="47">
        <f>D269-E269</f>
        <v/>
      </c>
      <c r="G269" s="46" t="n">
        <v>0.0001</v>
      </c>
      <c r="H269" s="3">
        <f>IF(ABS(F269)&lt;=G269,"OK","ERROR")</f>
        <v/>
      </c>
    </row>
    <row r="270">
      <c r="B270" s="2" t="inlineStr">
        <is>
          <t>exit_full</t>
        </is>
      </c>
      <c r="C270" s="2" t="inlineStr">
        <is>
          <t>Equity at exit</t>
        </is>
      </c>
      <c r="D270" s="19">
        <f>Returns!$C$15</f>
        <v/>
      </c>
      <c r="E270" s="29" t="n">
        <v>778.7122796136816</v>
      </c>
      <c r="F270" s="47">
        <f>D270-E270</f>
        <v/>
      </c>
      <c r="G270" s="46" t="n">
        <v>0.0001</v>
      </c>
      <c r="H270" s="3">
        <f>IF(ABS(F270)&lt;=G270,"OK","ERROR")</f>
        <v/>
      </c>
    </row>
    <row r="271">
      <c r="B271" s="2" t="inlineStr">
        <is>
          <t>why_lev</t>
        </is>
      </c>
      <c r="C271" s="2" t="inlineStr">
        <is>
          <t>Leverage adds (points)</t>
        </is>
      </c>
      <c r="D271" s="21">
        <f>Returns!$C$39</f>
        <v/>
      </c>
      <c r="E271" s="27" t="n">
        <v>0.03083301223441914</v>
      </c>
      <c r="F271" s="47">
        <f>D271-E271</f>
        <v/>
      </c>
      <c r="G271" s="46" t="n">
        <v>1e-07</v>
      </c>
      <c r="H271" s="3">
        <f>IF(ABS(F271)&lt;=G271,"OK","ERROR")</f>
        <v/>
      </c>
    </row>
    <row r="272">
      <c r="B272" s="2" t="inlineStr">
        <is>
          <t>sources_uses</t>
        </is>
      </c>
      <c r="C272" s="2" t="inlineStr">
        <is>
          <t>Equity price</t>
        </is>
      </c>
      <c r="D272" s="19">
        <f>Financing!$C$19</f>
        <v/>
      </c>
      <c r="E272" s="29" t="n">
        <v>663</v>
      </c>
      <c r="F272" s="47">
        <f>D272-E272</f>
        <v/>
      </c>
      <c r="G272" s="46" t="n">
        <v>0.0001</v>
      </c>
      <c r="H272" s="3">
        <f>IF(ABS(F272)&lt;=G272,"OK","ERROR")</f>
        <v/>
      </c>
    </row>
    <row r="273">
      <c r="B273" s="2" t="inlineStr">
        <is>
          <t>sources_uses</t>
        </is>
      </c>
      <c r="C273" s="2" t="inlineStr">
        <is>
          <t>Ticking fee</t>
        </is>
      </c>
      <c r="D273" s="19">
        <f>Financing!$C$20</f>
        <v/>
      </c>
      <c r="E273" s="29" t="n">
        <v>39.78</v>
      </c>
      <c r="F273" s="47">
        <f>D273-E273</f>
        <v/>
      </c>
      <c r="G273" s="46" t="n">
        <v>0.0001</v>
      </c>
      <c r="H273" s="3">
        <f>IF(ABS(F273)&lt;=G273,"OK","ERROR")</f>
        <v/>
      </c>
    </row>
    <row r="274">
      <c r="B274" s="2" t="inlineStr">
        <is>
          <t>sources_uses</t>
        </is>
      </c>
      <c r="C274" s="2" t="inlineStr">
        <is>
          <t>Refinancing</t>
        </is>
      </c>
      <c r="D274" s="19">
        <f>Financing!$C$21</f>
        <v/>
      </c>
      <c r="E274" s="29" t="n">
        <v>1208</v>
      </c>
      <c r="F274" s="47">
        <f>D274-E274</f>
        <v/>
      </c>
      <c r="G274" s="46" t="n">
        <v>0.0001</v>
      </c>
      <c r="H274" s="3">
        <f>IF(ABS(F274)&lt;=G274,"OK","ERROR")</f>
        <v/>
      </c>
    </row>
    <row r="275">
      <c r="B275" s="2" t="inlineStr">
        <is>
          <t>sources_uses</t>
        </is>
      </c>
      <c r="C275" s="2" t="inlineStr">
        <is>
          <t>Debt-like items</t>
        </is>
      </c>
      <c r="D275" s="19">
        <f>Financing!$C$22</f>
        <v/>
      </c>
      <c r="E275" s="29" t="n">
        <v>39</v>
      </c>
      <c r="F275" s="47">
        <f>D275-E275</f>
        <v/>
      </c>
      <c r="G275" s="46" t="n">
        <v>0.0001</v>
      </c>
      <c r="H275" s="3">
        <f>IF(ABS(F275)&lt;=G275,"OK","ERROR")</f>
        <v/>
      </c>
    </row>
    <row r="276">
      <c r="B276" s="2" t="inlineStr">
        <is>
          <t>sources_uses</t>
        </is>
      </c>
      <c r="C276" s="2" t="inlineStr">
        <is>
          <t>Transaction costs</t>
        </is>
      </c>
      <c r="D276" s="19">
        <f>Financing!$C$23</f>
        <v/>
      </c>
      <c r="E276" s="29" t="n">
        <v>32.52956</v>
      </c>
      <c r="F276" s="47">
        <f>D276-E276</f>
        <v/>
      </c>
      <c r="G276" s="46" t="n">
        <v>0.0001</v>
      </c>
      <c r="H276" s="3">
        <f>IF(ABS(F276)&lt;=G276,"OK","ERROR")</f>
        <v/>
      </c>
    </row>
    <row r="277">
      <c r="B277" s="2" t="inlineStr">
        <is>
          <t>sources_uses</t>
        </is>
      </c>
      <c r="C277" s="2" t="inlineStr">
        <is>
          <t>W&amp;I premium</t>
        </is>
      </c>
      <c r="D277" s="35">
        <f>Financing!$C$13</f>
        <v/>
      </c>
      <c r="E277" s="49" t="n">
        <v>2.25456</v>
      </c>
      <c r="F277" s="47">
        <f>D277-E277</f>
        <v/>
      </c>
      <c r="G277" s="46" t="n">
        <v>0.0001</v>
      </c>
      <c r="H277" s="3">
        <f>IF(ABS(F277)&lt;=G277,"OK","ERROR")</f>
        <v/>
      </c>
    </row>
    <row r="278">
      <c r="B278" s="2" t="inlineStr">
        <is>
          <t>sources_uses</t>
        </is>
      </c>
      <c r="C278" s="2" t="inlineStr">
        <is>
          <t>HSR fee</t>
        </is>
      </c>
      <c r="D278" s="39">
        <f>Financing!$C$14</f>
        <v/>
      </c>
      <c r="E278" s="50" t="n">
        <v>0.275</v>
      </c>
      <c r="F278" s="47">
        <f>D278-E278</f>
        <v/>
      </c>
      <c r="G278" s="46" t="n">
        <v>0.0001</v>
      </c>
      <c r="H278" s="3">
        <f>IF(ABS(F278)&lt;=G278,"OK","ERROR")</f>
        <v/>
      </c>
    </row>
    <row r="279">
      <c r="B279" s="2" t="inlineStr">
        <is>
          <t>sources_uses</t>
        </is>
      </c>
      <c r="C279" s="2" t="inlineStr">
        <is>
          <t>Financing fees</t>
        </is>
      </c>
      <c r="D279" s="19">
        <f>Financing!$C$24</f>
        <v/>
      </c>
      <c r="E279" s="29" t="n">
        <v>24.34</v>
      </c>
      <c r="F279" s="47">
        <f>D279-E279</f>
        <v/>
      </c>
      <c r="G279" s="46" t="n">
        <v>0.0001</v>
      </c>
      <c r="H279" s="3">
        <f>IF(ABS(F279)&lt;=G279,"OK","ERROR")</f>
        <v/>
      </c>
    </row>
    <row r="280">
      <c r="B280" s="2" t="inlineStr">
        <is>
          <t>sources_uses</t>
        </is>
      </c>
      <c r="C280" s="2" t="inlineStr">
        <is>
          <t>Commitment fees</t>
        </is>
      </c>
      <c r="D280" s="19">
        <f>Financing!$C$25</f>
        <v/>
      </c>
      <c r="E280" s="29" t="n">
        <v>4.102</v>
      </c>
      <c r="F280" s="47">
        <f>D280-E280</f>
        <v/>
      </c>
      <c r="G280" s="46" t="n">
        <v>0.0001</v>
      </c>
      <c r="H280" s="3">
        <f>IF(ABS(F280)&lt;=G280,"OK","ERROR")</f>
        <v/>
      </c>
    </row>
    <row r="281">
      <c r="B281" s="2" t="inlineStr">
        <is>
          <t>sources_uses</t>
        </is>
      </c>
      <c r="C281" s="2" t="inlineStr">
        <is>
          <t>Total uses</t>
        </is>
      </c>
      <c r="D281" s="19">
        <f>Financing!$C$26</f>
        <v/>
      </c>
      <c r="E281" s="29" t="n">
        <v>2010.75156</v>
      </c>
      <c r="F281" s="47">
        <f>D281-E281</f>
        <v/>
      </c>
      <c r="G281" s="46" t="n">
        <v>0.0001</v>
      </c>
      <c r="H281" s="3">
        <f>IF(ABS(F281)&lt;=G281,"OK","ERROR")</f>
        <v/>
      </c>
    </row>
    <row r="282">
      <c r="B282" s="2" t="inlineStr">
        <is>
          <t>sources_uses</t>
        </is>
      </c>
      <c r="C282" s="2" t="inlineStr">
        <is>
          <t>Opco</t>
        </is>
      </c>
      <c r="D282" s="19">
        <f>Financing!$C$11</f>
        <v/>
      </c>
      <c r="E282" s="29" t="n">
        <v>992</v>
      </c>
      <c r="F282" s="47">
        <f>D282-E282</f>
        <v/>
      </c>
      <c r="G282" s="46" t="n">
        <v>0.0001</v>
      </c>
      <c r="H282" s="3">
        <f>IF(ABS(F282)&lt;=G282,"OK","ERROR")</f>
        <v/>
      </c>
    </row>
    <row r="283">
      <c r="B283" s="2" t="inlineStr">
        <is>
          <t>sources_uses</t>
        </is>
      </c>
      <c r="C283" s="2" t="inlineStr">
        <is>
          <t>Holdco</t>
        </is>
      </c>
      <c r="D283" s="19">
        <f>Financing!$C$12</f>
        <v/>
      </c>
      <c r="E283" s="29" t="n">
        <v>180</v>
      </c>
      <c r="F283" s="47">
        <f>D283-E283</f>
        <v/>
      </c>
      <c r="G283" s="46" t="n">
        <v>0.0001</v>
      </c>
      <c r="H283" s="3">
        <f>IF(ABS(F283)&lt;=G283,"OK","ERROR")</f>
        <v/>
      </c>
    </row>
    <row r="284">
      <c r="B284" s="2" t="inlineStr">
        <is>
          <t>sources_uses</t>
        </is>
      </c>
      <c r="C284" s="2" t="inlineStr">
        <is>
          <t>Cash used</t>
        </is>
      </c>
      <c r="D284" s="19">
        <f>Financing!$C$30</f>
        <v/>
      </c>
      <c r="E284" s="29" t="n">
        <v>110.22874616166</v>
      </c>
      <c r="F284" s="47">
        <f>D284-E284</f>
        <v/>
      </c>
      <c r="G284" s="46" t="n">
        <v>0.0001</v>
      </c>
      <c r="H284" s="3">
        <f>IF(ABS(F284)&lt;=G284,"OK","ERROR")</f>
        <v/>
      </c>
    </row>
    <row r="285">
      <c r="B285" s="2" t="inlineStr">
        <is>
          <t>sources_uses</t>
        </is>
      </c>
      <c r="C285" s="2" t="inlineStr">
        <is>
          <t>Equity</t>
        </is>
      </c>
      <c r="D285" s="19">
        <f>Financing!$C$31</f>
        <v/>
      </c>
      <c r="E285" s="29" t="n">
        <v>728.52281383834</v>
      </c>
      <c r="F285" s="47">
        <f>D285-E285</f>
        <v/>
      </c>
      <c r="G285" s="46" t="n">
        <v>0.0001</v>
      </c>
      <c r="H285" s="3">
        <f>IF(ABS(F285)&lt;=G285,"OK","ERROR")</f>
        <v/>
      </c>
    </row>
    <row r="286">
      <c r="B286" s="2" t="inlineStr">
        <is>
          <t>debt_terms</t>
        </is>
      </c>
      <c r="C286" s="2" t="inlineStr">
        <is>
          <t>Total leverage</t>
        </is>
      </c>
      <c r="D286" s="37">
        <f>Financing!$C$35</f>
        <v/>
      </c>
      <c r="E286" s="48" t="n">
        <v>6.497083445936512</v>
      </c>
      <c r="F286" s="47">
        <f>D286-E286</f>
        <v/>
      </c>
      <c r="G286" s="46" t="n">
        <v>0.0001</v>
      </c>
      <c r="H286" s="3">
        <f>IF(ABS(F286)&lt;=G286,"OK","ERROR")</f>
        <v/>
      </c>
    </row>
    <row r="287">
      <c r="B287" s="2" t="inlineStr">
        <is>
          <t>debt_terms</t>
        </is>
      </c>
      <c r="C287" s="2" t="inlineStr">
        <is>
          <t>Debt share of EV</t>
        </is>
      </c>
      <c r="D287" s="21">
        <f>Financing!$C$36</f>
        <v/>
      </c>
      <c r="E287" s="27" t="n">
        <v>0.6404371584699453</v>
      </c>
      <c r="F287" s="47">
        <f>D287-E287</f>
        <v/>
      </c>
      <c r="G287" s="46" t="n">
        <v>1e-07</v>
      </c>
      <c r="H287" s="3">
        <f>IF(ABS(F287)&lt;=G287,"OK","ERROR")</f>
        <v/>
      </c>
    </row>
    <row r="288">
      <c r="B288" s="2" t="inlineStr">
        <is>
          <t>coverage</t>
        </is>
      </c>
      <c r="C288" s="2" t="inlineStr">
        <is>
          <t>EBITDA 2028</t>
        </is>
      </c>
      <c r="D288" s="19">
        <f>Financing!$C$37</f>
        <v/>
      </c>
      <c r="E288" s="29" t="n">
        <v>185.4238071222142</v>
      </c>
      <c r="F288" s="47">
        <f>D288-E288</f>
        <v/>
      </c>
      <c r="G288" s="46" t="n">
        <v>0.0001</v>
      </c>
      <c r="H288" s="3">
        <f>IF(ABS(F288)&lt;=G288,"OK","ERROR")</f>
        <v/>
      </c>
    </row>
    <row r="289">
      <c r="B289" s="2" t="inlineStr">
        <is>
          <t>coverage</t>
        </is>
      </c>
      <c r="C289" s="2" t="inlineStr">
        <is>
          <t>Interest 2028</t>
        </is>
      </c>
      <c r="D289" s="19">
        <f>Financing!$C$38</f>
        <v/>
      </c>
      <c r="E289" s="29" t="n">
        <v>66.93000000000001</v>
      </c>
      <c r="F289" s="47">
        <f>D289-E289</f>
        <v/>
      </c>
      <c r="G289" s="46" t="n">
        <v>0.0001</v>
      </c>
      <c r="H289" s="3">
        <f>IF(ABS(F289)&lt;=G289,"OK","ERROR")</f>
        <v/>
      </c>
    </row>
    <row r="290">
      <c r="B290" s="2" t="inlineStr">
        <is>
          <t>coverage</t>
        </is>
      </c>
      <c r="C290" s="2" t="inlineStr">
        <is>
          <t>Interest cover</t>
        </is>
      </c>
      <c r="D290" s="37">
        <f>Financing!$C$39</f>
        <v/>
      </c>
      <c r="E290" s="48" t="n">
        <v>2.770413971645215</v>
      </c>
      <c r="F290" s="47">
        <f>D290-E290</f>
        <v/>
      </c>
      <c r="G290" s="46" t="n">
        <v>0.0001</v>
      </c>
      <c r="H290" s="3">
        <f>IF(ABS(F290)&lt;=G290,"OK","ERROR")</f>
        <v/>
      </c>
    </row>
    <row r="291">
      <c r="B291" s="2" t="inlineStr">
        <is>
          <t>coverage</t>
        </is>
      </c>
      <c r="C291" s="2" t="inlineStr">
        <is>
          <t>Cash flow to equity 2028</t>
        </is>
      </c>
      <c r="D291" s="19">
        <f>Financing!$C$40</f>
        <v/>
      </c>
      <c r="E291" s="29" t="n">
        <v>56.61962002568222</v>
      </c>
      <c r="F291" s="47">
        <f>D291-E291</f>
        <v/>
      </c>
      <c r="G291" s="46" t="n">
        <v>0.0001</v>
      </c>
      <c r="H291" s="3">
        <f>IF(ABS(F291)&lt;=G291,"OK","ERROR")</f>
        <v/>
      </c>
    </row>
    <row r="292">
      <c r="B292" s="2" t="inlineStr">
        <is>
          <t>interest_cap</t>
        </is>
      </c>
      <c r="C292" s="2" t="inlineStr">
        <is>
          <t>Deductible</t>
        </is>
      </c>
      <c r="D292" s="19">
        <f>Financing!$C$41</f>
        <v/>
      </c>
      <c r="E292" s="29" t="n">
        <v>55.62714213666427</v>
      </c>
      <c r="F292" s="47">
        <f>D292-E292</f>
        <v/>
      </c>
      <c r="G292" s="46" t="n">
        <v>0.0001</v>
      </c>
      <c r="H292" s="3">
        <f>IF(ABS(F292)&lt;=G292,"OK","ERROR")</f>
        <v/>
      </c>
    </row>
    <row r="293">
      <c r="B293" s="2" t="inlineStr">
        <is>
          <t>interest_cap</t>
        </is>
      </c>
      <c r="C293" s="2" t="inlineStr">
        <is>
          <t>Disallowed</t>
        </is>
      </c>
      <c r="D293" s="19">
        <f>Financing!$C$42</f>
        <v/>
      </c>
      <c r="E293" s="29" t="n">
        <v>11.30285786333574</v>
      </c>
      <c r="F293" s="47">
        <f>D293-E293</f>
        <v/>
      </c>
      <c r="G293" s="46" t="n">
        <v>0.0001</v>
      </c>
      <c r="H293" s="3">
        <f>IF(ABS(F293)&lt;=G293,"OK","ERROR")</f>
        <v/>
      </c>
    </row>
    <row r="294">
      <c r="B294" s="2" t="inlineStr">
        <is>
          <t>interest_cap</t>
        </is>
      </c>
      <c r="C294" s="2" t="inlineStr">
        <is>
          <t>Extra tax</t>
        </is>
      </c>
      <c r="D294" s="19">
        <f>Financing!$C$43</f>
        <v/>
      </c>
      <c r="E294" s="29" t="n">
        <v>2.712685887200577</v>
      </c>
      <c r="F294" s="47">
        <f>D294-E294</f>
        <v/>
      </c>
      <c r="G294" s="46" t="n">
        <v>0.0001</v>
      </c>
      <c r="H294" s="3">
        <f>IF(ABS(F294)&lt;=G294,"OK","ERROR")</f>
        <v/>
      </c>
    </row>
    <row r="295">
      <c r="B295" s="2" t="inlineStr">
        <is>
          <t>staple</t>
        </is>
      </c>
      <c r="C295" s="2" t="inlineStr">
        <is>
          <t>Staple opco</t>
        </is>
      </c>
      <c r="D295" s="19">
        <f>Financing!$C$79</f>
        <v/>
      </c>
      <c r="E295" s="29" t="n">
        <v>1127</v>
      </c>
      <c r="F295" s="47">
        <f>D295-E295</f>
        <v/>
      </c>
      <c r="G295" s="46" t="n">
        <v>0.0001</v>
      </c>
      <c r="H295" s="3">
        <f>IF(ABS(F295)&lt;=G295,"OK","ERROR")</f>
        <v/>
      </c>
    </row>
    <row r="296">
      <c r="B296" s="2" t="inlineStr">
        <is>
          <t>staple</t>
        </is>
      </c>
      <c r="C296" s="2" t="inlineStr">
        <is>
          <t>Staple equity</t>
        </is>
      </c>
      <c r="D296" s="19">
        <f>Financing!$C$99</f>
        <v/>
      </c>
      <c r="E296" s="29" t="n">
        <v>599.51281383834</v>
      </c>
      <c r="F296" s="47">
        <f>D296-E296</f>
        <v/>
      </c>
      <c r="G296" s="46" t="n">
        <v>0.0001</v>
      </c>
      <c r="H296" s="3">
        <f>IF(ABS(F296)&lt;=G296,"OK","ERROR")</f>
        <v/>
      </c>
    </row>
    <row r="297">
      <c r="B297" s="2" t="inlineStr">
        <is>
          <t>staple</t>
        </is>
      </c>
      <c r="C297" s="2" t="inlineStr">
        <is>
          <t>Staple IRR</t>
        </is>
      </c>
      <c r="D297" s="23">
        <f>Financing!$C$120</f>
        <v/>
      </c>
      <c r="E297" s="38" t="n">
        <v>0.1011259454809007</v>
      </c>
      <c r="F297" s="47">
        <f>D297-E297</f>
        <v/>
      </c>
      <c r="G297" s="46" t="n">
        <v>1e-07</v>
      </c>
      <c r="H297" s="3">
        <f>IF(ABS(F297)&lt;=G297,"OK","ERROR")</f>
        <v/>
      </c>
    </row>
    <row r="298">
      <c r="B298" s="2" t="inlineStr">
        <is>
          <t>staple</t>
        </is>
      </c>
      <c r="C298" s="2" t="inlineStr">
        <is>
          <t>Staple interest cover</t>
        </is>
      </c>
      <c r="D298" s="37">
        <f>Financing!$D$139</f>
        <v/>
      </c>
      <c r="E298" s="48" t="n">
        <v>2.361319662048815</v>
      </c>
      <c r="F298" s="47">
        <f>D298-E298</f>
        <v/>
      </c>
      <c r="G298" s="46" t="n">
        <v>0.0001</v>
      </c>
      <c r="H298" s="3">
        <f>IF(ABS(F298)&lt;=G298,"OK","ERROR")</f>
        <v/>
      </c>
    </row>
    <row r="299">
      <c r="B299" s="2" t="inlineStr">
        <is>
          <t>jurisdiction_fsr</t>
        </is>
      </c>
      <c r="C299" s="2" t="inlineStr">
        <is>
          <t>EU turnover (EUR)</t>
        </is>
      </c>
      <c r="D299" s="34">
        <f>Approvals!$C$8</f>
        <v/>
      </c>
      <c r="E299" s="36" t="n">
        <v>209.4861913043478</v>
      </c>
      <c r="F299" s="47">
        <f>D299-E299</f>
        <v/>
      </c>
      <c r="G299" s="46" t="n">
        <v>0.0001</v>
      </c>
      <c r="H299" s="3">
        <f>IF(ABS(F299)&lt;=G299,"OK","ERROR")</f>
        <v/>
      </c>
    </row>
    <row r="300">
      <c r="B300" s="2" t="inlineStr">
        <is>
          <t>jurisdiction_uk</t>
        </is>
      </c>
      <c r="C300" s="2" t="inlineStr">
        <is>
          <t>Thamesbridge turnover (GBP)</t>
        </is>
      </c>
      <c r="D300" s="34">
        <f>Approvals!$C$9</f>
        <v/>
      </c>
      <c r="E300" s="36" t="n">
        <v>29.76214153846154</v>
      </c>
      <c r="F300" s="47">
        <f>D300-E300</f>
        <v/>
      </c>
      <c r="G300" s="46" t="n">
        <v>0.0001</v>
      </c>
      <c r="H300" s="3">
        <f>IF(ABS(F300)&lt;=G300,"OK","ERROR")</f>
        <v/>
      </c>
    </row>
    <row r="301">
      <c r="B301" s="2" t="inlineStr">
        <is>
          <t>jurisdiction_us</t>
        </is>
      </c>
      <c r="C301" s="2" t="inlineStr">
        <is>
          <t>HSR fee</t>
        </is>
      </c>
      <c r="D301" s="39">
        <f>Approvals!$C$11</f>
        <v/>
      </c>
      <c r="E301" s="50" t="n">
        <v>0.275</v>
      </c>
      <c r="F301" s="47">
        <f>D301-E301</f>
        <v/>
      </c>
      <c r="G301" s="46" t="n">
        <v>0.0001</v>
      </c>
      <c r="H301" s="3">
        <f>IF(ABS(F301)&lt;=G301,"OK","ERROR")</f>
        <v/>
      </c>
    </row>
    <row r="302">
      <c r="B302" s="2" t="inlineStr">
        <is>
          <t>delay_75</t>
        </is>
      </c>
      <c r="C302" s="2" t="inlineStr">
        <is>
          <t>Ticking fee</t>
        </is>
      </c>
      <c r="D302" s="19">
        <f>Approvals!$C$164</f>
        <v/>
      </c>
      <c r="E302" s="29" t="n">
        <v>39.78</v>
      </c>
      <c r="F302" s="47">
        <f>D302-E302</f>
        <v/>
      </c>
      <c r="G302" s="46" t="n">
        <v>0.0001</v>
      </c>
      <c r="H302" s="3">
        <f>IF(ABS(F302)&lt;=G302,"OK","ERROR")</f>
        <v/>
      </c>
    </row>
    <row r="303">
      <c r="B303" s="2" t="inlineStr">
        <is>
          <t>delay_75</t>
        </is>
      </c>
      <c r="C303" s="2" t="inlineStr">
        <is>
          <t>Commitment fees</t>
        </is>
      </c>
      <c r="D303" s="19">
        <f>Approvals!$C$182</f>
        <v/>
      </c>
      <c r="E303" s="29" t="n">
        <v>4.102</v>
      </c>
      <c r="F303" s="47">
        <f>D303-E303</f>
        <v/>
      </c>
      <c r="G303" s="46" t="n">
        <v>0.0001</v>
      </c>
      <c r="H303" s="3">
        <f>IF(ABS(F303)&lt;=G303,"OK","ERROR")</f>
        <v/>
      </c>
    </row>
    <row r="304">
      <c r="B304" s="2" t="inlineStr">
        <is>
          <t>delay_75</t>
        </is>
      </c>
      <c r="C304" s="2" t="inlineStr">
        <is>
          <t>Box cash</t>
        </is>
      </c>
      <c r="D304" s="19">
        <f>Approvals!$C$167</f>
        <v/>
      </c>
      <c r="E304" s="29" t="n">
        <v>50.22874616166001</v>
      </c>
      <c r="F304" s="47">
        <f>D304-E304</f>
        <v/>
      </c>
      <c r="G304" s="46" t="n">
        <v>0.0001</v>
      </c>
      <c r="H304" s="3">
        <f>IF(ABS(F304)&lt;=G304,"OK","ERROR")</f>
        <v/>
      </c>
    </row>
    <row r="305">
      <c r="B305" s="2" t="inlineStr">
        <is>
          <t>delay_75</t>
        </is>
      </c>
      <c r="C305" s="2" t="inlineStr">
        <is>
          <t>Equity</t>
        </is>
      </c>
      <c r="D305" s="19">
        <f>Approvals!$C$196</f>
        <v/>
      </c>
      <c r="E305" s="29" t="n">
        <v>728.52281383834</v>
      </c>
      <c r="F305" s="47">
        <f>D305-E305</f>
        <v/>
      </c>
      <c r="G305" s="46" t="n">
        <v>0.0001</v>
      </c>
      <c r="H305" s="3">
        <f>IF(ABS(F305)&lt;=G305,"OK","ERROR")</f>
        <v/>
      </c>
    </row>
    <row r="306">
      <c r="B306" s="2" t="inlineStr">
        <is>
          <t>delay_75</t>
        </is>
      </c>
      <c r="C306" s="2" t="inlineStr">
        <is>
          <t>Levered IRR</t>
        </is>
      </c>
      <c r="D306" s="23">
        <f>Approvals!$C$217</f>
        <v/>
      </c>
      <c r="E306" s="38" t="n">
        <v>0.09982107959934094</v>
      </c>
      <c r="F306" s="47">
        <f>D306-E306</f>
        <v/>
      </c>
      <c r="G306" s="46" t="n">
        <v>1e-07</v>
      </c>
      <c r="H306" s="3">
        <f>IF(ABS(F306)&lt;=G306,"OK","ERROR")</f>
        <v/>
      </c>
    </row>
    <row r="307">
      <c r="B307" s="2" t="inlineStr">
        <is>
          <t>delay_75</t>
        </is>
      </c>
      <c r="C307" s="2" t="inlineStr">
        <is>
          <t>Unlevered IRR</t>
        </is>
      </c>
      <c r="D307" s="23">
        <f>Approvals!$C$218</f>
        <v/>
      </c>
      <c r="E307" s="38" t="n">
        <v>0.0689880673649218</v>
      </c>
      <c r="F307" s="47">
        <f>D307-E307</f>
        <v/>
      </c>
      <c r="G307" s="46" t="n">
        <v>1e-07</v>
      </c>
      <c r="H307" s="3">
        <f>IF(ABS(F307)&lt;=G307,"OK","ERROR")</f>
        <v/>
      </c>
    </row>
    <row r="308">
      <c r="B308" s="2" t="inlineStr">
        <is>
          <t>delay_100</t>
        </is>
      </c>
      <c r="C308" s="2" t="inlineStr">
        <is>
          <t>Ticking fee</t>
        </is>
      </c>
      <c r="D308" s="19">
        <f>Approvals!$C$246</f>
        <v/>
      </c>
      <c r="E308" s="29" t="n">
        <v>53.04</v>
      </c>
      <c r="F308" s="47">
        <f>D308-E308</f>
        <v/>
      </c>
      <c r="G308" s="46" t="n">
        <v>0.0001</v>
      </c>
      <c r="H308" s="3">
        <f>IF(ABS(F308)&lt;=G308,"OK","ERROR")</f>
        <v/>
      </c>
    </row>
    <row r="309">
      <c r="B309" s="2" t="inlineStr">
        <is>
          <t>delay_100</t>
        </is>
      </c>
      <c r="C309" s="2" t="inlineStr">
        <is>
          <t>Commitment fees</t>
        </is>
      </c>
      <c r="D309" s="19">
        <f>Approvals!$C$264</f>
        <v/>
      </c>
      <c r="E309" s="29" t="n">
        <v>6.153</v>
      </c>
      <c r="F309" s="47">
        <f>D309-E309</f>
        <v/>
      </c>
      <c r="G309" s="46" t="n">
        <v>0.0001</v>
      </c>
      <c r="H309" s="3">
        <f>IF(ABS(F309)&lt;=G309,"OK","ERROR")</f>
        <v/>
      </c>
    </row>
    <row r="310">
      <c r="B310" s="2" t="inlineStr">
        <is>
          <t>delay_100</t>
        </is>
      </c>
      <c r="C310" s="2" t="inlineStr">
        <is>
          <t>Box cash</t>
        </is>
      </c>
      <c r="D310" s="19">
        <f>Approvals!$C$249</f>
        <v/>
      </c>
      <c r="E310" s="29" t="n">
        <v>66.97166154888001</v>
      </c>
      <c r="F310" s="47">
        <f>D310-E310</f>
        <v/>
      </c>
      <c r="G310" s="46" t="n">
        <v>0.0001</v>
      </c>
      <c r="H310" s="3">
        <f>IF(ABS(F310)&lt;=G310,"OK","ERROR")</f>
        <v/>
      </c>
    </row>
    <row r="311">
      <c r="B311" s="2" t="inlineStr">
        <is>
          <t>delay_100</t>
        </is>
      </c>
      <c r="C311" s="2" t="inlineStr">
        <is>
          <t>Equity</t>
        </is>
      </c>
      <c r="D311" s="19">
        <f>Approvals!$C$278</f>
        <v/>
      </c>
      <c r="E311" s="29" t="n">
        <v>727.0908984511201</v>
      </c>
      <c r="F311" s="47">
        <f>D311-E311</f>
        <v/>
      </c>
      <c r="G311" s="46" t="n">
        <v>0.0001</v>
      </c>
      <c r="H311" s="3">
        <f>IF(ABS(F311)&lt;=G311,"OK","ERROR")</f>
        <v/>
      </c>
    </row>
    <row r="312">
      <c r="B312" s="2" t="inlineStr">
        <is>
          <t>delay_100</t>
        </is>
      </c>
      <c r="C312" s="2" t="inlineStr">
        <is>
          <t>Levered IRR</t>
        </is>
      </c>
      <c r="D312" s="23">
        <f>Approvals!$C$299</f>
        <v/>
      </c>
      <c r="E312" s="38" t="n">
        <v>0.1001050150799389</v>
      </c>
      <c r="F312" s="47">
        <f>D312-E312</f>
        <v/>
      </c>
      <c r="G312" s="46" t="n">
        <v>1e-07</v>
      </c>
      <c r="H312" s="3">
        <f>IF(ABS(F312)&lt;=G312,"OK","ERROR")</f>
        <v/>
      </c>
    </row>
    <row r="313">
      <c r="B313" s="2" t="inlineStr">
        <is>
          <t>delay_100</t>
        </is>
      </c>
      <c r="C313" s="2" t="inlineStr">
        <is>
          <t>Unlevered IRR</t>
        </is>
      </c>
      <c r="D313" s="23">
        <f>Approvals!$C$300</f>
        <v/>
      </c>
      <c r="E313" s="38" t="n">
        <v>0.06913360624634024</v>
      </c>
      <c r="F313" s="47">
        <f>D313-E313</f>
        <v/>
      </c>
      <c r="G313" s="46" t="n">
        <v>1e-07</v>
      </c>
      <c r="H313" s="3">
        <f>IF(ABS(F313)&lt;=G313,"OK","ERROR")</f>
        <v/>
      </c>
    </row>
    <row r="314">
      <c r="B314" s="2" t="inlineStr">
        <is>
          <t>delay_100m</t>
        </is>
      </c>
      <c r="C314" s="2" t="inlineStr">
        <is>
          <t>Ticking fee</t>
        </is>
      </c>
      <c r="D314" s="19">
        <f>Approvals!$C$328</f>
        <v/>
      </c>
      <c r="E314" s="29" t="n">
        <v>53.04</v>
      </c>
      <c r="F314" s="47">
        <f>D314-E314</f>
        <v/>
      </c>
      <c r="G314" s="46" t="n">
        <v>0.0001</v>
      </c>
      <c r="H314" s="3">
        <f>IF(ABS(F314)&lt;=G314,"OK","ERROR")</f>
        <v/>
      </c>
    </row>
    <row r="315">
      <c r="B315" s="2" t="inlineStr">
        <is>
          <t>delay_100m</t>
        </is>
      </c>
      <c r="C315" s="2" t="inlineStr">
        <is>
          <t>Commitment fees</t>
        </is>
      </c>
      <c r="D315" s="19">
        <f>Approvals!$C$346</f>
        <v/>
      </c>
      <c r="E315" s="29" t="n">
        <v>6.153</v>
      </c>
      <c r="F315" s="47">
        <f>D315-E315</f>
        <v/>
      </c>
      <c r="G315" s="46" t="n">
        <v>0.0001</v>
      </c>
      <c r="H315" s="3">
        <f>IF(ABS(F315)&lt;=G315,"OK","ERROR")</f>
        <v/>
      </c>
    </row>
    <row r="316">
      <c r="B316" s="2" t="inlineStr">
        <is>
          <t>delay_100m</t>
        </is>
      </c>
      <c r="C316" s="2" t="inlineStr">
        <is>
          <t>Box cash</t>
        </is>
      </c>
      <c r="D316" s="19">
        <f>Approvals!$C$331</f>
        <v/>
      </c>
      <c r="E316" s="29" t="n">
        <v>66.97166154888001</v>
      </c>
      <c r="F316" s="47">
        <f>D316-E316</f>
        <v/>
      </c>
      <c r="G316" s="46" t="n">
        <v>0.0001</v>
      </c>
      <c r="H316" s="3">
        <f>IF(ABS(F316)&lt;=G316,"OK","ERROR")</f>
        <v/>
      </c>
    </row>
    <row r="317">
      <c r="B317" s="2" t="inlineStr">
        <is>
          <t>delay_100m</t>
        </is>
      </c>
      <c r="C317" s="2" t="inlineStr">
        <is>
          <t>Equity</t>
        </is>
      </c>
      <c r="D317" s="19">
        <f>Approvals!$C$360</f>
        <v/>
      </c>
      <c r="E317" s="29" t="n">
        <v>727.0908984511201</v>
      </c>
      <c r="F317" s="47">
        <f>D317-E317</f>
        <v/>
      </c>
      <c r="G317" s="46" t="n">
        <v>0.0001</v>
      </c>
      <c r="H317" s="3">
        <f>IF(ABS(F317)&lt;=G317,"OK","ERROR")</f>
        <v/>
      </c>
    </row>
    <row r="318">
      <c r="B318" s="2" t="inlineStr">
        <is>
          <t>delay_100m</t>
        </is>
      </c>
      <c r="C318" s="2" t="inlineStr">
        <is>
          <t>Levered IRR</t>
        </is>
      </c>
      <c r="D318" s="23">
        <f>Approvals!$C$381</f>
        <v/>
      </c>
      <c r="E318" s="38" t="n">
        <v>0.09671080383522368</v>
      </c>
      <c r="F318" s="47">
        <f>D318-E318</f>
        <v/>
      </c>
      <c r="G318" s="46" t="n">
        <v>1e-07</v>
      </c>
      <c r="H318" s="3">
        <f>IF(ABS(F318)&lt;=G318,"OK","ERROR")</f>
        <v/>
      </c>
    </row>
    <row r="319">
      <c r="B319" s="2" t="inlineStr">
        <is>
          <t>delay_100m</t>
        </is>
      </c>
      <c r="C319" s="2" t="inlineStr">
        <is>
          <t>Unlevered IRR</t>
        </is>
      </c>
      <c r="D319" s="23">
        <f>Approvals!$C$382</f>
        <v/>
      </c>
      <c r="E319" s="38" t="n">
        <v>0.06769708443911593</v>
      </c>
      <c r="F319" s="47">
        <f>D319-E319</f>
        <v/>
      </c>
      <c r="G319" s="46" t="n">
        <v>1e-07</v>
      </c>
      <c r="H319" s="3">
        <f>IF(ABS(F319)&lt;=G319,"OK","ERROR")</f>
        <v/>
      </c>
    </row>
    <row r="320">
      <c r="B320" s="2" t="inlineStr">
        <is>
          <t>delay_125</t>
        </is>
      </c>
      <c r="C320" s="2" t="inlineStr">
        <is>
          <t>Ticking fee</t>
        </is>
      </c>
      <c r="D320" s="19">
        <f>Approvals!$C$410</f>
        <v/>
      </c>
      <c r="E320" s="29" t="n">
        <v>66.3</v>
      </c>
      <c r="F320" s="47">
        <f>D320-E320</f>
        <v/>
      </c>
      <c r="G320" s="46" t="n">
        <v>0.0001</v>
      </c>
      <c r="H320" s="3">
        <f>IF(ABS(F320)&lt;=G320,"OK","ERROR")</f>
        <v/>
      </c>
    </row>
    <row r="321">
      <c r="B321" s="2" t="inlineStr">
        <is>
          <t>delay_125</t>
        </is>
      </c>
      <c r="C321" s="2" t="inlineStr">
        <is>
          <t>Commitment fees</t>
        </is>
      </c>
      <c r="D321" s="19">
        <f>Approvals!$C$428</f>
        <v/>
      </c>
      <c r="E321" s="29" t="n">
        <v>8.204000000000001</v>
      </c>
      <c r="F321" s="47">
        <f>D321-E321</f>
        <v/>
      </c>
      <c r="G321" s="46" t="n">
        <v>0.0001</v>
      </c>
      <c r="H321" s="3">
        <f>IF(ABS(F321)&lt;=G321,"OK","ERROR")</f>
        <v/>
      </c>
    </row>
    <row r="322">
      <c r="B322" s="2" t="inlineStr">
        <is>
          <t>delay_125</t>
        </is>
      </c>
      <c r="C322" s="2" t="inlineStr">
        <is>
          <t>Box cash</t>
        </is>
      </c>
      <c r="D322" s="19">
        <f>Approvals!$C$413</f>
        <v/>
      </c>
      <c r="E322" s="29" t="n">
        <v>80.12143802710071</v>
      </c>
      <c r="F322" s="47">
        <f>D322-E322</f>
        <v/>
      </c>
      <c r="G322" s="46" t="n">
        <v>0.0001</v>
      </c>
      <c r="H322" s="3">
        <f>IF(ABS(F322)&lt;=G322,"OK","ERROR")</f>
        <v/>
      </c>
    </row>
    <row r="323">
      <c r="B323" s="2" t="inlineStr">
        <is>
          <t>delay_125</t>
        </is>
      </c>
      <c r="C323" s="2" t="inlineStr">
        <is>
          <t>Equity</t>
        </is>
      </c>
      <c r="D323" s="19">
        <f>Approvals!$C$442</f>
        <v/>
      </c>
      <c r="E323" s="29" t="n">
        <v>729.2521219728993</v>
      </c>
      <c r="F323" s="47">
        <f>D323-E323</f>
        <v/>
      </c>
      <c r="G323" s="46" t="n">
        <v>0.0001</v>
      </c>
      <c r="H323" s="3">
        <f>IF(ABS(F323)&lt;=G323,"OK","ERROR")</f>
        <v/>
      </c>
    </row>
    <row r="324">
      <c r="B324" s="2" t="inlineStr">
        <is>
          <t>delay_125</t>
        </is>
      </c>
      <c r="C324" s="2" t="inlineStr">
        <is>
          <t>Levered IRR</t>
        </is>
      </c>
      <c r="D324" s="23">
        <f>Approvals!$C$463</f>
        <v/>
      </c>
      <c r="E324" s="38" t="n">
        <v>0.1006078803622857</v>
      </c>
      <c r="F324" s="47">
        <f>D324-E324</f>
        <v/>
      </c>
      <c r="G324" s="46" t="n">
        <v>1e-07</v>
      </c>
      <c r="H324" s="3">
        <f>IF(ABS(F324)&lt;=G324,"OK","ERROR")</f>
        <v/>
      </c>
    </row>
    <row r="325">
      <c r="B325" s="2" t="inlineStr">
        <is>
          <t>delay_125</t>
        </is>
      </c>
      <c r="C325" s="2" t="inlineStr">
        <is>
          <t>Unlevered IRR</t>
        </is>
      </c>
      <c r="D325" s="23">
        <f>Approvals!$C$464</f>
        <v/>
      </c>
      <c r="E325" s="38" t="n">
        <v>0.06939438801428233</v>
      </c>
      <c r="F325" s="47">
        <f>D325-E325</f>
        <v/>
      </c>
      <c r="G325" s="46" t="n">
        <v>1e-07</v>
      </c>
      <c r="H325" s="3">
        <f>IF(ABS(F325)&lt;=G325,"OK","ERROR")</f>
        <v/>
      </c>
    </row>
    <row r="326">
      <c r="B326" s="2" t="inlineStr">
        <is>
          <t>delay_logic</t>
        </is>
      </c>
      <c r="C326" s="2" t="inlineStr">
        <is>
          <t>Box yield</t>
        </is>
      </c>
      <c r="D326" s="21">
        <f>Approvals!$C$26</f>
        <v/>
      </c>
      <c r="E326" s="27" t="n">
        <v>0.1010130641762896</v>
      </c>
      <c r="F326" s="47">
        <f>D326-E326</f>
        <v/>
      </c>
      <c r="G326" s="46" t="n">
        <v>1e-07</v>
      </c>
      <c r="H326" s="3">
        <f>IF(ABS(F326)&lt;=G326,"OK","ERROR")</f>
        <v/>
      </c>
    </row>
    <row r="327">
      <c r="B327" s="2" t="inlineStr">
        <is>
          <t>wi</t>
        </is>
      </c>
      <c r="C327" s="2" t="inlineStr">
        <is>
          <t>Limit</t>
        </is>
      </c>
      <c r="D327" s="19">
        <f>SPA!$C$4</f>
        <v/>
      </c>
      <c r="E327" s="29" t="n">
        <v>183</v>
      </c>
      <c r="F327" s="47">
        <f>D327-E327</f>
        <v/>
      </c>
      <c r="G327" s="46" t="n">
        <v>0.0001</v>
      </c>
      <c r="H327" s="3">
        <f>IF(ABS(F327)&lt;=G327,"OK","ERROR")</f>
        <v/>
      </c>
    </row>
    <row r="328">
      <c r="B328" s="2" t="inlineStr">
        <is>
          <t>wi</t>
        </is>
      </c>
      <c r="C328" s="2" t="inlineStr">
        <is>
          <t>Premium</t>
        </is>
      </c>
      <c r="D328" s="35">
        <f>SPA!$C$5</f>
        <v/>
      </c>
      <c r="E328" s="49" t="n">
        <v>2.013</v>
      </c>
      <c r="F328" s="47">
        <f>D328-E328</f>
        <v/>
      </c>
      <c r="G328" s="46" t="n">
        <v>0.0001</v>
      </c>
      <c r="H328" s="3">
        <f>IF(ABS(F328)&lt;=G328,"OK","ERROR")</f>
        <v/>
      </c>
    </row>
    <row r="329">
      <c r="B329" s="2" t="inlineStr">
        <is>
          <t>wi</t>
        </is>
      </c>
      <c r="C329" s="2" t="inlineStr">
        <is>
          <t>Premium with tax</t>
        </is>
      </c>
      <c r="D329" s="35">
        <f>SPA!$C$6</f>
        <v/>
      </c>
      <c r="E329" s="49" t="n">
        <v>2.25456</v>
      </c>
      <c r="F329" s="47">
        <f>D329-E329</f>
        <v/>
      </c>
      <c r="G329" s="46" t="n">
        <v>0.0001</v>
      </c>
      <c r="H329" s="3">
        <f>IF(ABS(F329)&lt;=G329,"OK","ERROR")</f>
        <v/>
      </c>
    </row>
    <row r="330">
      <c r="B330" s="2" t="inlineStr">
        <is>
          <t>wi</t>
        </is>
      </c>
      <c r="C330" s="2" t="inlineStr">
        <is>
          <t>Retention</t>
        </is>
      </c>
      <c r="D330" s="35">
        <f>SPA!$C$7</f>
        <v/>
      </c>
      <c r="E330" s="49" t="n">
        <v>9.15</v>
      </c>
      <c r="F330" s="47">
        <f>D330-E330</f>
        <v/>
      </c>
      <c r="G330" s="46" t="n">
        <v>0.0001</v>
      </c>
      <c r="H330" s="3">
        <f>IF(ABS(F330)&lt;=G330,"OK","ERROR")</f>
        <v/>
      </c>
    </row>
    <row r="331">
      <c r="B331" s="2" t="inlineStr">
        <is>
          <t>wi</t>
        </is>
      </c>
      <c r="C331" s="2" t="inlineStr">
        <is>
          <t>Retention after 12 months</t>
        </is>
      </c>
      <c r="D331" s="35">
        <f>SPA!$C$8</f>
        <v/>
      </c>
      <c r="E331" s="49" t="n">
        <v>4.575</v>
      </c>
      <c r="F331" s="47">
        <f>D331-E331</f>
        <v/>
      </c>
      <c r="G331" s="46" t="n">
        <v>0.0001</v>
      </c>
      <c r="H331" s="3">
        <f>IF(ABS(F331)&lt;=G331,"OK","ERROR")</f>
        <v/>
      </c>
    </row>
    <row r="332">
      <c r="B332" s="2" t="inlineStr">
        <is>
          <t>wi_claim</t>
        </is>
      </c>
      <c r="C332" s="2" t="inlineStr">
        <is>
          <t>Insurer pays</t>
        </is>
      </c>
      <c r="D332" s="35">
        <f>SPA!$C$13</f>
        <v/>
      </c>
      <c r="E332" s="49" t="n">
        <v>4.85</v>
      </c>
      <c r="F332" s="47">
        <f>D332-E332</f>
        <v/>
      </c>
      <c r="G332" s="46" t="n">
        <v>0.0001</v>
      </c>
      <c r="H332" s="3">
        <f>IF(ABS(F332)&lt;=G332,"OK","ERROR")</f>
        <v/>
      </c>
    </row>
    <row r="333">
      <c r="B333" s="2" t="inlineStr">
        <is>
          <t>wi_claim</t>
        </is>
      </c>
      <c r="C333" s="2" t="inlineStr">
        <is>
          <t>Northgate bears</t>
        </is>
      </c>
      <c r="D333" s="35">
        <f>SPA!$C$14</f>
        <v/>
      </c>
      <c r="E333" s="49" t="n">
        <v>9.15</v>
      </c>
      <c r="F333" s="47">
        <f>D333-E333</f>
        <v/>
      </c>
      <c r="G333" s="46" t="n">
        <v>0.0001</v>
      </c>
      <c r="H333" s="3">
        <f>IF(ABS(F333)&lt;=G333,"OK","ERROR")</f>
        <v/>
      </c>
    </row>
    <row r="334">
      <c r="B334" s="2" t="inlineStr">
        <is>
          <t>cons_northgate</t>
        </is>
      </c>
      <c r="C334" s="2" t="inlineStr">
        <is>
          <t>Equity at closing</t>
        </is>
      </c>
      <c r="D334" s="19">
        <f>Consortium!$D$4</f>
        <v/>
      </c>
      <c r="E334" s="29" t="n">
        <v>437.113688303004</v>
      </c>
      <c r="F334" s="47">
        <f>D334-E334</f>
        <v/>
      </c>
      <c r="G334" s="46" t="n">
        <v>0.0001</v>
      </c>
      <c r="H334" s="3">
        <f>IF(ABS(F334)&lt;=G334,"OK","ERROR")</f>
        <v/>
      </c>
    </row>
    <row r="335">
      <c r="B335" s="2" t="inlineStr">
        <is>
          <t>cons_northgate</t>
        </is>
      </c>
      <c r="C335" s="2" t="inlineStr">
        <is>
          <t>Dead deal costs</t>
        </is>
      </c>
      <c r="D335" s="19">
        <f>Consortium!$F$4</f>
        <v/>
      </c>
      <c r="E335" s="29" t="n">
        <v>7.199999999999999</v>
      </c>
      <c r="F335" s="47">
        <f>D335-E335</f>
        <v/>
      </c>
      <c r="G335" s="46" t="n">
        <v>0.0001</v>
      </c>
      <c r="H335" s="3">
        <f>IF(ABS(F335)&lt;=G335,"OK","ERROR")</f>
        <v/>
      </c>
    </row>
    <row r="336">
      <c r="B336" s="2" t="inlineStr">
        <is>
          <t>cons_laurentide</t>
        </is>
      </c>
      <c r="C336" s="2" t="inlineStr">
        <is>
          <t>Equity at closing</t>
        </is>
      </c>
      <c r="D336" s="19">
        <f>Consortium!$D$5</f>
        <v/>
      </c>
      <c r="E336" s="29" t="n">
        <v>182.130703459585</v>
      </c>
      <c r="F336" s="47">
        <f>D336-E336</f>
        <v/>
      </c>
      <c r="G336" s="46" t="n">
        <v>0.0001</v>
      </c>
      <c r="H336" s="3">
        <f>IF(ABS(F336)&lt;=G336,"OK","ERROR")</f>
        <v/>
      </c>
    </row>
    <row r="337">
      <c r="B337" s="2" t="inlineStr">
        <is>
          <t>cons_laurentide</t>
        </is>
      </c>
      <c r="C337" s="2" t="inlineStr">
        <is>
          <t>Dead deal costs</t>
        </is>
      </c>
      <c r="D337" s="19">
        <f>Consortium!$F$5</f>
        <v/>
      </c>
      <c r="E337" s="29" t="n">
        <v>3</v>
      </c>
      <c r="F337" s="47">
        <f>D337-E337</f>
        <v/>
      </c>
      <c r="G337" s="46" t="n">
        <v>0.0001</v>
      </c>
      <c r="H337" s="3">
        <f>IF(ABS(F337)&lt;=G337,"OK","ERROR")</f>
        <v/>
      </c>
    </row>
    <row r="338">
      <c r="B338" s="2" t="inlineStr">
        <is>
          <t>cons_aldara</t>
        </is>
      </c>
      <c r="C338" s="2" t="inlineStr">
        <is>
          <t>Equity at closing</t>
        </is>
      </c>
      <c r="D338" s="19">
        <f>Consortium!$D$6</f>
        <v/>
      </c>
      <c r="E338" s="29" t="n">
        <v>109.278422075751</v>
      </c>
      <c r="F338" s="47">
        <f>D338-E338</f>
        <v/>
      </c>
      <c r="G338" s="46" t="n">
        <v>0.0001</v>
      </c>
      <c r="H338" s="3">
        <f>IF(ABS(F338)&lt;=G338,"OK","ERROR")</f>
        <v/>
      </c>
    </row>
    <row r="339">
      <c r="B339" s="2" t="inlineStr">
        <is>
          <t>cons_aldara</t>
        </is>
      </c>
      <c r="C339" s="2" t="inlineStr">
        <is>
          <t>Dead deal costs</t>
        </is>
      </c>
      <c r="D339" s="19">
        <f>Consortium!$F$6</f>
        <v/>
      </c>
      <c r="E339" s="29" t="n">
        <v>1.8</v>
      </c>
      <c r="F339" s="47">
        <f>D339-E339</f>
        <v/>
      </c>
      <c r="G339" s="46" t="n">
        <v>0.0001</v>
      </c>
      <c r="H339" s="3">
        <f>IF(ABS(F339)&lt;=G339,"OK","ERROR")</f>
        <v/>
      </c>
    </row>
    <row r="340">
      <c r="B340" s="2" t="inlineStr">
        <is>
          <t>cons_returns</t>
        </is>
      </c>
      <c r="C340" s="2" t="inlineStr">
        <is>
          <t>IRR</t>
        </is>
      </c>
      <c r="D340" s="23">
        <f>Consortium!$C$16</f>
        <v/>
      </c>
      <c r="E340" s="38" t="n">
        <v>0.09982107959934094</v>
      </c>
      <c r="F340" s="47">
        <f>D340-E340</f>
        <v/>
      </c>
      <c r="G340" s="46" t="n">
        <v>1e-07</v>
      </c>
      <c r="H340" s="3">
        <f>IF(ABS(F340)&lt;=G340,"OK","ERROR")</f>
        <v/>
      </c>
    </row>
    <row r="341">
      <c r="B341" s="2" t="inlineStr">
        <is>
          <t>exit_minority</t>
        </is>
      </c>
      <c r="C341" s="2" t="inlineStr">
        <is>
          <t>EV in 2031</t>
        </is>
      </c>
      <c r="D341" s="19">
        <f>Exit!$C$7</f>
        <v/>
      </c>
      <c r="E341" s="29" t="n">
        <v>1993.146163620965</v>
      </c>
      <c r="F341" s="47">
        <f>D341-E341</f>
        <v/>
      </c>
      <c r="G341" s="46" t="n">
        <v>0.0001</v>
      </c>
      <c r="H341" s="3">
        <f>IF(ABS(F341)&lt;=G341,"OK","ERROR")</f>
        <v/>
      </c>
    </row>
    <row r="342">
      <c r="B342" s="2" t="inlineStr">
        <is>
          <t>exit_minority</t>
        </is>
      </c>
      <c r="C342" s="2" t="inlineStr">
        <is>
          <t>Equity in 2031</t>
        </is>
      </c>
      <c r="D342" s="19">
        <f>Exit!$C$8</f>
        <v/>
      </c>
      <c r="E342" s="29" t="n">
        <v>821.1461636209649</v>
      </c>
      <c r="F342" s="47">
        <f>D342-E342</f>
        <v/>
      </c>
      <c r="G342" s="46" t="n">
        <v>0.0001</v>
      </c>
      <c r="H342" s="3">
        <f>IF(ABS(F342)&lt;=G342,"OK","ERROR")</f>
        <v/>
      </c>
    </row>
    <row r="343">
      <c r="B343" s="2" t="inlineStr">
        <is>
          <t>exit_minority</t>
        </is>
      </c>
      <c r="C343" s="2" t="inlineStr">
        <is>
          <t>Proceeds</t>
        </is>
      </c>
      <c r="D343" s="19">
        <f>Exit!$C$9</f>
        <v/>
      </c>
      <c r="E343" s="29" t="n">
        <v>402.3616201742728</v>
      </c>
      <c r="F343" s="47">
        <f>D343-E343</f>
        <v/>
      </c>
      <c r="G343" s="46" t="n">
        <v>0.0001</v>
      </c>
      <c r="H343" s="3">
        <f>IF(ABS(F343)&lt;=G343,"OK","ERROR")</f>
        <v/>
      </c>
    </row>
    <row r="344">
      <c r="B344" s="2" t="inlineStr">
        <is>
          <t>exit_minority</t>
        </is>
      </c>
      <c r="C344" s="2" t="inlineStr">
        <is>
          <t>Minority IRR</t>
        </is>
      </c>
      <c r="D344" s="23">
        <f>Exit!$C$12</f>
        <v/>
      </c>
      <c r="E344" s="38" t="n">
        <v>0.1012884538918993</v>
      </c>
      <c r="F344" s="47">
        <f>D344-E344</f>
        <v/>
      </c>
      <c r="G344" s="46" t="n">
        <v>1e-07</v>
      </c>
      <c r="H344" s="3">
        <f>IF(ABS(F344)&lt;=G344,"OK","ERROR")</f>
        <v/>
      </c>
    </row>
    <row r="345">
      <c r="B345" s="2" t="inlineStr">
        <is>
          <t>exit_minority</t>
        </is>
      </c>
      <c r="C345" s="2" t="inlineStr">
        <is>
          <t>Minority money multiple</t>
        </is>
      </c>
      <c r="D345" s="37">
        <f>Exit!$C$13</f>
        <v/>
      </c>
      <c r="E345" s="48" t="n">
        <v>1.733005603015652</v>
      </c>
      <c r="F345" s="47">
        <f>D345-E345</f>
        <v/>
      </c>
      <c r="G345" s="46" t="n">
        <v>0.0001</v>
      </c>
      <c r="H345" s="3">
        <f>IF(ABS(F345)&lt;=G345,"OK","ERROR")</f>
        <v/>
      </c>
    </row>
    <row r="346">
      <c r="B346" s="2" t="inlineStr">
        <is>
          <t>exit_cv</t>
        </is>
      </c>
      <c r="C346" s="2" t="inlineStr">
        <is>
          <t>NAV</t>
        </is>
      </c>
      <c r="D346" s="19">
        <f>Exit!$C$16</f>
        <v/>
      </c>
      <c r="E346" s="29" t="n">
        <v>467.227367768209</v>
      </c>
      <c r="F346" s="47">
        <f>D346-E346</f>
        <v/>
      </c>
      <c r="G346" s="46" t="n">
        <v>0.0001</v>
      </c>
      <c r="H346" s="3">
        <f>IF(ABS(F346)&lt;=G346,"OK","ERROR")</f>
        <v/>
      </c>
    </row>
    <row r="347">
      <c r="B347" s="2" t="inlineStr">
        <is>
          <t>exit_cv</t>
        </is>
      </c>
      <c r="C347" s="2" t="inlineStr">
        <is>
          <t>CV price</t>
        </is>
      </c>
      <c r="D347" s="19">
        <f>Exit!$C$17</f>
        <v/>
      </c>
      <c r="E347" s="29" t="n">
        <v>453.2105467351627</v>
      </c>
      <c r="F347" s="47">
        <f>D347-E347</f>
        <v/>
      </c>
      <c r="G347" s="46" t="n">
        <v>0.0001</v>
      </c>
      <c r="H347" s="3">
        <f>IF(ABS(F347)&lt;=G347,"OK","ERROR")</f>
        <v/>
      </c>
    </row>
    <row r="348">
      <c r="B348" s="2" t="inlineStr">
        <is>
          <t>exit_cv</t>
        </is>
      </c>
      <c r="C348" s="2" t="inlineStr">
        <is>
          <t>Sold</t>
        </is>
      </c>
      <c r="D348" s="19">
        <f>Exit!$C$18</f>
        <v/>
      </c>
      <c r="E348" s="29" t="n">
        <v>317.2473827146139</v>
      </c>
      <c r="F348" s="47">
        <f>D348-E348</f>
        <v/>
      </c>
      <c r="G348" s="46" t="n">
        <v>0.0001</v>
      </c>
      <c r="H348" s="3">
        <f>IF(ABS(F348)&lt;=G348,"OK","ERROR")</f>
        <v/>
      </c>
    </row>
    <row r="349">
      <c r="B349" s="2" t="inlineStr">
        <is>
          <t>exit_cv</t>
        </is>
      </c>
      <c r="C349" s="2" t="inlineStr">
        <is>
          <t>Rolled</t>
        </is>
      </c>
      <c r="D349" s="19">
        <f>Exit!$C$19</f>
        <v/>
      </c>
      <c r="E349" s="29" t="n">
        <v>135.9631640205488</v>
      </c>
      <c r="F349" s="47">
        <f>D349-E349</f>
        <v/>
      </c>
      <c r="G349" s="46" t="n">
        <v>0.0001</v>
      </c>
      <c r="H349" s="3">
        <f>IF(ABS(F349)&lt;=G349,"OK","ERROR")</f>
        <v/>
      </c>
    </row>
    <row r="350">
      <c r="B350" s="2" t="inlineStr">
        <is>
          <t>exit_cv</t>
        </is>
      </c>
      <c r="C350" s="2" t="inlineStr">
        <is>
          <t>New money</t>
        </is>
      </c>
      <c r="D350" s="19">
        <f>Exit!$C$20</f>
        <v/>
      </c>
      <c r="E350" s="29" t="n">
        <v>417.2473827146139</v>
      </c>
      <c r="F350" s="47">
        <f>D350-E350</f>
        <v/>
      </c>
      <c r="G350" s="46" t="n">
        <v>0.0001</v>
      </c>
      <c r="H350" s="3">
        <f>IF(ABS(F350)&lt;=G350,"OK","ERROR")</f>
        <v/>
      </c>
    </row>
    <row r="351">
      <c r="B351" s="2" t="inlineStr">
        <is>
          <t>fcfe_2028</t>
        </is>
      </c>
      <c r="C351" s="2" t="inlineStr">
        <is>
          <t>Cash flow to equity</t>
        </is>
      </c>
      <c r="D351" s="19">
        <f>Returns!$F$12</f>
        <v/>
      </c>
      <c r="E351" s="29" t="n">
        <v>56.61962002568222</v>
      </c>
      <c r="F351" s="47">
        <f>D351-E351</f>
        <v/>
      </c>
      <c r="G351" s="46" t="n">
        <v>0.0001</v>
      </c>
      <c r="H351" s="3">
        <f>IF(ABS(F351)&lt;=G351,"OK","ERROR")</f>
        <v/>
      </c>
    </row>
    <row r="352">
      <c r="B352" s="2" t="inlineStr">
        <is>
          <t>fcfe_2028</t>
        </is>
      </c>
      <c r="C352" s="2" t="inlineStr">
        <is>
          <t>Interest</t>
        </is>
      </c>
      <c r="D352" s="19">
        <f>Returns!$F$9</f>
        <v/>
      </c>
      <c r="E352" s="29" t="n">
        <v>66.93000000000001</v>
      </c>
      <c r="F352" s="47">
        <f>D352-E352</f>
        <v/>
      </c>
      <c r="G352" s="46" t="n">
        <v>0.0001</v>
      </c>
      <c r="H352" s="3">
        <f>IF(ABS(F352)&lt;=G352,"OK","ERROR")</f>
        <v/>
      </c>
    </row>
    <row r="353">
      <c r="B353" s="2" t="inlineStr">
        <is>
          <t>fcfe_2028</t>
        </is>
      </c>
      <c r="C353" s="2" t="inlineStr">
        <is>
          <t>Tax</t>
        </is>
      </c>
      <c r="D353" s="19">
        <f>Returns!$F$11</f>
        <v/>
      </c>
      <c r="E353" s="29" t="n">
        <v>8.817624596531994</v>
      </c>
      <c r="F353" s="47">
        <f>D353-E353</f>
        <v/>
      </c>
      <c r="G353" s="46" t="n">
        <v>0.0001</v>
      </c>
      <c r="H353" s="3">
        <f>IF(ABS(F353)&lt;=G353,"OK","ERROR")</f>
        <v/>
      </c>
    </row>
    <row r="354">
      <c r="B354" s="2" t="inlineStr">
        <is>
          <t>fcfe_2030</t>
        </is>
      </c>
      <c r="C354" s="2" t="inlineStr">
        <is>
          <t>Cash flow to equity</t>
        </is>
      </c>
      <c r="D354" s="19">
        <f>Returns!$H$12</f>
        <v/>
      </c>
      <c r="E354" s="29" t="n">
        <v>64.96194200767439</v>
      </c>
      <c r="F354" s="47">
        <f>D354-E354</f>
        <v/>
      </c>
      <c r="G354" s="46" t="n">
        <v>0.0001</v>
      </c>
      <c r="H354" s="3">
        <f>IF(ABS(F354)&lt;=G354,"OK","ERROR")</f>
        <v/>
      </c>
    </row>
    <row r="355">
      <c r="B355" s="2" t="inlineStr">
        <is>
          <t>fcfe_2030</t>
        </is>
      </c>
      <c r="C355" s="2" t="inlineStr">
        <is>
          <t>Interest</t>
        </is>
      </c>
      <c r="D355" s="19">
        <f>Returns!$H$9</f>
        <v/>
      </c>
      <c r="E355" s="29" t="n">
        <v>66.93000000000001</v>
      </c>
      <c r="F355" s="47">
        <f>D355-E355</f>
        <v/>
      </c>
      <c r="G355" s="46" t="n">
        <v>0.0001</v>
      </c>
      <c r="H355" s="3">
        <f>IF(ABS(F355)&lt;=G355,"OK","ERROR")</f>
        <v/>
      </c>
    </row>
    <row r="356">
      <c r="B356" s="2" t="inlineStr">
        <is>
          <t>fcfe_2030</t>
        </is>
      </c>
      <c r="C356" s="2" t="inlineStr">
        <is>
          <t>Tax</t>
        </is>
      </c>
      <c r="D356" s="19">
        <f>Returns!$H$11</f>
        <v/>
      </c>
      <c r="E356" s="29" t="n">
        <v>12.18013599696731</v>
      </c>
      <c r="F356" s="47">
        <f>D356-E356</f>
        <v/>
      </c>
      <c r="G356" s="46" t="n">
        <v>0.0001</v>
      </c>
      <c r="H356" s="3">
        <f>IF(ABS(F356)&lt;=G356,"OK","ERROR")</f>
        <v/>
      </c>
    </row>
    <row r="357">
      <c r="B357" s="2" t="inlineStr">
        <is>
          <t>fcfe_2033</t>
        </is>
      </c>
      <c r="C357" s="2" t="inlineStr">
        <is>
          <t>Cash flow to equity</t>
        </is>
      </c>
      <c r="D357" s="19">
        <f>Returns!$K$12</f>
        <v/>
      </c>
      <c r="E357" s="29" t="n">
        <v>83.62057294003336</v>
      </c>
      <c r="F357" s="47">
        <f>D357-E357</f>
        <v/>
      </c>
      <c r="G357" s="46" t="n">
        <v>0.0001</v>
      </c>
      <c r="H357" s="3">
        <f>IF(ABS(F357)&lt;=G357,"OK","ERROR")</f>
        <v/>
      </c>
    </row>
    <row r="358">
      <c r="B358" s="2" t="inlineStr">
        <is>
          <t>fcfe_2033</t>
        </is>
      </c>
      <c r="C358" s="2" t="inlineStr">
        <is>
          <t>Interest</t>
        </is>
      </c>
      <c r="D358" s="19">
        <f>Returns!$K$9</f>
        <v/>
      </c>
      <c r="E358" s="29" t="n">
        <v>66.93000000000001</v>
      </c>
      <c r="F358" s="47">
        <f>D358-E358</f>
        <v/>
      </c>
      <c r="G358" s="46" t="n">
        <v>0.0001</v>
      </c>
      <c r="H358" s="3">
        <f>IF(ABS(F358)&lt;=G358,"OK","ERROR")</f>
        <v/>
      </c>
    </row>
    <row r="359">
      <c r="B359" s="2" t="inlineStr">
        <is>
          <t>fcfe_2033</t>
        </is>
      </c>
      <c r="C359" s="2" t="inlineStr">
        <is>
          <t>Tax</t>
        </is>
      </c>
      <c r="D359" s="19">
        <f>Returns!$K$11</f>
        <v/>
      </c>
      <c r="E359" s="29" t="n">
        <v>15.72372877268055</v>
      </c>
      <c r="F359" s="47">
        <f>D359-E359</f>
        <v/>
      </c>
      <c r="G359" s="46" t="n">
        <v>0.0001</v>
      </c>
      <c r="H359" s="3">
        <f>IF(ABS(F359)&lt;=G359,"OK","ERROR")</f>
        <v/>
      </c>
    </row>
    <row r="360">
      <c r="B360" s="2" t="inlineStr">
        <is>
          <t>fcfe_2036</t>
        </is>
      </c>
      <c r="C360" s="2" t="inlineStr">
        <is>
          <t>Cash flow to equity</t>
        </is>
      </c>
      <c r="D360" s="19">
        <f>Returns!$N$12</f>
        <v/>
      </c>
      <c r="E360" s="29" t="n">
        <v>87.32583093148028</v>
      </c>
      <c r="F360" s="47">
        <f>D360-E360</f>
        <v/>
      </c>
      <c r="G360" s="46" t="n">
        <v>0.0001</v>
      </c>
      <c r="H360" s="3">
        <f>IF(ABS(F360)&lt;=G360,"OK","ERROR")</f>
        <v/>
      </c>
    </row>
    <row r="361">
      <c r="B361" s="2" t="inlineStr">
        <is>
          <t>fcfe_2036</t>
        </is>
      </c>
      <c r="C361" s="2" t="inlineStr">
        <is>
          <t>Interest</t>
        </is>
      </c>
      <c r="D361" s="19">
        <f>Returns!$N$9</f>
        <v/>
      </c>
      <c r="E361" s="29" t="n">
        <v>66.93000000000001</v>
      </c>
      <c r="F361" s="47">
        <f>D361-E361</f>
        <v/>
      </c>
      <c r="G361" s="46" t="n">
        <v>0.0001</v>
      </c>
      <c r="H361" s="3">
        <f>IF(ABS(F361)&lt;=G361,"OK","ERROR")</f>
        <v/>
      </c>
    </row>
    <row r="362">
      <c r="B362" s="2" t="inlineStr">
        <is>
          <t>fcfe_2036</t>
        </is>
      </c>
      <c r="C362" s="2" t="inlineStr">
        <is>
          <t>Tax</t>
        </is>
      </c>
      <c r="D362" s="19">
        <f>Returns!$N$11</f>
        <v/>
      </c>
      <c r="E362" s="29" t="n">
        <v>16.23066579018448</v>
      </c>
      <c r="F362" s="47">
        <f>D362-E362</f>
        <v/>
      </c>
      <c r="G362" s="46" t="n">
        <v>0.0001</v>
      </c>
      <c r="H362" s="3">
        <f>IF(ABS(F362)&lt;=G362,"OK","ERROR")</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2026-10-09T23:32:35Z</dcterms:created>
  <dcterms:modified xmlns:dcterms="http://purl.org/dc/terms/" xmlns:xsi="http://www.w3.org/2001/XMLSchema-instance" xsi:type="dcterms:W3CDTF">2026-10-09T23:32:37Z</dcterms:modified>
</cp:coreProperties>
</file>