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harge" sheetId="1" state="visible" r:id="rId3"/>
    <sheet name="Grids" sheetId="2" state="visible" r:id="rId4"/>
    <sheet name="Symmetric adjustment" sheetId="3" state="visible" r:id="rId5"/>
    <sheet name="Control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<sst xmlns="http://schemas.openxmlformats.org/spreadsheetml/2006/main" count="210" uniqueCount="115">
  <si>
    <t xml:space="preserve">Capital_Charges — the standard formula charge on any asset</t>
  </si>
  <si>
    <t xml:space="preserve">Blue cells are yours. Everything else is a formula.</t>
  </si>
  <si>
    <t xml:space="preserve">DEBT — enter a credit quality step and a duration</t>
  </si>
  <si>
    <t xml:space="preserve">Credit quality (AAA, AA, A, BBB, BB, B, CCC or lower, unrated)</t>
  </si>
  <si>
    <t xml:space="preserve">BB</t>
  </si>
  <si>
    <t xml:space="preserve">Duration, years</t>
  </si>
  <si>
    <t xml:space="preserve">Market value</t>
  </si>
  <si>
    <t xml:space="preserve">Spread stress</t>
  </si>
  <si>
    <t xml:space="preserve">Capital required</t>
  </si>
  <si>
    <t xml:space="preserve">Revised 24 September 2026: qualifying infrastructure takes 77% of the adjustment and infrastructure corporates 92% (the first file passed on all of it). No effect at the book's adjustment of zero.</t>
  </si>
  <si>
    <t xml:space="preserve">EQUITY AND PROPERTY — the charge is a flat rate</t>
  </si>
  <si>
    <t xml:space="preserve">Category</t>
  </si>
  <si>
    <t xml:space="preserve">Base charge</t>
  </si>
  <si>
    <t xml:space="preserve">Symmetric adjustment</t>
  </si>
  <si>
    <t xml:space="preserve">Applied charge</t>
  </si>
  <si>
    <t xml:space="preserve">Share of the adjustment</t>
  </si>
  <si>
    <t xml:space="preserve">Type 1 equity</t>
  </si>
  <si>
    <t xml:space="preserve">Type 2 equity</t>
  </si>
  <si>
    <t xml:space="preserve">Long-term equity investment</t>
  </si>
  <si>
    <t xml:space="preserve">Qualifying infrastructure equity</t>
  </si>
  <si>
    <t xml:space="preserve">Qualifying infrastructure corporate</t>
  </si>
  <si>
    <t xml:space="preserve">Property</t>
  </si>
  <si>
    <t xml:space="preserve">Article 176 — stress = a + b x (duration - lower bound)</t>
  </si>
  <si>
    <t xml:space="preserve">The long-term equity charge is fixed: the symmetric adjustment does not apply to it (art. 171a). That is why its row has no adjustment.</t>
  </si>
  <si>
    <t xml:space="preserve">Band</t>
  </si>
  <si>
    <t xml:space="preserve">Lower bound</t>
  </si>
  <si>
    <t xml:space="preserve">Upper bound</t>
  </si>
  <si>
    <t xml:space="preserve">a</t>
  </si>
  <si>
    <t xml:space="preserve">b</t>
  </si>
  <si>
    <t xml:space="preserve">AAA</t>
  </si>
  <si>
    <t xml:space="preserve">AA</t>
  </si>
  <si>
    <t xml:space="preserve">A</t>
  </si>
  <si>
    <t xml:space="preserve">BBB</t>
  </si>
  <si>
    <t xml:space="preserve">B</t>
  </si>
  <si>
    <t xml:space="preserve">CCC or lower</t>
  </si>
  <si>
    <t xml:space="preserve">unrated</t>
  </si>
  <si>
    <t xml:space="preserve">The grids the book prints, read from the Article 176 table on the Charge sheet</t>
  </si>
  <si>
    <t xml:space="preserve">Blue figures in columns J onward are what the book prints; the Controls sheet compares them cell by cell.</t>
  </si>
  <si>
    <t xml:space="preserve">Chapter 4: spread charge by rating and duration</t>
  </si>
  <si>
    <t xml:space="preserve">Credit quality / duration</t>
  </si>
  <si>
    <t xml:space="preserve">As printed</t>
  </si>
  <si>
    <t xml:space="preserve">Chapter 12: the private credit fund at every plausible quality and duration</t>
  </si>
  <si>
    <t xml:space="preserve">Appendix A: the full table</t>
  </si>
  <si>
    <t xml:space="preserve">Chapter 21: four pairs from the grid</t>
  </si>
  <si>
    <t xml:space="preserve">This exposure</t>
  </si>
  <si>
    <t xml:space="preserve">Duration</t>
  </si>
  <si>
    <t xml:space="preserve">Charge</t>
  </si>
  <si>
    <t xml:space="preserve">Against this one</t>
  </si>
  <si>
    <t xml:space="preserve">Verdict</t>
  </si>
  <si>
    <t xml:space="preserve">charged more</t>
  </si>
  <si>
    <t xml:space="preserve">charged less</t>
  </si>
  <si>
    <t xml:space="preserve">Chapter 24: a credit fund drifting from BB to B at four years</t>
  </si>
  <si>
    <t xml:space="preserve">Chapter 4: CCC or lower at 20 years</t>
  </si>
  <si>
    <t xml:space="preserve">Chapter 12: B at eight years over A at two years</t>
  </si>
  <si>
    <t xml:space="preserve">Chapter 4: one step down at two years, A to BBB and BBB to BB</t>
  </si>
  <si>
    <t xml:space="preserve">Chapter 5: the symmetric adjustment, computed from the index</t>
  </si>
  <si>
    <t xml:space="preserve">Directive art. 106; Delegated Reg. art. 172. The published monthly value goes in Charge!C14; this sheet shows where it comes from.</t>
  </si>
  <si>
    <t xml:space="preserve">Current level of the equity index</t>
  </si>
  <si>
    <t xml:space="preserve">the book's state: 8% above the average</t>
  </si>
  <si>
    <t xml:space="preserve">Weighted average over the previous 36 months</t>
  </si>
  <si>
    <t xml:space="preserve">At an index sitting exactly on its own average</t>
  </si>
  <si>
    <t xml:space="preserve">minus four points, not zero</t>
  </si>
  <si>
    <t xml:space="preserve">Index level at which the adjustment is zero</t>
  </si>
  <si>
    <t xml:space="preserve">Type 2 charge at the upper cap</t>
  </si>
  <si>
    <t xml:space="preserve">Type 2 charge at the lower cap</t>
  </si>
  <si>
    <t xml:space="preserve">Holding</t>
  </si>
  <si>
    <t xml:space="preserve">Capital between the two bounds</t>
  </si>
  <si>
    <t xml:space="preserve">Type 2 charge at the adjustment of row 6</t>
  </si>
  <si>
    <t xml:space="preserve">Controls — every published figure, reproduced live</t>
  </si>
  <si>
    <t xml:space="preserve">Column B is a formula. Column C is the model's value for the figure the book prints (column F). Verdict must read OK.</t>
  </si>
  <si>
    <t xml:space="preserve">Figure</t>
  </si>
  <si>
    <t xml:space="preserve">Reproduced</t>
  </si>
  <si>
    <t xml:space="preserve">Published</t>
  </si>
  <si>
    <t xml:space="preserve">Difference</t>
  </si>
  <si>
    <t xml:space="preserve">In the book</t>
  </si>
  <si>
    <t xml:space="preserve">Spread stress, BB at 4.2 years</t>
  </si>
  <si>
    <t xml:space="preserve">18.90 percent</t>
  </si>
  <si>
    <t xml:space="preserve">Type 2 equity charge applied</t>
  </si>
  <si>
    <t xml:space="preserve">49.00 percent</t>
  </si>
  <si>
    <t xml:space="preserve">Long-term equity charge applied</t>
  </si>
  <si>
    <t xml:space="preserve">22.00 percent</t>
  </si>
  <si>
    <t xml:space="preserve">Property charge applied</t>
  </si>
  <si>
    <t xml:space="preserve">25.00 percent</t>
  </si>
  <si>
    <t xml:space="preserve">Capital on the credit fund</t>
  </si>
  <si>
    <t xml:space="preserve">€28.4 million</t>
  </si>
  <si>
    <t xml:space="preserve">Chapter 4 table: all 42 cells equal the printed values</t>
  </si>
  <si>
    <t xml:space="preserve">Chapter 4</t>
  </si>
  <si>
    <t xml:space="preserve">Chapter 12 grid: all 20 cells equal the printed values</t>
  </si>
  <si>
    <t xml:space="preserve">Chapter 12</t>
  </si>
  <si>
    <t xml:space="preserve">Appendix A table: all 64 cells equal the printed values</t>
  </si>
  <si>
    <t xml:space="preserve">Appendix A</t>
  </si>
  <si>
    <t xml:space="preserve">Chapter 21: the four verdicts</t>
  </si>
  <si>
    <t xml:space="preserve">two charged more, two charged less</t>
  </si>
  <si>
    <t xml:space="preserve">Chapter 24: BB at four years</t>
  </si>
  <si>
    <t xml:space="preserve">18.00 percent</t>
  </si>
  <si>
    <t xml:space="preserve">Chapter 24: B at four years</t>
  </si>
  <si>
    <t xml:space="preserve">30.00 percent</t>
  </si>
  <si>
    <t xml:space="preserve">63.50 percent</t>
  </si>
  <si>
    <t xml:space="preserve">Chapter 12: B at eight years over A at two</t>
  </si>
  <si>
    <t xml:space="preserve">an eighteen-fold difference</t>
  </si>
  <si>
    <t xml:space="preserve">Chapter 4: A to BBB at two years</t>
  </si>
  <si>
    <t xml:space="preserve">roughly 1.8</t>
  </si>
  <si>
    <t xml:space="preserve">Chapter 4: BBB to BB at two years</t>
  </si>
  <si>
    <t xml:space="preserve">Symmetric adjustment at the book's index</t>
  </si>
  <si>
    <t xml:space="preserve">zero: the index 8 per cent above its average</t>
  </si>
  <si>
    <t xml:space="preserve">Symmetric adjustment at the average</t>
  </si>
  <si>
    <t xml:space="preserve">−4.00 percentage points</t>
  </si>
  <si>
    <t xml:space="preserve">Type 2 at the upper cap</t>
  </si>
  <si>
    <t xml:space="preserve">toward 59.00 percent</t>
  </si>
  <si>
    <t xml:space="preserve">Capital between the two bounds on €150.0 million</t>
  </si>
  <si>
    <t xml:space="preserve">€30.0 million</t>
  </si>
  <si>
    <t xml:space="preserve">The published adjustment in Charge!C14 is the one the index gives</t>
  </si>
  <si>
    <t xml:space="preserve">the book assumes zero</t>
  </si>
  <si>
    <t xml:space="preserve">Controls failing</t>
  </si>
  <si>
    <t xml:space="preserve">All controls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</si>
</sst>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"/>
    <numFmt numFmtId="166" formatCode="#,##0"/>
    <numFmt numFmtId="167" formatCode="0%"/>
    <numFmt numFmtId="168" formatCode="0.0000"/>
    <numFmt numFmtId="169" formatCode="0.0"/>
    <numFmt numFmtId="170" formatCode="0.00\x"/>
    <numFmt numFmtId="171" formatCode="0.00"/>
    <numFmt numFmtId="172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CC"/>
      <name val="Arial"/>
      <family val="0"/>
      <charset val="1"/>
    </font>
    <font>
      <sz val="10"/>
      <name val="Arial"/>
      <family val="0"/>
      <charset val="1"/>
    </font>
    <font>
      <sz val="9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EEEEEE"/>
      </patternFill>
    </fill>
    <fill>
      <patternFill patternType="solid">
        <fgColor rgb="FFEEEEEE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6" min="5" style="0" width="1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0" t="s">
        <v>3</v>
      </c>
      <c r="B5" s="4" t="s">
        <v>4</v>
      </c>
    </row>
    <row r="6" customFormat="false" ht="15" hidden="false" customHeight="false" outlineLevel="0" collapsed="false">
      <c r="A6" s="0" t="s">
        <v>5</v>
      </c>
      <c r="B6" s="4" t="n">
        <v>4.2</v>
      </c>
    </row>
    <row r="7" customFormat="false" ht="15" hidden="false" customHeight="false" outlineLevel="0" collapsed="false">
      <c r="A7" s="0" t="s">
        <v>6</v>
      </c>
      <c r="B7" s="4" t="n">
        <v>150000000</v>
      </c>
    </row>
    <row r="9" customFormat="false" ht="15" hidden="false" customHeight="false" outlineLevel="0" collapsed="false">
      <c r="A9" s="3" t="s">
        <v>7</v>
      </c>
      <c r="B9" s="5" t="n">
        <f aca="false">MIN(1,SUMPRODUCT(($B$5=Charge!$A$22:$A$61)*($B$6&gt;Charge!$C$22:$C$61)*($B$6&lt;=Charge!$D$22:$D$61)*(Charge!$E$22:$E$61+Charge!$F$22:$F$61*($B$6-Charge!$C$22:$C$61))))</f>
        <v>0.189</v>
      </c>
    </row>
    <row r="10" customFormat="false" ht="15" hidden="false" customHeight="false" outlineLevel="0" collapsed="false">
      <c r="A10" s="3" t="s">
        <v>8</v>
      </c>
      <c r="B10" s="6" t="n">
        <f aca="false">B9*B7</f>
        <v>28350000</v>
      </c>
    </row>
    <row r="11" customFormat="false" ht="15" hidden="false" customHeight="false" outlineLevel="0" collapsed="false">
      <c r="A11" s="7" t="s">
        <v>9</v>
      </c>
    </row>
    <row r="12" customFormat="false" ht="15" hidden="false" customHeight="false" outlineLevel="0" collapsed="false">
      <c r="A12" s="3" t="s">
        <v>10</v>
      </c>
    </row>
    <row r="13" customFormat="false" ht="15" hidden="false" customHeight="false" outlineLevel="0" collapsed="false">
      <c r="A13" s="8" t="s">
        <v>11</v>
      </c>
      <c r="B13" s="8" t="s">
        <v>12</v>
      </c>
      <c r="C13" s="8" t="s">
        <v>13</v>
      </c>
      <c r="D13" s="8" t="s">
        <v>14</v>
      </c>
      <c r="E13" s="8" t="s">
        <v>15</v>
      </c>
    </row>
    <row r="14" customFormat="false" ht="15" hidden="false" customHeight="false" outlineLevel="0" collapsed="false">
      <c r="A14" s="9" t="s">
        <v>16</v>
      </c>
      <c r="B14" s="10" t="n">
        <v>0.39</v>
      </c>
      <c r="C14" s="11" t="n">
        <v>0</v>
      </c>
      <c r="D14" s="5" t="n">
        <f aca="false">MAX(0,B14+C14*E14)</f>
        <v>0.39</v>
      </c>
      <c r="E14" s="12" t="n">
        <v>1</v>
      </c>
    </row>
    <row r="15" customFormat="false" ht="15" hidden="false" customHeight="false" outlineLevel="0" collapsed="false">
      <c r="A15" s="9" t="s">
        <v>17</v>
      </c>
      <c r="B15" s="10" t="n">
        <v>0.49</v>
      </c>
      <c r="C15" s="5" t="n">
        <f aca="false">$C$14*E15</f>
        <v>0</v>
      </c>
      <c r="D15" s="5" t="n">
        <f aca="false">MAX(0,B15+C15)</f>
        <v>0.49</v>
      </c>
      <c r="E15" s="12" t="n">
        <v>1</v>
      </c>
    </row>
    <row r="16" customFormat="false" ht="15" hidden="false" customHeight="false" outlineLevel="0" collapsed="false">
      <c r="A16" s="9" t="s">
        <v>18</v>
      </c>
      <c r="B16" s="10" t="n">
        <v>0.22</v>
      </c>
      <c r="C16" s="5" t="n">
        <f aca="false">$C$14*E16</f>
        <v>0</v>
      </c>
      <c r="D16" s="5" t="n">
        <f aca="false">B16</f>
        <v>0.22</v>
      </c>
      <c r="E16" s="12" t="n">
        <v>0</v>
      </c>
    </row>
    <row r="17" customFormat="false" ht="15" hidden="false" customHeight="false" outlineLevel="0" collapsed="false">
      <c r="A17" s="9" t="s">
        <v>19</v>
      </c>
      <c r="B17" s="10" t="n">
        <v>0.3</v>
      </c>
      <c r="C17" s="5" t="n">
        <f aca="false">$C$14*E17</f>
        <v>0</v>
      </c>
      <c r="D17" s="5" t="n">
        <f aca="false">MAX(0,B17+C17)</f>
        <v>0.3</v>
      </c>
      <c r="E17" s="12" t="n">
        <v>0.77</v>
      </c>
    </row>
    <row r="18" customFormat="false" ht="15" hidden="false" customHeight="false" outlineLevel="0" collapsed="false">
      <c r="A18" s="9" t="s">
        <v>20</v>
      </c>
      <c r="B18" s="10" t="n">
        <v>0.36</v>
      </c>
      <c r="C18" s="5" t="n">
        <f aca="false">$C$14*E18</f>
        <v>0</v>
      </c>
      <c r="D18" s="5" t="n">
        <f aca="false">MAX(0,B18+C18)</f>
        <v>0.36</v>
      </c>
      <c r="E18" s="12" t="n">
        <v>0.92</v>
      </c>
    </row>
    <row r="19" customFormat="false" ht="15" hidden="false" customHeight="false" outlineLevel="0" collapsed="false">
      <c r="A19" s="9" t="s">
        <v>21</v>
      </c>
      <c r="B19" s="10" t="n">
        <v>0.25</v>
      </c>
      <c r="C19" s="5" t="n">
        <f aca="false">$C$14*E19</f>
        <v>0</v>
      </c>
      <c r="D19" s="5" t="n">
        <f aca="false">B19</f>
        <v>0.25</v>
      </c>
      <c r="E19" s="12" t="n">
        <v>0</v>
      </c>
    </row>
    <row r="20" customFormat="false" ht="15" hidden="false" customHeight="false" outlineLevel="0" collapsed="false">
      <c r="A20" s="3" t="s">
        <v>22</v>
      </c>
    </row>
    <row r="21" customFormat="false" ht="15" hidden="false" customHeight="false" outlineLevel="0" collapsed="false">
      <c r="A21" s="13" t="s">
        <v>23</v>
      </c>
      <c r="B21" s="8" t="s">
        <v>24</v>
      </c>
      <c r="C21" s="8" t="s">
        <v>25</v>
      </c>
      <c r="D21" s="8" t="s">
        <v>26</v>
      </c>
      <c r="E21" s="8" t="s">
        <v>27</v>
      </c>
      <c r="F21" s="8" t="s">
        <v>28</v>
      </c>
    </row>
    <row r="22" customFormat="false" ht="15" hidden="false" customHeight="false" outlineLevel="0" collapsed="false">
      <c r="A22" s="9" t="s">
        <v>29</v>
      </c>
      <c r="B22" s="9" t="n">
        <v>1</v>
      </c>
      <c r="C22" s="14" t="n">
        <v>0</v>
      </c>
      <c r="D22" s="14" t="n">
        <v>5</v>
      </c>
      <c r="E22" s="14" t="n">
        <v>0</v>
      </c>
      <c r="F22" s="14" t="n">
        <v>0.009</v>
      </c>
    </row>
    <row r="23" customFormat="false" ht="15" hidden="false" customHeight="false" outlineLevel="0" collapsed="false">
      <c r="A23" s="9" t="s">
        <v>29</v>
      </c>
      <c r="B23" s="9" t="n">
        <v>2</v>
      </c>
      <c r="C23" s="14" t="n">
        <v>5</v>
      </c>
      <c r="D23" s="14" t="n">
        <v>10</v>
      </c>
      <c r="E23" s="14" t="n">
        <v>0.045</v>
      </c>
      <c r="F23" s="14" t="n">
        <v>0.005</v>
      </c>
    </row>
    <row r="24" customFormat="false" ht="15" hidden="false" customHeight="false" outlineLevel="0" collapsed="false">
      <c r="A24" s="9" t="s">
        <v>29</v>
      </c>
      <c r="B24" s="9" t="n">
        <v>3</v>
      </c>
      <c r="C24" s="14" t="n">
        <v>10</v>
      </c>
      <c r="D24" s="14" t="n">
        <v>15</v>
      </c>
      <c r="E24" s="14" t="n">
        <v>0.07</v>
      </c>
      <c r="F24" s="14" t="n">
        <v>0.005</v>
      </c>
    </row>
    <row r="25" customFormat="false" ht="15" hidden="false" customHeight="false" outlineLevel="0" collapsed="false">
      <c r="A25" s="9" t="s">
        <v>29</v>
      </c>
      <c r="B25" s="9" t="n">
        <v>4</v>
      </c>
      <c r="C25" s="14" t="n">
        <v>15</v>
      </c>
      <c r="D25" s="14" t="n">
        <v>20</v>
      </c>
      <c r="E25" s="14" t="n">
        <v>0.095</v>
      </c>
      <c r="F25" s="14" t="n">
        <v>0.005</v>
      </c>
    </row>
    <row r="26" customFormat="false" ht="15" hidden="false" customHeight="false" outlineLevel="0" collapsed="false">
      <c r="A26" s="9" t="s">
        <v>29</v>
      </c>
      <c r="B26" s="9" t="n">
        <v>5</v>
      </c>
      <c r="C26" s="14" t="n">
        <v>20</v>
      </c>
      <c r="D26" s="14" t="n">
        <v>100</v>
      </c>
      <c r="E26" s="14" t="n">
        <v>0.12</v>
      </c>
      <c r="F26" s="14" t="n">
        <v>0.005</v>
      </c>
    </row>
    <row r="27" customFormat="false" ht="15" hidden="false" customHeight="false" outlineLevel="0" collapsed="false">
      <c r="A27" s="9" t="s">
        <v>30</v>
      </c>
      <c r="B27" s="9" t="n">
        <v>1</v>
      </c>
      <c r="C27" s="14" t="n">
        <v>0</v>
      </c>
      <c r="D27" s="14" t="n">
        <v>5</v>
      </c>
      <c r="E27" s="14" t="n">
        <v>0</v>
      </c>
      <c r="F27" s="14" t="n">
        <v>0.011</v>
      </c>
    </row>
    <row r="28" customFormat="false" ht="15" hidden="false" customHeight="false" outlineLevel="0" collapsed="false">
      <c r="A28" s="9" t="s">
        <v>30</v>
      </c>
      <c r="B28" s="9" t="n">
        <v>2</v>
      </c>
      <c r="C28" s="14" t="n">
        <v>5</v>
      </c>
      <c r="D28" s="14" t="n">
        <v>10</v>
      </c>
      <c r="E28" s="14" t="n">
        <v>0.055</v>
      </c>
      <c r="F28" s="14" t="n">
        <v>0.006</v>
      </c>
    </row>
    <row r="29" customFormat="false" ht="15" hidden="false" customHeight="false" outlineLevel="0" collapsed="false">
      <c r="A29" s="9" t="s">
        <v>30</v>
      </c>
      <c r="B29" s="9" t="n">
        <v>3</v>
      </c>
      <c r="C29" s="14" t="n">
        <v>10</v>
      </c>
      <c r="D29" s="14" t="n">
        <v>15</v>
      </c>
      <c r="E29" s="14" t="n">
        <v>0.084</v>
      </c>
      <c r="F29" s="14" t="n">
        <v>0.005</v>
      </c>
    </row>
    <row r="30" customFormat="false" ht="15" hidden="false" customHeight="false" outlineLevel="0" collapsed="false">
      <c r="A30" s="9" t="s">
        <v>30</v>
      </c>
      <c r="B30" s="9" t="n">
        <v>4</v>
      </c>
      <c r="C30" s="14" t="n">
        <v>15</v>
      </c>
      <c r="D30" s="14" t="n">
        <v>20</v>
      </c>
      <c r="E30" s="14" t="n">
        <v>0.109</v>
      </c>
      <c r="F30" s="14" t="n">
        <v>0.005</v>
      </c>
    </row>
    <row r="31" customFormat="false" ht="15" hidden="false" customHeight="false" outlineLevel="0" collapsed="false">
      <c r="A31" s="9" t="s">
        <v>30</v>
      </c>
      <c r="B31" s="9" t="n">
        <v>5</v>
      </c>
      <c r="C31" s="14" t="n">
        <v>20</v>
      </c>
      <c r="D31" s="14" t="n">
        <v>100</v>
      </c>
      <c r="E31" s="14" t="n">
        <v>0.134</v>
      </c>
      <c r="F31" s="14" t="n">
        <v>0.005</v>
      </c>
    </row>
    <row r="32" customFormat="false" ht="15" hidden="false" customHeight="false" outlineLevel="0" collapsed="false">
      <c r="A32" s="9" t="s">
        <v>31</v>
      </c>
      <c r="B32" s="9" t="n">
        <v>1</v>
      </c>
      <c r="C32" s="14" t="n">
        <v>0</v>
      </c>
      <c r="D32" s="14" t="n">
        <v>5</v>
      </c>
      <c r="E32" s="14" t="n">
        <v>0</v>
      </c>
      <c r="F32" s="14" t="n">
        <v>0.014</v>
      </c>
    </row>
    <row r="33" customFormat="false" ht="15" hidden="false" customHeight="false" outlineLevel="0" collapsed="false">
      <c r="A33" s="9" t="s">
        <v>31</v>
      </c>
      <c r="B33" s="9" t="n">
        <v>2</v>
      </c>
      <c r="C33" s="14" t="n">
        <v>5</v>
      </c>
      <c r="D33" s="14" t="n">
        <v>10</v>
      </c>
      <c r="E33" s="14" t="n">
        <v>0.07</v>
      </c>
      <c r="F33" s="14" t="n">
        <v>0.007</v>
      </c>
    </row>
    <row r="34" customFormat="false" ht="15" hidden="false" customHeight="false" outlineLevel="0" collapsed="false">
      <c r="A34" s="9" t="s">
        <v>31</v>
      </c>
      <c r="B34" s="9" t="n">
        <v>3</v>
      </c>
      <c r="C34" s="14" t="n">
        <v>10</v>
      </c>
      <c r="D34" s="14" t="n">
        <v>15</v>
      </c>
      <c r="E34" s="14" t="n">
        <v>0.105</v>
      </c>
      <c r="F34" s="14" t="n">
        <v>0.005</v>
      </c>
    </row>
    <row r="35" customFormat="false" ht="15" hidden="false" customHeight="false" outlineLevel="0" collapsed="false">
      <c r="A35" s="9" t="s">
        <v>31</v>
      </c>
      <c r="B35" s="9" t="n">
        <v>4</v>
      </c>
      <c r="C35" s="14" t="n">
        <v>15</v>
      </c>
      <c r="D35" s="14" t="n">
        <v>20</v>
      </c>
      <c r="E35" s="14" t="n">
        <v>0.13</v>
      </c>
      <c r="F35" s="14" t="n">
        <v>0.005</v>
      </c>
    </row>
    <row r="36" customFormat="false" ht="15" hidden="false" customHeight="false" outlineLevel="0" collapsed="false">
      <c r="A36" s="9" t="s">
        <v>31</v>
      </c>
      <c r="B36" s="9" t="n">
        <v>5</v>
      </c>
      <c r="C36" s="14" t="n">
        <v>20</v>
      </c>
      <c r="D36" s="14" t="n">
        <v>100</v>
      </c>
      <c r="E36" s="14" t="n">
        <v>0.155</v>
      </c>
      <c r="F36" s="14" t="n">
        <v>0.005</v>
      </c>
    </row>
    <row r="37" customFormat="false" ht="15" hidden="false" customHeight="false" outlineLevel="0" collapsed="false">
      <c r="A37" s="9" t="s">
        <v>32</v>
      </c>
      <c r="B37" s="9" t="n">
        <v>1</v>
      </c>
      <c r="C37" s="14" t="n">
        <v>0</v>
      </c>
      <c r="D37" s="14" t="n">
        <v>5</v>
      </c>
      <c r="E37" s="14" t="n">
        <v>0</v>
      </c>
      <c r="F37" s="14" t="n">
        <v>0.025</v>
      </c>
    </row>
    <row r="38" customFormat="false" ht="15" hidden="false" customHeight="false" outlineLevel="0" collapsed="false">
      <c r="A38" s="9" t="s">
        <v>32</v>
      </c>
      <c r="B38" s="9" t="n">
        <v>2</v>
      </c>
      <c r="C38" s="14" t="n">
        <v>5</v>
      </c>
      <c r="D38" s="14" t="n">
        <v>10</v>
      </c>
      <c r="E38" s="14" t="n">
        <v>0.125</v>
      </c>
      <c r="F38" s="14" t="n">
        <v>0.015</v>
      </c>
    </row>
    <row r="39" customFormat="false" ht="15" hidden="false" customHeight="false" outlineLevel="0" collapsed="false">
      <c r="A39" s="9" t="s">
        <v>32</v>
      </c>
      <c r="B39" s="9" t="n">
        <v>3</v>
      </c>
      <c r="C39" s="14" t="n">
        <v>10</v>
      </c>
      <c r="D39" s="14" t="n">
        <v>15</v>
      </c>
      <c r="E39" s="14" t="n">
        <v>0.2</v>
      </c>
      <c r="F39" s="14" t="n">
        <v>0.01</v>
      </c>
    </row>
    <row r="40" customFormat="false" ht="15" hidden="false" customHeight="false" outlineLevel="0" collapsed="false">
      <c r="A40" s="9" t="s">
        <v>32</v>
      </c>
      <c r="B40" s="9" t="n">
        <v>4</v>
      </c>
      <c r="C40" s="14" t="n">
        <v>15</v>
      </c>
      <c r="D40" s="14" t="n">
        <v>20</v>
      </c>
      <c r="E40" s="14" t="n">
        <v>0.25</v>
      </c>
      <c r="F40" s="14" t="n">
        <v>0.01</v>
      </c>
    </row>
    <row r="41" customFormat="false" ht="15" hidden="false" customHeight="false" outlineLevel="0" collapsed="false">
      <c r="A41" s="9" t="s">
        <v>32</v>
      </c>
      <c r="B41" s="9" t="n">
        <v>5</v>
      </c>
      <c r="C41" s="14" t="n">
        <v>20</v>
      </c>
      <c r="D41" s="14" t="n">
        <v>100</v>
      </c>
      <c r="E41" s="14" t="n">
        <v>0.3</v>
      </c>
      <c r="F41" s="14" t="n">
        <v>0.005</v>
      </c>
    </row>
    <row r="42" customFormat="false" ht="15" hidden="false" customHeight="false" outlineLevel="0" collapsed="false">
      <c r="A42" s="9" t="s">
        <v>4</v>
      </c>
      <c r="B42" s="9" t="n">
        <v>1</v>
      </c>
      <c r="C42" s="14" t="n">
        <v>0</v>
      </c>
      <c r="D42" s="14" t="n">
        <v>5</v>
      </c>
      <c r="E42" s="14" t="n">
        <v>0</v>
      </c>
      <c r="F42" s="14" t="n">
        <v>0.045</v>
      </c>
    </row>
    <row r="43" customFormat="false" ht="15" hidden="false" customHeight="false" outlineLevel="0" collapsed="false">
      <c r="A43" s="9" t="s">
        <v>4</v>
      </c>
      <c r="B43" s="9" t="n">
        <v>2</v>
      </c>
      <c r="C43" s="14" t="n">
        <v>5</v>
      </c>
      <c r="D43" s="14" t="n">
        <v>10</v>
      </c>
      <c r="E43" s="14" t="n">
        <v>0.225</v>
      </c>
      <c r="F43" s="14" t="n">
        <v>0.025</v>
      </c>
    </row>
    <row r="44" customFormat="false" ht="15" hidden="false" customHeight="false" outlineLevel="0" collapsed="false">
      <c r="A44" s="9" t="s">
        <v>4</v>
      </c>
      <c r="B44" s="9" t="n">
        <v>3</v>
      </c>
      <c r="C44" s="14" t="n">
        <v>10</v>
      </c>
      <c r="D44" s="14" t="n">
        <v>15</v>
      </c>
      <c r="E44" s="14" t="n">
        <v>0.35</v>
      </c>
      <c r="F44" s="14" t="n">
        <v>0.018</v>
      </c>
    </row>
    <row r="45" customFormat="false" ht="15" hidden="false" customHeight="false" outlineLevel="0" collapsed="false">
      <c r="A45" s="9" t="s">
        <v>4</v>
      </c>
      <c r="B45" s="9" t="n">
        <v>4</v>
      </c>
      <c r="C45" s="14" t="n">
        <v>15</v>
      </c>
      <c r="D45" s="14" t="n">
        <v>20</v>
      </c>
      <c r="E45" s="14" t="n">
        <v>0.44</v>
      </c>
      <c r="F45" s="14" t="n">
        <v>0.005</v>
      </c>
    </row>
    <row r="46" customFormat="false" ht="15" hidden="false" customHeight="false" outlineLevel="0" collapsed="false">
      <c r="A46" s="9" t="s">
        <v>4</v>
      </c>
      <c r="B46" s="9" t="n">
        <v>5</v>
      </c>
      <c r="C46" s="14" t="n">
        <v>20</v>
      </c>
      <c r="D46" s="14" t="n">
        <v>100</v>
      </c>
      <c r="E46" s="14" t="n">
        <v>0.465</v>
      </c>
      <c r="F46" s="14" t="n">
        <v>0.005</v>
      </c>
    </row>
    <row r="47" customFormat="false" ht="15" hidden="false" customHeight="false" outlineLevel="0" collapsed="false">
      <c r="A47" s="9" t="s">
        <v>33</v>
      </c>
      <c r="B47" s="9" t="n">
        <v>1</v>
      </c>
      <c r="C47" s="14" t="n">
        <v>0</v>
      </c>
      <c r="D47" s="14" t="n">
        <v>5</v>
      </c>
      <c r="E47" s="14" t="n">
        <v>0</v>
      </c>
      <c r="F47" s="14" t="n">
        <v>0.075</v>
      </c>
    </row>
    <row r="48" customFormat="false" ht="15" hidden="false" customHeight="false" outlineLevel="0" collapsed="false">
      <c r="A48" s="9" t="s">
        <v>33</v>
      </c>
      <c r="B48" s="9" t="n">
        <v>2</v>
      </c>
      <c r="C48" s="14" t="n">
        <v>5</v>
      </c>
      <c r="D48" s="14" t="n">
        <v>10</v>
      </c>
      <c r="E48" s="14" t="n">
        <v>0.375</v>
      </c>
      <c r="F48" s="14" t="n">
        <v>0.042</v>
      </c>
    </row>
    <row r="49" customFormat="false" ht="15" hidden="false" customHeight="false" outlineLevel="0" collapsed="false">
      <c r="A49" s="9" t="s">
        <v>33</v>
      </c>
      <c r="B49" s="9" t="n">
        <v>3</v>
      </c>
      <c r="C49" s="14" t="n">
        <v>10</v>
      </c>
      <c r="D49" s="14" t="n">
        <v>15</v>
      </c>
      <c r="E49" s="14" t="n">
        <v>0.585</v>
      </c>
      <c r="F49" s="14" t="n">
        <v>0.005</v>
      </c>
    </row>
    <row r="50" customFormat="false" ht="15" hidden="false" customHeight="false" outlineLevel="0" collapsed="false">
      <c r="A50" s="9" t="s">
        <v>33</v>
      </c>
      <c r="B50" s="9" t="n">
        <v>4</v>
      </c>
      <c r="C50" s="14" t="n">
        <v>15</v>
      </c>
      <c r="D50" s="14" t="n">
        <v>20</v>
      </c>
      <c r="E50" s="14" t="n">
        <v>0.61</v>
      </c>
      <c r="F50" s="14" t="n">
        <v>0.005</v>
      </c>
    </row>
    <row r="51" customFormat="false" ht="15" hidden="false" customHeight="false" outlineLevel="0" collapsed="false">
      <c r="A51" s="9" t="s">
        <v>33</v>
      </c>
      <c r="B51" s="9" t="n">
        <v>5</v>
      </c>
      <c r="C51" s="14" t="n">
        <v>20</v>
      </c>
      <c r="D51" s="14" t="n">
        <v>100</v>
      </c>
      <c r="E51" s="14" t="n">
        <v>0.635</v>
      </c>
      <c r="F51" s="14" t="n">
        <v>0.005</v>
      </c>
    </row>
    <row r="52" customFormat="false" ht="15" hidden="false" customHeight="false" outlineLevel="0" collapsed="false">
      <c r="A52" s="9" t="s">
        <v>34</v>
      </c>
      <c r="B52" s="9" t="n">
        <v>1</v>
      </c>
      <c r="C52" s="14" t="n">
        <v>0</v>
      </c>
      <c r="D52" s="14" t="n">
        <v>5</v>
      </c>
      <c r="E52" s="14" t="n">
        <v>0</v>
      </c>
      <c r="F52" s="14" t="n">
        <v>0.075</v>
      </c>
    </row>
    <row r="53" customFormat="false" ht="15" hidden="false" customHeight="false" outlineLevel="0" collapsed="false">
      <c r="A53" s="9" t="s">
        <v>34</v>
      </c>
      <c r="B53" s="9" t="n">
        <v>2</v>
      </c>
      <c r="C53" s="14" t="n">
        <v>5</v>
      </c>
      <c r="D53" s="14" t="n">
        <v>10</v>
      </c>
      <c r="E53" s="14" t="n">
        <v>0.375</v>
      </c>
      <c r="F53" s="14" t="n">
        <v>0.042</v>
      </c>
    </row>
    <row r="54" customFormat="false" ht="15" hidden="false" customHeight="false" outlineLevel="0" collapsed="false">
      <c r="A54" s="9" t="s">
        <v>34</v>
      </c>
      <c r="B54" s="9" t="n">
        <v>3</v>
      </c>
      <c r="C54" s="14" t="n">
        <v>10</v>
      </c>
      <c r="D54" s="14" t="n">
        <v>15</v>
      </c>
      <c r="E54" s="14" t="n">
        <v>0.585</v>
      </c>
      <c r="F54" s="14" t="n">
        <v>0.005</v>
      </c>
    </row>
    <row r="55" customFormat="false" ht="15" hidden="false" customHeight="false" outlineLevel="0" collapsed="false">
      <c r="A55" s="9" t="s">
        <v>34</v>
      </c>
      <c r="B55" s="9" t="n">
        <v>4</v>
      </c>
      <c r="C55" s="14" t="n">
        <v>15</v>
      </c>
      <c r="D55" s="14" t="n">
        <v>20</v>
      </c>
      <c r="E55" s="14" t="n">
        <v>0.61</v>
      </c>
      <c r="F55" s="14" t="n">
        <v>0.005</v>
      </c>
    </row>
    <row r="56" customFormat="false" ht="15" hidden="false" customHeight="false" outlineLevel="0" collapsed="false">
      <c r="A56" s="9" t="s">
        <v>34</v>
      </c>
      <c r="B56" s="9" t="n">
        <v>5</v>
      </c>
      <c r="C56" s="14" t="n">
        <v>20</v>
      </c>
      <c r="D56" s="14" t="n">
        <v>100</v>
      </c>
      <c r="E56" s="14" t="n">
        <v>0.635</v>
      </c>
      <c r="F56" s="14" t="n">
        <v>0.005</v>
      </c>
    </row>
    <row r="57" customFormat="false" ht="15" hidden="false" customHeight="false" outlineLevel="0" collapsed="false">
      <c r="A57" s="9" t="s">
        <v>35</v>
      </c>
      <c r="B57" s="9" t="n">
        <v>1</v>
      </c>
      <c r="C57" s="14" t="n">
        <v>0</v>
      </c>
      <c r="D57" s="14" t="n">
        <v>5</v>
      </c>
      <c r="E57" s="14" t="n">
        <v>0</v>
      </c>
      <c r="F57" s="14" t="n">
        <v>0.03</v>
      </c>
    </row>
    <row r="58" customFormat="false" ht="15" hidden="false" customHeight="false" outlineLevel="0" collapsed="false">
      <c r="A58" s="9" t="s">
        <v>35</v>
      </c>
      <c r="B58" s="9" t="n">
        <v>2</v>
      </c>
      <c r="C58" s="14" t="n">
        <v>5</v>
      </c>
      <c r="D58" s="14" t="n">
        <v>10</v>
      </c>
      <c r="E58" s="14" t="n">
        <v>0.15</v>
      </c>
      <c r="F58" s="14" t="n">
        <v>0.017</v>
      </c>
    </row>
    <row r="59" customFormat="false" ht="15" hidden="false" customHeight="false" outlineLevel="0" collapsed="false">
      <c r="A59" s="9" t="s">
        <v>35</v>
      </c>
      <c r="B59" s="9" t="n">
        <v>3</v>
      </c>
      <c r="C59" s="14" t="n">
        <v>10</v>
      </c>
      <c r="D59" s="14" t="n">
        <v>15</v>
      </c>
      <c r="E59" s="14" t="n">
        <v>0.235</v>
      </c>
      <c r="F59" s="14" t="n">
        <v>0.012</v>
      </c>
    </row>
    <row r="60" customFormat="false" ht="15" hidden="false" customHeight="false" outlineLevel="0" collapsed="false">
      <c r="A60" s="9" t="s">
        <v>35</v>
      </c>
      <c r="B60" s="9" t="n">
        <v>4</v>
      </c>
      <c r="C60" s="14" t="n">
        <v>15</v>
      </c>
      <c r="D60" s="14" t="n">
        <v>20</v>
      </c>
      <c r="E60" s="14" t="n">
        <v>0.295</v>
      </c>
      <c r="F60" s="14" t="n">
        <v>0.012</v>
      </c>
    </row>
    <row r="61" customFormat="false" ht="15" hidden="false" customHeight="false" outlineLevel="0" collapsed="false">
      <c r="A61" s="9" t="s">
        <v>35</v>
      </c>
      <c r="B61" s="9" t="n">
        <v>5</v>
      </c>
      <c r="C61" s="14" t="n">
        <v>20</v>
      </c>
      <c r="D61" s="14" t="n">
        <v>100</v>
      </c>
      <c r="E61" s="14" t="n">
        <v>0.355</v>
      </c>
      <c r="F61" s="14" t="n">
        <v>0.005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8" min="2" style="0" width="11"/>
  </cols>
  <sheetData>
    <row r="1" customFormat="false" ht="15" hidden="false" customHeight="false" outlineLevel="0" collapsed="false">
      <c r="A1" s="1" t="s">
        <v>36</v>
      </c>
    </row>
    <row r="2" customFormat="false" ht="15" hidden="false" customHeight="false" outlineLevel="0" collapsed="false">
      <c r="A2" s="7" t="s">
        <v>37</v>
      </c>
    </row>
    <row r="4" customFormat="false" ht="15" hidden="false" customHeight="false" outlineLevel="0" collapsed="false">
      <c r="A4" s="3" t="s">
        <v>38</v>
      </c>
    </row>
    <row r="5" customFormat="false" ht="15" hidden="false" customHeight="false" outlineLevel="0" collapsed="false">
      <c r="A5" s="8" t="s">
        <v>39</v>
      </c>
      <c r="B5" s="15" t="n">
        <v>2</v>
      </c>
      <c r="C5" s="15" t="n">
        <v>4.2</v>
      </c>
      <c r="D5" s="15" t="n">
        <v>7</v>
      </c>
      <c r="E5" s="15" t="n">
        <v>12</v>
      </c>
      <c r="F5" s="15" t="n">
        <v>18</v>
      </c>
      <c r="G5" s="15" t="n">
        <v>25</v>
      </c>
      <c r="J5" s="8" t="s">
        <v>40</v>
      </c>
      <c r="K5" s="15" t="n">
        <v>2</v>
      </c>
      <c r="L5" s="15" t="n">
        <v>4.2</v>
      </c>
      <c r="M5" s="15" t="n">
        <v>7</v>
      </c>
      <c r="N5" s="15" t="n">
        <v>12</v>
      </c>
      <c r="O5" s="15" t="n">
        <v>18</v>
      </c>
      <c r="P5" s="15" t="n">
        <v>25</v>
      </c>
    </row>
    <row r="6" customFormat="false" ht="15" hidden="false" customHeight="false" outlineLevel="0" collapsed="false">
      <c r="A6" s="9" t="s">
        <v>29</v>
      </c>
      <c r="B6" s="5" t="n">
        <f aca="false">MIN(1,SUMPRODUCT(($A6=Charge!$A$22:$A$61)*(B$5&gt;Charge!$C$22:$C$61)*(B$5&lt;=Charge!$D$22:$D$61)*(Charge!$E$22:$E$61+Charge!$F$22:$F$61*(B$5-Charge!$C$22:$C$61))))</f>
        <v>0.018</v>
      </c>
      <c r="C6" s="5" t="n">
        <f aca="false">MIN(1,SUMPRODUCT(($A6=Charge!$A$22:$A$61)*(C$5&gt;Charge!$C$22:$C$61)*(C$5&lt;=Charge!$D$22:$D$61)*(Charge!$E$22:$E$61+Charge!$F$22:$F$61*(C$5-Charge!$C$22:$C$61))))</f>
        <v>0.0378</v>
      </c>
      <c r="D6" s="5" t="n">
        <f aca="false">MIN(1,SUMPRODUCT(($A6=Charge!$A$22:$A$61)*(D$5&gt;Charge!$C$22:$C$61)*(D$5&lt;=Charge!$D$22:$D$61)*(Charge!$E$22:$E$61+Charge!$F$22:$F$61*(D$5-Charge!$C$22:$C$61))))</f>
        <v>0.055</v>
      </c>
      <c r="E6" s="5" t="n">
        <f aca="false">MIN(1,SUMPRODUCT(($A6=Charge!$A$22:$A$61)*(E$5&gt;Charge!$C$22:$C$61)*(E$5&lt;=Charge!$D$22:$D$61)*(Charge!$E$22:$E$61+Charge!$F$22:$F$61*(E$5-Charge!$C$22:$C$61))))</f>
        <v>0.08</v>
      </c>
      <c r="F6" s="5" t="n">
        <f aca="false">MIN(1,SUMPRODUCT(($A6=Charge!$A$22:$A$61)*(F$5&gt;Charge!$C$22:$C$61)*(F$5&lt;=Charge!$D$22:$D$61)*(Charge!$E$22:$E$61+Charge!$F$22:$F$61*(F$5-Charge!$C$22:$C$61))))</f>
        <v>0.11</v>
      </c>
      <c r="G6" s="5" t="n">
        <f aca="false">MIN(1,SUMPRODUCT(($A6=Charge!$A$22:$A$61)*(G$5&gt;Charge!$C$22:$C$61)*(G$5&lt;=Charge!$D$22:$D$61)*(Charge!$E$22:$E$61+Charge!$F$22:$F$61*(G$5-Charge!$C$22:$C$61))))</f>
        <v>0.145</v>
      </c>
      <c r="J6" s="9" t="s">
        <v>29</v>
      </c>
      <c r="K6" s="10" t="n">
        <v>0.018</v>
      </c>
      <c r="L6" s="10" t="n">
        <v>0.0378</v>
      </c>
      <c r="M6" s="10" t="n">
        <v>0.055</v>
      </c>
      <c r="N6" s="10" t="n">
        <v>0.08</v>
      </c>
      <c r="O6" s="10" t="n">
        <v>0.11</v>
      </c>
      <c r="P6" s="10" t="n">
        <v>0.145</v>
      </c>
    </row>
    <row r="7" customFormat="false" ht="15" hidden="false" customHeight="false" outlineLevel="0" collapsed="false">
      <c r="A7" s="9" t="s">
        <v>30</v>
      </c>
      <c r="B7" s="5" t="n">
        <f aca="false">MIN(1,SUMPRODUCT(($A7=Charge!$A$22:$A$61)*(B$5&gt;Charge!$C$22:$C$61)*(B$5&lt;=Charge!$D$22:$D$61)*(Charge!$E$22:$E$61+Charge!$F$22:$F$61*(B$5-Charge!$C$22:$C$61))))</f>
        <v>0.022</v>
      </c>
      <c r="C7" s="5" t="n">
        <f aca="false">MIN(1,SUMPRODUCT(($A7=Charge!$A$22:$A$61)*(C$5&gt;Charge!$C$22:$C$61)*(C$5&lt;=Charge!$D$22:$D$61)*(Charge!$E$22:$E$61+Charge!$F$22:$F$61*(C$5-Charge!$C$22:$C$61))))</f>
        <v>0.0462</v>
      </c>
      <c r="D7" s="5" t="n">
        <f aca="false">MIN(1,SUMPRODUCT(($A7=Charge!$A$22:$A$61)*(D$5&gt;Charge!$C$22:$C$61)*(D$5&lt;=Charge!$D$22:$D$61)*(Charge!$E$22:$E$61+Charge!$F$22:$F$61*(D$5-Charge!$C$22:$C$61))))</f>
        <v>0.067</v>
      </c>
      <c r="E7" s="5" t="n">
        <f aca="false">MIN(1,SUMPRODUCT(($A7=Charge!$A$22:$A$61)*(E$5&gt;Charge!$C$22:$C$61)*(E$5&lt;=Charge!$D$22:$D$61)*(Charge!$E$22:$E$61+Charge!$F$22:$F$61*(E$5-Charge!$C$22:$C$61))))</f>
        <v>0.094</v>
      </c>
      <c r="F7" s="5" t="n">
        <f aca="false">MIN(1,SUMPRODUCT(($A7=Charge!$A$22:$A$61)*(F$5&gt;Charge!$C$22:$C$61)*(F$5&lt;=Charge!$D$22:$D$61)*(Charge!$E$22:$E$61+Charge!$F$22:$F$61*(F$5-Charge!$C$22:$C$61))))</f>
        <v>0.124</v>
      </c>
      <c r="G7" s="5" t="n">
        <f aca="false">MIN(1,SUMPRODUCT(($A7=Charge!$A$22:$A$61)*(G$5&gt;Charge!$C$22:$C$61)*(G$5&lt;=Charge!$D$22:$D$61)*(Charge!$E$22:$E$61+Charge!$F$22:$F$61*(G$5-Charge!$C$22:$C$61))))</f>
        <v>0.159</v>
      </c>
      <c r="J7" s="9" t="s">
        <v>30</v>
      </c>
      <c r="K7" s="10" t="n">
        <v>0.022</v>
      </c>
      <c r="L7" s="10" t="n">
        <v>0.0462</v>
      </c>
      <c r="M7" s="10" t="n">
        <v>0.067</v>
      </c>
      <c r="N7" s="10" t="n">
        <v>0.094</v>
      </c>
      <c r="O7" s="10" t="n">
        <v>0.124</v>
      </c>
      <c r="P7" s="10" t="n">
        <v>0.159</v>
      </c>
    </row>
    <row r="8" customFormat="false" ht="15" hidden="false" customHeight="false" outlineLevel="0" collapsed="false">
      <c r="A8" s="9" t="s">
        <v>31</v>
      </c>
      <c r="B8" s="5" t="n">
        <f aca="false">MIN(1,SUMPRODUCT(($A8=Charge!$A$22:$A$61)*(B$5&gt;Charge!$C$22:$C$61)*(B$5&lt;=Charge!$D$22:$D$61)*(Charge!$E$22:$E$61+Charge!$F$22:$F$61*(B$5-Charge!$C$22:$C$61))))</f>
        <v>0.028</v>
      </c>
      <c r="C8" s="5" t="n">
        <f aca="false">MIN(1,SUMPRODUCT(($A8=Charge!$A$22:$A$61)*(C$5&gt;Charge!$C$22:$C$61)*(C$5&lt;=Charge!$D$22:$D$61)*(Charge!$E$22:$E$61+Charge!$F$22:$F$61*(C$5-Charge!$C$22:$C$61))))</f>
        <v>0.0588</v>
      </c>
      <c r="D8" s="5" t="n">
        <f aca="false">MIN(1,SUMPRODUCT(($A8=Charge!$A$22:$A$61)*(D$5&gt;Charge!$C$22:$C$61)*(D$5&lt;=Charge!$D$22:$D$61)*(Charge!$E$22:$E$61+Charge!$F$22:$F$61*(D$5-Charge!$C$22:$C$61))))</f>
        <v>0.084</v>
      </c>
      <c r="E8" s="5" t="n">
        <f aca="false">MIN(1,SUMPRODUCT(($A8=Charge!$A$22:$A$61)*(E$5&gt;Charge!$C$22:$C$61)*(E$5&lt;=Charge!$D$22:$D$61)*(Charge!$E$22:$E$61+Charge!$F$22:$F$61*(E$5-Charge!$C$22:$C$61))))</f>
        <v>0.115</v>
      </c>
      <c r="F8" s="5" t="n">
        <f aca="false">MIN(1,SUMPRODUCT(($A8=Charge!$A$22:$A$61)*(F$5&gt;Charge!$C$22:$C$61)*(F$5&lt;=Charge!$D$22:$D$61)*(Charge!$E$22:$E$61+Charge!$F$22:$F$61*(F$5-Charge!$C$22:$C$61))))</f>
        <v>0.145</v>
      </c>
      <c r="G8" s="5" t="n">
        <f aca="false">MIN(1,SUMPRODUCT(($A8=Charge!$A$22:$A$61)*(G$5&gt;Charge!$C$22:$C$61)*(G$5&lt;=Charge!$D$22:$D$61)*(Charge!$E$22:$E$61+Charge!$F$22:$F$61*(G$5-Charge!$C$22:$C$61))))</f>
        <v>0.18</v>
      </c>
      <c r="J8" s="9" t="s">
        <v>31</v>
      </c>
      <c r="K8" s="10" t="n">
        <v>0.028</v>
      </c>
      <c r="L8" s="10" t="n">
        <v>0.0588</v>
      </c>
      <c r="M8" s="10" t="n">
        <v>0.084</v>
      </c>
      <c r="N8" s="10" t="n">
        <v>0.115</v>
      </c>
      <c r="O8" s="10" t="n">
        <v>0.145</v>
      </c>
      <c r="P8" s="10" t="n">
        <v>0.18</v>
      </c>
    </row>
    <row r="9" customFormat="false" ht="15" hidden="false" customHeight="false" outlineLevel="0" collapsed="false">
      <c r="A9" s="9" t="s">
        <v>32</v>
      </c>
      <c r="B9" s="5" t="n">
        <f aca="false">MIN(1,SUMPRODUCT(($A9=Charge!$A$22:$A$61)*(B$5&gt;Charge!$C$22:$C$61)*(B$5&lt;=Charge!$D$22:$D$61)*(Charge!$E$22:$E$61+Charge!$F$22:$F$61*(B$5-Charge!$C$22:$C$61))))</f>
        <v>0.05</v>
      </c>
      <c r="C9" s="5" t="n">
        <f aca="false">MIN(1,SUMPRODUCT(($A9=Charge!$A$22:$A$61)*(C$5&gt;Charge!$C$22:$C$61)*(C$5&lt;=Charge!$D$22:$D$61)*(Charge!$E$22:$E$61+Charge!$F$22:$F$61*(C$5-Charge!$C$22:$C$61))))</f>
        <v>0.105</v>
      </c>
      <c r="D9" s="5" t="n">
        <f aca="false">MIN(1,SUMPRODUCT(($A9=Charge!$A$22:$A$61)*(D$5&gt;Charge!$C$22:$C$61)*(D$5&lt;=Charge!$D$22:$D$61)*(Charge!$E$22:$E$61+Charge!$F$22:$F$61*(D$5-Charge!$C$22:$C$61))))</f>
        <v>0.155</v>
      </c>
      <c r="E9" s="5" t="n">
        <f aca="false">MIN(1,SUMPRODUCT(($A9=Charge!$A$22:$A$61)*(E$5&gt;Charge!$C$22:$C$61)*(E$5&lt;=Charge!$D$22:$D$61)*(Charge!$E$22:$E$61+Charge!$F$22:$F$61*(E$5-Charge!$C$22:$C$61))))</f>
        <v>0.22</v>
      </c>
      <c r="F9" s="5" t="n">
        <f aca="false">MIN(1,SUMPRODUCT(($A9=Charge!$A$22:$A$61)*(F$5&gt;Charge!$C$22:$C$61)*(F$5&lt;=Charge!$D$22:$D$61)*(Charge!$E$22:$E$61+Charge!$F$22:$F$61*(F$5-Charge!$C$22:$C$61))))</f>
        <v>0.28</v>
      </c>
      <c r="G9" s="5" t="n">
        <f aca="false">MIN(1,SUMPRODUCT(($A9=Charge!$A$22:$A$61)*(G$5&gt;Charge!$C$22:$C$61)*(G$5&lt;=Charge!$D$22:$D$61)*(Charge!$E$22:$E$61+Charge!$F$22:$F$61*(G$5-Charge!$C$22:$C$61))))</f>
        <v>0.325</v>
      </c>
      <c r="J9" s="9" t="s">
        <v>32</v>
      </c>
      <c r="K9" s="10" t="n">
        <v>0.05</v>
      </c>
      <c r="L9" s="10" t="n">
        <v>0.105</v>
      </c>
      <c r="M9" s="10" t="n">
        <v>0.155</v>
      </c>
      <c r="N9" s="10" t="n">
        <v>0.22</v>
      </c>
      <c r="O9" s="10" t="n">
        <v>0.28</v>
      </c>
      <c r="P9" s="10" t="n">
        <v>0.325</v>
      </c>
    </row>
    <row r="10" customFormat="false" ht="15" hidden="false" customHeight="false" outlineLevel="0" collapsed="false">
      <c r="A10" s="9" t="s">
        <v>4</v>
      </c>
      <c r="B10" s="5" t="n">
        <f aca="false">MIN(1,SUMPRODUCT(($A10=Charge!$A$22:$A$61)*(B$5&gt;Charge!$C$22:$C$61)*(B$5&lt;=Charge!$D$22:$D$61)*(Charge!$E$22:$E$61+Charge!$F$22:$F$61*(B$5-Charge!$C$22:$C$61))))</f>
        <v>0.09</v>
      </c>
      <c r="C10" s="5" t="n">
        <f aca="false">MIN(1,SUMPRODUCT(($A10=Charge!$A$22:$A$61)*(C$5&gt;Charge!$C$22:$C$61)*(C$5&lt;=Charge!$D$22:$D$61)*(Charge!$E$22:$E$61+Charge!$F$22:$F$61*(C$5-Charge!$C$22:$C$61))))</f>
        <v>0.189</v>
      </c>
      <c r="D10" s="5" t="n">
        <f aca="false">MIN(1,SUMPRODUCT(($A10=Charge!$A$22:$A$61)*(D$5&gt;Charge!$C$22:$C$61)*(D$5&lt;=Charge!$D$22:$D$61)*(Charge!$E$22:$E$61+Charge!$F$22:$F$61*(D$5-Charge!$C$22:$C$61))))</f>
        <v>0.275</v>
      </c>
      <c r="E10" s="5" t="n">
        <f aca="false">MIN(1,SUMPRODUCT(($A10=Charge!$A$22:$A$61)*(E$5&gt;Charge!$C$22:$C$61)*(E$5&lt;=Charge!$D$22:$D$61)*(Charge!$E$22:$E$61+Charge!$F$22:$F$61*(E$5-Charge!$C$22:$C$61))))</f>
        <v>0.386</v>
      </c>
      <c r="F10" s="5" t="n">
        <f aca="false">MIN(1,SUMPRODUCT(($A10=Charge!$A$22:$A$61)*(F$5&gt;Charge!$C$22:$C$61)*(F$5&lt;=Charge!$D$22:$D$61)*(Charge!$E$22:$E$61+Charge!$F$22:$F$61*(F$5-Charge!$C$22:$C$61))))</f>
        <v>0.455</v>
      </c>
      <c r="G10" s="5" t="n">
        <f aca="false">MIN(1,SUMPRODUCT(($A10=Charge!$A$22:$A$61)*(G$5&gt;Charge!$C$22:$C$61)*(G$5&lt;=Charge!$D$22:$D$61)*(Charge!$E$22:$E$61+Charge!$F$22:$F$61*(G$5-Charge!$C$22:$C$61))))</f>
        <v>0.49</v>
      </c>
      <c r="J10" s="9" t="s">
        <v>4</v>
      </c>
      <c r="K10" s="10" t="n">
        <v>0.09</v>
      </c>
      <c r="L10" s="10" t="n">
        <v>0.189</v>
      </c>
      <c r="M10" s="10" t="n">
        <v>0.275</v>
      </c>
      <c r="N10" s="10" t="n">
        <v>0.386</v>
      </c>
      <c r="O10" s="10" t="n">
        <v>0.455</v>
      </c>
      <c r="P10" s="10" t="n">
        <v>0.49</v>
      </c>
    </row>
    <row r="11" customFormat="false" ht="15" hidden="false" customHeight="false" outlineLevel="0" collapsed="false">
      <c r="A11" s="9" t="s">
        <v>33</v>
      </c>
      <c r="B11" s="5" t="n">
        <f aca="false">MIN(1,SUMPRODUCT(($A11=Charge!$A$22:$A$61)*(B$5&gt;Charge!$C$22:$C$61)*(B$5&lt;=Charge!$D$22:$D$61)*(Charge!$E$22:$E$61+Charge!$F$22:$F$61*(B$5-Charge!$C$22:$C$61))))</f>
        <v>0.15</v>
      </c>
      <c r="C11" s="5" t="n">
        <f aca="false">MIN(1,SUMPRODUCT(($A11=Charge!$A$22:$A$61)*(C$5&gt;Charge!$C$22:$C$61)*(C$5&lt;=Charge!$D$22:$D$61)*(Charge!$E$22:$E$61+Charge!$F$22:$F$61*(C$5-Charge!$C$22:$C$61))))</f>
        <v>0.315</v>
      </c>
      <c r="D11" s="5" t="n">
        <f aca="false">MIN(1,SUMPRODUCT(($A11=Charge!$A$22:$A$61)*(D$5&gt;Charge!$C$22:$C$61)*(D$5&lt;=Charge!$D$22:$D$61)*(Charge!$E$22:$E$61+Charge!$F$22:$F$61*(D$5-Charge!$C$22:$C$61))))</f>
        <v>0.459</v>
      </c>
      <c r="E11" s="5" t="n">
        <f aca="false">MIN(1,SUMPRODUCT(($A11=Charge!$A$22:$A$61)*(E$5&gt;Charge!$C$22:$C$61)*(E$5&lt;=Charge!$D$22:$D$61)*(Charge!$E$22:$E$61+Charge!$F$22:$F$61*(E$5-Charge!$C$22:$C$61))))</f>
        <v>0.595</v>
      </c>
      <c r="F11" s="5" t="n">
        <f aca="false">MIN(1,SUMPRODUCT(($A11=Charge!$A$22:$A$61)*(F$5&gt;Charge!$C$22:$C$61)*(F$5&lt;=Charge!$D$22:$D$61)*(Charge!$E$22:$E$61+Charge!$F$22:$F$61*(F$5-Charge!$C$22:$C$61))))</f>
        <v>0.625</v>
      </c>
      <c r="G11" s="5" t="n">
        <f aca="false">MIN(1,SUMPRODUCT(($A11=Charge!$A$22:$A$61)*(G$5&gt;Charge!$C$22:$C$61)*(G$5&lt;=Charge!$D$22:$D$61)*(Charge!$E$22:$E$61+Charge!$F$22:$F$61*(G$5-Charge!$C$22:$C$61))))</f>
        <v>0.66</v>
      </c>
      <c r="J11" s="9" t="s">
        <v>33</v>
      </c>
      <c r="K11" s="10" t="n">
        <v>0.15</v>
      </c>
      <c r="L11" s="10" t="n">
        <v>0.315</v>
      </c>
      <c r="M11" s="10" t="n">
        <v>0.459</v>
      </c>
      <c r="N11" s="10" t="n">
        <v>0.595</v>
      </c>
      <c r="O11" s="10" t="n">
        <v>0.625</v>
      </c>
      <c r="P11" s="10" t="n">
        <v>0.66</v>
      </c>
    </row>
    <row r="12" customFormat="false" ht="15" hidden="false" customHeight="false" outlineLevel="0" collapsed="false">
      <c r="A12" s="9" t="s">
        <v>35</v>
      </c>
      <c r="B12" s="5" t="n">
        <f aca="false">MIN(1,SUMPRODUCT(($A12=Charge!$A$22:$A$61)*(B$5&gt;Charge!$C$22:$C$61)*(B$5&lt;=Charge!$D$22:$D$61)*(Charge!$E$22:$E$61+Charge!$F$22:$F$61*(B$5-Charge!$C$22:$C$61))))</f>
        <v>0.06</v>
      </c>
      <c r="C12" s="5" t="n">
        <f aca="false">MIN(1,SUMPRODUCT(($A12=Charge!$A$22:$A$61)*(C$5&gt;Charge!$C$22:$C$61)*(C$5&lt;=Charge!$D$22:$D$61)*(Charge!$E$22:$E$61+Charge!$F$22:$F$61*(C$5-Charge!$C$22:$C$61))))</f>
        <v>0.126</v>
      </c>
      <c r="D12" s="5" t="n">
        <f aca="false">MIN(1,SUMPRODUCT(($A12=Charge!$A$22:$A$61)*(D$5&gt;Charge!$C$22:$C$61)*(D$5&lt;=Charge!$D$22:$D$61)*(Charge!$E$22:$E$61+Charge!$F$22:$F$61*(D$5-Charge!$C$22:$C$61))))</f>
        <v>0.184</v>
      </c>
      <c r="E12" s="5" t="n">
        <f aca="false">MIN(1,SUMPRODUCT(($A12=Charge!$A$22:$A$61)*(E$5&gt;Charge!$C$22:$C$61)*(E$5&lt;=Charge!$D$22:$D$61)*(Charge!$E$22:$E$61+Charge!$F$22:$F$61*(E$5-Charge!$C$22:$C$61))))</f>
        <v>0.259</v>
      </c>
      <c r="F12" s="5" t="n">
        <f aca="false">MIN(1,SUMPRODUCT(($A12=Charge!$A$22:$A$61)*(F$5&gt;Charge!$C$22:$C$61)*(F$5&lt;=Charge!$D$22:$D$61)*(Charge!$E$22:$E$61+Charge!$F$22:$F$61*(F$5-Charge!$C$22:$C$61))))</f>
        <v>0.331</v>
      </c>
      <c r="G12" s="5" t="n">
        <f aca="false">MIN(1,SUMPRODUCT(($A12=Charge!$A$22:$A$61)*(G$5&gt;Charge!$C$22:$C$61)*(G$5&lt;=Charge!$D$22:$D$61)*(Charge!$E$22:$E$61+Charge!$F$22:$F$61*(G$5-Charge!$C$22:$C$61))))</f>
        <v>0.38</v>
      </c>
      <c r="J12" s="9" t="s">
        <v>35</v>
      </c>
      <c r="K12" s="10" t="n">
        <v>0.06</v>
      </c>
      <c r="L12" s="10" t="n">
        <v>0.126</v>
      </c>
      <c r="M12" s="10" t="n">
        <v>0.184</v>
      </c>
      <c r="N12" s="10" t="n">
        <v>0.259</v>
      </c>
      <c r="O12" s="10" t="n">
        <v>0.331</v>
      </c>
      <c r="P12" s="10" t="n">
        <v>0.38</v>
      </c>
    </row>
    <row r="14" customFormat="false" ht="15" hidden="false" customHeight="false" outlineLevel="0" collapsed="false">
      <c r="A14" s="3" t="s">
        <v>41</v>
      </c>
    </row>
    <row r="15" customFormat="false" ht="15" hidden="false" customHeight="false" outlineLevel="0" collapsed="false">
      <c r="A15" s="8" t="s">
        <v>39</v>
      </c>
      <c r="B15" s="15" t="n">
        <v>2</v>
      </c>
      <c r="C15" s="15" t="n">
        <v>3</v>
      </c>
      <c r="D15" s="15" t="n">
        <v>4.2</v>
      </c>
      <c r="E15" s="15" t="n">
        <v>6</v>
      </c>
      <c r="F15" s="15" t="n">
        <v>8</v>
      </c>
      <c r="J15" s="8" t="s">
        <v>40</v>
      </c>
      <c r="K15" s="15" t="n">
        <v>2</v>
      </c>
      <c r="L15" s="15" t="n">
        <v>3</v>
      </c>
      <c r="M15" s="15" t="n">
        <v>4.2</v>
      </c>
      <c r="N15" s="15" t="n">
        <v>6</v>
      </c>
      <c r="O15" s="15" t="n">
        <v>8</v>
      </c>
    </row>
    <row r="16" customFormat="false" ht="15" hidden="false" customHeight="false" outlineLevel="0" collapsed="false">
      <c r="A16" s="9" t="s">
        <v>31</v>
      </c>
      <c r="B16" s="5" t="n">
        <f aca="false">MIN(1,SUMPRODUCT(($A16=Charge!$A$22:$A$61)*(B$15&gt;Charge!$C$22:$C$61)*(B$15&lt;=Charge!$D$22:$D$61)*(Charge!$E$22:$E$61+Charge!$F$22:$F$61*(B$15-Charge!$C$22:$C$61))))</f>
        <v>0.028</v>
      </c>
      <c r="C16" s="5" t="n">
        <f aca="false">MIN(1,SUMPRODUCT(($A16=Charge!$A$22:$A$61)*(C$15&gt;Charge!$C$22:$C$61)*(C$15&lt;=Charge!$D$22:$D$61)*(Charge!$E$22:$E$61+Charge!$F$22:$F$61*(C$15-Charge!$C$22:$C$61))))</f>
        <v>0.042</v>
      </c>
      <c r="D16" s="5" t="n">
        <f aca="false">MIN(1,SUMPRODUCT(($A16=Charge!$A$22:$A$61)*(D$15&gt;Charge!$C$22:$C$61)*(D$15&lt;=Charge!$D$22:$D$61)*(Charge!$E$22:$E$61+Charge!$F$22:$F$61*(D$15-Charge!$C$22:$C$61))))</f>
        <v>0.0588</v>
      </c>
      <c r="E16" s="5" t="n">
        <f aca="false">MIN(1,SUMPRODUCT(($A16=Charge!$A$22:$A$61)*(E$15&gt;Charge!$C$22:$C$61)*(E$15&lt;=Charge!$D$22:$D$61)*(Charge!$E$22:$E$61+Charge!$F$22:$F$61*(E$15-Charge!$C$22:$C$61))))</f>
        <v>0.077</v>
      </c>
      <c r="F16" s="5" t="n">
        <f aca="false">MIN(1,SUMPRODUCT(($A16=Charge!$A$22:$A$61)*(F$15&gt;Charge!$C$22:$C$61)*(F$15&lt;=Charge!$D$22:$D$61)*(Charge!$E$22:$E$61+Charge!$F$22:$F$61*(F$15-Charge!$C$22:$C$61))))</f>
        <v>0.091</v>
      </c>
      <c r="J16" s="9" t="s">
        <v>31</v>
      </c>
      <c r="K16" s="10" t="n">
        <v>0.028</v>
      </c>
      <c r="L16" s="10" t="n">
        <v>0.042</v>
      </c>
      <c r="M16" s="10" t="n">
        <v>0.0588</v>
      </c>
      <c r="N16" s="10" t="n">
        <v>0.077</v>
      </c>
      <c r="O16" s="10" t="n">
        <v>0.091</v>
      </c>
    </row>
    <row r="17" customFormat="false" ht="15" hidden="false" customHeight="false" outlineLevel="0" collapsed="false">
      <c r="A17" s="9" t="s">
        <v>32</v>
      </c>
      <c r="B17" s="5" t="n">
        <f aca="false">MIN(1,SUMPRODUCT(($A17=Charge!$A$22:$A$61)*(B$15&gt;Charge!$C$22:$C$61)*(B$15&lt;=Charge!$D$22:$D$61)*(Charge!$E$22:$E$61+Charge!$F$22:$F$61*(B$15-Charge!$C$22:$C$61))))</f>
        <v>0.05</v>
      </c>
      <c r="C17" s="5" t="n">
        <f aca="false">MIN(1,SUMPRODUCT(($A17=Charge!$A$22:$A$61)*(C$15&gt;Charge!$C$22:$C$61)*(C$15&lt;=Charge!$D$22:$D$61)*(Charge!$E$22:$E$61+Charge!$F$22:$F$61*(C$15-Charge!$C$22:$C$61))))</f>
        <v>0.075</v>
      </c>
      <c r="D17" s="5" t="n">
        <f aca="false">MIN(1,SUMPRODUCT(($A17=Charge!$A$22:$A$61)*(D$15&gt;Charge!$C$22:$C$61)*(D$15&lt;=Charge!$D$22:$D$61)*(Charge!$E$22:$E$61+Charge!$F$22:$F$61*(D$15-Charge!$C$22:$C$61))))</f>
        <v>0.105</v>
      </c>
      <c r="E17" s="5" t="n">
        <f aca="false">MIN(1,SUMPRODUCT(($A17=Charge!$A$22:$A$61)*(E$15&gt;Charge!$C$22:$C$61)*(E$15&lt;=Charge!$D$22:$D$61)*(Charge!$E$22:$E$61+Charge!$F$22:$F$61*(E$15-Charge!$C$22:$C$61))))</f>
        <v>0.14</v>
      </c>
      <c r="F17" s="5" t="n">
        <f aca="false">MIN(1,SUMPRODUCT(($A17=Charge!$A$22:$A$61)*(F$15&gt;Charge!$C$22:$C$61)*(F$15&lt;=Charge!$D$22:$D$61)*(Charge!$E$22:$E$61+Charge!$F$22:$F$61*(F$15-Charge!$C$22:$C$61))))</f>
        <v>0.17</v>
      </c>
      <c r="J17" s="9" t="s">
        <v>32</v>
      </c>
      <c r="K17" s="10" t="n">
        <v>0.05</v>
      </c>
      <c r="L17" s="10" t="n">
        <v>0.075</v>
      </c>
      <c r="M17" s="10" t="n">
        <v>0.105</v>
      </c>
      <c r="N17" s="10" t="n">
        <v>0.14</v>
      </c>
      <c r="O17" s="10" t="n">
        <v>0.17</v>
      </c>
    </row>
    <row r="18" customFormat="false" ht="15" hidden="false" customHeight="false" outlineLevel="0" collapsed="false">
      <c r="A18" s="9" t="s">
        <v>4</v>
      </c>
      <c r="B18" s="5" t="n">
        <f aca="false">MIN(1,SUMPRODUCT(($A18=Charge!$A$22:$A$61)*(B$15&gt;Charge!$C$22:$C$61)*(B$15&lt;=Charge!$D$22:$D$61)*(Charge!$E$22:$E$61+Charge!$F$22:$F$61*(B$15-Charge!$C$22:$C$61))))</f>
        <v>0.09</v>
      </c>
      <c r="C18" s="5" t="n">
        <f aca="false">MIN(1,SUMPRODUCT(($A18=Charge!$A$22:$A$61)*(C$15&gt;Charge!$C$22:$C$61)*(C$15&lt;=Charge!$D$22:$D$61)*(Charge!$E$22:$E$61+Charge!$F$22:$F$61*(C$15-Charge!$C$22:$C$61))))</f>
        <v>0.135</v>
      </c>
      <c r="D18" s="5" t="n">
        <f aca="false">MIN(1,SUMPRODUCT(($A18=Charge!$A$22:$A$61)*(D$15&gt;Charge!$C$22:$C$61)*(D$15&lt;=Charge!$D$22:$D$61)*(Charge!$E$22:$E$61+Charge!$F$22:$F$61*(D$15-Charge!$C$22:$C$61))))</f>
        <v>0.189</v>
      </c>
      <c r="E18" s="5" t="n">
        <f aca="false">MIN(1,SUMPRODUCT(($A18=Charge!$A$22:$A$61)*(E$15&gt;Charge!$C$22:$C$61)*(E$15&lt;=Charge!$D$22:$D$61)*(Charge!$E$22:$E$61+Charge!$F$22:$F$61*(E$15-Charge!$C$22:$C$61))))</f>
        <v>0.25</v>
      </c>
      <c r="F18" s="5" t="n">
        <f aca="false">MIN(1,SUMPRODUCT(($A18=Charge!$A$22:$A$61)*(F$15&gt;Charge!$C$22:$C$61)*(F$15&lt;=Charge!$D$22:$D$61)*(Charge!$E$22:$E$61+Charge!$F$22:$F$61*(F$15-Charge!$C$22:$C$61))))</f>
        <v>0.3</v>
      </c>
      <c r="J18" s="9" t="s">
        <v>4</v>
      </c>
      <c r="K18" s="10" t="n">
        <v>0.09</v>
      </c>
      <c r="L18" s="10" t="n">
        <v>0.135</v>
      </c>
      <c r="M18" s="10" t="n">
        <v>0.189</v>
      </c>
      <c r="N18" s="10" t="n">
        <v>0.25</v>
      </c>
      <c r="O18" s="10" t="n">
        <v>0.3</v>
      </c>
    </row>
    <row r="19" customFormat="false" ht="15" hidden="false" customHeight="false" outlineLevel="0" collapsed="false">
      <c r="A19" s="9" t="s">
        <v>33</v>
      </c>
      <c r="B19" s="5" t="n">
        <f aca="false">MIN(1,SUMPRODUCT(($A19=Charge!$A$22:$A$61)*(B$15&gt;Charge!$C$22:$C$61)*(B$15&lt;=Charge!$D$22:$D$61)*(Charge!$E$22:$E$61+Charge!$F$22:$F$61*(B$15-Charge!$C$22:$C$61))))</f>
        <v>0.15</v>
      </c>
      <c r="C19" s="5" t="n">
        <f aca="false">MIN(1,SUMPRODUCT(($A19=Charge!$A$22:$A$61)*(C$15&gt;Charge!$C$22:$C$61)*(C$15&lt;=Charge!$D$22:$D$61)*(Charge!$E$22:$E$61+Charge!$F$22:$F$61*(C$15-Charge!$C$22:$C$61))))</f>
        <v>0.225</v>
      </c>
      <c r="D19" s="5" t="n">
        <f aca="false">MIN(1,SUMPRODUCT(($A19=Charge!$A$22:$A$61)*(D$15&gt;Charge!$C$22:$C$61)*(D$15&lt;=Charge!$D$22:$D$61)*(Charge!$E$22:$E$61+Charge!$F$22:$F$61*(D$15-Charge!$C$22:$C$61))))</f>
        <v>0.315</v>
      </c>
      <c r="E19" s="5" t="n">
        <f aca="false">MIN(1,SUMPRODUCT(($A19=Charge!$A$22:$A$61)*(E$15&gt;Charge!$C$22:$C$61)*(E$15&lt;=Charge!$D$22:$D$61)*(Charge!$E$22:$E$61+Charge!$F$22:$F$61*(E$15-Charge!$C$22:$C$61))))</f>
        <v>0.417</v>
      </c>
      <c r="F19" s="5" t="n">
        <f aca="false">MIN(1,SUMPRODUCT(($A19=Charge!$A$22:$A$61)*(F$15&gt;Charge!$C$22:$C$61)*(F$15&lt;=Charge!$D$22:$D$61)*(Charge!$E$22:$E$61+Charge!$F$22:$F$61*(F$15-Charge!$C$22:$C$61))))</f>
        <v>0.501</v>
      </c>
      <c r="J19" s="9" t="s">
        <v>33</v>
      </c>
      <c r="K19" s="10" t="n">
        <v>0.15</v>
      </c>
      <c r="L19" s="10" t="n">
        <v>0.225</v>
      </c>
      <c r="M19" s="10" t="n">
        <v>0.315</v>
      </c>
      <c r="N19" s="10" t="n">
        <v>0.417</v>
      </c>
      <c r="O19" s="10" t="n">
        <v>0.501</v>
      </c>
    </row>
    <row r="22" customFormat="false" ht="15" hidden="false" customHeight="false" outlineLevel="0" collapsed="false">
      <c r="A22" s="3" t="s">
        <v>42</v>
      </c>
    </row>
    <row r="23" customFormat="false" ht="15" hidden="false" customHeight="false" outlineLevel="0" collapsed="false">
      <c r="A23" s="8" t="s">
        <v>39</v>
      </c>
      <c r="B23" s="15" t="n">
        <v>1</v>
      </c>
      <c r="C23" s="15" t="n">
        <v>3</v>
      </c>
      <c r="D23" s="15" t="n">
        <v>5</v>
      </c>
      <c r="E23" s="15" t="n">
        <v>7</v>
      </c>
      <c r="F23" s="15" t="n">
        <v>10</v>
      </c>
      <c r="G23" s="15" t="n">
        <v>15</v>
      </c>
      <c r="H23" s="15" t="n">
        <v>20</v>
      </c>
      <c r="I23" s="15" t="n">
        <v>25</v>
      </c>
      <c r="J23" s="8" t="s">
        <v>40</v>
      </c>
      <c r="K23" s="15" t="n">
        <v>1</v>
      </c>
      <c r="L23" s="15" t="n">
        <v>3</v>
      </c>
      <c r="M23" s="15" t="n">
        <v>5</v>
      </c>
      <c r="N23" s="15" t="n">
        <v>7</v>
      </c>
      <c r="O23" s="15" t="n">
        <v>10</v>
      </c>
      <c r="P23" s="15" t="n">
        <v>15</v>
      </c>
      <c r="Q23" s="15" t="n">
        <v>20</v>
      </c>
      <c r="R23" s="15" t="n">
        <v>25</v>
      </c>
    </row>
    <row r="24" customFormat="false" ht="15" hidden="false" customHeight="false" outlineLevel="0" collapsed="false">
      <c r="A24" s="9" t="s">
        <v>29</v>
      </c>
      <c r="B24" s="5" t="n">
        <f aca="false">MIN(1,SUMPRODUCT(($A24=Charge!$A$22:$A$61)*(B$23&gt;Charge!$C$22:$C$61)*(B$23&lt;=Charge!$D$22:$D$61)*(Charge!$E$22:$E$61+Charge!$F$22:$F$61*(B$23-Charge!$C$22:$C$61))))</f>
        <v>0.009</v>
      </c>
      <c r="C24" s="5" t="n">
        <f aca="false">MIN(1,SUMPRODUCT(($A24=Charge!$A$22:$A$61)*(C$23&gt;Charge!$C$22:$C$61)*(C$23&lt;=Charge!$D$22:$D$61)*(Charge!$E$22:$E$61+Charge!$F$22:$F$61*(C$23-Charge!$C$22:$C$61))))</f>
        <v>0.027</v>
      </c>
      <c r="D24" s="5" t="n">
        <f aca="false">MIN(1,SUMPRODUCT(($A24=Charge!$A$22:$A$61)*(D$23&gt;Charge!$C$22:$C$61)*(D$23&lt;=Charge!$D$22:$D$61)*(Charge!$E$22:$E$61+Charge!$F$22:$F$61*(D$23-Charge!$C$22:$C$61))))</f>
        <v>0.045</v>
      </c>
      <c r="E24" s="5" t="n">
        <f aca="false">MIN(1,SUMPRODUCT(($A24=Charge!$A$22:$A$61)*(E$23&gt;Charge!$C$22:$C$61)*(E$23&lt;=Charge!$D$22:$D$61)*(Charge!$E$22:$E$61+Charge!$F$22:$F$61*(E$23-Charge!$C$22:$C$61))))</f>
        <v>0.055</v>
      </c>
      <c r="F24" s="5" t="n">
        <f aca="false">MIN(1,SUMPRODUCT(($A24=Charge!$A$22:$A$61)*(F$23&gt;Charge!$C$22:$C$61)*(F$23&lt;=Charge!$D$22:$D$61)*(Charge!$E$22:$E$61+Charge!$F$22:$F$61*(F$23-Charge!$C$22:$C$61))))</f>
        <v>0.07</v>
      </c>
      <c r="G24" s="5" t="n">
        <f aca="false">MIN(1,SUMPRODUCT(($A24=Charge!$A$22:$A$61)*(G$23&gt;Charge!$C$22:$C$61)*(G$23&lt;=Charge!$D$22:$D$61)*(Charge!$E$22:$E$61+Charge!$F$22:$F$61*(G$23-Charge!$C$22:$C$61))))</f>
        <v>0.095</v>
      </c>
      <c r="H24" s="5" t="n">
        <f aca="false">MIN(1,SUMPRODUCT(($A24=Charge!$A$22:$A$61)*(H$23&gt;Charge!$C$22:$C$61)*(H$23&lt;=Charge!$D$22:$D$61)*(Charge!$E$22:$E$61+Charge!$F$22:$F$61*(H$23-Charge!$C$22:$C$61))))</f>
        <v>0.12</v>
      </c>
      <c r="I24" s="5" t="n">
        <f aca="false">MIN(1,SUMPRODUCT(($A24=Charge!$A$22:$A$61)*(I$23&gt;Charge!$C$22:$C$61)*(I$23&lt;=Charge!$D$22:$D$61)*(Charge!$E$22:$E$61+Charge!$F$22:$F$61*(I$23-Charge!$C$22:$C$61))))</f>
        <v>0.145</v>
      </c>
      <c r="J24" s="9" t="s">
        <v>29</v>
      </c>
      <c r="K24" s="10" t="n">
        <v>0.009</v>
      </c>
      <c r="L24" s="10" t="n">
        <v>0.027</v>
      </c>
      <c r="M24" s="10" t="n">
        <v>0.045</v>
      </c>
      <c r="N24" s="10" t="n">
        <v>0.055</v>
      </c>
      <c r="O24" s="10" t="n">
        <v>0.07</v>
      </c>
      <c r="P24" s="10" t="n">
        <v>0.095</v>
      </c>
      <c r="Q24" s="10" t="n">
        <v>0.12</v>
      </c>
      <c r="R24" s="10" t="n">
        <v>0.145</v>
      </c>
    </row>
    <row r="25" customFormat="false" ht="15" hidden="false" customHeight="false" outlineLevel="0" collapsed="false">
      <c r="A25" s="9" t="s">
        <v>30</v>
      </c>
      <c r="B25" s="5" t="n">
        <f aca="false">MIN(1,SUMPRODUCT(($A25=Charge!$A$22:$A$61)*(B$23&gt;Charge!$C$22:$C$61)*(B$23&lt;=Charge!$D$22:$D$61)*(Charge!$E$22:$E$61+Charge!$F$22:$F$61*(B$23-Charge!$C$22:$C$61))))</f>
        <v>0.011</v>
      </c>
      <c r="C25" s="5" t="n">
        <f aca="false">MIN(1,SUMPRODUCT(($A25=Charge!$A$22:$A$61)*(C$23&gt;Charge!$C$22:$C$61)*(C$23&lt;=Charge!$D$22:$D$61)*(Charge!$E$22:$E$61+Charge!$F$22:$F$61*(C$23-Charge!$C$22:$C$61))))</f>
        <v>0.033</v>
      </c>
      <c r="D25" s="5" t="n">
        <f aca="false">MIN(1,SUMPRODUCT(($A25=Charge!$A$22:$A$61)*(D$23&gt;Charge!$C$22:$C$61)*(D$23&lt;=Charge!$D$22:$D$61)*(Charge!$E$22:$E$61+Charge!$F$22:$F$61*(D$23-Charge!$C$22:$C$61))))</f>
        <v>0.055</v>
      </c>
      <c r="E25" s="5" t="n">
        <f aca="false">MIN(1,SUMPRODUCT(($A25=Charge!$A$22:$A$61)*(E$23&gt;Charge!$C$22:$C$61)*(E$23&lt;=Charge!$D$22:$D$61)*(Charge!$E$22:$E$61+Charge!$F$22:$F$61*(E$23-Charge!$C$22:$C$61))))</f>
        <v>0.067</v>
      </c>
      <c r="F25" s="5" t="n">
        <f aca="false">MIN(1,SUMPRODUCT(($A25=Charge!$A$22:$A$61)*(F$23&gt;Charge!$C$22:$C$61)*(F$23&lt;=Charge!$D$22:$D$61)*(Charge!$E$22:$E$61+Charge!$F$22:$F$61*(F$23-Charge!$C$22:$C$61))))</f>
        <v>0.085</v>
      </c>
      <c r="G25" s="5" t="n">
        <f aca="false">MIN(1,SUMPRODUCT(($A25=Charge!$A$22:$A$61)*(G$23&gt;Charge!$C$22:$C$61)*(G$23&lt;=Charge!$D$22:$D$61)*(Charge!$E$22:$E$61+Charge!$F$22:$F$61*(G$23-Charge!$C$22:$C$61))))</f>
        <v>0.109</v>
      </c>
      <c r="H25" s="5" t="n">
        <f aca="false">MIN(1,SUMPRODUCT(($A25=Charge!$A$22:$A$61)*(H$23&gt;Charge!$C$22:$C$61)*(H$23&lt;=Charge!$D$22:$D$61)*(Charge!$E$22:$E$61+Charge!$F$22:$F$61*(H$23-Charge!$C$22:$C$61))))</f>
        <v>0.134</v>
      </c>
      <c r="I25" s="5" t="n">
        <f aca="false">MIN(1,SUMPRODUCT(($A25=Charge!$A$22:$A$61)*(I$23&gt;Charge!$C$22:$C$61)*(I$23&lt;=Charge!$D$22:$D$61)*(Charge!$E$22:$E$61+Charge!$F$22:$F$61*(I$23-Charge!$C$22:$C$61))))</f>
        <v>0.159</v>
      </c>
      <c r="J25" s="9" t="s">
        <v>30</v>
      </c>
      <c r="K25" s="10" t="n">
        <v>0.011</v>
      </c>
      <c r="L25" s="10" t="n">
        <v>0.033</v>
      </c>
      <c r="M25" s="10" t="n">
        <v>0.055</v>
      </c>
      <c r="N25" s="10" t="n">
        <v>0.067</v>
      </c>
      <c r="O25" s="10" t="n">
        <v>0.085</v>
      </c>
      <c r="P25" s="10" t="n">
        <v>0.109</v>
      </c>
      <c r="Q25" s="10" t="n">
        <v>0.134</v>
      </c>
      <c r="R25" s="10" t="n">
        <v>0.159</v>
      </c>
    </row>
    <row r="26" customFormat="false" ht="15" hidden="false" customHeight="false" outlineLevel="0" collapsed="false">
      <c r="A26" s="9" t="s">
        <v>31</v>
      </c>
      <c r="B26" s="5" t="n">
        <f aca="false">MIN(1,SUMPRODUCT(($A26=Charge!$A$22:$A$61)*(B$23&gt;Charge!$C$22:$C$61)*(B$23&lt;=Charge!$D$22:$D$61)*(Charge!$E$22:$E$61+Charge!$F$22:$F$61*(B$23-Charge!$C$22:$C$61))))</f>
        <v>0.014</v>
      </c>
      <c r="C26" s="5" t="n">
        <f aca="false">MIN(1,SUMPRODUCT(($A26=Charge!$A$22:$A$61)*(C$23&gt;Charge!$C$22:$C$61)*(C$23&lt;=Charge!$D$22:$D$61)*(Charge!$E$22:$E$61+Charge!$F$22:$F$61*(C$23-Charge!$C$22:$C$61))))</f>
        <v>0.042</v>
      </c>
      <c r="D26" s="5" t="n">
        <f aca="false">MIN(1,SUMPRODUCT(($A26=Charge!$A$22:$A$61)*(D$23&gt;Charge!$C$22:$C$61)*(D$23&lt;=Charge!$D$22:$D$61)*(Charge!$E$22:$E$61+Charge!$F$22:$F$61*(D$23-Charge!$C$22:$C$61))))</f>
        <v>0.07</v>
      </c>
      <c r="E26" s="5" t="n">
        <f aca="false">MIN(1,SUMPRODUCT(($A26=Charge!$A$22:$A$61)*(E$23&gt;Charge!$C$22:$C$61)*(E$23&lt;=Charge!$D$22:$D$61)*(Charge!$E$22:$E$61+Charge!$F$22:$F$61*(E$23-Charge!$C$22:$C$61))))</f>
        <v>0.084</v>
      </c>
      <c r="F26" s="5" t="n">
        <f aca="false">MIN(1,SUMPRODUCT(($A26=Charge!$A$22:$A$61)*(F$23&gt;Charge!$C$22:$C$61)*(F$23&lt;=Charge!$D$22:$D$61)*(Charge!$E$22:$E$61+Charge!$F$22:$F$61*(F$23-Charge!$C$22:$C$61))))</f>
        <v>0.105</v>
      </c>
      <c r="G26" s="5" t="n">
        <f aca="false">MIN(1,SUMPRODUCT(($A26=Charge!$A$22:$A$61)*(G$23&gt;Charge!$C$22:$C$61)*(G$23&lt;=Charge!$D$22:$D$61)*(Charge!$E$22:$E$61+Charge!$F$22:$F$61*(G$23-Charge!$C$22:$C$61))))</f>
        <v>0.13</v>
      </c>
      <c r="H26" s="5" t="n">
        <f aca="false">MIN(1,SUMPRODUCT(($A26=Charge!$A$22:$A$61)*(H$23&gt;Charge!$C$22:$C$61)*(H$23&lt;=Charge!$D$22:$D$61)*(Charge!$E$22:$E$61+Charge!$F$22:$F$61*(H$23-Charge!$C$22:$C$61))))</f>
        <v>0.155</v>
      </c>
      <c r="I26" s="5" t="n">
        <f aca="false">MIN(1,SUMPRODUCT(($A26=Charge!$A$22:$A$61)*(I$23&gt;Charge!$C$22:$C$61)*(I$23&lt;=Charge!$D$22:$D$61)*(Charge!$E$22:$E$61+Charge!$F$22:$F$61*(I$23-Charge!$C$22:$C$61))))</f>
        <v>0.18</v>
      </c>
      <c r="J26" s="9" t="s">
        <v>31</v>
      </c>
      <c r="K26" s="10" t="n">
        <v>0.014</v>
      </c>
      <c r="L26" s="10" t="n">
        <v>0.042</v>
      </c>
      <c r="M26" s="10" t="n">
        <v>0.07</v>
      </c>
      <c r="N26" s="10" t="n">
        <v>0.084</v>
      </c>
      <c r="O26" s="10" t="n">
        <v>0.105</v>
      </c>
      <c r="P26" s="10" t="n">
        <v>0.13</v>
      </c>
      <c r="Q26" s="10" t="n">
        <v>0.155</v>
      </c>
      <c r="R26" s="10" t="n">
        <v>0.18</v>
      </c>
    </row>
    <row r="27" customFormat="false" ht="15" hidden="false" customHeight="false" outlineLevel="0" collapsed="false">
      <c r="A27" s="9" t="s">
        <v>32</v>
      </c>
      <c r="B27" s="5" t="n">
        <f aca="false">MIN(1,SUMPRODUCT(($A27=Charge!$A$22:$A$61)*(B$23&gt;Charge!$C$22:$C$61)*(B$23&lt;=Charge!$D$22:$D$61)*(Charge!$E$22:$E$61+Charge!$F$22:$F$61*(B$23-Charge!$C$22:$C$61))))</f>
        <v>0.025</v>
      </c>
      <c r="C27" s="5" t="n">
        <f aca="false">MIN(1,SUMPRODUCT(($A27=Charge!$A$22:$A$61)*(C$23&gt;Charge!$C$22:$C$61)*(C$23&lt;=Charge!$D$22:$D$61)*(Charge!$E$22:$E$61+Charge!$F$22:$F$61*(C$23-Charge!$C$22:$C$61))))</f>
        <v>0.075</v>
      </c>
      <c r="D27" s="5" t="n">
        <f aca="false">MIN(1,SUMPRODUCT(($A27=Charge!$A$22:$A$61)*(D$23&gt;Charge!$C$22:$C$61)*(D$23&lt;=Charge!$D$22:$D$61)*(Charge!$E$22:$E$61+Charge!$F$22:$F$61*(D$23-Charge!$C$22:$C$61))))</f>
        <v>0.125</v>
      </c>
      <c r="E27" s="5" t="n">
        <f aca="false">MIN(1,SUMPRODUCT(($A27=Charge!$A$22:$A$61)*(E$23&gt;Charge!$C$22:$C$61)*(E$23&lt;=Charge!$D$22:$D$61)*(Charge!$E$22:$E$61+Charge!$F$22:$F$61*(E$23-Charge!$C$22:$C$61))))</f>
        <v>0.155</v>
      </c>
      <c r="F27" s="5" t="n">
        <f aca="false">MIN(1,SUMPRODUCT(($A27=Charge!$A$22:$A$61)*(F$23&gt;Charge!$C$22:$C$61)*(F$23&lt;=Charge!$D$22:$D$61)*(Charge!$E$22:$E$61+Charge!$F$22:$F$61*(F$23-Charge!$C$22:$C$61))))</f>
        <v>0.2</v>
      </c>
      <c r="G27" s="5" t="n">
        <f aca="false">MIN(1,SUMPRODUCT(($A27=Charge!$A$22:$A$61)*(G$23&gt;Charge!$C$22:$C$61)*(G$23&lt;=Charge!$D$22:$D$61)*(Charge!$E$22:$E$61+Charge!$F$22:$F$61*(G$23-Charge!$C$22:$C$61))))</f>
        <v>0.25</v>
      </c>
      <c r="H27" s="5" t="n">
        <f aca="false">MIN(1,SUMPRODUCT(($A27=Charge!$A$22:$A$61)*(H$23&gt;Charge!$C$22:$C$61)*(H$23&lt;=Charge!$D$22:$D$61)*(Charge!$E$22:$E$61+Charge!$F$22:$F$61*(H$23-Charge!$C$22:$C$61))))</f>
        <v>0.3</v>
      </c>
      <c r="I27" s="5" t="n">
        <f aca="false">MIN(1,SUMPRODUCT(($A27=Charge!$A$22:$A$61)*(I$23&gt;Charge!$C$22:$C$61)*(I$23&lt;=Charge!$D$22:$D$61)*(Charge!$E$22:$E$61+Charge!$F$22:$F$61*(I$23-Charge!$C$22:$C$61))))</f>
        <v>0.325</v>
      </c>
      <c r="J27" s="9" t="s">
        <v>32</v>
      </c>
      <c r="K27" s="10" t="n">
        <v>0.025</v>
      </c>
      <c r="L27" s="10" t="n">
        <v>0.075</v>
      </c>
      <c r="M27" s="10" t="n">
        <v>0.125</v>
      </c>
      <c r="N27" s="10" t="n">
        <v>0.155</v>
      </c>
      <c r="O27" s="10" t="n">
        <v>0.2</v>
      </c>
      <c r="P27" s="10" t="n">
        <v>0.25</v>
      </c>
      <c r="Q27" s="10" t="n">
        <v>0.3</v>
      </c>
      <c r="R27" s="10" t="n">
        <v>0.325</v>
      </c>
    </row>
    <row r="28" customFormat="false" ht="15" hidden="false" customHeight="false" outlineLevel="0" collapsed="false">
      <c r="A28" s="9" t="s">
        <v>4</v>
      </c>
      <c r="B28" s="5" t="n">
        <f aca="false">MIN(1,SUMPRODUCT(($A28=Charge!$A$22:$A$61)*(B$23&gt;Charge!$C$22:$C$61)*(B$23&lt;=Charge!$D$22:$D$61)*(Charge!$E$22:$E$61+Charge!$F$22:$F$61*(B$23-Charge!$C$22:$C$61))))</f>
        <v>0.045</v>
      </c>
      <c r="C28" s="5" t="n">
        <f aca="false">MIN(1,SUMPRODUCT(($A28=Charge!$A$22:$A$61)*(C$23&gt;Charge!$C$22:$C$61)*(C$23&lt;=Charge!$D$22:$D$61)*(Charge!$E$22:$E$61+Charge!$F$22:$F$61*(C$23-Charge!$C$22:$C$61))))</f>
        <v>0.135</v>
      </c>
      <c r="D28" s="5" t="n">
        <f aca="false">MIN(1,SUMPRODUCT(($A28=Charge!$A$22:$A$61)*(D$23&gt;Charge!$C$22:$C$61)*(D$23&lt;=Charge!$D$22:$D$61)*(Charge!$E$22:$E$61+Charge!$F$22:$F$61*(D$23-Charge!$C$22:$C$61))))</f>
        <v>0.225</v>
      </c>
      <c r="E28" s="5" t="n">
        <f aca="false">MIN(1,SUMPRODUCT(($A28=Charge!$A$22:$A$61)*(E$23&gt;Charge!$C$22:$C$61)*(E$23&lt;=Charge!$D$22:$D$61)*(Charge!$E$22:$E$61+Charge!$F$22:$F$61*(E$23-Charge!$C$22:$C$61))))</f>
        <v>0.275</v>
      </c>
      <c r="F28" s="5" t="n">
        <f aca="false">MIN(1,SUMPRODUCT(($A28=Charge!$A$22:$A$61)*(F$23&gt;Charge!$C$22:$C$61)*(F$23&lt;=Charge!$D$22:$D$61)*(Charge!$E$22:$E$61+Charge!$F$22:$F$61*(F$23-Charge!$C$22:$C$61))))</f>
        <v>0.35</v>
      </c>
      <c r="G28" s="5" t="n">
        <f aca="false">MIN(1,SUMPRODUCT(($A28=Charge!$A$22:$A$61)*(G$23&gt;Charge!$C$22:$C$61)*(G$23&lt;=Charge!$D$22:$D$61)*(Charge!$E$22:$E$61+Charge!$F$22:$F$61*(G$23-Charge!$C$22:$C$61))))</f>
        <v>0.44</v>
      </c>
      <c r="H28" s="5" t="n">
        <f aca="false">MIN(1,SUMPRODUCT(($A28=Charge!$A$22:$A$61)*(H$23&gt;Charge!$C$22:$C$61)*(H$23&lt;=Charge!$D$22:$D$61)*(Charge!$E$22:$E$61+Charge!$F$22:$F$61*(H$23-Charge!$C$22:$C$61))))</f>
        <v>0.465</v>
      </c>
      <c r="I28" s="5" t="n">
        <f aca="false">MIN(1,SUMPRODUCT(($A28=Charge!$A$22:$A$61)*(I$23&gt;Charge!$C$22:$C$61)*(I$23&lt;=Charge!$D$22:$D$61)*(Charge!$E$22:$E$61+Charge!$F$22:$F$61*(I$23-Charge!$C$22:$C$61))))</f>
        <v>0.49</v>
      </c>
      <c r="J28" s="9" t="s">
        <v>4</v>
      </c>
      <c r="K28" s="10" t="n">
        <v>0.045</v>
      </c>
      <c r="L28" s="10" t="n">
        <v>0.135</v>
      </c>
      <c r="M28" s="10" t="n">
        <v>0.225</v>
      </c>
      <c r="N28" s="10" t="n">
        <v>0.275</v>
      </c>
      <c r="O28" s="10" t="n">
        <v>0.35</v>
      </c>
      <c r="P28" s="10" t="n">
        <v>0.44</v>
      </c>
      <c r="Q28" s="10" t="n">
        <v>0.465</v>
      </c>
      <c r="R28" s="10" t="n">
        <v>0.49</v>
      </c>
    </row>
    <row r="29" customFormat="false" ht="15" hidden="false" customHeight="false" outlineLevel="0" collapsed="false">
      <c r="A29" s="9" t="s">
        <v>33</v>
      </c>
      <c r="B29" s="5" t="n">
        <f aca="false">MIN(1,SUMPRODUCT(($A29=Charge!$A$22:$A$61)*(B$23&gt;Charge!$C$22:$C$61)*(B$23&lt;=Charge!$D$22:$D$61)*(Charge!$E$22:$E$61+Charge!$F$22:$F$61*(B$23-Charge!$C$22:$C$61))))</f>
        <v>0.075</v>
      </c>
      <c r="C29" s="5" t="n">
        <f aca="false">MIN(1,SUMPRODUCT(($A29=Charge!$A$22:$A$61)*(C$23&gt;Charge!$C$22:$C$61)*(C$23&lt;=Charge!$D$22:$D$61)*(Charge!$E$22:$E$61+Charge!$F$22:$F$61*(C$23-Charge!$C$22:$C$61))))</f>
        <v>0.225</v>
      </c>
      <c r="D29" s="5" t="n">
        <f aca="false">MIN(1,SUMPRODUCT(($A29=Charge!$A$22:$A$61)*(D$23&gt;Charge!$C$22:$C$61)*(D$23&lt;=Charge!$D$22:$D$61)*(Charge!$E$22:$E$61+Charge!$F$22:$F$61*(D$23-Charge!$C$22:$C$61))))</f>
        <v>0.375</v>
      </c>
      <c r="E29" s="5" t="n">
        <f aca="false">MIN(1,SUMPRODUCT(($A29=Charge!$A$22:$A$61)*(E$23&gt;Charge!$C$22:$C$61)*(E$23&lt;=Charge!$D$22:$D$61)*(Charge!$E$22:$E$61+Charge!$F$22:$F$61*(E$23-Charge!$C$22:$C$61))))</f>
        <v>0.459</v>
      </c>
      <c r="F29" s="5" t="n">
        <f aca="false">MIN(1,SUMPRODUCT(($A29=Charge!$A$22:$A$61)*(F$23&gt;Charge!$C$22:$C$61)*(F$23&lt;=Charge!$D$22:$D$61)*(Charge!$E$22:$E$61+Charge!$F$22:$F$61*(F$23-Charge!$C$22:$C$61))))</f>
        <v>0.585</v>
      </c>
      <c r="G29" s="5" t="n">
        <f aca="false">MIN(1,SUMPRODUCT(($A29=Charge!$A$22:$A$61)*(G$23&gt;Charge!$C$22:$C$61)*(G$23&lt;=Charge!$D$22:$D$61)*(Charge!$E$22:$E$61+Charge!$F$22:$F$61*(G$23-Charge!$C$22:$C$61))))</f>
        <v>0.61</v>
      </c>
      <c r="H29" s="5" t="n">
        <f aca="false">MIN(1,SUMPRODUCT(($A29=Charge!$A$22:$A$61)*(H$23&gt;Charge!$C$22:$C$61)*(H$23&lt;=Charge!$D$22:$D$61)*(Charge!$E$22:$E$61+Charge!$F$22:$F$61*(H$23-Charge!$C$22:$C$61))))</f>
        <v>0.635</v>
      </c>
      <c r="I29" s="5" t="n">
        <f aca="false">MIN(1,SUMPRODUCT(($A29=Charge!$A$22:$A$61)*(I$23&gt;Charge!$C$22:$C$61)*(I$23&lt;=Charge!$D$22:$D$61)*(Charge!$E$22:$E$61+Charge!$F$22:$F$61*(I$23-Charge!$C$22:$C$61))))</f>
        <v>0.66</v>
      </c>
      <c r="J29" s="9" t="s">
        <v>33</v>
      </c>
      <c r="K29" s="10" t="n">
        <v>0.075</v>
      </c>
      <c r="L29" s="10" t="n">
        <v>0.225</v>
      </c>
      <c r="M29" s="10" t="n">
        <v>0.375</v>
      </c>
      <c r="N29" s="10" t="n">
        <v>0.459</v>
      </c>
      <c r="O29" s="10" t="n">
        <v>0.585</v>
      </c>
      <c r="P29" s="10" t="n">
        <v>0.61</v>
      </c>
      <c r="Q29" s="10" t="n">
        <v>0.635</v>
      </c>
      <c r="R29" s="10" t="n">
        <v>0.66</v>
      </c>
    </row>
    <row r="30" customFormat="false" ht="15" hidden="false" customHeight="false" outlineLevel="0" collapsed="false">
      <c r="A30" s="9" t="s">
        <v>34</v>
      </c>
      <c r="B30" s="5" t="n">
        <f aca="false">MIN(1,SUMPRODUCT(($A30=Charge!$A$22:$A$61)*(B$23&gt;Charge!$C$22:$C$61)*(B$23&lt;=Charge!$D$22:$D$61)*(Charge!$E$22:$E$61+Charge!$F$22:$F$61*(B$23-Charge!$C$22:$C$61))))</f>
        <v>0.075</v>
      </c>
      <c r="C30" s="5" t="n">
        <f aca="false">MIN(1,SUMPRODUCT(($A30=Charge!$A$22:$A$61)*(C$23&gt;Charge!$C$22:$C$61)*(C$23&lt;=Charge!$D$22:$D$61)*(Charge!$E$22:$E$61+Charge!$F$22:$F$61*(C$23-Charge!$C$22:$C$61))))</f>
        <v>0.225</v>
      </c>
      <c r="D30" s="5" t="n">
        <f aca="false">MIN(1,SUMPRODUCT(($A30=Charge!$A$22:$A$61)*(D$23&gt;Charge!$C$22:$C$61)*(D$23&lt;=Charge!$D$22:$D$61)*(Charge!$E$22:$E$61+Charge!$F$22:$F$61*(D$23-Charge!$C$22:$C$61))))</f>
        <v>0.375</v>
      </c>
      <c r="E30" s="5" t="n">
        <f aca="false">MIN(1,SUMPRODUCT(($A30=Charge!$A$22:$A$61)*(E$23&gt;Charge!$C$22:$C$61)*(E$23&lt;=Charge!$D$22:$D$61)*(Charge!$E$22:$E$61+Charge!$F$22:$F$61*(E$23-Charge!$C$22:$C$61))))</f>
        <v>0.459</v>
      </c>
      <c r="F30" s="5" t="n">
        <f aca="false">MIN(1,SUMPRODUCT(($A30=Charge!$A$22:$A$61)*(F$23&gt;Charge!$C$22:$C$61)*(F$23&lt;=Charge!$D$22:$D$61)*(Charge!$E$22:$E$61+Charge!$F$22:$F$61*(F$23-Charge!$C$22:$C$61))))</f>
        <v>0.585</v>
      </c>
      <c r="G30" s="5" t="n">
        <f aca="false">MIN(1,SUMPRODUCT(($A30=Charge!$A$22:$A$61)*(G$23&gt;Charge!$C$22:$C$61)*(G$23&lt;=Charge!$D$22:$D$61)*(Charge!$E$22:$E$61+Charge!$F$22:$F$61*(G$23-Charge!$C$22:$C$61))))</f>
        <v>0.61</v>
      </c>
      <c r="H30" s="5" t="n">
        <f aca="false">MIN(1,SUMPRODUCT(($A30=Charge!$A$22:$A$61)*(H$23&gt;Charge!$C$22:$C$61)*(H$23&lt;=Charge!$D$22:$D$61)*(Charge!$E$22:$E$61+Charge!$F$22:$F$61*(H$23-Charge!$C$22:$C$61))))</f>
        <v>0.635</v>
      </c>
      <c r="I30" s="5" t="n">
        <f aca="false">MIN(1,SUMPRODUCT(($A30=Charge!$A$22:$A$61)*(I$23&gt;Charge!$C$22:$C$61)*(I$23&lt;=Charge!$D$22:$D$61)*(Charge!$E$22:$E$61+Charge!$F$22:$F$61*(I$23-Charge!$C$22:$C$61))))</f>
        <v>0.66</v>
      </c>
      <c r="J30" s="9" t="s">
        <v>34</v>
      </c>
      <c r="K30" s="10" t="n">
        <v>0.075</v>
      </c>
      <c r="L30" s="10" t="n">
        <v>0.225</v>
      </c>
      <c r="M30" s="10" t="n">
        <v>0.375</v>
      </c>
      <c r="N30" s="10" t="n">
        <v>0.459</v>
      </c>
      <c r="O30" s="10" t="n">
        <v>0.585</v>
      </c>
      <c r="P30" s="10" t="n">
        <v>0.61</v>
      </c>
      <c r="Q30" s="10" t="n">
        <v>0.635</v>
      </c>
      <c r="R30" s="10" t="n">
        <v>0.66</v>
      </c>
    </row>
    <row r="31" customFormat="false" ht="15" hidden="false" customHeight="false" outlineLevel="0" collapsed="false">
      <c r="A31" s="9" t="s">
        <v>35</v>
      </c>
      <c r="B31" s="5" t="n">
        <f aca="false">MIN(1,SUMPRODUCT(($A31=Charge!$A$22:$A$61)*(B$23&gt;Charge!$C$22:$C$61)*(B$23&lt;=Charge!$D$22:$D$61)*(Charge!$E$22:$E$61+Charge!$F$22:$F$61*(B$23-Charge!$C$22:$C$61))))</f>
        <v>0.03</v>
      </c>
      <c r="C31" s="5" t="n">
        <f aca="false">MIN(1,SUMPRODUCT(($A31=Charge!$A$22:$A$61)*(C$23&gt;Charge!$C$22:$C$61)*(C$23&lt;=Charge!$D$22:$D$61)*(Charge!$E$22:$E$61+Charge!$F$22:$F$61*(C$23-Charge!$C$22:$C$61))))</f>
        <v>0.09</v>
      </c>
      <c r="D31" s="5" t="n">
        <f aca="false">MIN(1,SUMPRODUCT(($A31=Charge!$A$22:$A$61)*(D$23&gt;Charge!$C$22:$C$61)*(D$23&lt;=Charge!$D$22:$D$61)*(Charge!$E$22:$E$61+Charge!$F$22:$F$61*(D$23-Charge!$C$22:$C$61))))</f>
        <v>0.15</v>
      </c>
      <c r="E31" s="5" t="n">
        <f aca="false">MIN(1,SUMPRODUCT(($A31=Charge!$A$22:$A$61)*(E$23&gt;Charge!$C$22:$C$61)*(E$23&lt;=Charge!$D$22:$D$61)*(Charge!$E$22:$E$61+Charge!$F$22:$F$61*(E$23-Charge!$C$22:$C$61))))</f>
        <v>0.184</v>
      </c>
      <c r="F31" s="5" t="n">
        <f aca="false">MIN(1,SUMPRODUCT(($A31=Charge!$A$22:$A$61)*(F$23&gt;Charge!$C$22:$C$61)*(F$23&lt;=Charge!$D$22:$D$61)*(Charge!$E$22:$E$61+Charge!$F$22:$F$61*(F$23-Charge!$C$22:$C$61))))</f>
        <v>0.235</v>
      </c>
      <c r="G31" s="5" t="n">
        <f aca="false">MIN(1,SUMPRODUCT(($A31=Charge!$A$22:$A$61)*(G$23&gt;Charge!$C$22:$C$61)*(G$23&lt;=Charge!$D$22:$D$61)*(Charge!$E$22:$E$61+Charge!$F$22:$F$61*(G$23-Charge!$C$22:$C$61))))</f>
        <v>0.295</v>
      </c>
      <c r="H31" s="5" t="n">
        <f aca="false">MIN(1,SUMPRODUCT(($A31=Charge!$A$22:$A$61)*(H$23&gt;Charge!$C$22:$C$61)*(H$23&lt;=Charge!$D$22:$D$61)*(Charge!$E$22:$E$61+Charge!$F$22:$F$61*(H$23-Charge!$C$22:$C$61))))</f>
        <v>0.355</v>
      </c>
      <c r="I31" s="5" t="n">
        <f aca="false">MIN(1,SUMPRODUCT(($A31=Charge!$A$22:$A$61)*(I$23&gt;Charge!$C$22:$C$61)*(I$23&lt;=Charge!$D$22:$D$61)*(Charge!$E$22:$E$61+Charge!$F$22:$F$61*(I$23-Charge!$C$22:$C$61))))</f>
        <v>0.38</v>
      </c>
      <c r="J31" s="9" t="s">
        <v>35</v>
      </c>
      <c r="K31" s="10" t="n">
        <v>0.03</v>
      </c>
      <c r="L31" s="10" t="n">
        <v>0.09</v>
      </c>
      <c r="M31" s="10" t="n">
        <v>0.15</v>
      </c>
      <c r="N31" s="10" t="n">
        <v>0.184</v>
      </c>
      <c r="O31" s="10" t="n">
        <v>0.235</v>
      </c>
      <c r="P31" s="10" t="n">
        <v>0.295</v>
      </c>
      <c r="Q31" s="10" t="n">
        <v>0.355</v>
      </c>
      <c r="R31" s="10" t="n">
        <v>0.38</v>
      </c>
    </row>
    <row r="33" customFormat="false" ht="15" hidden="false" customHeight="false" outlineLevel="0" collapsed="false">
      <c r="A33" s="3" t="s">
        <v>43</v>
      </c>
    </row>
    <row r="34" customFormat="false" ht="15" hidden="false" customHeight="false" outlineLevel="0" collapsed="false">
      <c r="A34" s="8" t="s">
        <v>44</v>
      </c>
      <c r="B34" s="8" t="s">
        <v>45</v>
      </c>
      <c r="C34" s="8" t="s">
        <v>46</v>
      </c>
      <c r="D34" s="8" t="s">
        <v>47</v>
      </c>
      <c r="E34" s="8" t="s">
        <v>45</v>
      </c>
      <c r="F34" s="8" t="s">
        <v>46</v>
      </c>
      <c r="G34" s="8" t="s">
        <v>48</v>
      </c>
      <c r="H34" s="8" t="s">
        <v>40</v>
      </c>
    </row>
    <row r="35" customFormat="false" ht="15" hidden="false" customHeight="false" outlineLevel="0" collapsed="false">
      <c r="A35" s="16" t="s">
        <v>30</v>
      </c>
      <c r="B35" s="16" t="n">
        <v>15</v>
      </c>
      <c r="C35" s="5" t="n">
        <f aca="false">MIN(1,SUMPRODUCT((A35=Charge!$A$22:$A$61)*(B35&gt;Charge!$C$22:$C$61)*(B35&lt;=Charge!$D$22:$D$61)*(Charge!$E$22:$E$61+Charge!$F$22:$F$61*(B35-Charge!$C$22:$C$61))))</f>
        <v>0.109</v>
      </c>
      <c r="D35" s="16" t="s">
        <v>4</v>
      </c>
      <c r="E35" s="16" t="n">
        <v>2</v>
      </c>
      <c r="F35" s="5" t="n">
        <f aca="false">MIN(1,SUMPRODUCT((D35=Charge!$A$22:$A$61)*(E35&gt;Charge!$C$22:$C$61)*(E35&lt;=Charge!$D$22:$D$61)*(Charge!$E$22:$E$61+Charge!$F$22:$F$61*(E35-Charge!$C$22:$C$61))))</f>
        <v>0.09</v>
      </c>
      <c r="G35" s="9" t="str">
        <f aca="false">IF(C35&gt;F35,"charged more","charged less")</f>
        <v>charged more</v>
      </c>
      <c r="H35" s="16" t="s">
        <v>49</v>
      </c>
    </row>
    <row r="36" customFormat="false" ht="15" hidden="false" customHeight="false" outlineLevel="0" collapsed="false">
      <c r="A36" s="16" t="s">
        <v>31</v>
      </c>
      <c r="B36" s="16" t="n">
        <v>20</v>
      </c>
      <c r="C36" s="5" t="n">
        <f aca="false">MIN(1,SUMPRODUCT((A36=Charge!$A$22:$A$61)*(B36&gt;Charge!$C$22:$C$61)*(B36&lt;=Charge!$D$22:$D$61)*(Charge!$E$22:$E$61+Charge!$F$22:$F$61*(B36-Charge!$C$22:$C$61))))</f>
        <v>0.155</v>
      </c>
      <c r="D36" s="16" t="s">
        <v>33</v>
      </c>
      <c r="E36" s="16" t="n">
        <v>2</v>
      </c>
      <c r="F36" s="5" t="n">
        <f aca="false">MIN(1,SUMPRODUCT((D36=Charge!$A$22:$A$61)*(E36&gt;Charge!$C$22:$C$61)*(E36&lt;=Charge!$D$22:$D$61)*(Charge!$E$22:$E$61+Charge!$F$22:$F$61*(E36-Charge!$C$22:$C$61))))</f>
        <v>0.15</v>
      </c>
      <c r="G36" s="9" t="str">
        <f aca="false">IF(C36&gt;F36,"charged more","charged less")</f>
        <v>charged more</v>
      </c>
      <c r="H36" s="16" t="s">
        <v>49</v>
      </c>
    </row>
    <row r="37" customFormat="false" ht="15" hidden="false" customHeight="false" outlineLevel="0" collapsed="false">
      <c r="A37" s="16" t="s">
        <v>29</v>
      </c>
      <c r="B37" s="16" t="n">
        <v>20</v>
      </c>
      <c r="C37" s="5" t="n">
        <f aca="false">MIN(1,SUMPRODUCT((A37=Charge!$A$22:$A$61)*(B37&gt;Charge!$C$22:$C$61)*(B37&lt;=Charge!$D$22:$D$61)*(Charge!$E$22:$E$61+Charge!$F$22:$F$61*(B37-Charge!$C$22:$C$61))))</f>
        <v>0.12</v>
      </c>
      <c r="D37" s="16" t="s">
        <v>34</v>
      </c>
      <c r="E37" s="16" t="n">
        <v>2</v>
      </c>
      <c r="F37" s="5" t="n">
        <f aca="false">MIN(1,SUMPRODUCT((D37=Charge!$A$22:$A$61)*(E37&gt;Charge!$C$22:$C$61)*(E37&lt;=Charge!$D$22:$D$61)*(Charge!$E$22:$E$61+Charge!$F$22:$F$61*(E37-Charge!$C$22:$C$61))))</f>
        <v>0.15</v>
      </c>
      <c r="G37" s="9" t="str">
        <f aca="false">IF(C37&gt;F37,"charged more","charged less")</f>
        <v>charged less</v>
      </c>
      <c r="H37" s="16" t="s">
        <v>50</v>
      </c>
    </row>
    <row r="38" customFormat="false" ht="15" hidden="false" customHeight="false" outlineLevel="0" collapsed="false">
      <c r="A38" s="16" t="s">
        <v>32</v>
      </c>
      <c r="B38" s="16" t="n">
        <v>10</v>
      </c>
      <c r="C38" s="5" t="n">
        <f aca="false">MIN(1,SUMPRODUCT((A38=Charge!$A$22:$A$61)*(B38&gt;Charge!$C$22:$C$61)*(B38&lt;=Charge!$D$22:$D$61)*(Charge!$E$22:$E$61+Charge!$F$22:$F$61*(B38-Charge!$C$22:$C$61))))</f>
        <v>0.2</v>
      </c>
      <c r="D38" s="16" t="s">
        <v>4</v>
      </c>
      <c r="E38" s="16" t="n">
        <v>5</v>
      </c>
      <c r="F38" s="5" t="n">
        <f aca="false">MIN(1,SUMPRODUCT((D38=Charge!$A$22:$A$61)*(E38&gt;Charge!$C$22:$C$61)*(E38&lt;=Charge!$D$22:$D$61)*(Charge!$E$22:$E$61+Charge!$F$22:$F$61*(E38-Charge!$C$22:$C$61))))</f>
        <v>0.225</v>
      </c>
      <c r="G38" s="9" t="str">
        <f aca="false">IF(C38&gt;F38,"charged more","charged less")</f>
        <v>charged less</v>
      </c>
      <c r="H38" s="16" t="s">
        <v>50</v>
      </c>
    </row>
    <row r="40" customFormat="false" ht="15" hidden="false" customHeight="false" outlineLevel="0" collapsed="false">
      <c r="A40" s="3" t="s">
        <v>51</v>
      </c>
    </row>
    <row r="41" customFormat="false" ht="15" hidden="false" customHeight="false" outlineLevel="0" collapsed="false">
      <c r="A41" s="16" t="s">
        <v>4</v>
      </c>
      <c r="B41" s="16" t="n">
        <v>4</v>
      </c>
      <c r="C41" s="5" t="n">
        <f aca="false">MIN(1,SUMPRODUCT((A41=Charge!$A$22:$A$61)*(B41&gt;Charge!$C$22:$C$61)*(B41&lt;=Charge!$D$22:$D$61)*(Charge!$E$22:$E$61+Charge!$F$22:$F$61*(B41-Charge!$C$22:$C$61))))</f>
        <v>0.18</v>
      </c>
    </row>
    <row r="42" customFormat="false" ht="15" hidden="false" customHeight="false" outlineLevel="0" collapsed="false">
      <c r="A42" s="16" t="s">
        <v>33</v>
      </c>
      <c r="B42" s="16" t="n">
        <v>4</v>
      </c>
      <c r="C42" s="5" t="n">
        <f aca="false">MIN(1,SUMPRODUCT((A42=Charge!$A$22:$A$61)*(B42&gt;Charge!$C$22:$C$61)*(B42&lt;=Charge!$D$22:$D$61)*(Charge!$E$22:$E$61+Charge!$F$22:$F$61*(B42-Charge!$C$22:$C$61))))</f>
        <v>0.3</v>
      </c>
    </row>
    <row r="44" customFormat="false" ht="15" hidden="false" customHeight="false" outlineLevel="0" collapsed="false">
      <c r="A44" s="3" t="s">
        <v>52</v>
      </c>
    </row>
    <row r="45" customFormat="false" ht="15" hidden="false" customHeight="false" outlineLevel="0" collapsed="false">
      <c r="A45" s="16" t="s">
        <v>34</v>
      </c>
      <c r="B45" s="16" t="n">
        <v>20</v>
      </c>
      <c r="C45" s="5" t="n">
        <f aca="false">MIN(1,SUMPRODUCT((A45=Charge!$A$22:$A$61)*(B45&gt;Charge!$C$22:$C$61)*(B45&lt;=Charge!$D$22:$D$61)*(Charge!$E$22:$E$61+Charge!$F$22:$F$61*(B45-Charge!$C$22:$C$61))))</f>
        <v>0.635</v>
      </c>
    </row>
    <row r="47" customFormat="false" ht="15" hidden="false" customHeight="false" outlineLevel="0" collapsed="false">
      <c r="A47" s="3" t="s">
        <v>53</v>
      </c>
      <c r="C47" s="17" t="n">
        <f aca="false">F19/B16</f>
        <v>17.8928571428571</v>
      </c>
    </row>
    <row r="48" customFormat="false" ht="15" hidden="false" customHeight="false" outlineLevel="0" collapsed="false">
      <c r="A48" s="3" t="s">
        <v>54</v>
      </c>
      <c r="C48" s="17" t="n">
        <f aca="false">B9/B8</f>
        <v>1.78571428571429</v>
      </c>
      <c r="D48" s="17" t="n">
        <f aca="false">B10/B9</f>
        <v>1.8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8"/>
    <col collapsed="false" customWidth="true" hidden="false" outlineLevel="0" max="3" min="3" style="0" width="40"/>
  </cols>
  <sheetData>
    <row r="1" customFormat="false" ht="15" hidden="false" customHeight="false" outlineLevel="0" collapsed="false">
      <c r="A1" s="1" t="s">
        <v>55</v>
      </c>
    </row>
    <row r="2" customFormat="false" ht="15" hidden="false" customHeight="false" outlineLevel="0" collapsed="false">
      <c r="A2" s="7" t="s">
        <v>56</v>
      </c>
    </row>
    <row r="4" customFormat="false" ht="15" hidden="false" customHeight="false" outlineLevel="0" collapsed="false">
      <c r="A4" s="9" t="s">
        <v>57</v>
      </c>
      <c r="B4" s="18" t="n">
        <v>108</v>
      </c>
      <c r="C4" s="7" t="s">
        <v>58</v>
      </c>
    </row>
    <row r="5" customFormat="false" ht="15" hidden="false" customHeight="false" outlineLevel="0" collapsed="false">
      <c r="A5" s="9" t="s">
        <v>59</v>
      </c>
      <c r="B5" s="18" t="n">
        <v>100</v>
      </c>
      <c r="C5" s="7"/>
    </row>
    <row r="6" customFormat="false" ht="15" hidden="false" customHeight="false" outlineLevel="0" collapsed="false">
      <c r="A6" s="9" t="s">
        <v>13</v>
      </c>
      <c r="B6" s="5" t="n">
        <f aca="false">MAX(-0.1,MIN(0.1,0.5*((B4-B5)/B5-0.08)))</f>
        <v>0</v>
      </c>
      <c r="C6" s="7"/>
    </row>
    <row r="7" customFormat="false" ht="15" hidden="false" customHeight="false" outlineLevel="0" collapsed="false">
      <c r="A7" s="9" t="s">
        <v>60</v>
      </c>
      <c r="B7" s="5" t="n">
        <f aca="false">MAX(-0.1,MIN(0.1,0.5*(0-0.08)))</f>
        <v>-0.04</v>
      </c>
      <c r="C7" s="7" t="s">
        <v>61</v>
      </c>
    </row>
    <row r="8" customFormat="false" ht="15" hidden="false" customHeight="false" outlineLevel="0" collapsed="false">
      <c r="A8" s="9" t="s">
        <v>62</v>
      </c>
      <c r="B8" s="19" t="n">
        <f aca="false">B5*1.08</f>
        <v>108</v>
      </c>
      <c r="C8" s="7"/>
    </row>
    <row r="10" customFormat="false" ht="15" hidden="false" customHeight="false" outlineLevel="0" collapsed="false">
      <c r="A10" s="9" t="s">
        <v>63</v>
      </c>
      <c r="B10" s="5" t="n">
        <f aca="false">Charge!B15+0.1</f>
        <v>0.59</v>
      </c>
      <c r="C10" s="7"/>
    </row>
    <row r="11" customFormat="false" ht="15" hidden="false" customHeight="false" outlineLevel="0" collapsed="false">
      <c r="A11" s="9" t="s">
        <v>64</v>
      </c>
      <c r="B11" s="5" t="n">
        <f aca="false">Charge!B15-0.1</f>
        <v>0.39</v>
      </c>
      <c r="C11" s="7"/>
    </row>
    <row r="12" customFormat="false" ht="15" hidden="false" customHeight="false" outlineLevel="0" collapsed="false">
      <c r="A12" s="9" t="s">
        <v>65</v>
      </c>
      <c r="B12" s="20" t="n">
        <v>150000000</v>
      </c>
      <c r="C12" s="7"/>
    </row>
    <row r="13" customFormat="false" ht="15" hidden="false" customHeight="false" outlineLevel="0" collapsed="false">
      <c r="A13" s="9" t="s">
        <v>66</v>
      </c>
      <c r="B13" s="21" t="n">
        <f aca="false">(B10-B11)*B12</f>
        <v>30000000</v>
      </c>
      <c r="C13" s="7"/>
    </row>
    <row r="14" customFormat="false" ht="15" hidden="false" customHeight="false" outlineLevel="0" collapsed="false">
      <c r="A14" s="9" t="s">
        <v>67</v>
      </c>
      <c r="B14" s="5" t="n">
        <f aca="false">MAX(0,Charge!B15+B6)</f>
        <v>0.49</v>
      </c>
      <c r="C14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44"/>
  </cols>
  <sheetData>
    <row r="1" customFormat="false" ht="15" hidden="false" customHeight="false" outlineLevel="0" collapsed="false">
      <c r="A1" s="1" t="s">
        <v>68</v>
      </c>
    </row>
    <row r="2" customFormat="false" ht="15" hidden="false" customHeight="false" outlineLevel="0" collapsed="false">
      <c r="A2" s="7" t="s">
        <v>69</v>
      </c>
    </row>
    <row r="4" customFormat="false" ht="15" hidden="false" customHeight="false" outlineLevel="0" collapsed="false">
      <c r="A4" s="8" t="s">
        <v>70</v>
      </c>
      <c r="B4" s="8" t="s">
        <v>71</v>
      </c>
      <c r="C4" s="8" t="s">
        <v>72</v>
      </c>
      <c r="D4" s="8" t="s">
        <v>73</v>
      </c>
      <c r="E4" s="8" t="s">
        <v>48</v>
      </c>
      <c r="F4" s="8" t="s">
        <v>74</v>
      </c>
    </row>
    <row r="5" customFormat="false" ht="15" hidden="false" customHeight="false" outlineLevel="0" collapsed="false">
      <c r="A5" s="9" t="s">
        <v>75</v>
      </c>
      <c r="B5" s="5" t="n">
        <f aca="false">Charge!B9</f>
        <v>0.189</v>
      </c>
      <c r="C5" s="10" t="n">
        <v>0.189</v>
      </c>
      <c r="D5" s="5" t="n">
        <f aca="false">IF(ISNUMBER(B5),B5-C5,"")</f>
        <v>0</v>
      </c>
      <c r="E5" s="3" t="str">
        <f aca="false">IF(ISNUMBER(B5),IF(ABS(B5-C5)&lt;=ABS(C5)*0.0002+0.000001,"OK","ECART"),"ECART")</f>
        <v>OK</v>
      </c>
      <c r="F5" s="7" t="s">
        <v>76</v>
      </c>
    </row>
    <row r="6" customFormat="false" ht="15" hidden="false" customHeight="false" outlineLevel="0" collapsed="false">
      <c r="A6" s="9" t="s">
        <v>77</v>
      </c>
      <c r="B6" s="5" t="n">
        <f aca="false">Charge!D15</f>
        <v>0.49</v>
      </c>
      <c r="C6" s="10" t="n">
        <v>0.49</v>
      </c>
      <c r="D6" s="5" t="n">
        <f aca="false">IF(ISNUMBER(B6),B6-C6,"")</f>
        <v>0</v>
      </c>
      <c r="E6" s="3" t="str">
        <f aca="false">IF(ISNUMBER(B6),IF(ABS(B6-C6)&lt;=ABS(C6)*0.0002+0.000001,"OK","ECART"),"ECART")</f>
        <v>OK</v>
      </c>
      <c r="F6" s="7" t="s">
        <v>78</v>
      </c>
    </row>
    <row r="7" customFormat="false" ht="15" hidden="false" customHeight="false" outlineLevel="0" collapsed="false">
      <c r="A7" s="9" t="s">
        <v>79</v>
      </c>
      <c r="B7" s="5" t="n">
        <f aca="false">Charge!D16</f>
        <v>0.22</v>
      </c>
      <c r="C7" s="10" t="n">
        <v>0.22</v>
      </c>
      <c r="D7" s="5" t="n">
        <f aca="false">IF(ISNUMBER(B7),B7-C7,"")</f>
        <v>0</v>
      </c>
      <c r="E7" s="3" t="str">
        <f aca="false">IF(ISNUMBER(B7),IF(ABS(B7-C7)&lt;=ABS(C7)*0.0002+0.000001,"OK","ECART"),"ECART")</f>
        <v>OK</v>
      </c>
      <c r="F7" s="7" t="s">
        <v>80</v>
      </c>
    </row>
    <row r="8" customFormat="false" ht="15" hidden="false" customHeight="false" outlineLevel="0" collapsed="false">
      <c r="A8" s="9" t="s">
        <v>81</v>
      </c>
      <c r="B8" s="5" t="n">
        <f aca="false">Charge!D19</f>
        <v>0.25</v>
      </c>
      <c r="C8" s="10" t="n">
        <v>0.25</v>
      </c>
      <c r="D8" s="5" t="n">
        <f aca="false">IF(ISNUMBER(B8),B8-C8,"")</f>
        <v>0</v>
      </c>
      <c r="E8" s="3" t="str">
        <f aca="false">IF(ISNUMBER(B8),IF(ABS(B8-C8)&lt;=ABS(C8)*0.0002+0.000001,"OK","ECART"),"ECART")</f>
        <v>OK</v>
      </c>
      <c r="F8" s="7" t="s">
        <v>82</v>
      </c>
    </row>
    <row r="9" customFormat="false" ht="15" hidden="false" customHeight="false" outlineLevel="0" collapsed="false">
      <c r="A9" s="9" t="s">
        <v>83</v>
      </c>
      <c r="B9" s="21" t="n">
        <f aca="false">Charge!B10</f>
        <v>28350000</v>
      </c>
      <c r="C9" s="22" t="n">
        <v>28350000</v>
      </c>
      <c r="D9" s="21" t="n">
        <f aca="false">IF(ISNUMBER(B9),B9-C9,"")</f>
        <v>0</v>
      </c>
      <c r="E9" s="3" t="str">
        <f aca="false">IF(ISNUMBER(B9),IF(ABS(B9-C9)&lt;=ABS(C9)*0.0002+0.000001,"OK","ECART"),"ECART")</f>
        <v>OK</v>
      </c>
      <c r="F9" s="7" t="s">
        <v>84</v>
      </c>
    </row>
    <row r="10" customFormat="false" ht="15" hidden="false" customHeight="false" outlineLevel="0" collapsed="false">
      <c r="A10" s="9" t="s">
        <v>85</v>
      </c>
      <c r="B10" s="23" t="n">
        <f aca="false">IF(SUMPRODUCT(ABS(Grids!B6:G12-Grids!K6:P12))&lt;0.000000001,1,0)</f>
        <v>1</v>
      </c>
      <c r="C10" s="24" t="n">
        <v>1</v>
      </c>
      <c r="D10" s="23" t="n">
        <f aca="false">B10-C10</f>
        <v>0</v>
      </c>
      <c r="E10" s="3" t="str">
        <f aca="false">IF(B10=1,"OK","ECART")</f>
        <v>OK</v>
      </c>
      <c r="F10" s="7" t="s">
        <v>86</v>
      </c>
    </row>
    <row r="11" customFormat="false" ht="15" hidden="false" customHeight="false" outlineLevel="0" collapsed="false">
      <c r="A11" s="9" t="s">
        <v>87</v>
      </c>
      <c r="B11" s="23" t="n">
        <f aca="false">IF(SUMPRODUCT(ABS(Grids!B16:F19-Grids!K16:O19))&lt;0.000000001,1,0)</f>
        <v>1</v>
      </c>
      <c r="C11" s="24" t="n">
        <v>1</v>
      </c>
      <c r="D11" s="23" t="n">
        <f aca="false">B11-C11</f>
        <v>0</v>
      </c>
      <c r="E11" s="3" t="str">
        <f aca="false">IF(B11=1,"OK","ECART")</f>
        <v>OK</v>
      </c>
      <c r="F11" s="7" t="s">
        <v>88</v>
      </c>
    </row>
    <row r="12" customFormat="false" ht="15" hidden="false" customHeight="false" outlineLevel="0" collapsed="false">
      <c r="A12" s="9" t="s">
        <v>89</v>
      </c>
      <c r="B12" s="23" t="n">
        <f aca="false">IF(SUMPRODUCT(ABS(Grids!B24:I31-Grids!K24:R31))&lt;0.000000001,1,0)</f>
        <v>1</v>
      </c>
      <c r="C12" s="24" t="n">
        <v>1</v>
      </c>
      <c r="D12" s="23" t="n">
        <f aca="false">B12-C12</f>
        <v>0</v>
      </c>
      <c r="E12" s="3" t="str">
        <f aca="false">IF(B12=1,"OK","ECART")</f>
        <v>OK</v>
      </c>
      <c r="F12" s="7" t="s">
        <v>90</v>
      </c>
    </row>
    <row r="13" customFormat="false" ht="15" hidden="false" customHeight="false" outlineLevel="0" collapsed="false">
      <c r="A13" s="9" t="s">
        <v>91</v>
      </c>
      <c r="B13" s="23" t="n">
        <f aca="false">IF(AND(Grids!G35=Grids!H35,Grids!G36=Grids!H36,Grids!G37=Grids!H37,Grids!G38=Grids!H38),1,0)</f>
        <v>1</v>
      </c>
      <c r="C13" s="24" t="n">
        <v>1</v>
      </c>
      <c r="D13" s="23" t="n">
        <f aca="false">B13-C13</f>
        <v>0</v>
      </c>
      <c r="E13" s="3" t="str">
        <f aca="false">IF(B13=1,"OK","ECART")</f>
        <v>OK</v>
      </c>
      <c r="F13" s="7" t="s">
        <v>92</v>
      </c>
    </row>
    <row r="14" customFormat="false" ht="15" hidden="false" customHeight="false" outlineLevel="0" collapsed="false">
      <c r="A14" s="9" t="s">
        <v>93</v>
      </c>
      <c r="B14" s="5" t="n">
        <f aca="false">Grids!C41</f>
        <v>0.18</v>
      </c>
      <c r="C14" s="10" t="n">
        <v>0.18</v>
      </c>
      <c r="D14" s="5" t="n">
        <f aca="false">IF(ISNUMBER(B14),B14-C14,"")</f>
        <v>0</v>
      </c>
      <c r="E14" s="3" t="str">
        <f aca="false">IF(ISNUMBER(B14),IF(ABS(B14-C14)&lt;=ABS(C14)*0.0002+0.000001,"OK","ECART"),"ECART")</f>
        <v>OK</v>
      </c>
      <c r="F14" s="7" t="s">
        <v>94</v>
      </c>
    </row>
    <row r="15" customFormat="false" ht="15" hidden="false" customHeight="false" outlineLevel="0" collapsed="false">
      <c r="A15" s="9" t="s">
        <v>95</v>
      </c>
      <c r="B15" s="5" t="n">
        <f aca="false">Grids!C42</f>
        <v>0.3</v>
      </c>
      <c r="C15" s="10" t="n">
        <v>0.3</v>
      </c>
      <c r="D15" s="5" t="n">
        <f aca="false">IF(ISNUMBER(B15),B15-C15,"")</f>
        <v>0</v>
      </c>
      <c r="E15" s="3" t="str">
        <f aca="false">IF(ISNUMBER(B15),IF(ABS(B15-C15)&lt;=ABS(C15)*0.0002+0.000001,"OK","ECART"),"ECART")</f>
        <v>OK</v>
      </c>
      <c r="F15" s="7" t="s">
        <v>96</v>
      </c>
    </row>
    <row r="16" customFormat="false" ht="15" hidden="false" customHeight="false" outlineLevel="0" collapsed="false">
      <c r="A16" s="9" t="s">
        <v>52</v>
      </c>
      <c r="B16" s="5" t="n">
        <f aca="false">Grids!C45</f>
        <v>0.635</v>
      </c>
      <c r="C16" s="10" t="n">
        <v>0.635</v>
      </c>
      <c r="D16" s="5" t="n">
        <f aca="false">IF(ISNUMBER(B16),B16-C16,"")</f>
        <v>0</v>
      </c>
      <c r="E16" s="3" t="str">
        <f aca="false">IF(ISNUMBER(B16),IF(ABS(B16-C16)&lt;=ABS(C16)*0.0002+0.000001,"OK","ECART"),"ECART")</f>
        <v>OK</v>
      </c>
      <c r="F16" s="7" t="s">
        <v>97</v>
      </c>
    </row>
    <row r="17" customFormat="false" ht="15" hidden="false" customHeight="false" outlineLevel="0" collapsed="false">
      <c r="A17" s="9" t="s">
        <v>98</v>
      </c>
      <c r="B17" s="19" t="n">
        <f aca="false">Grids!C47</f>
        <v>17.8928571428571</v>
      </c>
      <c r="C17" s="25" t="n">
        <v>17.8928571428571</v>
      </c>
      <c r="D17" s="19" t="n">
        <f aca="false">IF(ISNUMBER(B17),B17-C17,"")</f>
        <v>0</v>
      </c>
      <c r="E17" s="3" t="str">
        <f aca="false">IF(ISNUMBER(B17),IF(ABS(B17-C17)&lt;=ABS(C17)*0.0002+0.000001,"OK","ECART"),"ECART")</f>
        <v>OK</v>
      </c>
      <c r="F17" s="7" t="s">
        <v>99</v>
      </c>
    </row>
    <row r="18" customFormat="false" ht="15" hidden="false" customHeight="false" outlineLevel="0" collapsed="false">
      <c r="A18" s="9" t="s">
        <v>100</v>
      </c>
      <c r="B18" s="19" t="n">
        <f aca="false">Grids!C48</f>
        <v>1.78571428571429</v>
      </c>
      <c r="C18" s="25" t="n">
        <v>1.78571428571429</v>
      </c>
      <c r="D18" s="19" t="n">
        <f aca="false">IF(ISNUMBER(B18),B18-C18,"")</f>
        <v>0</v>
      </c>
      <c r="E18" s="3" t="str">
        <f aca="false">IF(ISNUMBER(B18),IF(ABS(B18-C18)&lt;=ABS(C18)*0.0002+0.000001,"OK","ECART"),"ECART")</f>
        <v>OK</v>
      </c>
      <c r="F18" s="7" t="s">
        <v>101</v>
      </c>
    </row>
    <row r="19" customFormat="false" ht="15" hidden="false" customHeight="false" outlineLevel="0" collapsed="false">
      <c r="A19" s="9" t="s">
        <v>102</v>
      </c>
      <c r="B19" s="19" t="n">
        <f aca="false">Grids!D48</f>
        <v>1.8</v>
      </c>
      <c r="C19" s="25" t="n">
        <v>1.8</v>
      </c>
      <c r="D19" s="19" t="n">
        <f aca="false">IF(ISNUMBER(B19),B19-C19,"")</f>
        <v>0</v>
      </c>
      <c r="E19" s="3" t="str">
        <f aca="false">IF(ISNUMBER(B19),IF(ABS(B19-C19)&lt;=ABS(C19)*0.0002+0.000001,"OK","ECART"),"ECART")</f>
        <v>OK</v>
      </c>
      <c r="F19" s="7" t="s">
        <v>101</v>
      </c>
    </row>
    <row r="20" customFormat="false" ht="15" hidden="false" customHeight="false" outlineLevel="0" collapsed="false">
      <c r="A20" s="9" t="s">
        <v>103</v>
      </c>
      <c r="B20" s="5" t="n">
        <f aca="false">'Symmetric adjustment'!B6</f>
        <v>0</v>
      </c>
      <c r="C20" s="10" t="n">
        <v>0</v>
      </c>
      <c r="D20" s="5" t="n">
        <f aca="false">IF(ISNUMBER(B20),B20-C20,"")</f>
        <v>0</v>
      </c>
      <c r="E20" s="3" t="str">
        <f aca="false">IF(ISNUMBER(B20),IF(ABS(B20-C20)&lt;=ABS(C20)*0.0002+0.000001,"OK","ECART"),"ECART")</f>
        <v>OK</v>
      </c>
      <c r="F20" s="7" t="s">
        <v>104</v>
      </c>
    </row>
    <row r="21" customFormat="false" ht="15" hidden="false" customHeight="false" outlineLevel="0" collapsed="false">
      <c r="A21" s="9" t="s">
        <v>105</v>
      </c>
      <c r="B21" s="5" t="n">
        <f aca="false">'Symmetric adjustment'!B7</f>
        <v>-0.04</v>
      </c>
      <c r="C21" s="10" t="n">
        <v>-0.04</v>
      </c>
      <c r="D21" s="5" t="n">
        <f aca="false">IF(ISNUMBER(B21),B21-C21,"")</f>
        <v>0</v>
      </c>
      <c r="E21" s="3" t="str">
        <f aca="false">IF(ISNUMBER(B21),IF(ABS(B21-C21)&lt;=ABS(C21)*0.0002+0.000001,"OK","ECART"),"ECART")</f>
        <v>OK</v>
      </c>
      <c r="F21" s="7" t="s">
        <v>106</v>
      </c>
    </row>
    <row r="22" customFormat="false" ht="15" hidden="false" customHeight="false" outlineLevel="0" collapsed="false">
      <c r="A22" s="9" t="s">
        <v>107</v>
      </c>
      <c r="B22" s="5" t="n">
        <f aca="false">'Symmetric adjustment'!B10</f>
        <v>0.59</v>
      </c>
      <c r="C22" s="10" t="n">
        <v>0.59</v>
      </c>
      <c r="D22" s="5" t="n">
        <f aca="false">IF(ISNUMBER(B22),B22-C22,"")</f>
        <v>0</v>
      </c>
      <c r="E22" s="3" t="str">
        <f aca="false">IF(ISNUMBER(B22),IF(ABS(B22-C22)&lt;=ABS(C22)*0.0002+0.000001,"OK","ECART"),"ECART")</f>
        <v>OK</v>
      </c>
      <c r="F22" s="7" t="s">
        <v>108</v>
      </c>
    </row>
    <row r="23" customFormat="false" ht="15" hidden="false" customHeight="false" outlineLevel="0" collapsed="false">
      <c r="A23" s="9" t="s">
        <v>109</v>
      </c>
      <c r="B23" s="21" t="n">
        <f aca="false">'Symmetric adjustment'!B13</f>
        <v>30000000</v>
      </c>
      <c r="C23" s="22" t="n">
        <v>30000000</v>
      </c>
      <c r="D23" s="21" t="n">
        <f aca="false">IF(ISNUMBER(B23),B23-C23,"")</f>
        <v>0</v>
      </c>
      <c r="E23" s="3" t="str">
        <f aca="false">IF(ISNUMBER(B23),IF(ABS(B23-C23)&lt;=ABS(C23)*0.0002+0.000001,"OK","ECART"),"ECART")</f>
        <v>OK</v>
      </c>
      <c r="F23" s="7" t="s">
        <v>110</v>
      </c>
    </row>
    <row r="24" customFormat="false" ht="15" hidden="false" customHeight="false" outlineLevel="0" collapsed="false">
      <c r="A24" s="9" t="s">
        <v>111</v>
      </c>
      <c r="B24" s="23" t="n">
        <f aca="false">IF(ABS(Charge!C14-'Symmetric adjustment'!B6)&lt;0.000000000001,1,0)</f>
        <v>1</v>
      </c>
      <c r="C24" s="24" t="n">
        <v>1</v>
      </c>
      <c r="D24" s="23" t="n">
        <f aca="false">B24-C24</f>
        <v>0</v>
      </c>
      <c r="E24" s="3" t="str">
        <f aca="false">IF(B24=1,"OK","ECART")</f>
        <v>OK</v>
      </c>
      <c r="F24" s="7" t="s">
        <v>112</v>
      </c>
    </row>
    <row r="26" customFormat="false" ht="15" hidden="false" customHeight="false" outlineLevel="0" collapsed="false">
      <c r="A26" s="3" t="s">
        <v>113</v>
      </c>
      <c r="B26" s="26" t="n">
        <f aca="false">COUNTIF(E5:E24,"ECART")</f>
        <v>0</v>
      </c>
    </row>
    <row r="27" customFormat="false" ht="15" hidden="false" customHeight="false" outlineLevel="0" collapsed="false">
      <c r="A27" s="3" t="s">
        <v>114</v>
      </c>
      <c r="B27" s="3" t="str">
        <f aca="false">IF(B26=0,"ALL OK",B26&amp;" failing")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2026-08-27T05:06:51Z</dcterms:created>
  <dc:creator>openpyxl</dc:creator>
  <dc:description/>
  <dc:language>en-US</dc:language>
  <cp:lastModifiedBy/>
  <dcterms:modified xsi:type="dcterms:W3CDTF">2026-09-23T22:37:01Z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