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evers" sheetId="1" state="visible" r:id="rId3"/>
    <sheet name="Interest rate" sheetId="2" state="visible" r:id="rId4"/>
    <sheet name="Matching adjustment" sheetId="3" state="visible" r:id="rId5"/>
    <sheet name="Volatility adjustment" sheetId="4" state="visible" r:id="rId6"/>
    <sheet name="Infrastructure" sheetId="5" state="visible" r:id="rId7"/>
    <sheet name="Control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<sst xmlns="http://schemas.openxmlformats.org/spreadsheetml/2006/main" count="267" uniqueCount="237">
  <si>
    <t xml:space="preserve">Managers_Levers — everything the manager controls, on one allocation</t>
  </si>
  <si>
    <t xml:space="preserve">All figures on the same allocation so that they can be ranked. Do not add them up.</t>
  </si>
  <si>
    <t xml:space="preserve">Allocation size</t>
  </si>
  <si>
    <t xml:space="preserve">Lever</t>
  </si>
  <si>
    <t xml:space="preserve">Applies to</t>
  </si>
  <si>
    <t xml:space="preserve">Points</t>
  </si>
  <si>
    <t xml:space="preserve">Euros</t>
  </si>
  <si>
    <t xml:space="preserve">Where it lands</t>
  </si>
  <si>
    <t xml:space="preserve">Supplying look-through data</t>
  </si>
  <si>
    <t xml:space="preserve">Private credit fund</t>
  </si>
  <si>
    <t xml:space="preserve">SCR</t>
  </si>
  <si>
    <t xml:space="preserve">Qualifying as a long-term equity investment</t>
  </si>
  <si>
    <t xml:space="preserve">Private equity fund</t>
  </si>
  <si>
    <t xml:space="preserve">Direct real estate fund</t>
  </si>
  <si>
    <t xml:space="preserve">Qualifying infrastructure, where the underlying allows</t>
  </si>
  <si>
    <t xml:space="preserve">Listed equity fund</t>
  </si>
  <si>
    <t xml:space="preserve">Matching adjustment eligibility</t>
  </si>
  <si>
    <t xml:space="preserve">Technical provisions</t>
  </si>
  <si>
    <t xml:space="preserve">Lengthening the assets toward the liabilities</t>
  </si>
  <si>
    <t xml:space="preserve">Two of these are alternatives, not additions: an equity holding is charged once, so the long-term-equity route and the infrastructure route cannot both be taken on the same position.</t>
  </si>
  <si>
    <t xml:space="preserve">Largest lever, in euros</t>
  </si>
  <si>
    <t xml:space="preserve">Smallest lever, in euros</t>
  </si>
  <si>
    <t xml:space="preserve">Charges used (Chapters 4 to 7 and 17)</t>
  </si>
  <si>
    <t xml:space="preserve">Type 1 equity</t>
  </si>
  <si>
    <t xml:space="preserve">Type 2 equity, and any fund not looked through</t>
  </si>
  <si>
    <t xml:space="preserve">Long-term equity investment</t>
  </si>
  <si>
    <t xml:space="preserve">Qualifying infrastructure equity</t>
  </si>
  <si>
    <t xml:space="preserve">Property</t>
  </si>
  <si>
    <t xml:space="preserve">Credit fund looked through: BB at 4.2 years</t>
  </si>
  <si>
    <t xml:space="preserve">Chapter 8: interest rate risk is about the liabilities (arts. 166 and 167)</t>
  </si>
  <si>
    <t xml:space="preserve">A single cash flow at each duration, a flat curve, the block fully funded. Factors between tabulated maturities are interpolated linearly.</t>
  </si>
  <si>
    <t xml:space="preserve">Liabilities of the annuity block</t>
  </si>
  <si>
    <t xml:space="preserve">Maturity</t>
  </si>
  <si>
    <t xml:space="preserve">Up, art. 166</t>
  </si>
  <si>
    <t xml:space="preserve">Down, art. 167</t>
  </si>
  <si>
    <t xml:space="preserve">Floor</t>
  </si>
  <si>
    <t xml:space="preserve">Duration of the liabilities, years</t>
  </si>
  <si>
    <t xml:space="preserve">Flat risk-free rate</t>
  </si>
  <si>
    <t xml:space="preserve">Upward shock floor, absolute (art. 166)</t>
  </si>
  <si>
    <t xml:space="preserve">Liabilities: rate after the downward shock</t>
  </si>
  <si>
    <t xml:space="preserve">Liabilities: rate after the upward shock</t>
  </si>
  <si>
    <t xml:space="preserve">Liabilities: change in value, downward</t>
  </si>
  <si>
    <t xml:space="preserve">Liabilities: change in value, upward</t>
  </si>
  <si>
    <t xml:space="preserve">Asset duration, years</t>
  </si>
  <si>
    <t xml:space="preserve">Assets, down</t>
  </si>
  <si>
    <t xml:space="preserve">Liabilities, down</t>
  </si>
  <si>
    <t xml:space="preserve">Own funds, down</t>
  </si>
  <si>
    <t xml:space="preserve">Assets, up</t>
  </si>
  <si>
    <t xml:space="preserve">Liabilities, up</t>
  </si>
  <si>
    <t xml:space="preserve">Own funds, up</t>
  </si>
  <si>
    <t xml:space="preserve">Interest rate SCR</t>
  </si>
  <si>
    <t xml:space="preserve">Binding</t>
  </si>
  <si>
    <t xml:space="preserve">Moving the block's assets from four years to ten releases</t>
  </si>
  <si>
    <t xml:space="preserve">The upward floor binds from maturity</t>
  </si>
  <si>
    <t xml:space="preserve">The same move on one allocation (Chapter 18)</t>
  </si>
  <si>
    <t xml:space="preserve">Allocation, matched against liabilities of the same size</t>
  </si>
  <si>
    <t xml:space="preserve">Duration of the credit fund today</t>
  </si>
  <si>
    <t xml:space="preserve">Duration it is lengthened to</t>
  </si>
  <si>
    <t xml:space="preserve">Interest rate SCR at today's duration</t>
  </si>
  <si>
    <t xml:space="preserve">Interest rate SCR at the longer duration</t>
  </si>
  <si>
    <t xml:space="preserve">The lever: capital released</t>
  </si>
  <si>
    <t xml:space="preserve">revised: the book prints €4.7 million and 3.14 points</t>
  </si>
  <si>
    <t xml:space="preserve">  in points of the allocation</t>
  </si>
  <si>
    <t xml:space="preserve">As the first edition computed it: the four-year factors used for 4.2 years</t>
  </si>
  <si>
    <t xml:space="preserve">Interest rate SCR at today's duration, factor rounded</t>
  </si>
  <si>
    <t xml:space="preserve">Interest rate SCR at the longer duration, factor rounded</t>
  </si>
  <si>
    <t xml:space="preserve">Capital released, first edition</t>
  </si>
  <si>
    <t xml:space="preserve">Chapter 15: the matching adjustment on the private credit allocation</t>
  </si>
  <si>
    <t xml:space="preserve">Directive arts. 77b and 77c. The spreads are assumptions, stated; the fundamental spreads are illustrative (Appendix A).</t>
  </si>
  <si>
    <t xml:space="preserve">Credit quality</t>
  </si>
  <si>
    <t xml:space="preserve">Fundamental spread</t>
  </si>
  <si>
    <t xml:space="preserve">Assumed spread on the assets</t>
  </si>
  <si>
    <t xml:space="preserve">BB: an assumption, not a derivation</t>
  </si>
  <si>
    <t xml:space="preserve">AAA</t>
  </si>
  <si>
    <t xml:space="preserve">Fundamental spread at the asset's quality</t>
  </si>
  <si>
    <t xml:space="preserve">AA</t>
  </si>
  <si>
    <t xml:space="preserve">Adjustment before the cap</t>
  </si>
  <si>
    <t xml:space="preserve">A</t>
  </si>
  <si>
    <t xml:space="preserve">Assumed spread on an investment-grade asset of the same duration</t>
  </si>
  <si>
    <t xml:space="preserve">BBB</t>
  </si>
  <si>
    <t xml:space="preserve">Fundamental spread at BBB</t>
  </si>
  <si>
    <t xml:space="preserve">BB</t>
  </si>
  <si>
    <t xml:space="preserve">Cap: the adjustment an investment-grade asset would give</t>
  </si>
  <si>
    <t xml:space="preserve">B</t>
  </si>
  <si>
    <t xml:space="preserve">Is the asset below investment grade?</t>
  </si>
  <si>
    <t xml:space="preserve">Yes</t>
  </si>
  <si>
    <t xml:space="preserve">Directive art. 77c: the cap applies</t>
  </si>
  <si>
    <t xml:space="preserve">CCC or lower</t>
  </si>
  <si>
    <t xml:space="preserve">Matching adjustment, after the cap</t>
  </si>
  <si>
    <t xml:space="preserve">unrated</t>
  </si>
  <si>
    <t xml:space="preserve">Reduction from the cap, in points</t>
  </si>
  <si>
    <t xml:space="preserve">Sleeve duration, years</t>
  </si>
  <si>
    <t xml:space="preserve">the duration of the assets, not of the book</t>
  </si>
  <si>
    <t xml:space="preserve">Matched liabilities</t>
  </si>
  <si>
    <t xml:space="preserve">Risk-free rate</t>
  </si>
  <si>
    <t xml:space="preserve">Provisions released, discounted</t>
  </si>
  <si>
    <t xml:space="preserve">Shorthand: adjustment × duration × liabilities</t>
  </si>
  <si>
    <t xml:space="preserve">what pitch decks print</t>
  </si>
  <si>
    <t xml:space="preserve">The shorthand overstates by</t>
  </si>
  <si>
    <t xml:space="preserve">The same test at 2.70 per cent over twelve years</t>
  </si>
  <si>
    <t xml:space="preserve">Adjustment</t>
  </si>
  <si>
    <t xml:space="preserve">Duration, years</t>
  </si>
  <si>
    <t xml:space="preserve">Chapter 16: what the volatility adjustment is worth on the annuity book</t>
  </si>
  <si>
    <t xml:space="preserve">Directive art. 77d. Published by the supervisor; discounted, not multiplied by duration.</t>
  </si>
  <si>
    <t xml:space="preserve">Annuity liabilities</t>
  </si>
  <si>
    <t xml:space="preserve">Volatility adjustment, basis points</t>
  </si>
  <si>
    <t xml:space="preserve">Provisions released</t>
  </si>
  <si>
    <t xml:space="preserve">As a share of the liabilities</t>
  </si>
  <si>
    <t xml:space="preserve">Fifty points read off ten points by the rule of thumb</t>
  </si>
  <si>
    <t xml:space="preserve">  the rule of thumb overstates by</t>
  </si>
  <si>
    <t xml:space="preserve">The matching adjustment on the €150.0 million sleeve, for comparison</t>
  </si>
  <si>
    <t xml:space="preserve">Chapter 17: qualifying infrastructure, equity and debt</t>
  </si>
  <si>
    <t xml:space="preserve">Art. 180 factors are not reproduced: find your row. Equity charges as in Chapter 5.</t>
  </si>
  <si>
    <t xml:space="preserve">Allocation</t>
  </si>
  <si>
    <t xml:space="preserve">Treatment</t>
  </si>
  <si>
    <t xml:space="preserve">Charge</t>
  </si>
  <si>
    <t xml:space="preserve">Capital required</t>
  </si>
  <si>
    <t xml:space="preserve">Saved against type 2</t>
  </si>
  <si>
    <t xml:space="preserve">Type 2 equity</t>
  </si>
  <si>
    <t xml:space="preserve">Qualifying infrastructure investment</t>
  </si>
  <si>
    <t xml:space="preserve">Qualifying infrastructure corporate</t>
  </si>
  <si>
    <t xml:space="preserve">Project against corporate</t>
  </si>
  <si>
    <t xml:space="preserve">Credit fund: full spread stress (BB, 4.2 years)</t>
  </si>
  <si>
    <t xml:space="preserve">Stress relative to the standard table</t>
  </si>
  <si>
    <t xml:space="preserve">Spread stress applied</t>
  </si>
  <si>
    <t xml:space="preserve">Capital saved</t>
  </si>
  <si>
    <t xml:space="preserve">An insurer placing only</t>
  </si>
  <si>
    <t xml:space="preserve">Saved at the 60 per cent row, on that size</t>
  </si>
  <si>
    <t xml:space="preserve">  as a share of the reward on the full allocation</t>
  </si>
  <si>
    <t xml:space="preserve">Controls — every published figure, reproduced live</t>
  </si>
  <si>
    <t xml:space="preserve">Column B is a formula. Column C is the model's value for the figure the book prints (column F). Verdict must read OK.</t>
  </si>
  <si>
    <t xml:space="preserve">Figure</t>
  </si>
  <si>
    <t xml:space="preserve">Reproduced</t>
  </si>
  <si>
    <t xml:space="preserve">Published</t>
  </si>
  <si>
    <t xml:space="preserve">Difference</t>
  </si>
  <si>
    <t xml:space="preserve">Verdict</t>
  </si>
  <si>
    <t xml:space="preserve">In the book</t>
  </si>
  <si>
    <t xml:space="preserve">Supplying look-through data, credit fund</t>
  </si>
  <si>
    <t xml:space="preserve">€45.1 million</t>
  </si>
  <si>
    <t xml:space="preserve">Long-term equity, private equity fund</t>
  </si>
  <si>
    <t xml:space="preserve">€40.5 million</t>
  </si>
  <si>
    <t xml:space="preserve">Look-through, real estate fund</t>
  </si>
  <si>
    <t xml:space="preserve">€36.0 million</t>
  </si>
  <si>
    <t xml:space="preserve">Qualifying infrastructure, private equity fund</t>
  </si>
  <si>
    <t xml:space="preserve">€28.5 million</t>
  </si>
  <si>
    <t xml:space="preserve">Long-term equity, listed equity fund</t>
  </si>
  <si>
    <t xml:space="preserve">€25.5 million</t>
  </si>
  <si>
    <t xml:space="preserve">Look-through, listed equity fund</t>
  </si>
  <si>
    <t xml:space="preserve">€15.0 million</t>
  </si>
  <si>
    <t xml:space="preserve">Matching adjustment eligibility, credit fund</t>
  </si>
  <si>
    <t xml:space="preserve">€11.9 million</t>
  </si>
  <si>
    <t xml:space="preserve">Lengthening the assets, credit fund</t>
  </si>
  <si>
    <t xml:space="preserve">revised: €4.9 million (printed €4.7 million)</t>
  </si>
  <si>
    <t xml:space="preserve">Matching adjustment, points</t>
  </si>
  <si>
    <t xml:space="preserve">+7.94 percentage points</t>
  </si>
  <si>
    <t xml:space="preserve">Duration lever, points</t>
  </si>
  <si>
    <t xml:space="preserve">revised: +3.24 (printed +3.14)</t>
  </si>
  <si>
    <t xml:space="preserve">First-edition method reproduced (factor rounded to four years)</t>
  </si>
  <si>
    <t xml:space="preserve">€4.7 million, the figure revised</t>
  </si>
  <si>
    <t xml:space="preserve">Duration is still the smallest lever; look-through on the credit fund the largest</t>
  </si>
  <si>
    <t xml:space="preserve">Chapter 18</t>
  </si>
  <si>
    <t xml:space="preserve">Interest rate SCR, assets at 4 years</t>
  </si>
  <si>
    <t xml:space="preserve">€149.5 million</t>
  </si>
  <si>
    <t xml:space="preserve">Interest rate SCR, assets at 6 years</t>
  </si>
  <si>
    <t xml:space="preserve">€97.6 million</t>
  </si>
  <si>
    <t xml:space="preserve">Interest rate SCR, assets at 8 years</t>
  </si>
  <si>
    <t xml:space="preserve">€61.3 million</t>
  </si>
  <si>
    <t xml:space="preserve">Interest rate SCR, assets at 10 years</t>
  </si>
  <si>
    <t xml:space="preserve">€39.1 million</t>
  </si>
  <si>
    <t xml:space="preserve">Interest rate SCR, assets at 12 years</t>
  </si>
  <si>
    <t xml:space="preserve">€0.0 million</t>
  </si>
  <si>
    <t xml:space="preserve">Interest rate SCR, assets at 14 years</t>
  </si>
  <si>
    <t xml:space="preserve">€26.1 million</t>
  </si>
  <si>
    <t xml:space="preserve">Interest rate SCR, assets at 16 years</t>
  </si>
  <si>
    <t xml:space="preserve">€72.1 million</t>
  </si>
  <si>
    <t xml:space="preserve">Assets, down, at four years</t>
  </si>
  <si>
    <t xml:space="preserve">€193.4 million</t>
  </si>
  <si>
    <t xml:space="preserve">€342.9 million</t>
  </si>
  <si>
    <t xml:space="preserve">Own funds, up, at four years</t>
  </si>
  <si>
    <t xml:space="preserve">€175.4 million</t>
  </si>
  <si>
    <t xml:space="preserve">Own funds, up, at sixteen years</t>
  </si>
  <si>
    <t xml:space="preserve">−€72.1 million</t>
  </si>
  <si>
    <t xml:space="preserve">2.13 percent</t>
  </si>
  <si>
    <t xml:space="preserve">Four years to ten, on the block</t>
  </si>
  <si>
    <t xml:space="preserve">€110.4 million</t>
  </si>
  <si>
    <t xml:space="preserve">The upward floor binds from</t>
  </si>
  <si>
    <t xml:space="preserve">"from about fifteen years out"</t>
  </si>
  <si>
    <t xml:space="preserve">Short assets bind downward, long assets upward</t>
  </si>
  <si>
    <t xml:space="preserve">"the binding scenario flips"</t>
  </si>
  <si>
    <t xml:space="preserve">Matching adjustment before the cap</t>
  </si>
  <si>
    <t xml:space="preserve">2.70 percent</t>
  </si>
  <si>
    <t xml:space="preserve">After the cap</t>
  </si>
  <si>
    <t xml:space="preserve">2.05 percent</t>
  </si>
  <si>
    <t xml:space="preserve">Reduction from the cap</t>
  </si>
  <si>
    <t xml:space="preserve">0.65 points</t>
  </si>
  <si>
    <t xml:space="preserve">Shorthand</t>
  </si>
  <si>
    <t xml:space="preserve">€12.9 million</t>
  </si>
  <si>
    <t xml:space="preserve">Shorthand overstates, 4.2 years</t>
  </si>
  <si>
    <t xml:space="preserve">8.39 percent</t>
  </si>
  <si>
    <t xml:space="preserve">Shorthand overstates, 2.70 per cent over twelve years</t>
  </si>
  <si>
    <t xml:space="preserve">21.38 percent</t>
  </si>
  <si>
    <t xml:space="preserve">Volatility adjustment 10 bp, released</t>
  </si>
  <si>
    <t xml:space="preserve">€37.0 million</t>
  </si>
  <si>
    <t xml:space="preserve">  as a share</t>
  </si>
  <si>
    <t xml:space="preserve">1.16 percent</t>
  </si>
  <si>
    <t xml:space="preserve">Volatility adjustment 20 bp, released</t>
  </si>
  <si>
    <t xml:space="preserve">€73.6 million</t>
  </si>
  <si>
    <t xml:space="preserve">2.30 percent</t>
  </si>
  <si>
    <t xml:space="preserve">Volatility adjustment 30 bp, released</t>
  </si>
  <si>
    <t xml:space="preserve">€109.8 million</t>
  </si>
  <si>
    <t xml:space="preserve">3.43 percent</t>
  </si>
  <si>
    <t xml:space="preserve">Volatility adjustment 50 bp, released</t>
  </si>
  <si>
    <t xml:space="preserve">€180.7 million</t>
  </si>
  <si>
    <t xml:space="preserve">5.65 percent</t>
  </si>
  <si>
    <t xml:space="preserve">Infrastructure investment, capital</t>
  </si>
  <si>
    <t xml:space="preserve">€45.0 million</t>
  </si>
  <si>
    <t xml:space="preserve">Infrastructure corporate, capital</t>
  </si>
  <si>
    <t xml:space="preserve">€54.0 million</t>
  </si>
  <si>
    <t xml:space="preserve">€9.0 million</t>
  </si>
  <si>
    <t xml:space="preserve">Art. 180 at 100%: capital required</t>
  </si>
  <si>
    <t xml:space="preserve">€28.4 million</t>
  </si>
  <si>
    <t xml:space="preserve">Art. 180 at 90%: capital required</t>
  </si>
  <si>
    <t xml:space="preserve">  capital saved</t>
  </si>
  <si>
    <t xml:space="preserve">€2.8 million</t>
  </si>
  <si>
    <t xml:space="preserve">Art. 180 at 80%: capital required</t>
  </si>
  <si>
    <t xml:space="preserve">€22.7 million</t>
  </si>
  <si>
    <t xml:space="preserve">€5.7 million</t>
  </si>
  <si>
    <t xml:space="preserve">Art. 180 at 70%: capital required</t>
  </si>
  <si>
    <t xml:space="preserve">€19.8 million</t>
  </si>
  <si>
    <t xml:space="preserve">€8.5 million</t>
  </si>
  <si>
    <t xml:space="preserve">Art. 180 at 60%: capital required</t>
  </si>
  <si>
    <t xml:space="preserve">€17.0 million</t>
  </si>
  <si>
    <t xml:space="preserve">€11.3 million</t>
  </si>
  <si>
    <t xml:space="preserve">€30.0 million allocation: share of the reward</t>
  </si>
  <si>
    <t xml:space="preserve">"a fifth of the reward"</t>
  </si>
  <si>
    <t xml:space="preserve">Controls failing</t>
  </si>
  <si>
    <t xml:space="preserve">All controls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</si>
</sst>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"/>
    <numFmt numFmtId="166" formatCode="0.00%"/>
    <numFmt numFmtId="167" formatCode="0.0"/>
    <numFmt numFmtId="168" formatCode="0"/>
    <numFmt numFmtId="169" formatCode="0%"/>
    <numFmt numFmtId="170" formatCode="0.000%"/>
    <numFmt numFmtId="171" formatCode="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CC"/>
      <name val="Arial"/>
      <family val="0"/>
      <charset val="1"/>
    </font>
    <font>
      <sz val="10"/>
      <name val="Arial"/>
      <family val="0"/>
      <charset val="1"/>
    </font>
    <font>
      <sz val="9"/>
      <color rgb="FF555555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EEEEEE"/>
      </patternFill>
    </fill>
    <fill>
      <patternFill patternType="solid">
        <fgColor rgb="FFEEEEEE"/>
        <bgColor rgb="FFFFF2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24"/>
    <col collapsed="false" customWidth="true" hidden="false" outlineLevel="0" max="3" min="3" style="0" width="16"/>
    <col collapsed="false" customWidth="true" hidden="false" outlineLevel="0" max="4" min="4" style="0" width="18"/>
    <col collapsed="false" customWidth="true" hidden="false" outlineLevel="0" max="5" min="5" style="0" width="24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n">
        <v>150000000</v>
      </c>
    </row>
    <row r="6" customFormat="false" ht="15" hidden="false" customHeight="false" outlineLevel="0" collapsed="false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customFormat="false" ht="15" hidden="false" customHeight="false" outlineLevel="0" collapsed="false">
      <c r="A7" s="6" t="s">
        <v>8</v>
      </c>
      <c r="B7" s="6" t="s">
        <v>9</v>
      </c>
      <c r="C7" s="7" t="n">
        <f aca="false">B23-B27</f>
        <v>0.301</v>
      </c>
      <c r="D7" s="8" t="n">
        <f aca="false">C7*$B$4</f>
        <v>45150000</v>
      </c>
      <c r="E7" s="6" t="s">
        <v>10</v>
      </c>
    </row>
    <row r="8" customFormat="false" ht="15" hidden="false" customHeight="false" outlineLevel="0" collapsed="false">
      <c r="A8" s="6" t="s">
        <v>11</v>
      </c>
      <c r="B8" s="6" t="s">
        <v>12</v>
      </c>
      <c r="C8" s="7" t="n">
        <f aca="false">B23-B24</f>
        <v>0.27</v>
      </c>
      <c r="D8" s="8" t="n">
        <f aca="false">C8*$B$4</f>
        <v>40500000</v>
      </c>
      <c r="E8" s="6" t="s">
        <v>10</v>
      </c>
    </row>
    <row r="9" customFormat="false" ht="15" hidden="false" customHeight="false" outlineLevel="0" collapsed="false">
      <c r="A9" s="6" t="s">
        <v>8</v>
      </c>
      <c r="B9" s="6" t="s">
        <v>13</v>
      </c>
      <c r="C9" s="7" t="n">
        <f aca="false">B23-B26</f>
        <v>0.24</v>
      </c>
      <c r="D9" s="8" t="n">
        <f aca="false">C9*$B$4</f>
        <v>36000000</v>
      </c>
      <c r="E9" s="6" t="s">
        <v>10</v>
      </c>
    </row>
    <row r="10" customFormat="false" ht="15" hidden="false" customHeight="false" outlineLevel="0" collapsed="false">
      <c r="A10" s="6" t="s">
        <v>14</v>
      </c>
      <c r="B10" s="6" t="s">
        <v>12</v>
      </c>
      <c r="C10" s="7" t="n">
        <f aca="false">B23-B25</f>
        <v>0.19</v>
      </c>
      <c r="D10" s="8" t="n">
        <f aca="false">C10*$B$4</f>
        <v>28500000</v>
      </c>
      <c r="E10" s="6" t="s">
        <v>10</v>
      </c>
    </row>
    <row r="11" customFormat="false" ht="15" hidden="false" customHeight="false" outlineLevel="0" collapsed="false">
      <c r="A11" s="6" t="s">
        <v>11</v>
      </c>
      <c r="B11" s="6" t="s">
        <v>15</v>
      </c>
      <c r="C11" s="7" t="n">
        <f aca="false">B22-B24</f>
        <v>0.17</v>
      </c>
      <c r="D11" s="8" t="n">
        <f aca="false">C11*$B$4</f>
        <v>25500000</v>
      </c>
      <c r="E11" s="6" t="s">
        <v>10</v>
      </c>
    </row>
    <row r="12" customFormat="false" ht="15" hidden="false" customHeight="false" outlineLevel="0" collapsed="false">
      <c r="A12" s="6" t="s">
        <v>8</v>
      </c>
      <c r="B12" s="6" t="s">
        <v>15</v>
      </c>
      <c r="C12" s="7" t="n">
        <f aca="false">B23-B22</f>
        <v>0.1</v>
      </c>
      <c r="D12" s="8" t="n">
        <f aca="false">C12*$B$4</f>
        <v>15000000</v>
      </c>
      <c r="E12" s="6" t="s">
        <v>10</v>
      </c>
    </row>
    <row r="13" customFormat="false" ht="15" hidden="false" customHeight="false" outlineLevel="0" collapsed="false">
      <c r="A13" s="6" t="s">
        <v>16</v>
      </c>
      <c r="B13" s="6" t="s">
        <v>9</v>
      </c>
      <c r="C13" s="7" t="n">
        <f aca="false">'Matching adjustment'!B16/B4</f>
        <v>0.0794382929035165</v>
      </c>
      <c r="D13" s="8" t="n">
        <f aca="false">C13*$B$4</f>
        <v>11915743.9355275</v>
      </c>
      <c r="E13" s="6" t="s">
        <v>17</v>
      </c>
    </row>
    <row r="14" customFormat="false" ht="15" hidden="false" customHeight="false" outlineLevel="0" collapsed="false">
      <c r="A14" s="6" t="s">
        <v>18</v>
      </c>
      <c r="B14" s="6" t="s">
        <v>9</v>
      </c>
      <c r="C14" s="7" t="n">
        <f aca="false">'Interest rate'!B31/B4</f>
        <v>0.0324449475352762</v>
      </c>
      <c r="D14" s="8" t="n">
        <f aca="false">C14*$B$4</f>
        <v>4866742.13029143</v>
      </c>
      <c r="E14" s="6" t="s">
        <v>10</v>
      </c>
    </row>
    <row r="16" customFormat="false" ht="15" hidden="false" customHeight="false" outlineLevel="0" collapsed="false">
      <c r="A16" s="2" t="s">
        <v>19</v>
      </c>
    </row>
    <row r="18" customFormat="false" ht="15" hidden="false" customHeight="false" outlineLevel="0" collapsed="false">
      <c r="A18" s="3" t="s">
        <v>20</v>
      </c>
      <c r="D18" s="8" t="n">
        <f aca="false">MAX(D7:D14)</f>
        <v>45150000</v>
      </c>
    </row>
    <row r="19" customFormat="false" ht="15" hidden="false" customHeight="false" outlineLevel="0" collapsed="false">
      <c r="A19" s="3" t="s">
        <v>21</v>
      </c>
      <c r="D19" s="8" t="n">
        <f aca="false">MIN(D7:D14)</f>
        <v>4866742.13029143</v>
      </c>
    </row>
    <row r="21" customFormat="false" ht="15" hidden="false" customHeight="false" outlineLevel="0" collapsed="false">
      <c r="A21" s="3" t="s">
        <v>22</v>
      </c>
    </row>
    <row r="22" customFormat="false" ht="15" hidden="false" customHeight="false" outlineLevel="0" collapsed="false">
      <c r="A22" s="6" t="s">
        <v>23</v>
      </c>
      <c r="B22" s="9" t="n">
        <v>0.39</v>
      </c>
    </row>
    <row r="23" customFormat="false" ht="15" hidden="false" customHeight="false" outlineLevel="0" collapsed="false">
      <c r="A23" s="6" t="s">
        <v>24</v>
      </c>
      <c r="B23" s="9" t="n">
        <v>0.49</v>
      </c>
    </row>
    <row r="24" customFormat="false" ht="15" hidden="false" customHeight="false" outlineLevel="0" collapsed="false">
      <c r="A24" s="6" t="s">
        <v>25</v>
      </c>
      <c r="B24" s="9" t="n">
        <v>0.22</v>
      </c>
    </row>
    <row r="25" customFormat="false" ht="15" hidden="false" customHeight="false" outlineLevel="0" collapsed="false">
      <c r="A25" s="6" t="s">
        <v>26</v>
      </c>
      <c r="B25" s="9" t="n">
        <v>0.3</v>
      </c>
    </row>
    <row r="26" customFormat="false" ht="15" hidden="false" customHeight="false" outlineLevel="0" collapsed="false">
      <c r="A26" s="6" t="s">
        <v>27</v>
      </c>
      <c r="B26" s="9" t="n">
        <v>0.25</v>
      </c>
    </row>
    <row r="27" customFormat="false" ht="15" hidden="false" customHeight="false" outlineLevel="0" collapsed="false">
      <c r="A27" s="6" t="s">
        <v>28</v>
      </c>
      <c r="B27" s="9" t="n">
        <v>0.189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9" min="2" style="0" width="15"/>
    <col collapsed="false" customWidth="true" hidden="false" outlineLevel="0" max="11" min="11" style="0" width="3"/>
    <col collapsed="false" customWidth="true" hidden="false" outlineLevel="0" max="12" min="12" style="0" width="10"/>
    <col collapsed="false" customWidth="true" hidden="false" outlineLevel="0" max="14" min="13" style="0" width="12"/>
    <col collapsed="false" customWidth="true" hidden="false" outlineLevel="0" max="15" min="15" style="0" width="8"/>
  </cols>
  <sheetData>
    <row r="1" customFormat="false" ht="15" hidden="false" customHeight="false" outlineLevel="0" collapsed="false">
      <c r="A1" s="1" t="s">
        <v>29</v>
      </c>
    </row>
    <row r="2" customFormat="false" ht="15" hidden="false" customHeight="false" outlineLevel="0" collapsed="false">
      <c r="A2" s="10" t="s">
        <v>30</v>
      </c>
    </row>
    <row r="4" customFormat="false" ht="15" hidden="false" customHeight="false" outlineLevel="0" collapsed="false">
      <c r="A4" s="6" t="s">
        <v>31</v>
      </c>
      <c r="B4" s="4" t="n">
        <v>3200000000</v>
      </c>
      <c r="L4" s="5" t="s">
        <v>32</v>
      </c>
      <c r="M4" s="5" t="s">
        <v>33</v>
      </c>
      <c r="N4" s="5" t="s">
        <v>34</v>
      </c>
      <c r="O4" s="5" t="s">
        <v>35</v>
      </c>
    </row>
    <row r="5" customFormat="false" ht="15" hidden="false" customHeight="false" outlineLevel="0" collapsed="false">
      <c r="A5" s="6" t="s">
        <v>36</v>
      </c>
      <c r="B5" s="11" t="n">
        <v>12</v>
      </c>
      <c r="L5" s="12" t="n">
        <v>1</v>
      </c>
      <c r="M5" s="13" t="n">
        <v>0.7</v>
      </c>
      <c r="N5" s="13" t="n">
        <v>0.75</v>
      </c>
      <c r="O5" s="14" t="n">
        <f aca="false">IF(M5*$B$6&lt;$B$7,L5,99)</f>
        <v>99</v>
      </c>
    </row>
    <row r="6" customFormat="false" ht="15" hidden="false" customHeight="false" outlineLevel="0" collapsed="false">
      <c r="A6" s="6" t="s">
        <v>37</v>
      </c>
      <c r="B6" s="15" t="n">
        <v>0.03</v>
      </c>
      <c r="L6" s="12" t="n">
        <v>2</v>
      </c>
      <c r="M6" s="13" t="n">
        <v>0.7</v>
      </c>
      <c r="N6" s="13" t="n">
        <v>0.65</v>
      </c>
      <c r="O6" s="14" t="n">
        <f aca="false">IF(M6*$B$6&lt;$B$7,L6,99)</f>
        <v>99</v>
      </c>
    </row>
    <row r="7" customFormat="false" ht="15" hidden="false" customHeight="false" outlineLevel="0" collapsed="false">
      <c r="A7" s="6" t="s">
        <v>38</v>
      </c>
      <c r="B7" s="9" t="n">
        <v>0.01</v>
      </c>
      <c r="L7" s="12" t="n">
        <v>3</v>
      </c>
      <c r="M7" s="13" t="n">
        <v>0.64</v>
      </c>
      <c r="N7" s="13" t="n">
        <v>0.56</v>
      </c>
      <c r="O7" s="14" t="n">
        <f aca="false">IF(M7*$B$6&lt;$B$7,L7,99)</f>
        <v>99</v>
      </c>
    </row>
    <row r="8" customFormat="false" ht="15" hidden="false" customHeight="false" outlineLevel="0" collapsed="false">
      <c r="A8" s="6" t="s">
        <v>39</v>
      </c>
      <c r="B8" s="16" t="n">
        <f aca="false">$B$6*(1-IF($B$5&gt;=20,$N$24,IF($B$5&lt;=1,$N$5,INDEX($N$5:$N$24,INT($B$5))+($B$5-INT($B$5))*(INDEX($N$5:$N$24,INT($B$5)+1)-INDEX($N$5:$N$24,INT($B$5))))))</f>
        <v>0.0213</v>
      </c>
      <c r="L8" s="12" t="n">
        <v>4</v>
      </c>
      <c r="M8" s="13" t="n">
        <v>0.59</v>
      </c>
      <c r="N8" s="13" t="n">
        <v>0.5</v>
      </c>
      <c r="O8" s="14" t="n">
        <f aca="false">IF(M8*$B$6&lt;$B$7,L8,99)</f>
        <v>99</v>
      </c>
    </row>
    <row r="9" customFormat="false" ht="15" hidden="false" customHeight="false" outlineLevel="0" collapsed="false">
      <c r="A9" s="6" t="s">
        <v>40</v>
      </c>
      <c r="B9" s="16" t="n">
        <f aca="false">MAX($B$6*(1+IF($B$5&gt;=20,$M$24,IF($B$5&lt;=1,$M$5,INDEX($M$5:$M$24,INT($B$5))+($B$5-INT($B$5))*(INDEX($M$5:$M$24,INT($B$5)+1)-INDEX($M$5:$M$24,INT($B$5)))))),$B$6+$B$7)</f>
        <v>0.0411</v>
      </c>
      <c r="L9" s="12" t="n">
        <v>5</v>
      </c>
      <c r="M9" s="13" t="n">
        <v>0.55</v>
      </c>
      <c r="N9" s="13" t="n">
        <v>0.46</v>
      </c>
      <c r="O9" s="14" t="n">
        <f aca="false">IF(M9*$B$6&lt;$B$7,L9,99)</f>
        <v>99</v>
      </c>
    </row>
    <row r="10" customFormat="false" ht="15" hidden="false" customHeight="false" outlineLevel="0" collapsed="false">
      <c r="A10" s="6" t="s">
        <v>41</v>
      </c>
      <c r="B10" s="17" t="n">
        <f aca="false">$B$4*((1+$B$6)^$B$5/(1+$B$6*(1-IF($B$5&gt;=20,$N$24,IF($B$5&lt;=1,$N$5,INDEX($N$5:$N$24,INT($B$5))+($B$5-INT($B$5))*(INDEX($N$5:$N$24,INT($B$5)+1)-INDEX($N$5:$N$24,INT($B$5)))))))^$B$5-1)</f>
        <v>342882032.811253</v>
      </c>
      <c r="L10" s="12" t="n">
        <v>6</v>
      </c>
      <c r="M10" s="13" t="n">
        <v>0.52</v>
      </c>
      <c r="N10" s="13" t="n">
        <v>0.42</v>
      </c>
      <c r="O10" s="14" t="n">
        <f aca="false">IF(M10*$B$6&lt;$B$7,L10,99)</f>
        <v>99</v>
      </c>
    </row>
    <row r="11" customFormat="false" ht="15" hidden="false" customHeight="false" outlineLevel="0" collapsed="false">
      <c r="A11" s="6" t="s">
        <v>42</v>
      </c>
      <c r="B11" s="17" t="n">
        <f aca="false">$B$4*((1+$B$6)^$B$5/(1+MAX($B$6*(1+IF($B$5&gt;=20,$M$24,IF($B$5&lt;=1,$M$5,INDEX($M$5:$M$24,INT($B$5))+($B$5-INT($B$5))*(INDEX($M$5:$M$24,INT($B$5)+1)-INDEX($M$5:$M$24,INT($B$5)))))),$B$6+$B$7))^$B$5-1)</f>
        <v>-386238279.349013</v>
      </c>
      <c r="L11" s="12" t="n">
        <v>7</v>
      </c>
      <c r="M11" s="13" t="n">
        <v>0.49</v>
      </c>
      <c r="N11" s="13" t="n">
        <v>0.39</v>
      </c>
      <c r="O11" s="14" t="n">
        <f aca="false">IF(M11*$B$6&lt;$B$7,L11,99)</f>
        <v>99</v>
      </c>
    </row>
    <row r="12" customFormat="false" ht="15" hidden="false" customHeight="false" outlineLevel="0" collapsed="false">
      <c r="L12" s="12" t="n">
        <v>8</v>
      </c>
      <c r="M12" s="13" t="n">
        <v>0.47</v>
      </c>
      <c r="N12" s="13" t="n">
        <v>0.36</v>
      </c>
      <c r="O12" s="14" t="n">
        <f aca="false">IF(M12*$B$6&lt;$B$7,L12,99)</f>
        <v>99</v>
      </c>
    </row>
    <row r="13" customFormat="false" ht="15" hidden="false" customHeight="false" outlineLevel="0" collapsed="false">
      <c r="A13" s="5" t="s">
        <v>43</v>
      </c>
      <c r="B13" s="5" t="s">
        <v>44</v>
      </c>
      <c r="C13" s="5" t="s">
        <v>45</v>
      </c>
      <c r="D13" s="5" t="s">
        <v>46</v>
      </c>
      <c r="E13" s="5" t="s">
        <v>47</v>
      </c>
      <c r="F13" s="5" t="s">
        <v>48</v>
      </c>
      <c r="G13" s="5" t="s">
        <v>49</v>
      </c>
      <c r="H13" s="5" t="s">
        <v>50</v>
      </c>
      <c r="I13" s="5" t="s">
        <v>51</v>
      </c>
      <c r="L13" s="12" t="n">
        <v>9</v>
      </c>
      <c r="M13" s="13" t="n">
        <v>0.44</v>
      </c>
      <c r="N13" s="13" t="n">
        <v>0.33</v>
      </c>
      <c r="O13" s="14" t="n">
        <f aca="false">IF(M13*$B$6&lt;$B$7,L13,99)</f>
        <v>99</v>
      </c>
    </row>
    <row r="14" customFormat="false" ht="15" hidden="false" customHeight="false" outlineLevel="0" collapsed="false">
      <c r="A14" s="12" t="n">
        <v>4</v>
      </c>
      <c r="B14" s="17" t="n">
        <f aca="false">$B$4*((1+$B$6)^A14/(1+$B$6*(1-IF(A14&gt;=20,$N$24,IF(A14&lt;=1,$N$5,INDEX($N$5:$N$24,INT(A14))+(A14-INT(A14))*(INDEX($N$5:$N$24,INT(A14)+1)-INDEX($N$5:$N$24,INT(A14)))))))^A14-1)</f>
        <v>193397285.858487</v>
      </c>
      <c r="C14" s="17" t="n">
        <f aca="false">$B$10</f>
        <v>342882032.811253</v>
      </c>
      <c r="D14" s="17" t="n">
        <f aca="false">B14-C14</f>
        <v>-149484746.952766</v>
      </c>
      <c r="E14" s="17" t="n">
        <f aca="false">$B$4*((1+$B$6)^A14/(1+MAX($B$6*(1+IF(A14&gt;=20,$M$24,IF(A14&lt;=1,$M$5,INDEX($M$5:$M$24,INT(A14))+(A14-INT(A14))*(INDEX($M$5:$M$24,INT(A14)+1)-INDEX($M$5:$M$24,INT(A14)))))),$B$6+$B$7))^A14-1)</f>
        <v>-210826651.018257</v>
      </c>
      <c r="F14" s="17" t="n">
        <f aca="false">$B$11</f>
        <v>-386238279.349013</v>
      </c>
      <c r="G14" s="17" t="n">
        <f aca="false">E14-F14</f>
        <v>175411628.330756</v>
      </c>
      <c r="H14" s="17" t="n">
        <f aca="false">MAX(0,-MIN(D14,G14))</f>
        <v>149484746.952766</v>
      </c>
      <c r="I14" s="6" t="str">
        <f aca="false">IF(H14&lt;1,"none",IF(D14&lt;=G14,"downward","upward"))</f>
        <v>downward</v>
      </c>
      <c r="L14" s="12" t="n">
        <v>10</v>
      </c>
      <c r="M14" s="13" t="n">
        <v>0.42</v>
      </c>
      <c r="N14" s="13" t="n">
        <v>0.31</v>
      </c>
      <c r="O14" s="14" t="n">
        <f aca="false">IF(M14*$B$6&lt;$B$7,L14,99)</f>
        <v>99</v>
      </c>
    </row>
    <row r="15" customFormat="false" ht="15" hidden="false" customHeight="false" outlineLevel="0" collapsed="false">
      <c r="A15" s="12" t="n">
        <v>6</v>
      </c>
      <c r="B15" s="17" t="n">
        <f aca="false">$B$4*((1+$B$6)^A15/(1+$B$6*(1-IF(A15&gt;=20,$N$24,IF(A15&lt;=1,$N$5,INDEX($N$5:$N$24,INT(A15))+(A15-INT(A15))*(INDEX($N$5:$N$24,INT(A15)+1)-INDEX($N$5:$N$24,INT(A15)))))))^A15-1)</f>
        <v>245267336.688608</v>
      </c>
      <c r="C15" s="17" t="n">
        <f aca="false">$B$10</f>
        <v>342882032.811253</v>
      </c>
      <c r="D15" s="17" t="n">
        <f aca="false">B15-C15</f>
        <v>-97614696.1226448</v>
      </c>
      <c r="E15" s="17" t="n">
        <f aca="false">$B$4*((1+$B$6)^A15/(1+MAX($B$6*(1+IF(A15&gt;=20,$M$24,IF(A15&lt;=1,$M$5,INDEX($M$5:$M$24,INT(A15))+(A15-INT(A15))*(INDEX($M$5:$M$24,INT(A15)+1)-INDEX($M$5:$M$24,INT(A15)))))),$B$6+$B$7))^A15-1)</f>
        <v>-275983095.137054</v>
      </c>
      <c r="F15" s="17" t="n">
        <f aca="false">$B$11</f>
        <v>-386238279.349013</v>
      </c>
      <c r="G15" s="17" t="n">
        <f aca="false">E15-F15</f>
        <v>110255184.211959</v>
      </c>
      <c r="H15" s="17" t="n">
        <f aca="false">MAX(0,-MIN(D15,G15))</f>
        <v>97614696.1226448</v>
      </c>
      <c r="I15" s="6" t="str">
        <f aca="false">IF(H15&lt;1,"none",IF(D15&lt;=G15,"downward","upward"))</f>
        <v>downward</v>
      </c>
      <c r="L15" s="12" t="n">
        <v>11</v>
      </c>
      <c r="M15" s="13" t="n">
        <v>0.39</v>
      </c>
      <c r="N15" s="13" t="n">
        <v>0.3</v>
      </c>
      <c r="O15" s="14" t="n">
        <f aca="false">IF(M15*$B$6&lt;$B$7,L15,99)</f>
        <v>99</v>
      </c>
    </row>
    <row r="16" customFormat="false" ht="15" hidden="false" customHeight="false" outlineLevel="0" collapsed="false">
      <c r="A16" s="12" t="n">
        <v>8</v>
      </c>
      <c r="B16" s="17" t="n">
        <f aca="false">$B$4*((1+$B$6)^A16/(1+$B$6*(1-IF(A16&gt;=20,$N$24,IF(A16&lt;=1,$N$5,INDEX($N$5:$N$24,INT(A16))+(A16-INT(A16))*(INDEX($N$5:$N$24,INT(A16)+1)-INDEX($N$5:$N$24,INT(A16)))))))^A16-1)</f>
        <v>281548552.124159</v>
      </c>
      <c r="C16" s="17" t="n">
        <f aca="false">$B$10</f>
        <v>342882032.811253</v>
      </c>
      <c r="D16" s="17" t="n">
        <f aca="false">B16-C16</f>
        <v>-61333480.6870938</v>
      </c>
      <c r="E16" s="17" t="n">
        <f aca="false">$B$4*((1+$B$6)^A16/(1+MAX($B$6*(1+IF(A16&gt;=20,$M$24,IF(A16&lt;=1,$M$5,INDEX($M$5:$M$24,INT(A16))+(A16-INT(A16))*(INDEX($M$5:$M$24,INT(A16)+1)-INDEX($M$5:$M$24,INT(A16)))))),$B$6+$B$7))^A16-1)</f>
        <v>-329807601.795226</v>
      </c>
      <c r="F16" s="17" t="n">
        <f aca="false">$B$11</f>
        <v>-386238279.349013</v>
      </c>
      <c r="G16" s="17" t="n">
        <f aca="false">E16-F16</f>
        <v>56430677.5537872</v>
      </c>
      <c r="H16" s="17" t="n">
        <f aca="false">MAX(0,-MIN(D16,G16))</f>
        <v>61333480.6870938</v>
      </c>
      <c r="I16" s="6" t="str">
        <f aca="false">IF(H16&lt;1,"none",IF(D16&lt;=G16,"downward","upward"))</f>
        <v>downward</v>
      </c>
      <c r="L16" s="12" t="n">
        <v>12</v>
      </c>
      <c r="M16" s="13" t="n">
        <v>0.37</v>
      </c>
      <c r="N16" s="13" t="n">
        <v>0.29</v>
      </c>
      <c r="O16" s="14" t="n">
        <f aca="false">IF(M16*$B$6&lt;$B$7,L16,99)</f>
        <v>99</v>
      </c>
    </row>
    <row r="17" customFormat="false" ht="15" hidden="false" customHeight="false" outlineLevel="0" collapsed="false">
      <c r="A17" s="12" t="n">
        <v>10</v>
      </c>
      <c r="B17" s="17" t="n">
        <f aca="false">$B$4*((1+$B$6)^A17/(1+$B$6*(1-IF(A17&gt;=20,$N$24,IF(A17&lt;=1,$N$5,INDEX($N$5:$N$24,INT(A17))+(A17-INT(A17))*(INDEX($N$5:$N$24,INT(A17)+1)-INDEX($N$5:$N$24,INT(A17)))))))^A17-1)</f>
        <v>303814274.960113</v>
      </c>
      <c r="C17" s="17" t="n">
        <f aca="false">$B$10</f>
        <v>342882032.811253</v>
      </c>
      <c r="D17" s="17" t="n">
        <f aca="false">B17-C17</f>
        <v>-39067757.85114</v>
      </c>
      <c r="E17" s="17" t="n">
        <f aca="false">$B$4*((1+$B$6)^A17/(1+MAX($B$6*(1+IF(A17&gt;=20,$M$24,IF(A17&lt;=1,$M$5,INDEX($M$5:$M$24,INT(A17))+(A17-INT(A17))*(INDEX($M$5:$M$24,INT(A17)+1)-INDEX($M$5:$M$24,INT(A17)))))),$B$6+$B$7))^A17-1)</f>
        <v>-366357748.850139</v>
      </c>
      <c r="F17" s="17" t="n">
        <f aca="false">$B$11</f>
        <v>-386238279.349013</v>
      </c>
      <c r="G17" s="17" t="n">
        <f aca="false">E17-F17</f>
        <v>19880530.4988738</v>
      </c>
      <c r="H17" s="17" t="n">
        <f aca="false">MAX(0,-MIN(D17,G17))</f>
        <v>39067757.85114</v>
      </c>
      <c r="I17" s="6" t="str">
        <f aca="false">IF(H17&lt;1,"none",IF(D17&lt;=G17,"downward","upward"))</f>
        <v>downward</v>
      </c>
      <c r="L17" s="12" t="n">
        <v>13</v>
      </c>
      <c r="M17" s="13" t="n">
        <v>0.35</v>
      </c>
      <c r="N17" s="13" t="n">
        <v>0.28</v>
      </c>
      <c r="O17" s="14" t="n">
        <f aca="false">IF(M17*$B$6&lt;$B$7,L17,99)</f>
        <v>99</v>
      </c>
    </row>
    <row r="18" customFormat="false" ht="15" hidden="false" customHeight="false" outlineLevel="0" collapsed="false">
      <c r="A18" s="12" t="n">
        <v>12</v>
      </c>
      <c r="B18" s="17" t="n">
        <f aca="false">$B$4*((1+$B$6)^A18/(1+$B$6*(1-IF(A18&gt;=20,$N$24,IF(A18&lt;=1,$N$5,INDEX($N$5:$N$24,INT(A18))+(A18-INT(A18))*(INDEX($N$5:$N$24,INT(A18)+1)-INDEX($N$5:$N$24,INT(A18)))))))^A18-1)</f>
        <v>342882032.811253</v>
      </c>
      <c r="C18" s="17" t="n">
        <f aca="false">$B$10</f>
        <v>342882032.811253</v>
      </c>
      <c r="D18" s="17" t="n">
        <f aca="false">B18-C18</f>
        <v>0</v>
      </c>
      <c r="E18" s="17" t="n">
        <f aca="false">$B$4*((1+$B$6)^A18/(1+MAX($B$6*(1+IF(A18&gt;=20,$M$24,IF(A18&lt;=1,$M$5,INDEX($M$5:$M$24,INT(A18))+(A18-INT(A18))*(INDEX($M$5:$M$24,INT(A18)+1)-INDEX($M$5:$M$24,INT(A18)))))),$B$6+$B$7))^A18-1)</f>
        <v>-386238279.349013</v>
      </c>
      <c r="F18" s="17" t="n">
        <f aca="false">$B$11</f>
        <v>-386238279.349013</v>
      </c>
      <c r="G18" s="17" t="n">
        <f aca="false">E18-F18</f>
        <v>0</v>
      </c>
      <c r="H18" s="17" t="n">
        <f aca="false">MAX(0,-MIN(D18,G18))</f>
        <v>-0</v>
      </c>
      <c r="I18" s="6" t="str">
        <f aca="false">IF(H18&lt;1,"none",IF(D18&lt;=G18,"downward","upward"))</f>
        <v>none</v>
      </c>
      <c r="L18" s="12" t="n">
        <v>14</v>
      </c>
      <c r="M18" s="13" t="n">
        <v>0.34</v>
      </c>
      <c r="N18" s="13" t="n">
        <v>0.28</v>
      </c>
      <c r="O18" s="14" t="n">
        <f aca="false">IF(M18*$B$6&lt;$B$7,L18,99)</f>
        <v>99</v>
      </c>
    </row>
    <row r="19" customFormat="false" ht="15" hidden="false" customHeight="false" outlineLevel="0" collapsed="false">
      <c r="A19" s="12" t="n">
        <v>14</v>
      </c>
      <c r="B19" s="17" t="n">
        <f aca="false">$B$4*((1+$B$6)^A19/(1+$B$6*(1-IF(A19&gt;=20,$N$24,IF(A19&lt;=1,$N$5,INDEX($N$5:$N$24,INT(A19))+(A19-INT(A19))*(INDEX($N$5:$N$24,INT(A19)+1)-INDEX($N$5:$N$24,INT(A19)))))))^A19-1)</f>
        <v>388713138.0834</v>
      </c>
      <c r="C19" s="17" t="n">
        <f aca="false">$B$10</f>
        <v>342882032.811253</v>
      </c>
      <c r="D19" s="17" t="n">
        <f aca="false">B19-C19</f>
        <v>45831105.272147</v>
      </c>
      <c r="E19" s="17" t="n">
        <f aca="false">$B$4*((1+$B$6)^A19/(1+MAX($B$6*(1+IF(A19&gt;=20,$M$24,IF(A19&lt;=1,$M$5,INDEX($M$5:$M$24,INT(A19))+(A19-INT(A19))*(INDEX($M$5:$M$24,INT(A19)+1)-INDEX($M$5:$M$24,INT(A19)))))),$B$6+$B$7))^A19-1)</f>
        <v>-412369342.8955</v>
      </c>
      <c r="F19" s="17" t="n">
        <f aca="false">$B$11</f>
        <v>-386238279.349013</v>
      </c>
      <c r="G19" s="17" t="n">
        <f aca="false">E19-F19</f>
        <v>-26131063.546487</v>
      </c>
      <c r="H19" s="17" t="n">
        <f aca="false">MAX(0,-MIN(D19,G19))</f>
        <v>26131063.546487</v>
      </c>
      <c r="I19" s="6" t="str">
        <f aca="false">IF(H19&lt;1,"none",IF(D19&lt;=G19,"downward","upward"))</f>
        <v>upward</v>
      </c>
      <c r="L19" s="12" t="n">
        <v>15</v>
      </c>
      <c r="M19" s="13" t="n">
        <v>0.33</v>
      </c>
      <c r="N19" s="13" t="n">
        <v>0.27</v>
      </c>
      <c r="O19" s="14" t="n">
        <f aca="false">IF(M19*$B$6&lt;$B$7,L19,99)</f>
        <v>15</v>
      </c>
    </row>
    <row r="20" customFormat="false" ht="15" hidden="false" customHeight="false" outlineLevel="0" collapsed="false">
      <c r="A20" s="12" t="n">
        <v>16</v>
      </c>
      <c r="B20" s="17" t="n">
        <f aca="false">$B$4*((1+$B$6)^A20/(1+$B$6*(1-IF(A20&gt;=20,$N$24,IF(A20&lt;=1,$N$5,INDEX($N$5:$N$24,INT(A20))+(A20-INT(A20))*(INDEX($N$5:$N$24,INT(A20)+1)-INDEX($N$5:$N$24,INT(A20)))))))^A20-1)</f>
        <v>447971405.917881</v>
      </c>
      <c r="C20" s="17" t="n">
        <f aca="false">$B$10</f>
        <v>342882032.811253</v>
      </c>
      <c r="D20" s="17" t="n">
        <f aca="false">B20-C20</f>
        <v>105089373.106628</v>
      </c>
      <c r="E20" s="17" t="n">
        <f aca="false">$B$4*((1+$B$6)^A20/(1+MAX($B$6*(1+IF(A20&gt;=20,$M$24,IF(A20&lt;=1,$M$5,INDEX($M$5:$M$24,INT(A20))+(A20-INT(A20))*(INDEX($M$5:$M$24,INT(A20)+1)-INDEX($M$5:$M$24,INT(A20)))))),$B$6+$B$7))^A20-1)</f>
        <v>-458349160.28622</v>
      </c>
      <c r="F20" s="17" t="n">
        <f aca="false">$B$11</f>
        <v>-386238279.349013</v>
      </c>
      <c r="G20" s="17" t="n">
        <f aca="false">E20-F20</f>
        <v>-72110880.9372065</v>
      </c>
      <c r="H20" s="17" t="n">
        <f aca="false">MAX(0,-MIN(D20,G20))</f>
        <v>72110880.9372065</v>
      </c>
      <c r="I20" s="6" t="str">
        <f aca="false">IF(H20&lt;1,"none",IF(D20&lt;=G20,"downward","upward"))</f>
        <v>upward</v>
      </c>
      <c r="L20" s="12" t="n">
        <v>16</v>
      </c>
      <c r="M20" s="13" t="n">
        <v>0.31</v>
      </c>
      <c r="N20" s="13" t="n">
        <v>0.28</v>
      </c>
      <c r="O20" s="14" t="n">
        <f aca="false">IF(M20*$B$6&lt;$B$7,L20,99)</f>
        <v>16</v>
      </c>
    </row>
    <row r="21" customFormat="false" ht="15" hidden="false" customHeight="false" outlineLevel="0" collapsed="false">
      <c r="L21" s="12" t="n">
        <v>17</v>
      </c>
      <c r="M21" s="13" t="n">
        <v>0.3</v>
      </c>
      <c r="N21" s="13" t="n">
        <v>0.28</v>
      </c>
      <c r="O21" s="14" t="n">
        <f aca="false">IF(M21*$B$6&lt;$B$7,L21,99)</f>
        <v>17</v>
      </c>
    </row>
    <row r="22" customFormat="false" ht="15" hidden="false" customHeight="false" outlineLevel="0" collapsed="false">
      <c r="A22" s="6" t="s">
        <v>52</v>
      </c>
      <c r="B22" s="17" t="n">
        <f aca="false">H14-H17</f>
        <v>110416989.101626</v>
      </c>
      <c r="L22" s="12" t="n">
        <v>18</v>
      </c>
      <c r="M22" s="13" t="n">
        <v>0.29</v>
      </c>
      <c r="N22" s="13" t="n">
        <v>0.28</v>
      </c>
      <c r="O22" s="14" t="n">
        <f aca="false">IF(M22*$B$6&lt;$B$7,L22,99)</f>
        <v>18</v>
      </c>
    </row>
    <row r="23" customFormat="false" ht="15" hidden="false" customHeight="false" outlineLevel="0" collapsed="false">
      <c r="A23" s="6" t="s">
        <v>53</v>
      </c>
      <c r="B23" s="14" t="n">
        <f aca="false">MIN(O5:O24)</f>
        <v>15</v>
      </c>
      <c r="L23" s="12" t="n">
        <v>19</v>
      </c>
      <c r="M23" s="13" t="n">
        <v>0.27</v>
      </c>
      <c r="N23" s="13" t="n">
        <v>0.29</v>
      </c>
      <c r="O23" s="14" t="n">
        <f aca="false">IF(M23*$B$6&lt;$B$7,L23,99)</f>
        <v>19</v>
      </c>
    </row>
    <row r="24" customFormat="false" ht="15" hidden="false" customHeight="false" outlineLevel="0" collapsed="false">
      <c r="L24" s="12" t="n">
        <v>20</v>
      </c>
      <c r="M24" s="13" t="n">
        <v>0.26</v>
      </c>
      <c r="N24" s="13" t="n">
        <v>0.29</v>
      </c>
      <c r="O24" s="14" t="n">
        <f aca="false">IF(M24*$B$6&lt;$B$7,L24,99)</f>
        <v>20</v>
      </c>
    </row>
    <row r="25" customFormat="false" ht="15" hidden="false" customHeight="false" outlineLevel="0" collapsed="false">
      <c r="A25" s="3" t="s">
        <v>54</v>
      </c>
    </row>
    <row r="26" customFormat="false" ht="15" hidden="false" customHeight="false" outlineLevel="0" collapsed="false">
      <c r="A26" s="6" t="s">
        <v>55</v>
      </c>
      <c r="B26" s="17" t="n">
        <f aca="false">Levers!B4</f>
        <v>150000000</v>
      </c>
    </row>
    <row r="27" customFormat="false" ht="15" hidden="false" customHeight="false" outlineLevel="0" collapsed="false">
      <c r="A27" s="6" t="s">
        <v>56</v>
      </c>
      <c r="B27" s="11" t="n">
        <v>4.2</v>
      </c>
    </row>
    <row r="28" customFormat="false" ht="15" hidden="false" customHeight="false" outlineLevel="0" collapsed="false">
      <c r="A28" s="6" t="s">
        <v>57</v>
      </c>
      <c r="B28" s="11" t="n">
        <v>10</v>
      </c>
    </row>
    <row r="29" customFormat="false" ht="15" hidden="false" customHeight="false" outlineLevel="0" collapsed="false">
      <c r="A29" s="6" t="s">
        <v>58</v>
      </c>
      <c r="B29" s="17" t="n">
        <f aca="false">MAX(0,-MIN($B$26*((1+$B$6)^$B$27/(1+$B$6*(1-IF($B$27&gt;=20,$N$24,IF($B$27&lt;=1,$N$5,INDEX($N$5:$N$24,INT($B$27))+($B$27-INT($B$27))*(INDEX($N$5:$N$24,INT($B$27)+1)-INDEX($N$5:$N$24,INT($B$27)))))))^$B$27-1)-$B$10*$B$26/$B$4,$B$26*((1+$B$6)^$B$27/(1+MAX($B$6*(1+IF($B$27&gt;=20,$M$24,IF($B$27&lt;=1,$M$5,INDEX($M$5:$M$24,INT($B$27))+($B$27-INT($B$27))*(INDEX($M$5:$M$24,INT($B$27)+1)-INDEX($M$5:$M$24,INT($B$27)))))),$B$6+$B$7))^$B$27-1)-$B$11*$B$26/$B$4))</f>
        <v>6698043.27956362</v>
      </c>
    </row>
    <row r="30" customFormat="false" ht="15" hidden="false" customHeight="false" outlineLevel="0" collapsed="false">
      <c r="A30" s="6" t="s">
        <v>59</v>
      </c>
      <c r="B30" s="17" t="n">
        <f aca="false">MAX(0,-MIN($B$26*((1+$B$6)^$B$28/(1+$B$6*(1-IF($B$28&gt;=20,$N$24,IF($B$28&lt;=1,$N$5,INDEX($N$5:$N$24,INT($B$28))+($B$28-INT($B$28))*(INDEX($N$5:$N$24,INT($B$28)+1)-INDEX($N$5:$N$24,INT($B$28)))))))^$B$28-1)-$B$10*$B$26/$B$4,$B$26*((1+$B$6)^$B$28/(1+MAX($B$6*(1+IF($B$28&gt;=20,$M$24,IF($B$28&lt;=1,$M$5,INDEX($M$5:$M$24,INT($B$28))+($B$28-INT($B$28))*(INDEX($M$5:$M$24,INT($B$28)+1)-INDEX($M$5:$M$24,INT($B$28)))))),$B$6+$B$7))^$B$28-1)-$B$11*$B$26/$B$4))</f>
        <v>1831301.14927219</v>
      </c>
    </row>
    <row r="31" customFormat="false" ht="15" hidden="false" customHeight="false" outlineLevel="0" collapsed="false">
      <c r="A31" s="6" t="s">
        <v>60</v>
      </c>
      <c r="B31" s="17" t="n">
        <f aca="false">B29-B30</f>
        <v>4866742.13029143</v>
      </c>
      <c r="C31" s="10" t="s">
        <v>61</v>
      </c>
    </row>
    <row r="32" customFormat="false" ht="15" hidden="false" customHeight="false" outlineLevel="0" collapsed="false">
      <c r="A32" s="6" t="s">
        <v>62</v>
      </c>
      <c r="B32" s="7" t="n">
        <f aca="false">B31/B26</f>
        <v>0.0324449475352762</v>
      </c>
    </row>
    <row r="34" customFormat="false" ht="15" hidden="false" customHeight="false" outlineLevel="0" collapsed="false">
      <c r="A34" s="3" t="s">
        <v>63</v>
      </c>
    </row>
    <row r="35" customFormat="false" ht="15" hidden="false" customHeight="false" outlineLevel="0" collapsed="false">
      <c r="A35" s="6" t="s">
        <v>64</v>
      </c>
      <c r="B35" s="17" t="n">
        <f aca="false">MAX(0,-MIN($B$26*((1+$B$6)^$B$27/(1+$B$6*(1-INDEX($N$5:$N$24,MAX(1,MIN(20,ROUND($B$27,0))))))^$B$27-1)-$B$10*$B$26/$B$4,$B$26*((1+$B$6)^$B$27/(1+MAX($B$6*(1+INDEX($M$5:$M$24,MAX(1,MIN(20,ROUND($B$27,0))))),$B$6+$B$7))^$B$27-1)-$B$11*$B$26/$B$4))</f>
        <v>6539707.97244611</v>
      </c>
    </row>
    <row r="36" customFormat="false" ht="15" hidden="false" customHeight="false" outlineLevel="0" collapsed="false">
      <c r="A36" s="6" t="s">
        <v>65</v>
      </c>
      <c r="B36" s="17" t="n">
        <f aca="false">MAX(0,-MIN($B$26*((1+$B$6)^$B$28/(1+$B$6*(1-INDEX($N$5:$N$24,MAX(1,MIN(20,ROUND($B$28,0))))))^$B$28-1)-$B$10*$B$26/$B$4,$B$26*((1+$B$6)^$B$28/(1+MAX($B$6*(1+INDEX($M$5:$M$24,MAX(1,MIN(20,ROUND($B$28,0))))),$B$6+$B$7))^$B$28-1)-$B$11*$B$26/$B$4))</f>
        <v>1831301.14927219</v>
      </c>
    </row>
    <row r="37" customFormat="false" ht="15" hidden="false" customHeight="false" outlineLevel="0" collapsed="false">
      <c r="A37" s="6" t="s">
        <v>66</v>
      </c>
      <c r="B37" s="17" t="n">
        <f aca="false">B35-B36</f>
        <v>4708406.82317392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6"/>
    <col collapsed="false" customWidth="true" hidden="false" outlineLevel="0" max="2" min="2" style="0" width="16"/>
    <col collapsed="false" customWidth="true" hidden="false" outlineLevel="0" max="3" min="3" style="0" width="44"/>
    <col collapsed="false" customWidth="true" hidden="false" outlineLevel="0" max="6" min="5" style="0" width="16"/>
  </cols>
  <sheetData>
    <row r="1" customFormat="false" ht="15" hidden="false" customHeight="false" outlineLevel="0" collapsed="false">
      <c r="A1" s="1" t="s">
        <v>67</v>
      </c>
    </row>
    <row r="2" customFormat="false" ht="15" hidden="false" customHeight="false" outlineLevel="0" collapsed="false">
      <c r="A2" s="10" t="s">
        <v>68</v>
      </c>
    </row>
    <row r="3" customFormat="false" ht="15" hidden="false" customHeight="false" outlineLevel="0" collapsed="false">
      <c r="E3" s="5" t="s">
        <v>69</v>
      </c>
      <c r="F3" s="5" t="s">
        <v>70</v>
      </c>
    </row>
    <row r="4" customFormat="false" ht="15" hidden="false" customHeight="false" outlineLevel="0" collapsed="false">
      <c r="A4" s="6" t="s">
        <v>71</v>
      </c>
      <c r="B4" s="15" t="n">
        <v>0.045</v>
      </c>
      <c r="C4" s="10" t="s">
        <v>72</v>
      </c>
      <c r="E4" s="18" t="s">
        <v>73</v>
      </c>
      <c r="F4" s="9" t="n">
        <v>0.001</v>
      </c>
    </row>
    <row r="5" customFormat="false" ht="15" hidden="false" customHeight="false" outlineLevel="0" collapsed="false">
      <c r="A5" s="6" t="s">
        <v>74</v>
      </c>
      <c r="B5" s="7" t="n">
        <f aca="false">VLOOKUP("BB",E4:F11,2,FALSE())</f>
        <v>0.018</v>
      </c>
      <c r="C5" s="10"/>
      <c r="E5" s="18" t="s">
        <v>75</v>
      </c>
      <c r="F5" s="9" t="n">
        <v>0.0015</v>
      </c>
    </row>
    <row r="6" customFormat="false" ht="15" hidden="false" customHeight="false" outlineLevel="0" collapsed="false">
      <c r="A6" s="6" t="s">
        <v>76</v>
      </c>
      <c r="B6" s="7" t="n">
        <f aca="false">MAX(0,B4-B5)</f>
        <v>0.027</v>
      </c>
      <c r="C6" s="10"/>
      <c r="E6" s="18" t="s">
        <v>77</v>
      </c>
      <c r="F6" s="9" t="n">
        <v>0.0025</v>
      </c>
    </row>
    <row r="7" customFormat="false" ht="15" hidden="false" customHeight="false" outlineLevel="0" collapsed="false">
      <c r="A7" s="6" t="s">
        <v>78</v>
      </c>
      <c r="B7" s="15" t="n">
        <v>0.025</v>
      </c>
      <c r="C7" s="10" t="s">
        <v>79</v>
      </c>
      <c r="E7" s="18" t="s">
        <v>79</v>
      </c>
      <c r="F7" s="9" t="n">
        <v>0.0045</v>
      </c>
    </row>
    <row r="8" customFormat="false" ht="15" hidden="false" customHeight="false" outlineLevel="0" collapsed="false">
      <c r="A8" s="6" t="s">
        <v>80</v>
      </c>
      <c r="B8" s="7" t="n">
        <f aca="false">VLOOKUP("BBB",E4:F11,2,FALSE())</f>
        <v>0.0045</v>
      </c>
      <c r="C8" s="10"/>
      <c r="E8" s="18" t="s">
        <v>81</v>
      </c>
      <c r="F8" s="9" t="n">
        <v>0.018</v>
      </c>
    </row>
    <row r="9" customFormat="false" ht="15" hidden="false" customHeight="false" outlineLevel="0" collapsed="false">
      <c r="A9" s="6" t="s">
        <v>82</v>
      </c>
      <c r="B9" s="7" t="n">
        <f aca="false">MAX(0,B7-B8)</f>
        <v>0.0205</v>
      </c>
      <c r="C9" s="10"/>
      <c r="E9" s="18" t="s">
        <v>83</v>
      </c>
      <c r="F9" s="9" t="n">
        <v>0.035</v>
      </c>
    </row>
    <row r="10" customFormat="false" ht="15" hidden="false" customHeight="false" outlineLevel="0" collapsed="false">
      <c r="A10" s="6" t="s">
        <v>84</v>
      </c>
      <c r="B10" s="19" t="s">
        <v>85</v>
      </c>
      <c r="C10" s="10" t="s">
        <v>86</v>
      </c>
      <c r="E10" s="18" t="s">
        <v>87</v>
      </c>
      <c r="F10" s="9" t="n">
        <v>0.05</v>
      </c>
    </row>
    <row r="11" customFormat="false" ht="15" hidden="false" customHeight="false" outlineLevel="0" collapsed="false">
      <c r="A11" s="6" t="s">
        <v>88</v>
      </c>
      <c r="B11" s="7" t="n">
        <f aca="false">IF(B10="Yes",MIN(B6,B9),B6)</f>
        <v>0.0205</v>
      </c>
      <c r="C11" s="10"/>
      <c r="E11" s="18" t="s">
        <v>89</v>
      </c>
      <c r="F11" s="9" t="n">
        <v>0.01</v>
      </c>
    </row>
    <row r="12" customFormat="false" ht="15" hidden="false" customHeight="false" outlineLevel="0" collapsed="false">
      <c r="A12" s="6" t="s">
        <v>90</v>
      </c>
      <c r="B12" s="7" t="n">
        <f aca="false">B6-B11</f>
        <v>0.0065</v>
      </c>
      <c r="C12" s="10"/>
    </row>
    <row r="13" customFormat="false" ht="15" hidden="false" customHeight="false" outlineLevel="0" collapsed="false">
      <c r="A13" s="6" t="s">
        <v>91</v>
      </c>
      <c r="B13" s="11" t="n">
        <v>4.2</v>
      </c>
      <c r="C13" s="10" t="s">
        <v>92</v>
      </c>
    </row>
    <row r="14" customFormat="false" ht="15" hidden="false" customHeight="false" outlineLevel="0" collapsed="false">
      <c r="A14" s="6" t="s">
        <v>93</v>
      </c>
      <c r="B14" s="17" t="n">
        <f aca="false">Levers!B4</f>
        <v>150000000</v>
      </c>
      <c r="C14" s="10"/>
    </row>
    <row r="15" customFormat="false" ht="15" hidden="false" customHeight="false" outlineLevel="0" collapsed="false">
      <c r="A15" s="6" t="s">
        <v>94</v>
      </c>
      <c r="B15" s="7" t="n">
        <f aca="false">'Interest rate'!B6</f>
        <v>0.03</v>
      </c>
      <c r="C15" s="10"/>
    </row>
    <row r="16" customFormat="false" ht="15" hidden="false" customHeight="false" outlineLevel="0" collapsed="false">
      <c r="A16" s="6" t="s">
        <v>95</v>
      </c>
      <c r="B16" s="17" t="n">
        <f aca="false">B14*(1-((1+B15)/(1+B15+B11))^B13)</f>
        <v>11915743.9355275</v>
      </c>
      <c r="C16" s="10"/>
    </row>
    <row r="17" customFormat="false" ht="15" hidden="false" customHeight="false" outlineLevel="0" collapsed="false">
      <c r="A17" s="6" t="s">
        <v>96</v>
      </c>
      <c r="B17" s="17" t="n">
        <f aca="false">B11*B13*B14</f>
        <v>12915000</v>
      </c>
      <c r="C17" s="10" t="s">
        <v>97</v>
      </c>
    </row>
    <row r="18" customFormat="false" ht="15" hidden="false" customHeight="false" outlineLevel="0" collapsed="false">
      <c r="A18" s="6" t="s">
        <v>98</v>
      </c>
      <c r="B18" s="7" t="n">
        <f aca="false">B17/B16-1</f>
        <v>0.083860149217641</v>
      </c>
      <c r="C18" s="10"/>
    </row>
    <row r="20" customFormat="false" ht="15" hidden="false" customHeight="false" outlineLevel="0" collapsed="false">
      <c r="A20" s="3" t="s">
        <v>99</v>
      </c>
      <c r="C20" s="10"/>
    </row>
    <row r="21" customFormat="false" ht="15" hidden="false" customHeight="false" outlineLevel="0" collapsed="false">
      <c r="A21" s="6" t="s">
        <v>100</v>
      </c>
      <c r="B21" s="7" t="n">
        <f aca="false">B6</f>
        <v>0.027</v>
      </c>
      <c r="C21" s="10"/>
    </row>
    <row r="22" customFormat="false" ht="15" hidden="false" customHeight="false" outlineLevel="0" collapsed="false">
      <c r="A22" s="6" t="s">
        <v>101</v>
      </c>
      <c r="B22" s="20" t="n">
        <f aca="false">'Interest rate'!B5</f>
        <v>12</v>
      </c>
      <c r="C22" s="10"/>
    </row>
    <row r="23" customFormat="false" ht="15" hidden="false" customHeight="false" outlineLevel="0" collapsed="false">
      <c r="A23" s="6" t="s">
        <v>98</v>
      </c>
      <c r="B23" s="7" t="n">
        <f aca="false">B21*B22/(1-((1+B15)/(1+B15+B21))^B22)-1</f>
        <v>0.213812131487879</v>
      </c>
      <c r="C23" s="10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4" min="2" style="0" width="16"/>
  </cols>
  <sheetData>
    <row r="1" customFormat="false" ht="15" hidden="false" customHeight="false" outlineLevel="0" collapsed="false">
      <c r="A1" s="1" t="s">
        <v>102</v>
      </c>
    </row>
    <row r="2" customFormat="false" ht="15" hidden="false" customHeight="false" outlineLevel="0" collapsed="false">
      <c r="A2" s="10" t="s">
        <v>103</v>
      </c>
    </row>
    <row r="4" customFormat="false" ht="15" hidden="false" customHeight="false" outlineLevel="0" collapsed="false">
      <c r="A4" s="6" t="s">
        <v>104</v>
      </c>
      <c r="B4" s="17" t="n">
        <f aca="false">'Interest rate'!B4</f>
        <v>3200000000</v>
      </c>
    </row>
    <row r="5" customFormat="false" ht="15" hidden="false" customHeight="false" outlineLevel="0" collapsed="false">
      <c r="A5" s="6" t="s">
        <v>101</v>
      </c>
      <c r="B5" s="20" t="n">
        <f aca="false">'Interest rate'!B5</f>
        <v>12</v>
      </c>
    </row>
    <row r="6" customFormat="false" ht="15" hidden="false" customHeight="false" outlineLevel="0" collapsed="false">
      <c r="A6" s="6" t="s">
        <v>94</v>
      </c>
      <c r="B6" s="7" t="n">
        <f aca="false">'Interest rate'!B6</f>
        <v>0.03</v>
      </c>
    </row>
    <row r="8" customFormat="false" ht="15" hidden="false" customHeight="false" outlineLevel="0" collapsed="false">
      <c r="A8" s="5" t="s">
        <v>105</v>
      </c>
      <c r="B8" s="5" t="s">
        <v>106</v>
      </c>
      <c r="C8" s="5" t="s">
        <v>107</v>
      </c>
    </row>
    <row r="9" customFormat="false" ht="15" hidden="false" customHeight="false" outlineLevel="0" collapsed="false">
      <c r="A9" s="12" t="n">
        <v>10</v>
      </c>
      <c r="B9" s="17" t="n">
        <f aca="false">$B$4*(1-((1+$B$6)/(1+$B$6+A9/10000))^$B$5)</f>
        <v>37047343.5472537</v>
      </c>
      <c r="C9" s="7" t="n">
        <f aca="false">B9/$B$4</f>
        <v>0.0115772948585168</v>
      </c>
    </row>
    <row r="10" customFormat="false" ht="15" hidden="false" customHeight="false" outlineLevel="0" collapsed="false">
      <c r="A10" s="12" t="n">
        <v>20</v>
      </c>
      <c r="B10" s="17" t="n">
        <f aca="false">$B$4*(1-((1+$B$6)/(1+$B$6+A10/10000))^$B$5)</f>
        <v>73630484.9856115</v>
      </c>
      <c r="C10" s="7" t="n">
        <f aca="false">B10/$B$4</f>
        <v>0.0230095265580036</v>
      </c>
    </row>
    <row r="11" customFormat="false" ht="15" hidden="false" customHeight="false" outlineLevel="0" collapsed="false">
      <c r="A11" s="12" t="n">
        <v>30</v>
      </c>
      <c r="B11" s="17" t="n">
        <f aca="false">$B$4*(1-((1+$B$6)/(1+$B$6+A11/10000))^$B$5)</f>
        <v>109755682.135097</v>
      </c>
      <c r="C11" s="7" t="n">
        <f aca="false">B11/$B$4</f>
        <v>0.0342986506672179</v>
      </c>
    </row>
    <row r="12" customFormat="false" ht="15" hidden="false" customHeight="false" outlineLevel="0" collapsed="false">
      <c r="A12" s="12" t="n">
        <v>50</v>
      </c>
      <c r="B12" s="17" t="n">
        <f aca="false">$B$4*(1-((1+$B$6)/(1+$B$6+A12/10000))^$B$5)</f>
        <v>180656824.740166</v>
      </c>
      <c r="C12" s="7" t="n">
        <f aca="false">B12/$B$4</f>
        <v>0.0564552577313019</v>
      </c>
    </row>
    <row r="14" customFormat="false" ht="15" hidden="false" customHeight="false" outlineLevel="0" collapsed="false">
      <c r="A14" s="6" t="s">
        <v>108</v>
      </c>
      <c r="B14" s="17" t="n">
        <f aca="false">B9*A12/A9</f>
        <v>185236717.736268</v>
      </c>
    </row>
    <row r="15" customFormat="false" ht="15" hidden="false" customHeight="false" outlineLevel="0" collapsed="false">
      <c r="A15" s="6" t="s">
        <v>109</v>
      </c>
      <c r="B15" s="7" t="n">
        <f aca="false">B14/B12-1</f>
        <v>0.0253513422628204</v>
      </c>
    </row>
    <row r="16" customFormat="false" ht="15" hidden="false" customHeight="false" outlineLevel="0" collapsed="false">
      <c r="A16" s="6" t="s">
        <v>110</v>
      </c>
      <c r="B16" s="17" t="n">
        <f aca="false">'Matching adjustment'!B16</f>
        <v>11915743.9355275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6"/>
    <col collapsed="false" customWidth="true" hidden="false" outlineLevel="0" max="5" min="2" style="0" width="16"/>
  </cols>
  <sheetData>
    <row r="1" customFormat="false" ht="15" hidden="false" customHeight="false" outlineLevel="0" collapsed="false">
      <c r="A1" s="1" t="s">
        <v>111</v>
      </c>
    </row>
    <row r="2" customFormat="false" ht="15" hidden="false" customHeight="false" outlineLevel="0" collapsed="false">
      <c r="A2" s="10" t="s">
        <v>112</v>
      </c>
    </row>
    <row r="4" customFormat="false" ht="15" hidden="false" customHeight="false" outlineLevel="0" collapsed="false">
      <c r="A4" s="6" t="s">
        <v>113</v>
      </c>
      <c r="B4" s="17" t="n">
        <f aca="false">Levers!B4</f>
        <v>150000000</v>
      </c>
    </row>
    <row r="6" customFormat="false" ht="15" hidden="false" customHeight="false" outlineLevel="0" collapsed="false">
      <c r="A6" s="5" t="s">
        <v>114</v>
      </c>
      <c r="B6" s="5" t="s">
        <v>115</v>
      </c>
      <c r="C6" s="5" t="s">
        <v>116</v>
      </c>
      <c r="D6" s="5" t="s">
        <v>117</v>
      </c>
    </row>
    <row r="7" customFormat="false" ht="15" hidden="false" customHeight="false" outlineLevel="0" collapsed="false">
      <c r="A7" s="6" t="s">
        <v>118</v>
      </c>
      <c r="B7" s="7" t="n">
        <f aca="false">Levers!B23</f>
        <v>0.49</v>
      </c>
      <c r="C7" s="17" t="n">
        <f aca="false">B7*$B$4</f>
        <v>73500000</v>
      </c>
      <c r="D7" s="17" t="n">
        <f aca="false">$C$7-C7</f>
        <v>0</v>
      </c>
    </row>
    <row r="8" customFormat="false" ht="15" hidden="false" customHeight="false" outlineLevel="0" collapsed="false">
      <c r="A8" s="6" t="s">
        <v>119</v>
      </c>
      <c r="B8" s="7" t="n">
        <f aca="false">Levers!B25</f>
        <v>0.3</v>
      </c>
      <c r="C8" s="17" t="n">
        <f aca="false">B8*$B$4</f>
        <v>45000000</v>
      </c>
      <c r="D8" s="17" t="n">
        <f aca="false">$C$7-C8</f>
        <v>28500000</v>
      </c>
    </row>
    <row r="9" customFormat="false" ht="15" hidden="false" customHeight="false" outlineLevel="0" collapsed="false">
      <c r="A9" s="6" t="s">
        <v>120</v>
      </c>
      <c r="B9" s="9" t="n">
        <v>0.36</v>
      </c>
      <c r="C9" s="17" t="n">
        <f aca="false">B9*$B$4</f>
        <v>54000000</v>
      </c>
      <c r="D9" s="17" t="n">
        <f aca="false">$C$7-C9</f>
        <v>19500000</v>
      </c>
    </row>
    <row r="10" customFormat="false" ht="15" hidden="false" customHeight="false" outlineLevel="0" collapsed="false">
      <c r="A10" s="6" t="s">
        <v>121</v>
      </c>
      <c r="B10" s="17" t="n">
        <f aca="false">C9-C8</f>
        <v>9000000</v>
      </c>
    </row>
    <row r="12" customFormat="false" ht="15" hidden="false" customHeight="false" outlineLevel="0" collapsed="false">
      <c r="A12" s="6" t="s">
        <v>122</v>
      </c>
      <c r="B12" s="7" t="n">
        <f aca="false">Levers!B27</f>
        <v>0.189</v>
      </c>
    </row>
    <row r="14" customFormat="false" ht="15" hidden="false" customHeight="false" outlineLevel="0" collapsed="false">
      <c r="A14" s="5" t="s">
        <v>123</v>
      </c>
      <c r="B14" s="5" t="s">
        <v>124</v>
      </c>
      <c r="C14" s="5" t="s">
        <v>116</v>
      </c>
      <c r="D14" s="5" t="s">
        <v>125</v>
      </c>
    </row>
    <row r="15" customFormat="false" ht="15" hidden="false" customHeight="false" outlineLevel="0" collapsed="false">
      <c r="A15" s="9" t="n">
        <v>1</v>
      </c>
      <c r="B15" s="7" t="n">
        <f aca="false">$B$12*A15</f>
        <v>0.189</v>
      </c>
      <c r="C15" s="17" t="n">
        <f aca="false">B15*$B$4</f>
        <v>28350000</v>
      </c>
      <c r="D15" s="17" t="n">
        <f aca="false">$C$15-C15</f>
        <v>0</v>
      </c>
    </row>
    <row r="16" customFormat="false" ht="15" hidden="false" customHeight="false" outlineLevel="0" collapsed="false">
      <c r="A16" s="9" t="n">
        <v>0.9</v>
      </c>
      <c r="B16" s="7" t="n">
        <f aca="false">$B$12*A16</f>
        <v>0.1701</v>
      </c>
      <c r="C16" s="17" t="n">
        <f aca="false">B16*$B$4</f>
        <v>25515000</v>
      </c>
      <c r="D16" s="17" t="n">
        <f aca="false">$C$15-C16</f>
        <v>2835000</v>
      </c>
    </row>
    <row r="17" customFormat="false" ht="15" hidden="false" customHeight="false" outlineLevel="0" collapsed="false">
      <c r="A17" s="9" t="n">
        <v>0.8</v>
      </c>
      <c r="B17" s="7" t="n">
        <f aca="false">$B$12*A17</f>
        <v>0.1512</v>
      </c>
      <c r="C17" s="17" t="n">
        <f aca="false">B17*$B$4</f>
        <v>22680000</v>
      </c>
      <c r="D17" s="17" t="n">
        <f aca="false">$C$15-C17</f>
        <v>5670000</v>
      </c>
    </row>
    <row r="18" customFormat="false" ht="15" hidden="false" customHeight="false" outlineLevel="0" collapsed="false">
      <c r="A18" s="9" t="n">
        <v>0.7</v>
      </c>
      <c r="B18" s="7" t="n">
        <f aca="false">$B$12*A18</f>
        <v>0.1323</v>
      </c>
      <c r="C18" s="17" t="n">
        <f aca="false">B18*$B$4</f>
        <v>19845000</v>
      </c>
      <c r="D18" s="17" t="n">
        <f aca="false">$C$15-C18</f>
        <v>8505000</v>
      </c>
    </row>
    <row r="19" customFormat="false" ht="15" hidden="false" customHeight="false" outlineLevel="0" collapsed="false">
      <c r="A19" s="9" t="n">
        <v>0.6</v>
      </c>
      <c r="B19" s="7" t="n">
        <f aca="false">$B$12*A19</f>
        <v>0.1134</v>
      </c>
      <c r="C19" s="17" t="n">
        <f aca="false">B19*$B$4</f>
        <v>17010000</v>
      </c>
      <c r="D19" s="17" t="n">
        <f aca="false">$C$15-C19</f>
        <v>11340000</v>
      </c>
    </row>
    <row r="21" customFormat="false" ht="15" hidden="false" customHeight="false" outlineLevel="0" collapsed="false">
      <c r="A21" s="6" t="s">
        <v>126</v>
      </c>
      <c r="B21" s="4" t="n">
        <v>30000000</v>
      </c>
    </row>
    <row r="22" customFormat="false" ht="15" hidden="false" customHeight="false" outlineLevel="0" collapsed="false">
      <c r="A22" s="6" t="s">
        <v>127</v>
      </c>
      <c r="B22" s="17" t="n">
        <f aca="false">D19*B21/B4</f>
        <v>2268000</v>
      </c>
    </row>
    <row r="23" customFormat="false" ht="15" hidden="false" customHeight="false" outlineLevel="0" collapsed="false">
      <c r="A23" s="6" t="s">
        <v>128</v>
      </c>
      <c r="B23" s="21" t="n">
        <f aca="false">B22/D19</f>
        <v>0.2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3" min="2" style="0" width="18"/>
    <col collapsed="false" customWidth="true" hidden="false" outlineLevel="0" max="4" min="4" style="0" width="12"/>
    <col collapsed="false" customWidth="true" hidden="false" outlineLevel="0" max="5" min="5" style="0" width="10"/>
    <col collapsed="false" customWidth="true" hidden="false" outlineLevel="0" max="6" min="6" style="0" width="44"/>
  </cols>
  <sheetData>
    <row r="1" customFormat="false" ht="15" hidden="false" customHeight="false" outlineLevel="0" collapsed="false">
      <c r="A1" s="1" t="s">
        <v>129</v>
      </c>
    </row>
    <row r="2" customFormat="false" ht="15" hidden="false" customHeight="false" outlineLevel="0" collapsed="false">
      <c r="A2" s="10" t="s">
        <v>130</v>
      </c>
    </row>
    <row r="4" customFormat="false" ht="15" hidden="false" customHeight="false" outlineLevel="0" collapsed="false">
      <c r="A4" s="5" t="s">
        <v>131</v>
      </c>
      <c r="B4" s="5" t="s">
        <v>132</v>
      </c>
      <c r="C4" s="5" t="s">
        <v>133</v>
      </c>
      <c r="D4" s="5" t="s">
        <v>134</v>
      </c>
      <c r="E4" s="5" t="s">
        <v>135</v>
      </c>
      <c r="F4" s="5" t="s">
        <v>136</v>
      </c>
    </row>
    <row r="5" customFormat="false" ht="15" hidden="false" customHeight="false" outlineLevel="0" collapsed="false">
      <c r="A5" s="6" t="s">
        <v>137</v>
      </c>
      <c r="B5" s="17" t="n">
        <f aca="false">Levers!D7</f>
        <v>45150000</v>
      </c>
      <c r="C5" s="22" t="n">
        <v>45150000</v>
      </c>
      <c r="D5" s="17" t="n">
        <f aca="false">IF(ISNUMBER(B5),B5-C5,"")</f>
        <v>0</v>
      </c>
      <c r="E5" s="3" t="str">
        <f aca="false">IF(ISNUMBER(B5),IF(ABS(B5-C5)&lt;=ABS(C5)*0.0002+0.000001,"OK","ECART"),"ECART")</f>
        <v>OK</v>
      </c>
      <c r="F5" s="10" t="s">
        <v>138</v>
      </c>
    </row>
    <row r="6" customFormat="false" ht="15" hidden="false" customHeight="false" outlineLevel="0" collapsed="false">
      <c r="A6" s="6" t="s">
        <v>139</v>
      </c>
      <c r="B6" s="17" t="n">
        <f aca="false">Levers!D8</f>
        <v>40500000</v>
      </c>
      <c r="C6" s="22" t="n">
        <v>40500000</v>
      </c>
      <c r="D6" s="17" t="n">
        <f aca="false">IF(ISNUMBER(B6),B6-C6,"")</f>
        <v>0</v>
      </c>
      <c r="E6" s="3" t="str">
        <f aca="false">IF(ISNUMBER(B6),IF(ABS(B6-C6)&lt;=ABS(C6)*0.0002+0.000001,"OK","ECART"),"ECART")</f>
        <v>OK</v>
      </c>
      <c r="F6" s="10" t="s">
        <v>140</v>
      </c>
    </row>
    <row r="7" customFormat="false" ht="15" hidden="false" customHeight="false" outlineLevel="0" collapsed="false">
      <c r="A7" s="6" t="s">
        <v>141</v>
      </c>
      <c r="B7" s="17" t="n">
        <f aca="false">Levers!D9</f>
        <v>36000000</v>
      </c>
      <c r="C7" s="22" t="n">
        <v>36000000</v>
      </c>
      <c r="D7" s="17" t="n">
        <f aca="false">IF(ISNUMBER(B7),B7-C7,"")</f>
        <v>0</v>
      </c>
      <c r="E7" s="3" t="str">
        <f aca="false">IF(ISNUMBER(B7),IF(ABS(B7-C7)&lt;=ABS(C7)*0.0002+0.000001,"OK","ECART"),"ECART")</f>
        <v>OK</v>
      </c>
      <c r="F7" s="10" t="s">
        <v>142</v>
      </c>
    </row>
    <row r="8" customFormat="false" ht="15" hidden="false" customHeight="false" outlineLevel="0" collapsed="false">
      <c r="A8" s="6" t="s">
        <v>143</v>
      </c>
      <c r="B8" s="17" t="n">
        <f aca="false">Levers!D10</f>
        <v>28500000</v>
      </c>
      <c r="C8" s="22" t="n">
        <v>28500000</v>
      </c>
      <c r="D8" s="17" t="n">
        <f aca="false">IF(ISNUMBER(B8),B8-C8,"")</f>
        <v>0</v>
      </c>
      <c r="E8" s="3" t="str">
        <f aca="false">IF(ISNUMBER(B8),IF(ABS(B8-C8)&lt;=ABS(C8)*0.0002+0.000001,"OK","ECART"),"ECART")</f>
        <v>OK</v>
      </c>
      <c r="F8" s="10" t="s">
        <v>144</v>
      </c>
    </row>
    <row r="9" customFormat="false" ht="15" hidden="false" customHeight="false" outlineLevel="0" collapsed="false">
      <c r="A9" s="6" t="s">
        <v>145</v>
      </c>
      <c r="B9" s="17" t="n">
        <f aca="false">Levers!D11</f>
        <v>25500000</v>
      </c>
      <c r="C9" s="22" t="n">
        <v>25500000</v>
      </c>
      <c r="D9" s="17" t="n">
        <f aca="false">IF(ISNUMBER(B9),B9-C9,"")</f>
        <v>0</v>
      </c>
      <c r="E9" s="3" t="str">
        <f aca="false">IF(ISNUMBER(B9),IF(ABS(B9-C9)&lt;=ABS(C9)*0.0002+0.000001,"OK","ECART"),"ECART")</f>
        <v>OK</v>
      </c>
      <c r="F9" s="10" t="s">
        <v>146</v>
      </c>
    </row>
    <row r="10" customFormat="false" ht="15" hidden="false" customHeight="false" outlineLevel="0" collapsed="false">
      <c r="A10" s="6" t="s">
        <v>147</v>
      </c>
      <c r="B10" s="17" t="n">
        <f aca="false">Levers!D12</f>
        <v>15000000</v>
      </c>
      <c r="C10" s="22" t="n">
        <v>15000000</v>
      </c>
      <c r="D10" s="17" t="n">
        <f aca="false">IF(ISNUMBER(B10),B10-C10,"")</f>
        <v>0</v>
      </c>
      <c r="E10" s="3" t="str">
        <f aca="false">IF(ISNUMBER(B10),IF(ABS(B10-C10)&lt;=ABS(C10)*0.0002+0.000001,"OK","ECART"),"ECART")</f>
        <v>OK</v>
      </c>
      <c r="F10" s="10" t="s">
        <v>148</v>
      </c>
    </row>
    <row r="11" customFormat="false" ht="15" hidden="false" customHeight="false" outlineLevel="0" collapsed="false">
      <c r="A11" s="6" t="s">
        <v>149</v>
      </c>
      <c r="B11" s="17" t="n">
        <f aca="false">Levers!D13</f>
        <v>11915743.9355275</v>
      </c>
      <c r="C11" s="22" t="n">
        <v>11915743.9355275</v>
      </c>
      <c r="D11" s="17" t="n">
        <f aca="false">IF(ISNUMBER(B11),B11-C11,"")</f>
        <v>0</v>
      </c>
      <c r="E11" s="3" t="str">
        <f aca="false">IF(ISNUMBER(B11),IF(ABS(B11-C11)&lt;=ABS(C11)*0.0002+0.000001,"OK","ECART"),"ECART")</f>
        <v>OK</v>
      </c>
      <c r="F11" s="10" t="s">
        <v>150</v>
      </c>
    </row>
    <row r="12" customFormat="false" ht="15" hidden="false" customHeight="false" outlineLevel="0" collapsed="false">
      <c r="A12" s="6" t="s">
        <v>151</v>
      </c>
      <c r="B12" s="17" t="n">
        <f aca="false">Levers!D14</f>
        <v>4866742.13029143</v>
      </c>
      <c r="C12" s="22" t="n">
        <v>4866742.13029143</v>
      </c>
      <c r="D12" s="17" t="n">
        <f aca="false">IF(ISNUMBER(B12),B12-C12,"")</f>
        <v>0</v>
      </c>
      <c r="E12" s="3" t="str">
        <f aca="false">IF(ISNUMBER(B12),IF(ABS(B12-C12)&lt;=ABS(C12)*0.0002+0.000001,"OK","ECART"),"ECART")</f>
        <v>OK</v>
      </c>
      <c r="F12" s="10" t="s">
        <v>152</v>
      </c>
    </row>
    <row r="13" customFormat="false" ht="15" hidden="false" customHeight="false" outlineLevel="0" collapsed="false">
      <c r="A13" s="6" t="s">
        <v>153</v>
      </c>
      <c r="B13" s="7" t="n">
        <f aca="false">Levers!C13</f>
        <v>0.0794382929035165</v>
      </c>
      <c r="C13" s="9" t="n">
        <v>0.0794382929035165</v>
      </c>
      <c r="D13" s="7" t="n">
        <f aca="false">IF(ISNUMBER(B13),B13-C13,"")</f>
        <v>0</v>
      </c>
      <c r="E13" s="3" t="str">
        <f aca="false">IF(ISNUMBER(B13),IF(ABS(B13-C13)&lt;=ABS(C13)*0.0002+0.000001,"OK","ECART"),"ECART")</f>
        <v>OK</v>
      </c>
      <c r="F13" s="10" t="s">
        <v>154</v>
      </c>
    </row>
    <row r="14" customFormat="false" ht="15" hidden="false" customHeight="false" outlineLevel="0" collapsed="false">
      <c r="A14" s="6" t="s">
        <v>155</v>
      </c>
      <c r="B14" s="7" t="n">
        <f aca="false">Levers!C14</f>
        <v>0.0324449475352762</v>
      </c>
      <c r="C14" s="9" t="n">
        <v>0.0324449475352762</v>
      </c>
      <c r="D14" s="7" t="n">
        <f aca="false">IF(ISNUMBER(B14),B14-C14,"")</f>
        <v>0</v>
      </c>
      <c r="E14" s="3" t="str">
        <f aca="false">IF(ISNUMBER(B14),IF(ABS(B14-C14)&lt;=ABS(C14)*0.0002+0.000001,"OK","ECART"),"ECART")</f>
        <v>OK</v>
      </c>
      <c r="F14" s="10" t="s">
        <v>156</v>
      </c>
    </row>
    <row r="15" customFormat="false" ht="15" hidden="false" customHeight="false" outlineLevel="0" collapsed="false">
      <c r="A15" s="6" t="s">
        <v>157</v>
      </c>
      <c r="B15" s="17" t="n">
        <f aca="false">'Interest rate'!B37</f>
        <v>4708406.82317392</v>
      </c>
      <c r="C15" s="22" t="n">
        <v>4708406.82317392</v>
      </c>
      <c r="D15" s="17" t="n">
        <f aca="false">IF(ISNUMBER(B15),B15-C15,"")</f>
        <v>0</v>
      </c>
      <c r="E15" s="3" t="str">
        <f aca="false">IF(ISNUMBER(B15),IF(ABS(B15-C15)&lt;=ABS(C15)*0.0002+0.000001,"OK","ECART"),"ECART")</f>
        <v>OK</v>
      </c>
      <c r="F15" s="10" t="s">
        <v>158</v>
      </c>
    </row>
    <row r="16" customFormat="false" ht="15" hidden="false" customHeight="false" outlineLevel="0" collapsed="false">
      <c r="A16" s="6" t="s">
        <v>159</v>
      </c>
      <c r="B16" s="14" t="n">
        <f aca="false">IF(AND(Levers!D19=Levers!D14,Levers!D18=Levers!D7),1,0)</f>
        <v>1</v>
      </c>
      <c r="C16" s="12" t="n">
        <v>1</v>
      </c>
      <c r="D16" s="14" t="n">
        <f aca="false">B16-C16</f>
        <v>0</v>
      </c>
      <c r="E16" s="3" t="str">
        <f aca="false">IF(B16=1,"OK","ECART")</f>
        <v>OK</v>
      </c>
      <c r="F16" s="10" t="s">
        <v>160</v>
      </c>
    </row>
    <row r="17" customFormat="false" ht="15" hidden="false" customHeight="false" outlineLevel="0" collapsed="false">
      <c r="A17" s="6" t="s">
        <v>161</v>
      </c>
      <c r="B17" s="17" t="n">
        <f aca="false">'Interest rate'!H14</f>
        <v>149484746.952766</v>
      </c>
      <c r="C17" s="22" t="n">
        <v>149484746.952766</v>
      </c>
      <c r="D17" s="17" t="n">
        <f aca="false">IF(ISNUMBER(B17),B17-C17,"")</f>
        <v>0</v>
      </c>
      <c r="E17" s="3" t="str">
        <f aca="false">IF(ISNUMBER(B17),IF(ABS(B17-C17)&lt;=ABS(C17)*0.0002+0.000001,"OK","ECART"),"ECART")</f>
        <v>OK</v>
      </c>
      <c r="F17" s="10" t="s">
        <v>162</v>
      </c>
    </row>
    <row r="18" customFormat="false" ht="15" hidden="false" customHeight="false" outlineLevel="0" collapsed="false">
      <c r="A18" s="6" t="s">
        <v>163</v>
      </c>
      <c r="B18" s="17" t="n">
        <f aca="false">'Interest rate'!H15</f>
        <v>97614696.1226448</v>
      </c>
      <c r="C18" s="22" t="n">
        <v>97614696.1226448</v>
      </c>
      <c r="D18" s="17" t="n">
        <f aca="false">IF(ISNUMBER(B18),B18-C18,"")</f>
        <v>0</v>
      </c>
      <c r="E18" s="3" t="str">
        <f aca="false">IF(ISNUMBER(B18),IF(ABS(B18-C18)&lt;=ABS(C18)*0.0002+0.000001,"OK","ECART"),"ECART")</f>
        <v>OK</v>
      </c>
      <c r="F18" s="10" t="s">
        <v>164</v>
      </c>
    </row>
    <row r="19" customFormat="false" ht="15" hidden="false" customHeight="false" outlineLevel="0" collapsed="false">
      <c r="A19" s="6" t="s">
        <v>165</v>
      </c>
      <c r="B19" s="17" t="n">
        <f aca="false">'Interest rate'!H16</f>
        <v>61333480.6870938</v>
      </c>
      <c r="C19" s="22" t="n">
        <v>61333480.6870938</v>
      </c>
      <c r="D19" s="17" t="n">
        <f aca="false">IF(ISNUMBER(B19),B19-C19,"")</f>
        <v>0</v>
      </c>
      <c r="E19" s="3" t="str">
        <f aca="false">IF(ISNUMBER(B19),IF(ABS(B19-C19)&lt;=ABS(C19)*0.0002+0.000001,"OK","ECART"),"ECART")</f>
        <v>OK</v>
      </c>
      <c r="F19" s="10" t="s">
        <v>166</v>
      </c>
    </row>
    <row r="20" customFormat="false" ht="15" hidden="false" customHeight="false" outlineLevel="0" collapsed="false">
      <c r="A20" s="6" t="s">
        <v>167</v>
      </c>
      <c r="B20" s="17" t="n">
        <f aca="false">'Interest rate'!H17</f>
        <v>39067757.85114</v>
      </c>
      <c r="C20" s="22" t="n">
        <v>39067757.85114</v>
      </c>
      <c r="D20" s="17" t="n">
        <f aca="false">IF(ISNUMBER(B20),B20-C20,"")</f>
        <v>0</v>
      </c>
      <c r="E20" s="3" t="str">
        <f aca="false">IF(ISNUMBER(B20),IF(ABS(B20-C20)&lt;=ABS(C20)*0.0002+0.000001,"OK","ECART"),"ECART")</f>
        <v>OK</v>
      </c>
      <c r="F20" s="10" t="s">
        <v>168</v>
      </c>
    </row>
    <row r="21" customFormat="false" ht="15" hidden="false" customHeight="false" outlineLevel="0" collapsed="false">
      <c r="A21" s="6" t="s">
        <v>169</v>
      </c>
      <c r="B21" s="17" t="n">
        <f aca="false">'Interest rate'!H18</f>
        <v>-0</v>
      </c>
      <c r="C21" s="22" t="n">
        <v>0</v>
      </c>
      <c r="D21" s="17" t="n">
        <f aca="false">IF(ISNUMBER(B21),B21-C21,"")</f>
        <v>-0</v>
      </c>
      <c r="E21" s="3" t="str">
        <f aca="false">IF(ISNUMBER(B21),IF(ABS(B21-C21)&lt;=ABS(C21)*0.0002+0.000001,"OK","ECART"),"ECART")</f>
        <v>OK</v>
      </c>
      <c r="F21" s="10" t="s">
        <v>170</v>
      </c>
    </row>
    <row r="22" customFormat="false" ht="15" hidden="false" customHeight="false" outlineLevel="0" collapsed="false">
      <c r="A22" s="6" t="s">
        <v>171</v>
      </c>
      <c r="B22" s="17" t="n">
        <f aca="false">'Interest rate'!H19</f>
        <v>26131063.546487</v>
      </c>
      <c r="C22" s="22" t="n">
        <v>26131063.546487</v>
      </c>
      <c r="D22" s="17" t="n">
        <f aca="false">IF(ISNUMBER(B22),B22-C22,"")</f>
        <v>0</v>
      </c>
      <c r="E22" s="3" t="str">
        <f aca="false">IF(ISNUMBER(B22),IF(ABS(B22-C22)&lt;=ABS(C22)*0.0002+0.000001,"OK","ECART"),"ECART")</f>
        <v>OK</v>
      </c>
      <c r="F22" s="10" t="s">
        <v>172</v>
      </c>
    </row>
    <row r="23" customFormat="false" ht="15" hidden="false" customHeight="false" outlineLevel="0" collapsed="false">
      <c r="A23" s="6" t="s">
        <v>173</v>
      </c>
      <c r="B23" s="17" t="n">
        <f aca="false">'Interest rate'!H20</f>
        <v>72110880.9372065</v>
      </c>
      <c r="C23" s="22" t="n">
        <v>72110880.9372065</v>
      </c>
      <c r="D23" s="17" t="n">
        <f aca="false">IF(ISNUMBER(B23),B23-C23,"")</f>
        <v>0</v>
      </c>
      <c r="E23" s="3" t="str">
        <f aca="false">IF(ISNUMBER(B23),IF(ABS(B23-C23)&lt;=ABS(C23)*0.0002+0.000001,"OK","ECART"),"ECART")</f>
        <v>OK</v>
      </c>
      <c r="F23" s="10" t="s">
        <v>174</v>
      </c>
    </row>
    <row r="24" customFormat="false" ht="15" hidden="false" customHeight="false" outlineLevel="0" collapsed="false">
      <c r="A24" s="6" t="s">
        <v>175</v>
      </c>
      <c r="B24" s="17" t="n">
        <f aca="false">'Interest rate'!B14</f>
        <v>193397285.858487</v>
      </c>
      <c r="C24" s="22" t="n">
        <v>193397285.858487</v>
      </c>
      <c r="D24" s="17" t="n">
        <f aca="false">IF(ISNUMBER(B24),B24-C24,"")</f>
        <v>0</v>
      </c>
      <c r="E24" s="3" t="str">
        <f aca="false">IF(ISNUMBER(B24),IF(ABS(B24-C24)&lt;=ABS(C24)*0.0002+0.000001,"OK","ECART"),"ECART")</f>
        <v>OK</v>
      </c>
      <c r="F24" s="10" t="s">
        <v>176</v>
      </c>
    </row>
    <row r="25" customFormat="false" ht="15" hidden="false" customHeight="false" outlineLevel="0" collapsed="false">
      <c r="A25" s="6" t="s">
        <v>45</v>
      </c>
      <c r="B25" s="17" t="n">
        <f aca="false">'Interest rate'!C14</f>
        <v>342882032.811253</v>
      </c>
      <c r="C25" s="22" t="n">
        <v>342882032.811253</v>
      </c>
      <c r="D25" s="17" t="n">
        <f aca="false">IF(ISNUMBER(B25),B25-C25,"")</f>
        <v>0</v>
      </c>
      <c r="E25" s="3" t="str">
        <f aca="false">IF(ISNUMBER(B25),IF(ABS(B25-C25)&lt;=ABS(C25)*0.0002+0.000001,"OK","ECART"),"ECART")</f>
        <v>OK</v>
      </c>
      <c r="F25" s="10" t="s">
        <v>177</v>
      </c>
    </row>
    <row r="26" customFormat="false" ht="15" hidden="false" customHeight="false" outlineLevel="0" collapsed="false">
      <c r="A26" s="6" t="s">
        <v>178</v>
      </c>
      <c r="B26" s="17" t="n">
        <f aca="false">'Interest rate'!G14</f>
        <v>175411628.330756</v>
      </c>
      <c r="C26" s="22" t="n">
        <v>175411628.330756</v>
      </c>
      <c r="D26" s="17" t="n">
        <f aca="false">IF(ISNUMBER(B26),B26-C26,"")</f>
        <v>0</v>
      </c>
      <c r="E26" s="3" t="str">
        <f aca="false">IF(ISNUMBER(B26),IF(ABS(B26-C26)&lt;=ABS(C26)*0.0002+0.000001,"OK","ECART"),"ECART")</f>
        <v>OK</v>
      </c>
      <c r="F26" s="10" t="s">
        <v>179</v>
      </c>
    </row>
    <row r="27" customFormat="false" ht="15" hidden="false" customHeight="false" outlineLevel="0" collapsed="false">
      <c r="A27" s="6" t="s">
        <v>180</v>
      </c>
      <c r="B27" s="17" t="n">
        <f aca="false">'Interest rate'!G20</f>
        <v>-72110880.9372065</v>
      </c>
      <c r="C27" s="22" t="n">
        <v>-72110880.9372065</v>
      </c>
      <c r="D27" s="17" t="n">
        <f aca="false">IF(ISNUMBER(B27),B27-C27,"")</f>
        <v>0</v>
      </c>
      <c r="E27" s="3" t="str">
        <f aca="false">IF(ISNUMBER(B27),IF(ABS(B27-C27)&lt;=ABS(C27)*0.0002+0.000001,"OK","ECART"),"ECART")</f>
        <v>OK</v>
      </c>
      <c r="F27" s="10" t="s">
        <v>181</v>
      </c>
    </row>
    <row r="28" customFormat="false" ht="15" hidden="false" customHeight="false" outlineLevel="0" collapsed="false">
      <c r="A28" s="6" t="s">
        <v>39</v>
      </c>
      <c r="B28" s="16" t="n">
        <f aca="false">'Interest rate'!B8</f>
        <v>0.0213</v>
      </c>
      <c r="C28" s="23" t="n">
        <v>0.0213</v>
      </c>
      <c r="D28" s="16" t="n">
        <f aca="false">IF(ISNUMBER(B28),B28-C28,"")</f>
        <v>0</v>
      </c>
      <c r="E28" s="3" t="str">
        <f aca="false">IF(ISNUMBER(B28),IF(ABS(B28-C28)&lt;=ABS(C28)*0.0002+0.000001,"OK","ECART"),"ECART")</f>
        <v>OK</v>
      </c>
      <c r="F28" s="10" t="s">
        <v>182</v>
      </c>
    </row>
    <row r="29" customFormat="false" ht="15" hidden="false" customHeight="false" outlineLevel="0" collapsed="false">
      <c r="A29" s="6" t="s">
        <v>183</v>
      </c>
      <c r="B29" s="17" t="n">
        <f aca="false">'Interest rate'!B22</f>
        <v>110416989.101626</v>
      </c>
      <c r="C29" s="22" t="n">
        <v>110416989.101626</v>
      </c>
      <c r="D29" s="17" t="n">
        <f aca="false">IF(ISNUMBER(B29),B29-C29,"")</f>
        <v>0</v>
      </c>
      <c r="E29" s="3" t="str">
        <f aca="false">IF(ISNUMBER(B29),IF(ABS(B29-C29)&lt;=ABS(C29)*0.0002+0.000001,"OK","ECART"),"ECART")</f>
        <v>OK</v>
      </c>
      <c r="F29" s="10" t="s">
        <v>184</v>
      </c>
    </row>
    <row r="30" customFormat="false" ht="15" hidden="false" customHeight="false" outlineLevel="0" collapsed="false">
      <c r="A30" s="6" t="s">
        <v>185</v>
      </c>
      <c r="B30" s="14" t="n">
        <f aca="false">'Interest rate'!B23</f>
        <v>15</v>
      </c>
      <c r="C30" s="12" t="n">
        <v>15</v>
      </c>
      <c r="D30" s="14" t="n">
        <f aca="false">IF(ISNUMBER(B30),B30-C30,"")</f>
        <v>0</v>
      </c>
      <c r="E30" s="3" t="str">
        <f aca="false">IF(ISNUMBER(B30),IF(ABS(B30-C30)&lt;=ABS(C30)*0.0002+0.000001,"OK","ECART"),"ECART")</f>
        <v>OK</v>
      </c>
      <c r="F30" s="10" t="s">
        <v>186</v>
      </c>
    </row>
    <row r="31" customFormat="false" ht="15" hidden="false" customHeight="false" outlineLevel="0" collapsed="false">
      <c r="A31" s="6" t="s">
        <v>187</v>
      </c>
      <c r="B31" s="14" t="n">
        <f aca="false">IF(AND('Interest rate'!I14="downward",'Interest rate'!I17="downward",'Interest rate'!I19="upward",'Interest rate'!I20="upward"),1,0)</f>
        <v>1</v>
      </c>
      <c r="C31" s="12" t="n">
        <v>1</v>
      </c>
      <c r="D31" s="14" t="n">
        <f aca="false">B31-C31</f>
        <v>0</v>
      </c>
      <c r="E31" s="3" t="str">
        <f aca="false">IF(B31=1,"OK","ECART")</f>
        <v>OK</v>
      </c>
      <c r="F31" s="10" t="s">
        <v>188</v>
      </c>
    </row>
    <row r="32" customFormat="false" ht="15" hidden="false" customHeight="false" outlineLevel="0" collapsed="false">
      <c r="A32" s="6" t="s">
        <v>189</v>
      </c>
      <c r="B32" s="7" t="n">
        <f aca="false">'Matching adjustment'!B6</f>
        <v>0.027</v>
      </c>
      <c r="C32" s="9" t="n">
        <v>0.027</v>
      </c>
      <c r="D32" s="7" t="n">
        <f aca="false">IF(ISNUMBER(B32),B32-C32,"")</f>
        <v>0</v>
      </c>
      <c r="E32" s="3" t="str">
        <f aca="false">IF(ISNUMBER(B32),IF(ABS(B32-C32)&lt;=ABS(C32)*0.0002+0.000001,"OK","ECART"),"ECART")</f>
        <v>OK</v>
      </c>
      <c r="F32" s="10" t="s">
        <v>190</v>
      </c>
    </row>
    <row r="33" customFormat="false" ht="15" hidden="false" customHeight="false" outlineLevel="0" collapsed="false">
      <c r="A33" s="6" t="s">
        <v>191</v>
      </c>
      <c r="B33" s="7" t="n">
        <f aca="false">'Matching adjustment'!B11</f>
        <v>0.0205</v>
      </c>
      <c r="C33" s="9" t="n">
        <v>0.0205</v>
      </c>
      <c r="D33" s="7" t="n">
        <f aca="false">IF(ISNUMBER(B33),B33-C33,"")</f>
        <v>0</v>
      </c>
      <c r="E33" s="3" t="str">
        <f aca="false">IF(ISNUMBER(B33),IF(ABS(B33-C33)&lt;=ABS(C33)*0.0002+0.000001,"OK","ECART"),"ECART")</f>
        <v>OK</v>
      </c>
      <c r="F33" s="10" t="s">
        <v>192</v>
      </c>
    </row>
    <row r="34" customFormat="false" ht="15" hidden="false" customHeight="false" outlineLevel="0" collapsed="false">
      <c r="A34" s="6" t="s">
        <v>193</v>
      </c>
      <c r="B34" s="7" t="n">
        <f aca="false">'Matching adjustment'!B12</f>
        <v>0.0065</v>
      </c>
      <c r="C34" s="9" t="n">
        <v>0.0065</v>
      </c>
      <c r="D34" s="7" t="n">
        <f aca="false">IF(ISNUMBER(B34),B34-C34,"")</f>
        <v>0</v>
      </c>
      <c r="E34" s="3" t="str">
        <f aca="false">IF(ISNUMBER(B34),IF(ABS(B34-C34)&lt;=ABS(C34)*0.0002+0.000001,"OK","ECART"),"ECART")</f>
        <v>OK</v>
      </c>
      <c r="F34" s="10" t="s">
        <v>194</v>
      </c>
    </row>
    <row r="35" customFormat="false" ht="15" hidden="false" customHeight="false" outlineLevel="0" collapsed="false">
      <c r="A35" s="6" t="s">
        <v>106</v>
      </c>
      <c r="B35" s="17" t="n">
        <f aca="false">'Matching adjustment'!B16</f>
        <v>11915743.9355275</v>
      </c>
      <c r="C35" s="22" t="n">
        <v>11915743.9355275</v>
      </c>
      <c r="D35" s="17" t="n">
        <f aca="false">IF(ISNUMBER(B35),B35-C35,"")</f>
        <v>0</v>
      </c>
      <c r="E35" s="3" t="str">
        <f aca="false">IF(ISNUMBER(B35),IF(ABS(B35-C35)&lt;=ABS(C35)*0.0002+0.000001,"OK","ECART"),"ECART")</f>
        <v>OK</v>
      </c>
      <c r="F35" s="10" t="s">
        <v>150</v>
      </c>
    </row>
    <row r="36" customFormat="false" ht="15" hidden="false" customHeight="false" outlineLevel="0" collapsed="false">
      <c r="A36" s="6" t="s">
        <v>195</v>
      </c>
      <c r="B36" s="17" t="n">
        <f aca="false">'Matching adjustment'!B17</f>
        <v>12915000</v>
      </c>
      <c r="C36" s="22" t="n">
        <v>12915000</v>
      </c>
      <c r="D36" s="17" t="n">
        <f aca="false">IF(ISNUMBER(B36),B36-C36,"")</f>
        <v>0</v>
      </c>
      <c r="E36" s="3" t="str">
        <f aca="false">IF(ISNUMBER(B36),IF(ABS(B36-C36)&lt;=ABS(C36)*0.0002+0.000001,"OK","ECART"),"ECART")</f>
        <v>OK</v>
      </c>
      <c r="F36" s="10" t="s">
        <v>196</v>
      </c>
    </row>
    <row r="37" customFormat="false" ht="15" hidden="false" customHeight="false" outlineLevel="0" collapsed="false">
      <c r="A37" s="6" t="s">
        <v>197</v>
      </c>
      <c r="B37" s="7" t="n">
        <f aca="false">'Matching adjustment'!B18</f>
        <v>0.083860149217641</v>
      </c>
      <c r="C37" s="9" t="n">
        <v>0.083860149217641</v>
      </c>
      <c r="D37" s="7" t="n">
        <f aca="false">IF(ISNUMBER(B37),B37-C37,"")</f>
        <v>0</v>
      </c>
      <c r="E37" s="3" t="str">
        <f aca="false">IF(ISNUMBER(B37),IF(ABS(B37-C37)&lt;=ABS(C37)*0.0002+0.000001,"OK","ECART"),"ECART")</f>
        <v>OK</v>
      </c>
      <c r="F37" s="10" t="s">
        <v>198</v>
      </c>
    </row>
    <row r="38" customFormat="false" ht="15" hidden="false" customHeight="false" outlineLevel="0" collapsed="false">
      <c r="A38" s="6" t="s">
        <v>199</v>
      </c>
      <c r="B38" s="7" t="n">
        <f aca="false">'Matching adjustment'!B23</f>
        <v>0.213812131487879</v>
      </c>
      <c r="C38" s="9" t="n">
        <v>0.213812131487879</v>
      </c>
      <c r="D38" s="7" t="n">
        <f aca="false">IF(ISNUMBER(B38),B38-C38,"")</f>
        <v>0</v>
      </c>
      <c r="E38" s="3" t="str">
        <f aca="false">IF(ISNUMBER(B38),IF(ABS(B38-C38)&lt;=ABS(C38)*0.0002+0.000001,"OK","ECART"),"ECART")</f>
        <v>OK</v>
      </c>
      <c r="F38" s="10" t="s">
        <v>200</v>
      </c>
    </row>
    <row r="39" customFormat="false" ht="15" hidden="false" customHeight="false" outlineLevel="0" collapsed="false">
      <c r="A39" s="6" t="s">
        <v>201</v>
      </c>
      <c r="B39" s="17" t="n">
        <f aca="false">'Volatility adjustment'!B9</f>
        <v>37047343.5472537</v>
      </c>
      <c r="C39" s="22" t="n">
        <v>37047343.5472537</v>
      </c>
      <c r="D39" s="17" t="n">
        <f aca="false">IF(ISNUMBER(B39),B39-C39,"")</f>
        <v>0</v>
      </c>
      <c r="E39" s="3" t="str">
        <f aca="false">IF(ISNUMBER(B39),IF(ABS(B39-C39)&lt;=ABS(C39)*0.0002+0.000001,"OK","ECART"),"ECART")</f>
        <v>OK</v>
      </c>
      <c r="F39" s="10" t="s">
        <v>202</v>
      </c>
    </row>
    <row r="40" customFormat="false" ht="15" hidden="false" customHeight="false" outlineLevel="0" collapsed="false">
      <c r="A40" s="6" t="s">
        <v>203</v>
      </c>
      <c r="B40" s="7" t="n">
        <f aca="false">'Volatility adjustment'!C9</f>
        <v>0.0115772948585168</v>
      </c>
      <c r="C40" s="9" t="n">
        <v>0.0115772948585168</v>
      </c>
      <c r="D40" s="7" t="n">
        <f aca="false">IF(ISNUMBER(B40),B40-C40,"")</f>
        <v>0</v>
      </c>
      <c r="E40" s="3" t="str">
        <f aca="false">IF(ISNUMBER(B40),IF(ABS(B40-C40)&lt;=ABS(C40)*0.0002+0.000001,"OK","ECART"),"ECART")</f>
        <v>OK</v>
      </c>
      <c r="F40" s="10" t="s">
        <v>204</v>
      </c>
    </row>
    <row r="41" customFormat="false" ht="15" hidden="false" customHeight="false" outlineLevel="0" collapsed="false">
      <c r="A41" s="6" t="s">
        <v>205</v>
      </c>
      <c r="B41" s="17" t="n">
        <f aca="false">'Volatility adjustment'!B10</f>
        <v>73630484.9856115</v>
      </c>
      <c r="C41" s="22" t="n">
        <v>73630484.9856115</v>
      </c>
      <c r="D41" s="17" t="n">
        <f aca="false">IF(ISNUMBER(B41),B41-C41,"")</f>
        <v>0</v>
      </c>
      <c r="E41" s="3" t="str">
        <f aca="false">IF(ISNUMBER(B41),IF(ABS(B41-C41)&lt;=ABS(C41)*0.0002+0.000001,"OK","ECART"),"ECART")</f>
        <v>OK</v>
      </c>
      <c r="F41" s="10" t="s">
        <v>206</v>
      </c>
    </row>
    <row r="42" customFormat="false" ht="15" hidden="false" customHeight="false" outlineLevel="0" collapsed="false">
      <c r="A42" s="6" t="s">
        <v>203</v>
      </c>
      <c r="B42" s="7" t="n">
        <f aca="false">'Volatility adjustment'!C10</f>
        <v>0.0230095265580036</v>
      </c>
      <c r="C42" s="9" t="n">
        <v>0.0230095265580036</v>
      </c>
      <c r="D42" s="7" t="n">
        <f aca="false">IF(ISNUMBER(B42),B42-C42,"")</f>
        <v>0</v>
      </c>
      <c r="E42" s="3" t="str">
        <f aca="false">IF(ISNUMBER(B42),IF(ABS(B42-C42)&lt;=ABS(C42)*0.0002+0.000001,"OK","ECART"),"ECART")</f>
        <v>OK</v>
      </c>
      <c r="F42" s="10" t="s">
        <v>207</v>
      </c>
    </row>
    <row r="43" customFormat="false" ht="15" hidden="false" customHeight="false" outlineLevel="0" collapsed="false">
      <c r="A43" s="6" t="s">
        <v>208</v>
      </c>
      <c r="B43" s="17" t="n">
        <f aca="false">'Volatility adjustment'!B11</f>
        <v>109755682.135097</v>
      </c>
      <c r="C43" s="22" t="n">
        <v>109755682.135097</v>
      </c>
      <c r="D43" s="17" t="n">
        <f aca="false">IF(ISNUMBER(B43),B43-C43,"")</f>
        <v>0</v>
      </c>
      <c r="E43" s="3" t="str">
        <f aca="false">IF(ISNUMBER(B43),IF(ABS(B43-C43)&lt;=ABS(C43)*0.0002+0.000001,"OK","ECART"),"ECART")</f>
        <v>OK</v>
      </c>
      <c r="F43" s="10" t="s">
        <v>209</v>
      </c>
    </row>
    <row r="44" customFormat="false" ht="15" hidden="false" customHeight="false" outlineLevel="0" collapsed="false">
      <c r="A44" s="6" t="s">
        <v>203</v>
      </c>
      <c r="B44" s="7" t="n">
        <f aca="false">'Volatility adjustment'!C11</f>
        <v>0.0342986506672179</v>
      </c>
      <c r="C44" s="9" t="n">
        <v>0.0342986506672179</v>
      </c>
      <c r="D44" s="7" t="n">
        <f aca="false">IF(ISNUMBER(B44),B44-C44,"")</f>
        <v>0</v>
      </c>
      <c r="E44" s="3" t="str">
        <f aca="false">IF(ISNUMBER(B44),IF(ABS(B44-C44)&lt;=ABS(C44)*0.0002+0.000001,"OK","ECART"),"ECART")</f>
        <v>OK</v>
      </c>
      <c r="F44" s="10" t="s">
        <v>210</v>
      </c>
    </row>
    <row r="45" customFormat="false" ht="15" hidden="false" customHeight="false" outlineLevel="0" collapsed="false">
      <c r="A45" s="6" t="s">
        <v>211</v>
      </c>
      <c r="B45" s="17" t="n">
        <f aca="false">'Volatility adjustment'!B12</f>
        <v>180656824.740166</v>
      </c>
      <c r="C45" s="22" t="n">
        <v>180656824.740166</v>
      </c>
      <c r="D45" s="17" t="n">
        <f aca="false">IF(ISNUMBER(B45),B45-C45,"")</f>
        <v>0</v>
      </c>
      <c r="E45" s="3" t="str">
        <f aca="false">IF(ISNUMBER(B45),IF(ABS(B45-C45)&lt;=ABS(C45)*0.0002+0.000001,"OK","ECART"),"ECART")</f>
        <v>OK</v>
      </c>
      <c r="F45" s="10" t="s">
        <v>212</v>
      </c>
    </row>
    <row r="46" customFormat="false" ht="15" hidden="false" customHeight="false" outlineLevel="0" collapsed="false">
      <c r="A46" s="6" t="s">
        <v>203</v>
      </c>
      <c r="B46" s="7" t="n">
        <f aca="false">'Volatility adjustment'!C12</f>
        <v>0.0564552577313019</v>
      </c>
      <c r="C46" s="9" t="n">
        <v>0.0564552577313019</v>
      </c>
      <c r="D46" s="7" t="n">
        <f aca="false">IF(ISNUMBER(B46),B46-C46,"")</f>
        <v>0</v>
      </c>
      <c r="E46" s="3" t="str">
        <f aca="false">IF(ISNUMBER(B46),IF(ABS(B46-C46)&lt;=ABS(C46)*0.0002+0.000001,"OK","ECART"),"ECART")</f>
        <v>OK</v>
      </c>
      <c r="F46" s="10" t="s">
        <v>213</v>
      </c>
    </row>
    <row r="47" customFormat="false" ht="15" hidden="false" customHeight="false" outlineLevel="0" collapsed="false">
      <c r="A47" s="6" t="s">
        <v>214</v>
      </c>
      <c r="B47" s="17" t="n">
        <f aca="false">Infrastructure!C8</f>
        <v>45000000</v>
      </c>
      <c r="C47" s="22" t="n">
        <v>45000000</v>
      </c>
      <c r="D47" s="17" t="n">
        <f aca="false">IF(ISNUMBER(B47),B47-C47,"")</f>
        <v>0</v>
      </c>
      <c r="E47" s="3" t="str">
        <f aca="false">IF(ISNUMBER(B47),IF(ABS(B47-C47)&lt;=ABS(C47)*0.0002+0.000001,"OK","ECART"),"ECART")</f>
        <v>OK</v>
      </c>
      <c r="F47" s="10" t="s">
        <v>215</v>
      </c>
    </row>
    <row r="48" customFormat="false" ht="15" hidden="false" customHeight="false" outlineLevel="0" collapsed="false">
      <c r="A48" s="6" t="s">
        <v>216</v>
      </c>
      <c r="B48" s="17" t="n">
        <f aca="false">Infrastructure!C9</f>
        <v>54000000</v>
      </c>
      <c r="C48" s="22" t="n">
        <v>54000000</v>
      </c>
      <c r="D48" s="17" t="n">
        <f aca="false">IF(ISNUMBER(B48),B48-C48,"")</f>
        <v>0</v>
      </c>
      <c r="E48" s="3" t="str">
        <f aca="false">IF(ISNUMBER(B48),IF(ABS(B48-C48)&lt;=ABS(C48)*0.0002+0.000001,"OK","ECART"),"ECART")</f>
        <v>OK</v>
      </c>
      <c r="F48" s="10" t="s">
        <v>217</v>
      </c>
    </row>
    <row r="49" customFormat="false" ht="15" hidden="false" customHeight="false" outlineLevel="0" collapsed="false">
      <c r="A49" s="6" t="s">
        <v>121</v>
      </c>
      <c r="B49" s="17" t="n">
        <f aca="false">Infrastructure!B10</f>
        <v>9000000</v>
      </c>
      <c r="C49" s="22" t="n">
        <v>9000000</v>
      </c>
      <c r="D49" s="17" t="n">
        <f aca="false">IF(ISNUMBER(B49),B49-C49,"")</f>
        <v>0</v>
      </c>
      <c r="E49" s="3" t="str">
        <f aca="false">IF(ISNUMBER(B49),IF(ABS(B49-C49)&lt;=ABS(C49)*0.0002+0.000001,"OK","ECART"),"ECART")</f>
        <v>OK</v>
      </c>
      <c r="F49" s="10" t="s">
        <v>218</v>
      </c>
    </row>
    <row r="50" customFormat="false" ht="15" hidden="false" customHeight="false" outlineLevel="0" collapsed="false">
      <c r="A50" s="6" t="s">
        <v>219</v>
      </c>
      <c r="B50" s="17" t="n">
        <f aca="false">Infrastructure!C15</f>
        <v>28350000</v>
      </c>
      <c r="C50" s="22" t="n">
        <v>28350000</v>
      </c>
      <c r="D50" s="17" t="n">
        <f aca="false">IF(ISNUMBER(B50),B50-C50,"")</f>
        <v>0</v>
      </c>
      <c r="E50" s="3" t="str">
        <f aca="false">IF(ISNUMBER(B50),IF(ABS(B50-C50)&lt;=ABS(C50)*0.0002+0.000001,"OK","ECART"),"ECART")</f>
        <v>OK</v>
      </c>
      <c r="F50" s="10" t="s">
        <v>220</v>
      </c>
    </row>
    <row r="51" customFormat="false" ht="15" hidden="false" customHeight="false" outlineLevel="0" collapsed="false">
      <c r="A51" s="6" t="s">
        <v>221</v>
      </c>
      <c r="B51" s="17" t="n">
        <f aca="false">Infrastructure!C16</f>
        <v>25515000</v>
      </c>
      <c r="C51" s="22" t="n">
        <v>25515000</v>
      </c>
      <c r="D51" s="17" t="n">
        <f aca="false">IF(ISNUMBER(B51),B51-C51,"")</f>
        <v>0</v>
      </c>
      <c r="E51" s="3" t="str">
        <f aca="false">IF(ISNUMBER(B51),IF(ABS(B51-C51)&lt;=ABS(C51)*0.0002+0.000001,"OK","ECART"),"ECART")</f>
        <v>OK</v>
      </c>
      <c r="F51" s="10" t="s">
        <v>146</v>
      </c>
    </row>
    <row r="52" customFormat="false" ht="15" hidden="false" customHeight="false" outlineLevel="0" collapsed="false">
      <c r="A52" s="6" t="s">
        <v>222</v>
      </c>
      <c r="B52" s="17" t="n">
        <f aca="false">Infrastructure!D16</f>
        <v>2835000</v>
      </c>
      <c r="C52" s="22" t="n">
        <v>2835000</v>
      </c>
      <c r="D52" s="17" t="n">
        <f aca="false">IF(ISNUMBER(B52),B52-C52,"")</f>
        <v>0</v>
      </c>
      <c r="E52" s="3" t="str">
        <f aca="false">IF(ISNUMBER(B52),IF(ABS(B52-C52)&lt;=ABS(C52)*0.0002+0.000001,"OK","ECART"),"ECART")</f>
        <v>OK</v>
      </c>
      <c r="F52" s="10" t="s">
        <v>223</v>
      </c>
    </row>
    <row r="53" customFormat="false" ht="15" hidden="false" customHeight="false" outlineLevel="0" collapsed="false">
      <c r="A53" s="6" t="s">
        <v>224</v>
      </c>
      <c r="B53" s="17" t="n">
        <f aca="false">Infrastructure!C17</f>
        <v>22680000</v>
      </c>
      <c r="C53" s="22" t="n">
        <v>22680000</v>
      </c>
      <c r="D53" s="17" t="n">
        <f aca="false">IF(ISNUMBER(B53),B53-C53,"")</f>
        <v>0</v>
      </c>
      <c r="E53" s="3" t="str">
        <f aca="false">IF(ISNUMBER(B53),IF(ABS(B53-C53)&lt;=ABS(C53)*0.0002+0.000001,"OK","ECART"),"ECART")</f>
        <v>OK</v>
      </c>
      <c r="F53" s="10" t="s">
        <v>225</v>
      </c>
    </row>
    <row r="54" customFormat="false" ht="15" hidden="false" customHeight="false" outlineLevel="0" collapsed="false">
      <c r="A54" s="6" t="s">
        <v>222</v>
      </c>
      <c r="B54" s="17" t="n">
        <f aca="false">Infrastructure!D17</f>
        <v>5670000</v>
      </c>
      <c r="C54" s="22" t="n">
        <v>5670000</v>
      </c>
      <c r="D54" s="17" t="n">
        <f aca="false">IF(ISNUMBER(B54),B54-C54,"")</f>
        <v>0</v>
      </c>
      <c r="E54" s="3" t="str">
        <f aca="false">IF(ISNUMBER(B54),IF(ABS(B54-C54)&lt;=ABS(C54)*0.0002+0.000001,"OK","ECART"),"ECART")</f>
        <v>OK</v>
      </c>
      <c r="F54" s="10" t="s">
        <v>226</v>
      </c>
    </row>
    <row r="55" customFormat="false" ht="15" hidden="false" customHeight="false" outlineLevel="0" collapsed="false">
      <c r="A55" s="6" t="s">
        <v>227</v>
      </c>
      <c r="B55" s="17" t="n">
        <f aca="false">Infrastructure!C18</f>
        <v>19845000</v>
      </c>
      <c r="C55" s="22" t="n">
        <v>19845000</v>
      </c>
      <c r="D55" s="17" t="n">
        <f aca="false">IF(ISNUMBER(B55),B55-C55,"")</f>
        <v>0</v>
      </c>
      <c r="E55" s="3" t="str">
        <f aca="false">IF(ISNUMBER(B55),IF(ABS(B55-C55)&lt;=ABS(C55)*0.0002+0.000001,"OK","ECART"),"ECART")</f>
        <v>OK</v>
      </c>
      <c r="F55" s="10" t="s">
        <v>228</v>
      </c>
    </row>
    <row r="56" customFormat="false" ht="15" hidden="false" customHeight="false" outlineLevel="0" collapsed="false">
      <c r="A56" s="6" t="s">
        <v>222</v>
      </c>
      <c r="B56" s="17" t="n">
        <f aca="false">Infrastructure!D18</f>
        <v>8505000</v>
      </c>
      <c r="C56" s="22" t="n">
        <v>8505000</v>
      </c>
      <c r="D56" s="17" t="n">
        <f aca="false">IF(ISNUMBER(B56),B56-C56,"")</f>
        <v>0</v>
      </c>
      <c r="E56" s="3" t="str">
        <f aca="false">IF(ISNUMBER(B56),IF(ABS(B56-C56)&lt;=ABS(C56)*0.0002+0.000001,"OK","ECART"),"ECART")</f>
        <v>OK</v>
      </c>
      <c r="F56" s="10" t="s">
        <v>229</v>
      </c>
    </row>
    <row r="57" customFormat="false" ht="15" hidden="false" customHeight="false" outlineLevel="0" collapsed="false">
      <c r="A57" s="6" t="s">
        <v>230</v>
      </c>
      <c r="B57" s="17" t="n">
        <f aca="false">Infrastructure!C19</f>
        <v>17010000</v>
      </c>
      <c r="C57" s="22" t="n">
        <v>17010000</v>
      </c>
      <c r="D57" s="17" t="n">
        <f aca="false">IF(ISNUMBER(B57),B57-C57,"")</f>
        <v>0</v>
      </c>
      <c r="E57" s="3" t="str">
        <f aca="false">IF(ISNUMBER(B57),IF(ABS(B57-C57)&lt;=ABS(C57)*0.0002+0.000001,"OK","ECART"),"ECART")</f>
        <v>OK</v>
      </c>
      <c r="F57" s="10" t="s">
        <v>231</v>
      </c>
    </row>
    <row r="58" customFormat="false" ht="15" hidden="false" customHeight="false" outlineLevel="0" collapsed="false">
      <c r="A58" s="6" t="s">
        <v>222</v>
      </c>
      <c r="B58" s="17" t="n">
        <f aca="false">Infrastructure!D19</f>
        <v>11340000</v>
      </c>
      <c r="C58" s="22" t="n">
        <v>11340000</v>
      </c>
      <c r="D58" s="17" t="n">
        <f aca="false">IF(ISNUMBER(B58),B58-C58,"")</f>
        <v>0</v>
      </c>
      <c r="E58" s="3" t="str">
        <f aca="false">IF(ISNUMBER(B58),IF(ABS(B58-C58)&lt;=ABS(C58)*0.0002+0.000001,"OK","ECART"),"ECART")</f>
        <v>OK</v>
      </c>
      <c r="F58" s="10" t="s">
        <v>232</v>
      </c>
    </row>
    <row r="59" customFormat="false" ht="15" hidden="false" customHeight="false" outlineLevel="0" collapsed="false">
      <c r="A59" s="6" t="s">
        <v>233</v>
      </c>
      <c r="B59" s="21" t="n">
        <f aca="false">Infrastructure!B23</f>
        <v>0.2</v>
      </c>
      <c r="C59" s="24" t="n">
        <v>0.2</v>
      </c>
      <c r="D59" s="21" t="n">
        <f aca="false">IF(ISNUMBER(B59),B59-C59,"")</f>
        <v>0</v>
      </c>
      <c r="E59" s="3" t="str">
        <f aca="false">IF(ISNUMBER(B59),IF(ABS(B59-C59)&lt;=ABS(C59)*0.0002+0.000001,"OK","ECART"),"ECART")</f>
        <v>OK</v>
      </c>
      <c r="F59" s="10" t="s">
        <v>234</v>
      </c>
    </row>
    <row r="61" customFormat="false" ht="15" hidden="false" customHeight="false" outlineLevel="0" collapsed="false">
      <c r="A61" s="3" t="s">
        <v>235</v>
      </c>
      <c r="B61" s="25" t="n">
        <f aca="false">COUNTIF(E5:E59,"ECART")</f>
        <v>0</v>
      </c>
    </row>
    <row r="62" customFormat="false" ht="15" hidden="false" customHeight="false" outlineLevel="0" collapsed="false">
      <c r="A62" s="3" t="s">
        <v>236</v>
      </c>
      <c r="B62" s="3" t="str">
        <f aca="false">IF(B61=0,"ALL OK",B61&amp;" failing")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2026-08-27T05:06:51Z</dcterms:created>
  <dc:creator>openpyxl</dc:creator>
  <dc:description/>
  <dc:language>en-US</dc:language>
  <cp:lastModifiedBy/>
  <dcterms:modified xsi:type="dcterms:W3CDTF">2026-09-23T22:37:01Z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