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andate" sheetId="1" state="visible" r:id="rId3"/>
    <sheet name="Control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<sst xmlns="http://schemas.openxmlformats.org/spreadsheetml/2006/main" count="68" uniqueCount="67">
  <si>
    <t xml:space="preserve">Mandate_Model — the four candidates, charged and ranked</t>
  </si>
  <si>
    <t xml:space="preserve">Change a size, a return or a charge and every ranking below moves.</t>
  </si>
  <si>
    <t xml:space="preserve">Candidate</t>
  </si>
  <si>
    <t xml:space="preserve">Size</t>
  </si>
  <si>
    <t xml:space="preserve">Return</t>
  </si>
  <si>
    <t xml:space="preserve">Income</t>
  </si>
  <si>
    <t xml:space="preserve">Charge</t>
  </si>
  <si>
    <t xml:space="preserve">Capital</t>
  </si>
  <si>
    <t xml:space="preserve">Return on capital</t>
  </si>
  <si>
    <t xml:space="preserve">Listed equity fund</t>
  </si>
  <si>
    <t xml:space="preserve">Private equity fund</t>
  </si>
  <si>
    <t xml:space="preserve">Direct real estate fund</t>
  </si>
  <si>
    <t xml:space="preserve">Private credit fund</t>
  </si>
  <si>
    <t xml:space="preserve">Ranked by expected return</t>
  </si>
  <si>
    <t xml:space="preserve">Ranked by return on capital</t>
  </si>
  <si>
    <t xml:space="preserve">Chapter 13: the real estate fund against private equity</t>
  </si>
  <si>
    <t xml:space="preserve">Return given up, in points</t>
  </si>
  <si>
    <t xml:space="preserve">Charge saved, in points</t>
  </si>
  <si>
    <t xml:space="preserve">Capital saved</t>
  </si>
  <si>
    <t xml:space="preserve">Chapter 24: a further fee on the credit fund</t>
  </si>
  <si>
    <t xml:space="preserve">Additional fee, a year</t>
  </si>
  <si>
    <t xml:space="preserve">the returns above are already net of fees: this is a further concession</t>
  </si>
  <si>
    <t xml:space="preserve">Income lost</t>
  </si>
  <si>
    <t xml:space="preserve">Return on capital after the fee</t>
  </si>
  <si>
    <t xml:space="preserve">Cut, in percentage points</t>
  </si>
  <si>
    <t xml:space="preserve">Cut, as a share of the return on capital</t>
  </si>
  <si>
    <t xml:space="preserve">Controls — every published figure, reproduced live</t>
  </si>
  <si>
    <t xml:space="preserve">Column B is a formula. Column C is the model's value for the figure the book prints (column F). Verdict must read OK.</t>
  </si>
  <si>
    <t xml:space="preserve">Figure</t>
  </si>
  <si>
    <t xml:space="preserve">Reproduced</t>
  </si>
  <si>
    <t xml:space="preserve">Published</t>
  </si>
  <si>
    <t xml:space="preserve">Difference</t>
  </si>
  <si>
    <t xml:space="preserve">Verdict</t>
  </si>
  <si>
    <t xml:space="preserve">In the book</t>
  </si>
  <si>
    <t xml:space="preserve">Return on capital — listed equity fund</t>
  </si>
  <si>
    <t xml:space="preserve">18.46 percent</t>
  </si>
  <si>
    <t xml:space="preserve">Return on capital — private equity fund</t>
  </si>
  <si>
    <t xml:space="preserve">23.47 percent</t>
  </si>
  <si>
    <t xml:space="preserve">Return on capital — real estate fund</t>
  </si>
  <si>
    <t xml:space="preserve">27.20 percent</t>
  </si>
  <si>
    <t xml:space="preserve">Return on capital — private credit fund</t>
  </si>
  <si>
    <t xml:space="preserve">47.09 percent</t>
  </si>
  <si>
    <t xml:space="preserve">Income, private equity fund</t>
  </si>
  <si>
    <t xml:space="preserve">€17.3 million</t>
  </si>
  <si>
    <t xml:space="preserve">Income, private credit fund</t>
  </si>
  <si>
    <t xml:space="preserve">€13.4 million</t>
  </si>
  <si>
    <t xml:space="preserve">Capital, listed equity fund</t>
  </si>
  <si>
    <t xml:space="preserve">€58.5 million</t>
  </si>
  <si>
    <t xml:space="preserve">Capital, real estate fund</t>
  </si>
  <si>
    <t xml:space="preserve">€37.5 million</t>
  </si>
  <si>
    <t xml:space="preserve">Ranked by expected return: private equity, private credit, listed equity, real estate</t>
  </si>
  <si>
    <t xml:space="preserve">Chapter 13</t>
  </si>
  <si>
    <t xml:space="preserve">Ranked by return on capital: private credit, real estate, private equity, listed equity</t>
  </si>
  <si>
    <t xml:space="preserve">The two rankings share no position</t>
  </si>
  <si>
    <t xml:space="preserve">"share no position"</t>
  </si>
  <si>
    <t xml:space="preserve">Return given up by the real estate fund, points</t>
  </si>
  <si>
    <t xml:space="preserve">4.70</t>
  </si>
  <si>
    <t xml:space="preserve">Charge saved, points</t>
  </si>
  <si>
    <t xml:space="preserve">24.00</t>
  </si>
  <si>
    <t xml:space="preserve">Chapter 24: return on capital after a 1.00 per cent fee</t>
  </si>
  <si>
    <t xml:space="preserve">41.80 percent</t>
  </si>
  <si>
    <t xml:space="preserve">Chapter 24: income lost</t>
  </si>
  <si>
    <t xml:space="preserve">€1.5 million</t>
  </si>
  <si>
    <t xml:space="preserve">Chapter 24: the cut, in percentage points</t>
  </si>
  <si>
    <t xml:space="preserve">5.29 (printed "5.29 percent")</t>
  </si>
  <si>
    <t xml:space="preserve">Controls failing</t>
  </si>
  <si>
    <t xml:space="preserve">All controls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</si>
</sst>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0%"/>
    <numFmt numFmtId="167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CC"/>
      <name val="Arial"/>
      <family val="0"/>
      <charset val="1"/>
    </font>
    <font>
      <sz val="9"/>
      <color rgb="FF55555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2CC"/>
      </patternFill>
    </fill>
    <fill>
      <patternFill patternType="solid">
        <fgColor rgb="FFFFF2CC"/>
        <bgColor rgb="FFEEEEEE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8" min="6" style="0" width="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s">
        <v>9</v>
      </c>
      <c r="B5" s="5" t="n">
        <v>150000000</v>
      </c>
      <c r="C5" s="6" t="n">
        <v>0.072</v>
      </c>
      <c r="D5" s="7" t="n">
        <f aca="false">B5*C5</f>
        <v>10800000</v>
      </c>
      <c r="E5" s="6" t="n">
        <v>0.39</v>
      </c>
      <c r="F5" s="7" t="n">
        <f aca="false">B5*E5</f>
        <v>58500000</v>
      </c>
      <c r="G5" s="8" t="n">
        <f aca="false">D5/F5</f>
        <v>0.184615384615385</v>
      </c>
    </row>
    <row r="6" customFormat="false" ht="15" hidden="false" customHeight="false" outlineLevel="0" collapsed="false">
      <c r="A6" s="4" t="s">
        <v>10</v>
      </c>
      <c r="B6" s="5" t="n">
        <v>150000000</v>
      </c>
      <c r="C6" s="6" t="n">
        <v>0.115</v>
      </c>
      <c r="D6" s="7" t="n">
        <f aca="false">B6*C6</f>
        <v>17250000</v>
      </c>
      <c r="E6" s="6" t="n">
        <v>0.49</v>
      </c>
      <c r="F6" s="7" t="n">
        <f aca="false">B6*E6</f>
        <v>73500000</v>
      </c>
      <c r="G6" s="8" t="n">
        <f aca="false">D6/F6</f>
        <v>0.23469387755102</v>
      </c>
    </row>
    <row r="7" customFormat="false" ht="15" hidden="false" customHeight="false" outlineLevel="0" collapsed="false">
      <c r="A7" s="4" t="s">
        <v>11</v>
      </c>
      <c r="B7" s="5" t="n">
        <v>150000000</v>
      </c>
      <c r="C7" s="6" t="n">
        <v>0.068</v>
      </c>
      <c r="D7" s="7" t="n">
        <f aca="false">B7*C7</f>
        <v>10200000</v>
      </c>
      <c r="E7" s="6" t="n">
        <v>0.25</v>
      </c>
      <c r="F7" s="7" t="n">
        <f aca="false">B7*E7</f>
        <v>37500000</v>
      </c>
      <c r="G7" s="8" t="n">
        <f aca="false">D7/F7</f>
        <v>0.272</v>
      </c>
    </row>
    <row r="8" customFormat="false" ht="15" hidden="false" customHeight="false" outlineLevel="0" collapsed="false">
      <c r="A8" s="4" t="s">
        <v>12</v>
      </c>
      <c r="B8" s="5" t="n">
        <v>150000000</v>
      </c>
      <c r="C8" s="6" t="n">
        <v>0.089</v>
      </c>
      <c r="D8" s="7" t="n">
        <f aca="false">B8*C8</f>
        <v>13350000</v>
      </c>
      <c r="E8" s="6" t="n">
        <v>0.189</v>
      </c>
      <c r="F8" s="7" t="n">
        <f aca="false">B8*E8</f>
        <v>28350000</v>
      </c>
      <c r="G8" s="8" t="n">
        <f aca="false">D8/F8</f>
        <v>0.470899470899471</v>
      </c>
    </row>
    <row r="10" customFormat="false" ht="15" hidden="false" customHeight="false" outlineLevel="0" collapsed="false">
      <c r="A10" s="9" t="s">
        <v>13</v>
      </c>
    </row>
    <row r="11" customFormat="false" ht="15" hidden="false" customHeight="false" outlineLevel="0" collapsed="false">
      <c r="A11" s="4" t="str">
        <f aca="false">INDEX($A$5:$A$8,MATCH(LARGE($C$5:$C$8,1),$C$5:$C$8,0))</f>
        <v>Private equity fund</v>
      </c>
      <c r="B11" s="8" t="n">
        <f aca="false">LARGE($C$5:$C$8,1)</f>
        <v>0.115</v>
      </c>
    </row>
    <row r="12" customFormat="false" ht="15" hidden="false" customHeight="false" outlineLevel="0" collapsed="false">
      <c r="A12" s="4" t="str">
        <f aca="false">INDEX($A$5:$A$8,MATCH(LARGE($C$5:$C$8,2),$C$5:$C$8,0))</f>
        <v>Private credit fund</v>
      </c>
      <c r="B12" s="8" t="n">
        <f aca="false">LARGE($C$5:$C$8,2)</f>
        <v>0.089</v>
      </c>
    </row>
    <row r="13" customFormat="false" ht="15" hidden="false" customHeight="false" outlineLevel="0" collapsed="false">
      <c r="A13" s="4" t="str">
        <f aca="false">INDEX($A$5:$A$8,MATCH(LARGE($C$5:$C$8,3),$C$5:$C$8,0))</f>
        <v>Listed equity fund</v>
      </c>
      <c r="B13" s="8" t="n">
        <f aca="false">LARGE($C$5:$C$8,3)</f>
        <v>0.072</v>
      </c>
    </row>
    <row r="14" customFormat="false" ht="15" hidden="false" customHeight="false" outlineLevel="0" collapsed="false">
      <c r="A14" s="4" t="str">
        <f aca="false">INDEX($A$5:$A$8,MATCH(LARGE($C$5:$C$8,4),$C$5:$C$8,0))</f>
        <v>Direct real estate fund</v>
      </c>
      <c r="B14" s="8" t="n">
        <f aca="false">LARGE($C$5:$C$8,4)</f>
        <v>0.068</v>
      </c>
    </row>
    <row r="16" customFormat="false" ht="15" hidden="false" customHeight="false" outlineLevel="0" collapsed="false">
      <c r="A16" s="9" t="s">
        <v>14</v>
      </c>
    </row>
    <row r="17" customFormat="false" ht="15" hidden="false" customHeight="false" outlineLevel="0" collapsed="false">
      <c r="A17" s="4" t="str">
        <f aca="false">INDEX($A$5:$A$8,MATCH(LARGE($G$5:$G$8,1),$G$5:$G$8,0))</f>
        <v>Private credit fund</v>
      </c>
      <c r="B17" s="8" t="n">
        <f aca="false">LARGE($G$5:$G$8,1)</f>
        <v>0.470899470899471</v>
      </c>
    </row>
    <row r="18" customFormat="false" ht="15" hidden="false" customHeight="false" outlineLevel="0" collapsed="false">
      <c r="A18" s="4" t="str">
        <f aca="false">INDEX($A$5:$A$8,MATCH(LARGE($G$5:$G$8,2),$G$5:$G$8,0))</f>
        <v>Direct real estate fund</v>
      </c>
      <c r="B18" s="8" t="n">
        <f aca="false">LARGE($G$5:$G$8,2)</f>
        <v>0.272</v>
      </c>
    </row>
    <row r="19" customFormat="false" ht="15" hidden="false" customHeight="false" outlineLevel="0" collapsed="false">
      <c r="A19" s="4" t="str">
        <f aca="false">INDEX($A$5:$A$8,MATCH(LARGE($G$5:$G$8,3),$G$5:$G$8,0))</f>
        <v>Private equity fund</v>
      </c>
      <c r="B19" s="8" t="n">
        <f aca="false">LARGE($G$5:$G$8,3)</f>
        <v>0.23469387755102</v>
      </c>
    </row>
    <row r="20" customFormat="false" ht="15" hidden="false" customHeight="false" outlineLevel="0" collapsed="false">
      <c r="A20" s="4" t="str">
        <f aca="false">INDEX($A$5:$A$8,MATCH(LARGE($G$5:$G$8,4),$G$5:$G$8,0))</f>
        <v>Listed equity fund</v>
      </c>
      <c r="B20" s="8" t="n">
        <f aca="false">LARGE($G$5:$G$8,4)</f>
        <v>0.184615384615385</v>
      </c>
    </row>
    <row r="22" customFormat="false" ht="15" hidden="false" customHeight="false" outlineLevel="0" collapsed="false">
      <c r="A22" s="9" t="s">
        <v>15</v>
      </c>
    </row>
    <row r="23" customFormat="false" ht="15" hidden="false" customHeight="false" outlineLevel="0" collapsed="false">
      <c r="A23" s="4" t="s">
        <v>16</v>
      </c>
      <c r="B23" s="10" t="n">
        <f aca="false">C6-C7</f>
        <v>0.047</v>
      </c>
    </row>
    <row r="24" customFormat="false" ht="15" hidden="false" customHeight="false" outlineLevel="0" collapsed="false">
      <c r="A24" s="4" t="s">
        <v>17</v>
      </c>
      <c r="B24" s="10" t="n">
        <f aca="false">E6-E7</f>
        <v>0.24</v>
      </c>
    </row>
    <row r="25" customFormat="false" ht="15" hidden="false" customHeight="false" outlineLevel="0" collapsed="false">
      <c r="A25" s="4" t="s">
        <v>18</v>
      </c>
      <c r="B25" s="11" t="n">
        <f aca="false">F6-F7</f>
        <v>36000000</v>
      </c>
    </row>
    <row r="27" customFormat="false" ht="15" hidden="false" customHeight="false" outlineLevel="0" collapsed="false">
      <c r="A27" s="9" t="s">
        <v>19</v>
      </c>
    </row>
    <row r="28" customFormat="false" ht="15" hidden="false" customHeight="false" outlineLevel="0" collapsed="false">
      <c r="A28" s="4" t="s">
        <v>20</v>
      </c>
      <c r="B28" s="12" t="n">
        <v>0.01</v>
      </c>
      <c r="C28" s="13" t="s">
        <v>21</v>
      </c>
    </row>
    <row r="29" customFormat="false" ht="15" hidden="false" customHeight="false" outlineLevel="0" collapsed="false">
      <c r="A29" s="4" t="s">
        <v>22</v>
      </c>
      <c r="B29" s="11" t="n">
        <f aca="false">B8*B28</f>
        <v>1500000</v>
      </c>
    </row>
    <row r="30" customFormat="false" ht="15" hidden="false" customHeight="false" outlineLevel="0" collapsed="false">
      <c r="A30" s="4" t="s">
        <v>23</v>
      </c>
      <c r="B30" s="10" t="n">
        <f aca="false">(D8-B29)/F8</f>
        <v>0.417989417989418</v>
      </c>
    </row>
    <row r="31" customFormat="false" ht="15" hidden="false" customHeight="false" outlineLevel="0" collapsed="false">
      <c r="A31" s="4" t="s">
        <v>24</v>
      </c>
      <c r="B31" s="10" t="n">
        <f aca="false">G8-B30</f>
        <v>0.0529100529100529</v>
      </c>
    </row>
    <row r="32" customFormat="false" ht="15" hidden="false" customHeight="false" outlineLevel="0" collapsed="false">
      <c r="A32" s="4" t="s">
        <v>25</v>
      </c>
      <c r="B32" s="10" t="n">
        <f aca="false">B31/G8</f>
        <v>0.112359550561798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44"/>
  </cols>
  <sheetData>
    <row r="1" customFormat="false" ht="15" hidden="false" customHeight="false" outlineLevel="0" collapsed="false">
      <c r="A1" s="1" t="s">
        <v>26</v>
      </c>
    </row>
    <row r="2" customFormat="false" ht="15" hidden="false" customHeight="false" outlineLevel="0" collapsed="false">
      <c r="A2" s="13" t="s">
        <v>27</v>
      </c>
    </row>
    <row r="4" customFormat="false" ht="15" hidden="false" customHeight="false" outlineLevel="0" collapsed="false">
      <c r="A4" s="3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</row>
    <row r="5" customFormat="false" ht="15" hidden="false" customHeight="false" outlineLevel="0" collapsed="false">
      <c r="A5" s="4" t="s">
        <v>34</v>
      </c>
      <c r="B5" s="10" t="n">
        <f aca="false">Mandate!G5</f>
        <v>0.184615384615385</v>
      </c>
      <c r="C5" s="6" t="n">
        <v>0.184615384615385</v>
      </c>
      <c r="D5" s="10" t="n">
        <f aca="false">IF(ISNUMBER(B5),B5-C5,"")</f>
        <v>0</v>
      </c>
      <c r="E5" s="9" t="str">
        <f aca="false">IF(ISNUMBER(B5),IF(ABS(B5-C5)&lt;=ABS(C5)*0.0002+0.000001,"OK","ECART"),"ECART")</f>
        <v>OK</v>
      </c>
      <c r="F5" s="13" t="s">
        <v>35</v>
      </c>
    </row>
    <row r="6" customFormat="false" ht="15" hidden="false" customHeight="false" outlineLevel="0" collapsed="false">
      <c r="A6" s="4" t="s">
        <v>36</v>
      </c>
      <c r="B6" s="10" t="n">
        <f aca="false">Mandate!G6</f>
        <v>0.23469387755102</v>
      </c>
      <c r="C6" s="6" t="n">
        <v>0.23469387755102</v>
      </c>
      <c r="D6" s="10" t="n">
        <f aca="false">IF(ISNUMBER(B6),B6-C6,"")</f>
        <v>0</v>
      </c>
      <c r="E6" s="9" t="str">
        <f aca="false">IF(ISNUMBER(B6),IF(ABS(B6-C6)&lt;=ABS(C6)*0.0002+0.000001,"OK","ECART"),"ECART")</f>
        <v>OK</v>
      </c>
      <c r="F6" s="13" t="s">
        <v>37</v>
      </c>
    </row>
    <row r="7" customFormat="false" ht="15" hidden="false" customHeight="false" outlineLevel="0" collapsed="false">
      <c r="A7" s="4" t="s">
        <v>38</v>
      </c>
      <c r="B7" s="10" t="n">
        <f aca="false">Mandate!G7</f>
        <v>0.272</v>
      </c>
      <c r="C7" s="6" t="n">
        <v>0.272</v>
      </c>
      <c r="D7" s="10" t="n">
        <f aca="false">IF(ISNUMBER(B7),B7-C7,"")</f>
        <v>0</v>
      </c>
      <c r="E7" s="9" t="str">
        <f aca="false">IF(ISNUMBER(B7),IF(ABS(B7-C7)&lt;=ABS(C7)*0.0002+0.000001,"OK","ECART"),"ECART")</f>
        <v>OK</v>
      </c>
      <c r="F7" s="13" t="s">
        <v>39</v>
      </c>
    </row>
    <row r="8" customFormat="false" ht="15" hidden="false" customHeight="false" outlineLevel="0" collapsed="false">
      <c r="A8" s="4" t="s">
        <v>40</v>
      </c>
      <c r="B8" s="10" t="n">
        <f aca="false">Mandate!G8</f>
        <v>0.470899470899471</v>
      </c>
      <c r="C8" s="6" t="n">
        <v>0.470899470899471</v>
      </c>
      <c r="D8" s="10" t="n">
        <f aca="false">IF(ISNUMBER(B8),B8-C8,"")</f>
        <v>0</v>
      </c>
      <c r="E8" s="9" t="str">
        <f aca="false">IF(ISNUMBER(B8),IF(ABS(B8-C8)&lt;=ABS(C8)*0.0002+0.000001,"OK","ECART"),"ECART")</f>
        <v>OK</v>
      </c>
      <c r="F8" s="13" t="s">
        <v>41</v>
      </c>
    </row>
    <row r="9" customFormat="false" ht="15" hidden="false" customHeight="false" outlineLevel="0" collapsed="false">
      <c r="A9" s="4" t="s">
        <v>42</v>
      </c>
      <c r="B9" s="11" t="n">
        <f aca="false">Mandate!D6</f>
        <v>17250000</v>
      </c>
      <c r="C9" s="5" t="n">
        <v>17250000</v>
      </c>
      <c r="D9" s="11" t="n">
        <f aca="false">IF(ISNUMBER(B9),B9-C9,"")</f>
        <v>0</v>
      </c>
      <c r="E9" s="9" t="str">
        <f aca="false">IF(ISNUMBER(B9),IF(ABS(B9-C9)&lt;=ABS(C9)*0.0002+0.000001,"OK","ECART"),"ECART")</f>
        <v>OK</v>
      </c>
      <c r="F9" s="13" t="s">
        <v>43</v>
      </c>
    </row>
    <row r="10" customFormat="false" ht="15" hidden="false" customHeight="false" outlineLevel="0" collapsed="false">
      <c r="A10" s="4" t="s">
        <v>44</v>
      </c>
      <c r="B10" s="11" t="n">
        <f aca="false">Mandate!D8</f>
        <v>13350000</v>
      </c>
      <c r="C10" s="5" t="n">
        <v>13350000</v>
      </c>
      <c r="D10" s="11" t="n">
        <f aca="false">IF(ISNUMBER(B10),B10-C10,"")</f>
        <v>0</v>
      </c>
      <c r="E10" s="9" t="str">
        <f aca="false">IF(ISNUMBER(B10),IF(ABS(B10-C10)&lt;=ABS(C10)*0.0002+0.000001,"OK","ECART"),"ECART")</f>
        <v>OK</v>
      </c>
      <c r="F10" s="13" t="s">
        <v>45</v>
      </c>
    </row>
    <row r="11" customFormat="false" ht="15" hidden="false" customHeight="false" outlineLevel="0" collapsed="false">
      <c r="A11" s="4" t="s">
        <v>46</v>
      </c>
      <c r="B11" s="11" t="n">
        <f aca="false">Mandate!F5</f>
        <v>58500000</v>
      </c>
      <c r="C11" s="5" t="n">
        <v>58500000</v>
      </c>
      <c r="D11" s="11" t="n">
        <f aca="false">IF(ISNUMBER(B11),B11-C11,"")</f>
        <v>0</v>
      </c>
      <c r="E11" s="9" t="str">
        <f aca="false">IF(ISNUMBER(B11),IF(ABS(B11-C11)&lt;=ABS(C11)*0.0002+0.000001,"OK","ECART"),"ECART")</f>
        <v>OK</v>
      </c>
      <c r="F11" s="13" t="s">
        <v>47</v>
      </c>
    </row>
    <row r="12" customFormat="false" ht="15" hidden="false" customHeight="false" outlineLevel="0" collapsed="false">
      <c r="A12" s="4" t="s">
        <v>48</v>
      </c>
      <c r="B12" s="11" t="n">
        <f aca="false">Mandate!F7</f>
        <v>37500000</v>
      </c>
      <c r="C12" s="5" t="n">
        <v>37500000</v>
      </c>
      <c r="D12" s="11" t="n">
        <f aca="false">IF(ISNUMBER(B12),B12-C12,"")</f>
        <v>0</v>
      </c>
      <c r="E12" s="9" t="str">
        <f aca="false">IF(ISNUMBER(B12),IF(ABS(B12-C12)&lt;=ABS(C12)*0.0002+0.000001,"OK","ECART"),"ECART")</f>
        <v>OK</v>
      </c>
      <c r="F12" s="13" t="s">
        <v>49</v>
      </c>
    </row>
    <row r="13" customFormat="false" ht="15" hidden="false" customHeight="false" outlineLevel="0" collapsed="false">
      <c r="A13" s="4" t="s">
        <v>50</v>
      </c>
      <c r="B13" s="14" t="n">
        <f aca="false">IF(AND(Mandate!A11="Private equity fund",Mandate!A12="Private credit fund",Mandate!A13="Listed equity fund",Mandate!A14="Direct real estate fund"),1,0)</f>
        <v>1</v>
      </c>
      <c r="C13" s="15" t="n">
        <v>1</v>
      </c>
      <c r="D13" s="14" t="n">
        <f aca="false">B13-C13</f>
        <v>0</v>
      </c>
      <c r="E13" s="9" t="str">
        <f aca="false">IF(B13=1,"OK","ECART")</f>
        <v>OK</v>
      </c>
      <c r="F13" s="13" t="s">
        <v>51</v>
      </c>
    </row>
    <row r="14" customFormat="false" ht="15" hidden="false" customHeight="false" outlineLevel="0" collapsed="false">
      <c r="A14" s="4" t="s">
        <v>52</v>
      </c>
      <c r="B14" s="14" t="n">
        <f aca="false">IF(AND(Mandate!A17="Private credit fund",Mandate!A18="Direct real estate fund",Mandate!A19="Private equity fund",Mandate!A20="Listed equity fund"),1,0)</f>
        <v>1</v>
      </c>
      <c r="C14" s="15" t="n">
        <v>1</v>
      </c>
      <c r="D14" s="14" t="n">
        <f aca="false">B14-C14</f>
        <v>0</v>
      </c>
      <c r="E14" s="9" t="str">
        <f aca="false">IF(B14=1,"OK","ECART")</f>
        <v>OK</v>
      </c>
      <c r="F14" s="13" t="s">
        <v>51</v>
      </c>
    </row>
    <row r="15" customFormat="false" ht="15" hidden="false" customHeight="false" outlineLevel="0" collapsed="false">
      <c r="A15" s="4" t="s">
        <v>53</v>
      </c>
      <c r="B15" s="14" t="n">
        <f aca="false">IF(AND(Mandate!A11&lt;&gt;Mandate!A17,Mandate!A12&lt;&gt;Mandate!A18,Mandate!A13&lt;&gt;Mandate!A19,Mandate!A14&lt;&gt;Mandate!A20),1,0)</f>
        <v>1</v>
      </c>
      <c r="C15" s="15" t="n">
        <v>1</v>
      </c>
      <c r="D15" s="14" t="n">
        <f aca="false">B15-C15</f>
        <v>0</v>
      </c>
      <c r="E15" s="9" t="str">
        <f aca="false">IF(B15=1,"OK","ECART")</f>
        <v>OK</v>
      </c>
      <c r="F15" s="13" t="s">
        <v>54</v>
      </c>
    </row>
    <row r="16" customFormat="false" ht="15" hidden="false" customHeight="false" outlineLevel="0" collapsed="false">
      <c r="A16" s="4" t="s">
        <v>55</v>
      </c>
      <c r="B16" s="10" t="n">
        <f aca="false">Mandate!B23</f>
        <v>0.047</v>
      </c>
      <c r="C16" s="6" t="n">
        <v>0.047</v>
      </c>
      <c r="D16" s="10" t="n">
        <f aca="false">IF(ISNUMBER(B16),B16-C16,"")</f>
        <v>0</v>
      </c>
      <c r="E16" s="9" t="str">
        <f aca="false">IF(ISNUMBER(B16),IF(ABS(B16-C16)&lt;=ABS(C16)*0.0002+0.000001,"OK","ECART"),"ECART")</f>
        <v>OK</v>
      </c>
      <c r="F16" s="13" t="s">
        <v>56</v>
      </c>
    </row>
    <row r="17" customFormat="false" ht="15" hidden="false" customHeight="false" outlineLevel="0" collapsed="false">
      <c r="A17" s="4" t="s">
        <v>57</v>
      </c>
      <c r="B17" s="10" t="n">
        <f aca="false">Mandate!B24</f>
        <v>0.24</v>
      </c>
      <c r="C17" s="6" t="n">
        <v>0.24</v>
      </c>
      <c r="D17" s="10" t="n">
        <f aca="false">IF(ISNUMBER(B17),B17-C17,"")</f>
        <v>0</v>
      </c>
      <c r="E17" s="9" t="str">
        <f aca="false">IF(ISNUMBER(B17),IF(ABS(B17-C17)&lt;=ABS(C17)*0.0002+0.000001,"OK","ECART"),"ECART")</f>
        <v>OK</v>
      </c>
      <c r="F17" s="13" t="s">
        <v>58</v>
      </c>
    </row>
    <row r="18" customFormat="false" ht="15" hidden="false" customHeight="false" outlineLevel="0" collapsed="false">
      <c r="A18" s="4" t="s">
        <v>59</v>
      </c>
      <c r="B18" s="10" t="n">
        <f aca="false">Mandate!B30</f>
        <v>0.417989417989418</v>
      </c>
      <c r="C18" s="6" t="n">
        <v>0.417989417989418</v>
      </c>
      <c r="D18" s="10" t="n">
        <f aca="false">IF(ISNUMBER(B18),B18-C18,"")</f>
        <v>0</v>
      </c>
      <c r="E18" s="9" t="str">
        <f aca="false">IF(ISNUMBER(B18),IF(ABS(B18-C18)&lt;=ABS(C18)*0.0002+0.000001,"OK","ECART"),"ECART")</f>
        <v>OK</v>
      </c>
      <c r="F18" s="13" t="s">
        <v>60</v>
      </c>
    </row>
    <row r="19" customFormat="false" ht="15" hidden="false" customHeight="false" outlineLevel="0" collapsed="false">
      <c r="A19" s="4" t="s">
        <v>61</v>
      </c>
      <c r="B19" s="11" t="n">
        <f aca="false">Mandate!B29</f>
        <v>1500000</v>
      </c>
      <c r="C19" s="5" t="n">
        <v>1500000</v>
      </c>
      <c r="D19" s="11" t="n">
        <f aca="false">IF(ISNUMBER(B19),B19-C19,"")</f>
        <v>0</v>
      </c>
      <c r="E19" s="9" t="str">
        <f aca="false">IF(ISNUMBER(B19),IF(ABS(B19-C19)&lt;=ABS(C19)*0.0002+0.000001,"OK","ECART"),"ECART")</f>
        <v>OK</v>
      </c>
      <c r="F19" s="13" t="s">
        <v>62</v>
      </c>
    </row>
    <row r="20" customFormat="false" ht="15" hidden="false" customHeight="false" outlineLevel="0" collapsed="false">
      <c r="A20" s="4" t="s">
        <v>63</v>
      </c>
      <c r="B20" s="10" t="n">
        <f aca="false">Mandate!B31</f>
        <v>0.0529100529100529</v>
      </c>
      <c r="C20" s="6" t="n">
        <v>0.0529100529100529</v>
      </c>
      <c r="D20" s="10" t="n">
        <f aca="false">IF(ISNUMBER(B20),B20-C20,"")</f>
        <v>0</v>
      </c>
      <c r="E20" s="9" t="str">
        <f aca="false">IF(ISNUMBER(B20),IF(ABS(B20-C20)&lt;=ABS(C20)*0.0002+0.000001,"OK","ECART"),"ECART")</f>
        <v>OK</v>
      </c>
      <c r="F20" s="13" t="s">
        <v>64</v>
      </c>
    </row>
    <row r="22" customFormat="false" ht="15" hidden="false" customHeight="false" outlineLevel="0" collapsed="false">
      <c r="A22" s="9" t="s">
        <v>65</v>
      </c>
      <c r="B22" s="16" t="n">
        <f aca="false">COUNTIF(E5:E20,"ECART")</f>
        <v>0</v>
      </c>
    </row>
    <row r="23" customFormat="false" ht="15" hidden="false" customHeight="false" outlineLevel="0" collapsed="false">
      <c r="A23" s="9" t="s">
        <v>66</v>
      </c>
      <c r="B23" s="9" t="str">
        <f aca="false">IF(B22=0,"ALL OK",B22&amp;" failing")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2026-08-27T05:06:51Z</dcterms:created>
  <dc:creator>openpyxl</dc:creator>
  <dc:description/>
  <dc:language>en-US</dc:language>
  <cp:lastModifiedBy/>
  <dcterms:modified xsi:type="dcterms:W3CDTF">2026-09-23T22:37:01Z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