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Marginal" sheetId="1" state="visible" r:id="rId3"/>
    <sheet name="Control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<sst xmlns="http://schemas.openxmlformats.org/spreadsheetml/2006/main" count="113" uniqueCount="98">
  <si>
    <t xml:space="preserve">Marginal_Capital — what an asset actually costs</t>
  </si>
  <si>
    <t xml:space="preserve">The standalone charge is not the cost. The increase in the total is.</t>
  </si>
  <si>
    <t xml:space="preserve">Existing sub-module charges</t>
  </si>
  <si>
    <t xml:space="preserve">Sub-module</t>
  </si>
  <si>
    <t xml:space="preserve">This insurer</t>
  </si>
  <si>
    <t xml:space="preserve">A property-heavy insurer</t>
  </si>
  <si>
    <t xml:space="preserve">All four, this insurer</t>
  </si>
  <si>
    <t xml:space="preserve">All four, other insurer</t>
  </si>
  <si>
    <t xml:space="preserve">Interest</t>
  </si>
  <si>
    <t xml:space="preserve">Equity</t>
  </si>
  <si>
    <t xml:space="preserve">Property</t>
  </si>
  <si>
    <t xml:space="preserve">Spread</t>
  </si>
  <si>
    <t xml:space="preserve">Currency</t>
  </si>
  <si>
    <t xml:space="preserve">Concentration</t>
  </si>
  <si>
    <t xml:space="preserve">Aggregate before the mandate</t>
  </si>
  <si>
    <t xml:space="preserve">Candidate</t>
  </si>
  <si>
    <t xml:space="preserve">Standalone charge</t>
  </si>
  <si>
    <t xml:space="preserve">Marginal, this insurer</t>
  </si>
  <si>
    <t xml:space="preserve">as a share</t>
  </si>
  <si>
    <t xml:space="preserve">Marginal, other insurer</t>
  </si>
  <si>
    <t xml:space="preserve">Difference, other less this</t>
  </si>
  <si>
    <t xml:space="preserve">Listed equity fund</t>
  </si>
  <si>
    <t xml:space="preserve">Private equity fund</t>
  </si>
  <si>
    <t xml:space="preserve">Direct real estate fund</t>
  </si>
  <si>
    <t xml:space="preserve">Private credit fund</t>
  </si>
  <si>
    <t xml:space="preserve">Read columns D and F across. The same fund, two buyers of identical size and identical total charges. Nothing about the fund changed.</t>
  </si>
  <si>
    <t xml:space="preserve">Return on capital (Chapters 13 and 14)</t>
  </si>
  <si>
    <t xml:space="preserve">Size</t>
  </si>
  <si>
    <t xml:space="preserve">Expected return</t>
  </si>
  <si>
    <t xml:space="preserve">Income</t>
  </si>
  <si>
    <t xml:space="preserve">On standalone</t>
  </si>
  <si>
    <t xml:space="preserve">On marginal, this insurer</t>
  </si>
  <si>
    <t xml:space="preserve">On marginal, other insurer</t>
  </si>
  <si>
    <t xml:space="preserve">All four together (Chapter 14)</t>
  </si>
  <si>
    <t xml:space="preserve">Other insurer</t>
  </si>
  <si>
    <t xml:space="preserve">Sum of the four marginal costs</t>
  </si>
  <si>
    <t xml:space="preserve">Actual increase when all four are added together</t>
  </si>
  <si>
    <t xml:space="preserve">Joint less the sum of marginals</t>
  </si>
  <si>
    <t xml:space="preserve">  as a share of the sum</t>
  </si>
  <si>
    <t xml:space="preserve">Aggregate after the mandate (ties to Aggregation.xlsx)</t>
  </si>
  <si>
    <t xml:space="preserve">Positive at this insurer: the four crowd each other. Where the existing book is small against the additions, it turns negative.</t>
  </si>
  <si>
    <t xml:space="preserve">Annex IV (used by the formulas above)</t>
  </si>
  <si>
    <t xml:space="preserve">Controls — every published figure, reproduced live</t>
  </si>
  <si>
    <t xml:space="preserve">Column B is a formula. Column C is the model's value for the figure the book prints (column F). Verdict must read OK.</t>
  </si>
  <si>
    <t xml:space="preserve">Figure</t>
  </si>
  <si>
    <t xml:space="preserve">Reproduced</t>
  </si>
  <si>
    <t xml:space="preserve">Published</t>
  </si>
  <si>
    <t xml:space="preserve">Difference</t>
  </si>
  <si>
    <t xml:space="preserve">Verdict</t>
  </si>
  <si>
    <t xml:space="preserve">In the book</t>
  </si>
  <si>
    <t xml:space="preserve">€911.2 million</t>
  </si>
  <si>
    <t xml:space="preserve">Marginal, listed equity fund, this insurer</t>
  </si>
  <si>
    <t xml:space="preserve">€52.1 million</t>
  </si>
  <si>
    <t xml:space="preserve">  as a share of standalone</t>
  </si>
  <si>
    <t xml:space="preserve">89.14 percent</t>
  </si>
  <si>
    <t xml:space="preserve">Marginal, listed equity fund, other insurer</t>
  </si>
  <si>
    <t xml:space="preserve">Return on marginal, listed equity fund</t>
  </si>
  <si>
    <t xml:space="preserve">20.71 percent</t>
  </si>
  <si>
    <t xml:space="preserve">Marginal, private equity fund, this insurer</t>
  </si>
  <si>
    <t xml:space="preserve">€65.6 million</t>
  </si>
  <si>
    <t xml:space="preserve">89.29 percent</t>
  </si>
  <si>
    <t xml:space="preserve">Marginal, private equity fund, other insurer</t>
  </si>
  <si>
    <t xml:space="preserve">Return on marginal, private equity fund</t>
  </si>
  <si>
    <t xml:space="preserve">26.28 percent</t>
  </si>
  <si>
    <t xml:space="preserve">Marginal, direct real estate fund, this insurer</t>
  </si>
  <si>
    <t xml:space="preserve">€26.7 million</t>
  </si>
  <si>
    <t xml:space="preserve">71.25 percent</t>
  </si>
  <si>
    <t xml:space="preserve">Marginal, direct real estate fund, other insurer</t>
  </si>
  <si>
    <t xml:space="preserve">€35.2 million</t>
  </si>
  <si>
    <t xml:space="preserve">Return on marginal, direct real estate fund</t>
  </si>
  <si>
    <t xml:space="preserve">38.18 percent</t>
  </si>
  <si>
    <t xml:space="preserve">Marginal, private credit fund, this insurer</t>
  </si>
  <si>
    <t xml:space="preserve">€26.6 million</t>
  </si>
  <si>
    <t xml:space="preserve">93.74 percent</t>
  </si>
  <si>
    <t xml:space="preserve">Marginal, private credit fund, other insurer</t>
  </si>
  <si>
    <t xml:space="preserve">€20.1 million</t>
  </si>
  <si>
    <t xml:space="preserve">Return on marginal, private credit fund</t>
  </si>
  <si>
    <t xml:space="preserve">50.23 percent</t>
  </si>
  <si>
    <t xml:space="preserve">Real estate: other insurer less this one</t>
  </si>
  <si>
    <t xml:space="preserve">€8.5 million</t>
  </si>
  <si>
    <t xml:space="preserve">Credit: other insurer less this one</t>
  </si>
  <si>
    <t xml:space="preserve">−€6.4 million</t>
  </si>
  <si>
    <t xml:space="preserve">Sum of the four marginals</t>
  </si>
  <si>
    <t xml:space="preserve">€171.1 million</t>
  </si>
  <si>
    <t xml:space="preserve">All four together</t>
  </si>
  <si>
    <t xml:space="preserve">€171.9 million</t>
  </si>
  <si>
    <t xml:space="preserve">Gap</t>
  </si>
  <si>
    <t xml:space="preserve">€0.9 million</t>
  </si>
  <si>
    <t xml:space="preserve">Gap as a share of the sum</t>
  </si>
  <si>
    <t xml:space="preserve">0.51 percent</t>
  </si>
  <si>
    <t xml:space="preserve">Aggregate after the mandate</t>
  </si>
  <si>
    <t xml:space="preserve">€1,083.2 million (Chapter 9)</t>
  </si>
  <si>
    <t xml:space="preserve">The order does not change: standalone and marginal rankings agree at this insurer</t>
  </si>
  <si>
    <t xml:space="preserve">"the order does not change"</t>
  </si>
  <si>
    <t xml:space="preserve">Every marginal cost is below its standalone charge</t>
  </si>
  <si>
    <t xml:space="preserve">Appendix A</t>
  </si>
  <si>
    <t xml:space="preserve">Controls failing</t>
  </si>
  <si>
    <t xml:space="preserve">All controls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</si>
</sst>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"/>
    <numFmt numFmtId="166" formatCode="General"/>
    <numFmt numFmtId="167" formatCode="0.00%"/>
    <numFmt numFmtId="168" formatCode="0.00"/>
    <numFmt numFmtId="169" formatCode="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00CC"/>
      <name val="Arial"/>
      <family val="0"/>
      <charset val="1"/>
    </font>
    <font>
      <sz val="9"/>
      <color rgb="FF555555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FFF2CC"/>
      </patternFill>
    </fill>
    <fill>
      <patternFill patternType="solid">
        <fgColor rgb="FFFFF2CC"/>
        <bgColor rgb="FFEEEEEE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CC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4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4" min="2" style="0" width="18"/>
    <col collapsed="false" customWidth="true" hidden="false" outlineLevel="0" max="6" min="5" style="0" width="16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4" t="s">
        <v>3</v>
      </c>
      <c r="B5" s="4" t="s">
        <v>4</v>
      </c>
      <c r="C5" s="4" t="s">
        <v>5</v>
      </c>
      <c r="Q5" s="4" t="s">
        <v>6</v>
      </c>
      <c r="R5" s="4" t="s">
        <v>7</v>
      </c>
    </row>
    <row r="6" customFormat="false" ht="15" hidden="false" customHeight="false" outlineLevel="0" collapsed="false">
      <c r="A6" s="5" t="s">
        <v>8</v>
      </c>
      <c r="B6" s="6" t="n">
        <v>180000000</v>
      </c>
      <c r="C6" s="6" t="n">
        <v>180000000</v>
      </c>
      <c r="I6" s="7" t="n">
        <f aca="false">$B$6</f>
        <v>180000000</v>
      </c>
      <c r="J6" s="7" t="n">
        <f aca="false">$C$6</f>
        <v>180000000</v>
      </c>
      <c r="K6" s="7" t="n">
        <f aca="false">$B$6</f>
        <v>180000000</v>
      </c>
      <c r="L6" s="7" t="n">
        <f aca="false">$C$6</f>
        <v>180000000</v>
      </c>
      <c r="M6" s="7" t="n">
        <f aca="false">$B$6</f>
        <v>180000000</v>
      </c>
      <c r="N6" s="7" t="n">
        <f aca="false">$C$6</f>
        <v>180000000</v>
      </c>
      <c r="O6" s="7" t="n">
        <f aca="false">$B$6</f>
        <v>180000000</v>
      </c>
      <c r="P6" s="7" t="n">
        <f aca="false">$C$6</f>
        <v>180000000</v>
      </c>
      <c r="Q6" s="8" t="n">
        <f aca="false">$B$6</f>
        <v>180000000</v>
      </c>
      <c r="R6" s="8" t="n">
        <f aca="false">$C$6</f>
        <v>180000000</v>
      </c>
    </row>
    <row r="7" customFormat="false" ht="15" hidden="false" customHeight="false" outlineLevel="0" collapsed="false">
      <c r="A7" s="5" t="s">
        <v>9</v>
      </c>
      <c r="B7" s="6" t="n">
        <v>240000000</v>
      </c>
      <c r="C7" s="6" t="n">
        <v>240000000</v>
      </c>
      <c r="I7" s="9" t="n">
        <f aca="false">$B$7+$B$16</f>
        <v>298500000</v>
      </c>
      <c r="J7" s="9" t="n">
        <f aca="false">$C$7+$B$16</f>
        <v>298500000</v>
      </c>
      <c r="K7" s="9" t="n">
        <f aca="false">$B$7+$B$17</f>
        <v>313500000</v>
      </c>
      <c r="L7" s="9" t="n">
        <f aca="false">$C$7+$B$17</f>
        <v>313500000</v>
      </c>
      <c r="M7" s="7" t="n">
        <f aca="false">$B$7</f>
        <v>240000000</v>
      </c>
      <c r="N7" s="7" t="n">
        <f aca="false">$C$7</f>
        <v>240000000</v>
      </c>
      <c r="O7" s="7" t="n">
        <f aca="false">$B$7</f>
        <v>240000000</v>
      </c>
      <c r="P7" s="7" t="n">
        <f aca="false">$C$7</f>
        <v>240000000</v>
      </c>
      <c r="Q7" s="8" t="n">
        <f aca="false">$B$7+$B$16+$B$17</f>
        <v>372000000</v>
      </c>
      <c r="R7" s="8" t="n">
        <f aca="false">$C$7+$B$16+$B$17</f>
        <v>372000000</v>
      </c>
    </row>
    <row r="8" customFormat="false" ht="15" hidden="false" customHeight="false" outlineLevel="0" collapsed="false">
      <c r="A8" s="5" t="s">
        <v>10</v>
      </c>
      <c r="B8" s="6" t="n">
        <v>95000000</v>
      </c>
      <c r="C8" s="6" t="n">
        <v>520000000</v>
      </c>
      <c r="I8" s="7" t="n">
        <f aca="false">$B$8</f>
        <v>95000000</v>
      </c>
      <c r="J8" s="7" t="n">
        <f aca="false">$C$8</f>
        <v>520000000</v>
      </c>
      <c r="K8" s="7" t="n">
        <f aca="false">$B$8</f>
        <v>95000000</v>
      </c>
      <c r="L8" s="7" t="n">
        <f aca="false">$C$8</f>
        <v>520000000</v>
      </c>
      <c r="M8" s="9" t="n">
        <f aca="false">$B$8+$B$18</f>
        <v>132500000</v>
      </c>
      <c r="N8" s="9" t="n">
        <f aca="false">$C$8+$B$18</f>
        <v>557500000</v>
      </c>
      <c r="O8" s="7" t="n">
        <f aca="false">$B$8</f>
        <v>95000000</v>
      </c>
      <c r="P8" s="7" t="n">
        <f aca="false">$C$8</f>
        <v>520000000</v>
      </c>
      <c r="Q8" s="8" t="n">
        <f aca="false">$B$8+$B$18</f>
        <v>132500000</v>
      </c>
      <c r="R8" s="8" t="n">
        <f aca="false">$C$8+$B$18</f>
        <v>557500000</v>
      </c>
    </row>
    <row r="9" customFormat="false" ht="15" hidden="false" customHeight="false" outlineLevel="0" collapsed="false">
      <c r="A9" s="5" t="s">
        <v>11</v>
      </c>
      <c r="B9" s="6" t="n">
        <v>520000000</v>
      </c>
      <c r="C9" s="6" t="n">
        <v>95000000</v>
      </c>
      <c r="I9" s="7" t="n">
        <f aca="false">$B$9</f>
        <v>520000000</v>
      </c>
      <c r="J9" s="7" t="n">
        <f aca="false">$C$9</f>
        <v>95000000</v>
      </c>
      <c r="K9" s="7" t="n">
        <f aca="false">$B$9</f>
        <v>520000000</v>
      </c>
      <c r="L9" s="7" t="n">
        <f aca="false">$C$9</f>
        <v>95000000</v>
      </c>
      <c r="M9" s="7" t="n">
        <f aca="false">$B$9</f>
        <v>520000000</v>
      </c>
      <c r="N9" s="7" t="n">
        <f aca="false">$C$9</f>
        <v>95000000</v>
      </c>
      <c r="O9" s="9" t="n">
        <f aca="false">$B$9+$B$19</f>
        <v>548350000</v>
      </c>
      <c r="P9" s="9" t="n">
        <f aca="false">$C$9+$B$19</f>
        <v>123350000</v>
      </c>
      <c r="Q9" s="8" t="n">
        <f aca="false">$B$9+$B$19</f>
        <v>548350000</v>
      </c>
      <c r="R9" s="8" t="n">
        <f aca="false">$C$9+$B$19</f>
        <v>123350000</v>
      </c>
    </row>
    <row r="10" customFormat="false" ht="15" hidden="false" customHeight="false" outlineLevel="0" collapsed="false">
      <c r="A10" s="5" t="s">
        <v>12</v>
      </c>
      <c r="B10" s="6" t="n">
        <v>60000000</v>
      </c>
      <c r="C10" s="6" t="n">
        <v>60000000</v>
      </c>
      <c r="I10" s="7" t="n">
        <f aca="false">$B$10</f>
        <v>60000000</v>
      </c>
      <c r="J10" s="7" t="n">
        <f aca="false">$C$10</f>
        <v>60000000</v>
      </c>
      <c r="K10" s="7" t="n">
        <f aca="false">$B$10</f>
        <v>60000000</v>
      </c>
      <c r="L10" s="7" t="n">
        <f aca="false">$C$10</f>
        <v>60000000</v>
      </c>
      <c r="M10" s="7" t="n">
        <f aca="false">$B$10</f>
        <v>60000000</v>
      </c>
      <c r="N10" s="7" t="n">
        <f aca="false">$C$10</f>
        <v>60000000</v>
      </c>
      <c r="O10" s="7" t="n">
        <f aca="false">$B$10</f>
        <v>60000000</v>
      </c>
      <c r="P10" s="7" t="n">
        <f aca="false">$C$10</f>
        <v>60000000</v>
      </c>
      <c r="Q10" s="8" t="n">
        <f aca="false">$B$10</f>
        <v>60000000</v>
      </c>
      <c r="R10" s="8" t="n">
        <f aca="false">$C$10</f>
        <v>60000000</v>
      </c>
    </row>
    <row r="11" customFormat="false" ht="15" hidden="false" customHeight="false" outlineLevel="0" collapsed="false">
      <c r="A11" s="5" t="s">
        <v>13</v>
      </c>
      <c r="B11" s="6" t="n">
        <v>40000000</v>
      </c>
      <c r="C11" s="6" t="n">
        <v>40000000</v>
      </c>
      <c r="I11" s="7" t="n">
        <f aca="false">$B$11</f>
        <v>40000000</v>
      </c>
      <c r="J11" s="7" t="n">
        <f aca="false">$C$11</f>
        <v>40000000</v>
      </c>
      <c r="K11" s="7" t="n">
        <f aca="false">$B$11</f>
        <v>40000000</v>
      </c>
      <c r="L11" s="7" t="n">
        <f aca="false">$C$11</f>
        <v>40000000</v>
      </c>
      <c r="M11" s="7" t="n">
        <f aca="false">$B$11</f>
        <v>40000000</v>
      </c>
      <c r="N11" s="7" t="n">
        <f aca="false">$C$11</f>
        <v>40000000</v>
      </c>
      <c r="O11" s="7" t="n">
        <f aca="false">$B$11</f>
        <v>40000000</v>
      </c>
      <c r="P11" s="7" t="n">
        <f aca="false">$C$11</f>
        <v>40000000</v>
      </c>
      <c r="Q11" s="8" t="n">
        <f aca="false">$B$11</f>
        <v>40000000</v>
      </c>
      <c r="R11" s="8" t="n">
        <f aca="false">$C$11</f>
        <v>40000000</v>
      </c>
    </row>
    <row r="13" customFormat="false" ht="15" hidden="false" customHeight="false" outlineLevel="0" collapsed="false">
      <c r="A13" s="3" t="s">
        <v>14</v>
      </c>
      <c r="B13" s="7" t="n">
        <f aca="false">SQRT(SUMPRODUCT($B$6:$B$11,MMULT($B$40:$G$45,$B$6:$B$11)))</f>
        <v>911249142.660776</v>
      </c>
      <c r="C13" s="7" t="n">
        <f aca="false">SQRT(SUMPRODUCT($C$6:$C$11,MMULT($B$40:$G$45,$C$6:$C$11)))</f>
        <v>911249142.660776</v>
      </c>
    </row>
    <row r="15" customFormat="false" ht="15" hidden="false" customHeight="false" outlineLevel="0" collapsed="false">
      <c r="A15" s="4" t="s">
        <v>15</v>
      </c>
      <c r="B15" s="4" t="s">
        <v>16</v>
      </c>
      <c r="C15" s="4" t="s">
        <v>17</v>
      </c>
      <c r="D15" s="4" t="s">
        <v>18</v>
      </c>
      <c r="E15" s="4" t="s">
        <v>19</v>
      </c>
      <c r="F15" s="4" t="s">
        <v>18</v>
      </c>
      <c r="G15" s="4" t="s">
        <v>20</v>
      </c>
    </row>
    <row r="16" customFormat="false" ht="15" hidden="false" customHeight="false" outlineLevel="0" collapsed="false">
      <c r="A16" s="5" t="s">
        <v>21</v>
      </c>
      <c r="B16" s="6" t="n">
        <v>58500000</v>
      </c>
      <c r="C16" s="7" t="n">
        <f aca="false">SQRT(SUMPRODUCT($I$6:$I$11,MMULT($B$40:$G$45,$I$6:$I$11)))-$B$13</f>
        <v>52145117.2349322</v>
      </c>
      <c r="D16" s="10" t="n">
        <f aca="false">C16/B16</f>
        <v>0.891369525383456</v>
      </c>
      <c r="E16" s="7" t="n">
        <f aca="false">SQRT(SUMPRODUCT($J$6:$J$11,MMULT($B$40:$G$45,$J$6:$J$11)))-$C$13</f>
        <v>52145117.2349322</v>
      </c>
      <c r="F16" s="10" t="n">
        <f aca="false">E16/B16</f>
        <v>0.891369525383456</v>
      </c>
      <c r="G16" s="8" t="n">
        <f aca="false">E16-C16</f>
        <v>0</v>
      </c>
    </row>
    <row r="17" customFormat="false" ht="15" hidden="false" customHeight="false" outlineLevel="0" collapsed="false">
      <c r="A17" s="5" t="s">
        <v>22</v>
      </c>
      <c r="B17" s="6" t="n">
        <v>73500000</v>
      </c>
      <c r="C17" s="7" t="n">
        <f aca="false">SQRT(SUMPRODUCT($K$6:$K$11,MMULT($B$40:$G$45,$K$6:$K$11)))-$B$13</f>
        <v>65631607.482249</v>
      </c>
      <c r="D17" s="10" t="n">
        <f aca="false">C17/B17</f>
        <v>0.892947040574817</v>
      </c>
      <c r="E17" s="7" t="n">
        <f aca="false">SQRT(SUMPRODUCT($L$6:$L$11,MMULT($B$40:$G$45,$L$6:$L$11)))-$C$13</f>
        <v>65631607.482249</v>
      </c>
      <c r="F17" s="10" t="n">
        <f aca="false">E17/B17</f>
        <v>0.892947040574817</v>
      </c>
      <c r="G17" s="8" t="n">
        <f aca="false">E17-C17</f>
        <v>0</v>
      </c>
    </row>
    <row r="18" customFormat="false" ht="15" hidden="false" customHeight="false" outlineLevel="0" collapsed="false">
      <c r="A18" s="5" t="s">
        <v>23</v>
      </c>
      <c r="B18" s="6" t="n">
        <v>37500000</v>
      </c>
      <c r="C18" s="7" t="n">
        <f aca="false">SQRT(SUMPRODUCT($M$6:$M$11,MMULT($B$40:$G$45,$M$6:$M$11)))-$B$13</f>
        <v>26717407.9155222</v>
      </c>
      <c r="D18" s="10" t="n">
        <f aca="false">C18/B18</f>
        <v>0.712464211080592</v>
      </c>
      <c r="E18" s="7" t="n">
        <f aca="false">SQRT(SUMPRODUCT($N$6:$N$11,MMULT($B$40:$G$45,$N$6:$N$11)))-$C$13</f>
        <v>35175048.7037512</v>
      </c>
      <c r="F18" s="10" t="n">
        <f aca="false">E18/B18</f>
        <v>0.938001298766699</v>
      </c>
      <c r="G18" s="8" t="n">
        <f aca="false">E18-C18</f>
        <v>8457640.78822899</v>
      </c>
    </row>
    <row r="19" customFormat="false" ht="15" hidden="false" customHeight="false" outlineLevel="0" collapsed="false">
      <c r="A19" s="5" t="s">
        <v>24</v>
      </c>
      <c r="B19" s="6" t="n">
        <v>28350000</v>
      </c>
      <c r="C19" s="7" t="n">
        <f aca="false">SQRT(SUMPRODUCT($O$6:$O$11,MMULT($B$40:$G$45,$O$6:$O$11)))-$B$13</f>
        <v>26575719.7202548</v>
      </c>
      <c r="D19" s="10" t="n">
        <f aca="false">C19/B19</f>
        <v>0.937415157680945</v>
      </c>
      <c r="E19" s="7" t="n">
        <f aca="false">SQRT(SUMPRODUCT($P$6:$P$11,MMULT($B$40:$G$45,$P$6:$P$11)))-$C$13</f>
        <v>20129793.3797592</v>
      </c>
      <c r="F19" s="10" t="n">
        <f aca="false">E19/B19</f>
        <v>0.710045621860994</v>
      </c>
      <c r="G19" s="8" t="n">
        <f aca="false">E19-C19</f>
        <v>-6445926.34049559</v>
      </c>
    </row>
    <row r="21" customFormat="false" ht="15" hidden="false" customHeight="false" outlineLevel="0" collapsed="false">
      <c r="A21" s="2" t="s">
        <v>25</v>
      </c>
    </row>
    <row r="23" customFormat="false" ht="15" hidden="false" customHeight="false" outlineLevel="0" collapsed="false">
      <c r="A23" s="3" t="s">
        <v>26</v>
      </c>
    </row>
    <row r="24" customFormat="false" ht="15" hidden="false" customHeight="false" outlineLevel="0" collapsed="false">
      <c r="A24" s="4" t="s">
        <v>15</v>
      </c>
      <c r="B24" s="4" t="s">
        <v>27</v>
      </c>
      <c r="C24" s="4" t="s">
        <v>28</v>
      </c>
      <c r="D24" s="4" t="s">
        <v>29</v>
      </c>
      <c r="E24" s="4" t="s">
        <v>30</v>
      </c>
      <c r="F24" s="4" t="s">
        <v>31</v>
      </c>
      <c r="G24" s="4" t="s">
        <v>32</v>
      </c>
    </row>
    <row r="25" customFormat="false" ht="15" hidden="false" customHeight="false" outlineLevel="0" collapsed="false">
      <c r="A25" s="5" t="str">
        <f aca="false">A16</f>
        <v>Listed equity fund</v>
      </c>
      <c r="B25" s="11" t="n">
        <v>150000000</v>
      </c>
      <c r="C25" s="12" t="n">
        <v>0.072</v>
      </c>
      <c r="D25" s="8" t="n">
        <f aca="false">B25*C25</f>
        <v>10800000</v>
      </c>
      <c r="E25" s="13" t="n">
        <f aca="false">D25/B16</f>
        <v>0.184615384615385</v>
      </c>
      <c r="F25" s="13" t="n">
        <f aca="false">D25/C16</f>
        <v>0.207114310460598</v>
      </c>
      <c r="G25" s="13" t="n">
        <f aca="false">D25/E16</f>
        <v>0.207114310460598</v>
      </c>
    </row>
    <row r="26" customFormat="false" ht="15" hidden="false" customHeight="false" outlineLevel="0" collapsed="false">
      <c r="A26" s="5" t="str">
        <f aca="false">A17</f>
        <v>Private equity fund</v>
      </c>
      <c r="B26" s="11" t="n">
        <v>150000000</v>
      </c>
      <c r="C26" s="12" t="n">
        <v>0.115</v>
      </c>
      <c r="D26" s="8" t="n">
        <f aca="false">B26*C26</f>
        <v>17250000</v>
      </c>
      <c r="E26" s="13" t="n">
        <f aca="false">D26/B17</f>
        <v>0.23469387755102</v>
      </c>
      <c r="F26" s="13" t="n">
        <f aca="false">D26/C17</f>
        <v>0.262830679633521</v>
      </c>
      <c r="G26" s="13" t="n">
        <f aca="false">D26/E17</f>
        <v>0.262830679633521</v>
      </c>
    </row>
    <row r="27" customFormat="false" ht="15" hidden="false" customHeight="false" outlineLevel="0" collapsed="false">
      <c r="A27" s="5" t="str">
        <f aca="false">A18</f>
        <v>Direct real estate fund</v>
      </c>
      <c r="B27" s="11" t="n">
        <v>150000000</v>
      </c>
      <c r="C27" s="12" t="n">
        <v>0.068</v>
      </c>
      <c r="D27" s="8" t="n">
        <f aca="false">B27*C27</f>
        <v>10200000</v>
      </c>
      <c r="E27" s="13" t="n">
        <f aca="false">D27/B18</f>
        <v>0.272</v>
      </c>
      <c r="F27" s="13" t="n">
        <f aca="false">D27/C18</f>
        <v>0.38177356247475</v>
      </c>
      <c r="G27" s="13" t="n">
        <f aca="false">D27/E18</f>
        <v>0.289978276530779</v>
      </c>
    </row>
    <row r="28" customFormat="false" ht="15" hidden="false" customHeight="false" outlineLevel="0" collapsed="false">
      <c r="A28" s="5" t="str">
        <f aca="false">A19</f>
        <v>Private credit fund</v>
      </c>
      <c r="B28" s="11" t="n">
        <v>150000000</v>
      </c>
      <c r="C28" s="12" t="n">
        <v>0.089</v>
      </c>
      <c r="D28" s="8" t="n">
        <f aca="false">B28*C28</f>
        <v>13350000</v>
      </c>
      <c r="E28" s="13" t="n">
        <f aca="false">D28/B19</f>
        <v>0.470899470899471</v>
      </c>
      <c r="F28" s="13" t="n">
        <f aca="false">D28/C19</f>
        <v>0.502338229802493</v>
      </c>
      <c r="G28" s="13" t="n">
        <f aca="false">D28/E19</f>
        <v>0.663196076986246</v>
      </c>
    </row>
    <row r="31" customFormat="false" ht="15" hidden="false" customHeight="false" outlineLevel="0" collapsed="false">
      <c r="A31" s="3" t="s">
        <v>33</v>
      </c>
      <c r="B31" s="4" t="s">
        <v>4</v>
      </c>
      <c r="C31" s="4" t="s">
        <v>34</v>
      </c>
    </row>
    <row r="32" customFormat="false" ht="15" hidden="false" customHeight="false" outlineLevel="0" collapsed="false">
      <c r="A32" s="5" t="s">
        <v>35</v>
      </c>
      <c r="B32" s="8" t="n">
        <f aca="false">SUM(C16:C19)</f>
        <v>171069852.352958</v>
      </c>
      <c r="C32" s="8" t="n">
        <f aca="false">SUM(E16:E19)</f>
        <v>173081566.800692</v>
      </c>
    </row>
    <row r="33" customFormat="false" ht="15" hidden="false" customHeight="false" outlineLevel="0" collapsed="false">
      <c r="A33" s="5" t="s">
        <v>36</v>
      </c>
      <c r="B33" s="8" t="n">
        <f aca="false">SQRT(SUMPRODUCT($Q$6:$Q$11,MMULT($B$40:$G$45,$Q$6:$Q$11)))-$B$13</f>
        <v>171939274.697903</v>
      </c>
      <c r="C33" s="8" t="n">
        <f aca="false">SQRT(SUMPRODUCT($R$6:$R$11,MMULT($B$40:$G$45,$R$6:$R$11)))-$C$13</f>
        <v>173732837.604334</v>
      </c>
    </row>
    <row r="34" customFormat="false" ht="15" hidden="false" customHeight="false" outlineLevel="0" collapsed="false">
      <c r="A34" s="5" t="s">
        <v>37</v>
      </c>
      <c r="B34" s="8" t="n">
        <f aca="false">B33-B32</f>
        <v>869422.344944477</v>
      </c>
      <c r="C34" s="8" t="n">
        <f aca="false">C33-C32</f>
        <v>651270.803642273</v>
      </c>
    </row>
    <row r="35" customFormat="false" ht="15" hidden="false" customHeight="false" outlineLevel="0" collapsed="false">
      <c r="A35" s="5" t="s">
        <v>38</v>
      </c>
      <c r="B35" s="13" t="n">
        <f aca="false">B34/B32</f>
        <v>0.00508226512729227</v>
      </c>
      <c r="C35" s="13" t="n">
        <f aca="false">C34/C32</f>
        <v>0.00376279701923562</v>
      </c>
    </row>
    <row r="36" customFormat="false" ht="15" hidden="false" customHeight="false" outlineLevel="0" collapsed="false">
      <c r="A36" s="5" t="s">
        <v>39</v>
      </c>
      <c r="B36" s="8" t="n">
        <f aca="false">B13+B33</f>
        <v>1083188417.35868</v>
      </c>
      <c r="C36" s="8" t="n">
        <f aca="false">C13+C33</f>
        <v>1084981980.26511</v>
      </c>
    </row>
    <row r="37" customFormat="false" ht="15" hidden="false" customHeight="false" outlineLevel="0" collapsed="false">
      <c r="A37" s="14" t="s">
        <v>40</v>
      </c>
    </row>
    <row r="39" customFormat="false" ht="15" hidden="false" customHeight="false" outlineLevel="0" collapsed="false">
      <c r="A39" s="3" t="s">
        <v>41</v>
      </c>
    </row>
    <row r="40" customFormat="false" ht="15" hidden="false" customHeight="false" outlineLevel="0" collapsed="false">
      <c r="A40" s="5" t="s">
        <v>8</v>
      </c>
      <c r="B40" s="15" t="n">
        <v>1</v>
      </c>
      <c r="C40" s="15" t="n">
        <v>0.5</v>
      </c>
      <c r="D40" s="15" t="n">
        <v>0.5</v>
      </c>
      <c r="E40" s="15" t="n">
        <v>0.5</v>
      </c>
      <c r="F40" s="15" t="n">
        <v>0.25</v>
      </c>
      <c r="G40" s="15" t="n">
        <v>0</v>
      </c>
    </row>
    <row r="41" customFormat="false" ht="15" hidden="false" customHeight="false" outlineLevel="0" collapsed="false">
      <c r="A41" s="5" t="s">
        <v>9</v>
      </c>
      <c r="B41" s="15" t="n">
        <v>0.5</v>
      </c>
      <c r="C41" s="15" t="n">
        <v>1</v>
      </c>
      <c r="D41" s="15" t="n">
        <v>0.75</v>
      </c>
      <c r="E41" s="15" t="n">
        <v>0.75</v>
      </c>
      <c r="F41" s="15" t="n">
        <v>0.25</v>
      </c>
      <c r="G41" s="15" t="n">
        <v>0</v>
      </c>
    </row>
    <row r="42" customFormat="false" ht="15" hidden="false" customHeight="false" outlineLevel="0" collapsed="false">
      <c r="A42" s="5" t="s">
        <v>10</v>
      </c>
      <c r="B42" s="15" t="n">
        <v>0.5</v>
      </c>
      <c r="C42" s="15" t="n">
        <v>0.75</v>
      </c>
      <c r="D42" s="15" t="n">
        <v>1</v>
      </c>
      <c r="E42" s="15" t="n">
        <v>0.5</v>
      </c>
      <c r="F42" s="15" t="n">
        <v>0.25</v>
      </c>
      <c r="G42" s="15" t="n">
        <v>0</v>
      </c>
    </row>
    <row r="43" customFormat="false" ht="15" hidden="false" customHeight="false" outlineLevel="0" collapsed="false">
      <c r="A43" s="5" t="s">
        <v>11</v>
      </c>
      <c r="B43" s="15" t="n">
        <v>0.5</v>
      </c>
      <c r="C43" s="15" t="n">
        <v>0.75</v>
      </c>
      <c r="D43" s="15" t="n">
        <v>0.5</v>
      </c>
      <c r="E43" s="15" t="n">
        <v>1</v>
      </c>
      <c r="F43" s="15" t="n">
        <v>0.25</v>
      </c>
      <c r="G43" s="15" t="n">
        <v>0</v>
      </c>
    </row>
    <row r="44" customFormat="false" ht="15" hidden="false" customHeight="false" outlineLevel="0" collapsed="false">
      <c r="A44" s="5" t="s">
        <v>12</v>
      </c>
      <c r="B44" s="15" t="n">
        <v>0.25</v>
      </c>
      <c r="C44" s="15" t="n">
        <v>0.25</v>
      </c>
      <c r="D44" s="15" t="n">
        <v>0.25</v>
      </c>
      <c r="E44" s="15" t="n">
        <v>0.25</v>
      </c>
      <c r="F44" s="15" t="n">
        <v>1</v>
      </c>
      <c r="G44" s="15" t="n">
        <v>0</v>
      </c>
    </row>
    <row r="45" customFormat="false" ht="15" hidden="false" customHeight="false" outlineLevel="0" collapsed="false">
      <c r="A45" s="5" t="s">
        <v>13</v>
      </c>
      <c r="B45" s="15" t="n">
        <v>0</v>
      </c>
      <c r="C45" s="15" t="n">
        <v>0</v>
      </c>
      <c r="D45" s="15" t="n">
        <v>0</v>
      </c>
      <c r="E45" s="15" t="n">
        <v>0</v>
      </c>
      <c r="F45" s="15" t="n">
        <v>0</v>
      </c>
      <c r="G45" s="15" t="n">
        <v>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3" min="2" style="0" width="18"/>
    <col collapsed="false" customWidth="true" hidden="false" outlineLevel="0" max="4" min="4" style="0" width="12"/>
    <col collapsed="false" customWidth="true" hidden="false" outlineLevel="0" max="5" min="5" style="0" width="10"/>
    <col collapsed="false" customWidth="true" hidden="false" outlineLevel="0" max="6" min="6" style="0" width="44"/>
  </cols>
  <sheetData>
    <row r="1" customFormat="false" ht="15" hidden="false" customHeight="false" outlineLevel="0" collapsed="false">
      <c r="A1" s="1" t="s">
        <v>42</v>
      </c>
    </row>
    <row r="2" customFormat="false" ht="15" hidden="false" customHeight="false" outlineLevel="0" collapsed="false">
      <c r="A2" s="14" t="s">
        <v>43</v>
      </c>
    </row>
    <row r="4" customFormat="false" ht="15" hidden="false" customHeight="false" outlineLevel="0" collapsed="false">
      <c r="A4" s="4" t="s">
        <v>44</v>
      </c>
      <c r="B4" s="4" t="s">
        <v>45</v>
      </c>
      <c r="C4" s="4" t="s">
        <v>46</v>
      </c>
      <c r="D4" s="4" t="s">
        <v>47</v>
      </c>
      <c r="E4" s="4" t="s">
        <v>48</v>
      </c>
      <c r="F4" s="4" t="s">
        <v>49</v>
      </c>
    </row>
    <row r="5" customFormat="false" ht="15" hidden="false" customHeight="false" outlineLevel="0" collapsed="false">
      <c r="A5" s="5" t="s">
        <v>14</v>
      </c>
      <c r="B5" s="8" t="n">
        <f aca="false">Marginal!B13</f>
        <v>911249142.660776</v>
      </c>
      <c r="C5" s="6" t="n">
        <v>911249142.660776</v>
      </c>
      <c r="D5" s="8" t="n">
        <f aca="false">IF(ISNUMBER(B5),B5-C5,"")</f>
        <v>0</v>
      </c>
      <c r="E5" s="3" t="str">
        <f aca="false">IF(ISNUMBER(B5),IF(ABS(B5-C5)&lt;=ABS(C5)*0.0002+0.000001,"OK","ECART"),"ECART")</f>
        <v>OK</v>
      </c>
      <c r="F5" s="14" t="s">
        <v>50</v>
      </c>
    </row>
    <row r="6" customFormat="false" ht="15" hidden="false" customHeight="false" outlineLevel="0" collapsed="false">
      <c r="A6" s="5" t="s">
        <v>51</v>
      </c>
      <c r="B6" s="8" t="n">
        <f aca="false">Marginal!C16</f>
        <v>52145117.2349322</v>
      </c>
      <c r="C6" s="6" t="n">
        <v>52145117.2349322</v>
      </c>
      <c r="D6" s="8" t="n">
        <f aca="false">IF(ISNUMBER(B6),B6-C6,"")</f>
        <v>0</v>
      </c>
      <c r="E6" s="3" t="str">
        <f aca="false">IF(ISNUMBER(B6),IF(ABS(B6-C6)&lt;=ABS(C6)*0.0002+0.000001,"OK","ECART"),"ECART")</f>
        <v>OK</v>
      </c>
      <c r="F6" s="14" t="s">
        <v>52</v>
      </c>
    </row>
    <row r="7" customFormat="false" ht="15" hidden="false" customHeight="false" outlineLevel="0" collapsed="false">
      <c r="A7" s="5" t="s">
        <v>53</v>
      </c>
      <c r="B7" s="13" t="n">
        <f aca="false">Marginal!D16</f>
        <v>0.891369525383456</v>
      </c>
      <c r="C7" s="16" t="n">
        <v>0.891369525383456</v>
      </c>
      <c r="D7" s="13" t="n">
        <f aca="false">IF(ISNUMBER(B7),B7-C7,"")</f>
        <v>0</v>
      </c>
      <c r="E7" s="3" t="str">
        <f aca="false">IF(ISNUMBER(B7),IF(ABS(B7-C7)&lt;=ABS(C7)*0.0002+0.000001,"OK","ECART"),"ECART")</f>
        <v>OK</v>
      </c>
      <c r="F7" s="14" t="s">
        <v>54</v>
      </c>
    </row>
    <row r="8" customFormat="false" ht="15" hidden="false" customHeight="false" outlineLevel="0" collapsed="false">
      <c r="A8" s="5" t="s">
        <v>55</v>
      </c>
      <c r="B8" s="8" t="n">
        <f aca="false">Marginal!E16</f>
        <v>52145117.2349322</v>
      </c>
      <c r="C8" s="6" t="n">
        <v>52145117.2349322</v>
      </c>
      <c r="D8" s="8" t="n">
        <f aca="false">IF(ISNUMBER(B8),B8-C8,"")</f>
        <v>0</v>
      </c>
      <c r="E8" s="3" t="str">
        <f aca="false">IF(ISNUMBER(B8),IF(ABS(B8-C8)&lt;=ABS(C8)*0.0002+0.000001,"OK","ECART"),"ECART")</f>
        <v>OK</v>
      </c>
      <c r="F8" s="14" t="s">
        <v>52</v>
      </c>
    </row>
    <row r="9" customFormat="false" ht="15" hidden="false" customHeight="false" outlineLevel="0" collapsed="false">
      <c r="A9" s="5" t="s">
        <v>56</v>
      </c>
      <c r="B9" s="13" t="n">
        <f aca="false">Marginal!F25</f>
        <v>0.207114310460598</v>
      </c>
      <c r="C9" s="16" t="n">
        <v>0.207114310460598</v>
      </c>
      <c r="D9" s="13" t="n">
        <f aca="false">IF(ISNUMBER(B9),B9-C9,"")</f>
        <v>0</v>
      </c>
      <c r="E9" s="3" t="str">
        <f aca="false">IF(ISNUMBER(B9),IF(ABS(B9-C9)&lt;=ABS(C9)*0.0002+0.000001,"OK","ECART"),"ECART")</f>
        <v>OK</v>
      </c>
      <c r="F9" s="14" t="s">
        <v>57</v>
      </c>
    </row>
    <row r="10" customFormat="false" ht="15" hidden="false" customHeight="false" outlineLevel="0" collapsed="false">
      <c r="A10" s="5" t="s">
        <v>58</v>
      </c>
      <c r="B10" s="8" t="n">
        <f aca="false">Marginal!C17</f>
        <v>65631607.482249</v>
      </c>
      <c r="C10" s="6" t="n">
        <v>65631607.482249</v>
      </c>
      <c r="D10" s="8" t="n">
        <f aca="false">IF(ISNUMBER(B10),B10-C10,"")</f>
        <v>0</v>
      </c>
      <c r="E10" s="3" t="str">
        <f aca="false">IF(ISNUMBER(B10),IF(ABS(B10-C10)&lt;=ABS(C10)*0.0002+0.000001,"OK","ECART"),"ECART")</f>
        <v>OK</v>
      </c>
      <c r="F10" s="14" t="s">
        <v>59</v>
      </c>
    </row>
    <row r="11" customFormat="false" ht="15" hidden="false" customHeight="false" outlineLevel="0" collapsed="false">
      <c r="A11" s="5" t="s">
        <v>53</v>
      </c>
      <c r="B11" s="13" t="n">
        <f aca="false">Marginal!D17</f>
        <v>0.892947040574817</v>
      </c>
      <c r="C11" s="16" t="n">
        <v>0.892947040574817</v>
      </c>
      <c r="D11" s="13" t="n">
        <f aca="false">IF(ISNUMBER(B11),B11-C11,"")</f>
        <v>0</v>
      </c>
      <c r="E11" s="3" t="str">
        <f aca="false">IF(ISNUMBER(B11),IF(ABS(B11-C11)&lt;=ABS(C11)*0.0002+0.000001,"OK","ECART"),"ECART")</f>
        <v>OK</v>
      </c>
      <c r="F11" s="14" t="s">
        <v>60</v>
      </c>
    </row>
    <row r="12" customFormat="false" ht="15" hidden="false" customHeight="false" outlineLevel="0" collapsed="false">
      <c r="A12" s="5" t="s">
        <v>61</v>
      </c>
      <c r="B12" s="8" t="n">
        <f aca="false">Marginal!E17</f>
        <v>65631607.482249</v>
      </c>
      <c r="C12" s="6" t="n">
        <v>65631607.482249</v>
      </c>
      <c r="D12" s="8" t="n">
        <f aca="false">IF(ISNUMBER(B12),B12-C12,"")</f>
        <v>0</v>
      </c>
      <c r="E12" s="3" t="str">
        <f aca="false">IF(ISNUMBER(B12),IF(ABS(B12-C12)&lt;=ABS(C12)*0.0002+0.000001,"OK","ECART"),"ECART")</f>
        <v>OK</v>
      </c>
      <c r="F12" s="14" t="s">
        <v>59</v>
      </c>
    </row>
    <row r="13" customFormat="false" ht="15" hidden="false" customHeight="false" outlineLevel="0" collapsed="false">
      <c r="A13" s="5" t="s">
        <v>62</v>
      </c>
      <c r="B13" s="13" t="n">
        <f aca="false">Marginal!F26</f>
        <v>0.262830679633521</v>
      </c>
      <c r="C13" s="16" t="n">
        <v>0.262830679633521</v>
      </c>
      <c r="D13" s="13" t="n">
        <f aca="false">IF(ISNUMBER(B13),B13-C13,"")</f>
        <v>0</v>
      </c>
      <c r="E13" s="3" t="str">
        <f aca="false">IF(ISNUMBER(B13),IF(ABS(B13-C13)&lt;=ABS(C13)*0.0002+0.000001,"OK","ECART"),"ECART")</f>
        <v>OK</v>
      </c>
      <c r="F13" s="14" t="s">
        <v>63</v>
      </c>
    </row>
    <row r="14" customFormat="false" ht="15" hidden="false" customHeight="false" outlineLevel="0" collapsed="false">
      <c r="A14" s="5" t="s">
        <v>64</v>
      </c>
      <c r="B14" s="8" t="n">
        <f aca="false">Marginal!C18</f>
        <v>26717407.9155222</v>
      </c>
      <c r="C14" s="6" t="n">
        <v>26717407.9155222</v>
      </c>
      <c r="D14" s="8" t="n">
        <f aca="false">IF(ISNUMBER(B14),B14-C14,"")</f>
        <v>0</v>
      </c>
      <c r="E14" s="3" t="str">
        <f aca="false">IF(ISNUMBER(B14),IF(ABS(B14-C14)&lt;=ABS(C14)*0.0002+0.000001,"OK","ECART"),"ECART")</f>
        <v>OK</v>
      </c>
      <c r="F14" s="14" t="s">
        <v>65</v>
      </c>
    </row>
    <row r="15" customFormat="false" ht="15" hidden="false" customHeight="false" outlineLevel="0" collapsed="false">
      <c r="A15" s="5" t="s">
        <v>53</v>
      </c>
      <c r="B15" s="13" t="n">
        <f aca="false">Marginal!D18</f>
        <v>0.712464211080592</v>
      </c>
      <c r="C15" s="16" t="n">
        <v>0.712464211080592</v>
      </c>
      <c r="D15" s="13" t="n">
        <f aca="false">IF(ISNUMBER(B15),B15-C15,"")</f>
        <v>0</v>
      </c>
      <c r="E15" s="3" t="str">
        <f aca="false">IF(ISNUMBER(B15),IF(ABS(B15-C15)&lt;=ABS(C15)*0.0002+0.000001,"OK","ECART"),"ECART")</f>
        <v>OK</v>
      </c>
      <c r="F15" s="14" t="s">
        <v>66</v>
      </c>
    </row>
    <row r="16" customFormat="false" ht="15" hidden="false" customHeight="false" outlineLevel="0" collapsed="false">
      <c r="A16" s="5" t="s">
        <v>67</v>
      </c>
      <c r="B16" s="8" t="n">
        <f aca="false">Marginal!E18</f>
        <v>35175048.7037512</v>
      </c>
      <c r="C16" s="6" t="n">
        <v>35175048.7037512</v>
      </c>
      <c r="D16" s="8" t="n">
        <f aca="false">IF(ISNUMBER(B16),B16-C16,"")</f>
        <v>0</v>
      </c>
      <c r="E16" s="3" t="str">
        <f aca="false">IF(ISNUMBER(B16),IF(ABS(B16-C16)&lt;=ABS(C16)*0.0002+0.000001,"OK","ECART"),"ECART")</f>
        <v>OK</v>
      </c>
      <c r="F16" s="14" t="s">
        <v>68</v>
      </c>
    </row>
    <row r="17" customFormat="false" ht="15" hidden="false" customHeight="false" outlineLevel="0" collapsed="false">
      <c r="A17" s="5" t="s">
        <v>69</v>
      </c>
      <c r="B17" s="13" t="n">
        <f aca="false">Marginal!F27</f>
        <v>0.38177356247475</v>
      </c>
      <c r="C17" s="16" t="n">
        <v>0.38177356247475</v>
      </c>
      <c r="D17" s="13" t="n">
        <f aca="false">IF(ISNUMBER(B17),B17-C17,"")</f>
        <v>0</v>
      </c>
      <c r="E17" s="3" t="str">
        <f aca="false">IF(ISNUMBER(B17),IF(ABS(B17-C17)&lt;=ABS(C17)*0.0002+0.000001,"OK","ECART"),"ECART")</f>
        <v>OK</v>
      </c>
      <c r="F17" s="14" t="s">
        <v>70</v>
      </c>
    </row>
    <row r="18" customFormat="false" ht="15" hidden="false" customHeight="false" outlineLevel="0" collapsed="false">
      <c r="A18" s="5" t="s">
        <v>71</v>
      </c>
      <c r="B18" s="8" t="n">
        <f aca="false">Marginal!C19</f>
        <v>26575719.7202548</v>
      </c>
      <c r="C18" s="6" t="n">
        <v>26575719.7202548</v>
      </c>
      <c r="D18" s="8" t="n">
        <f aca="false">IF(ISNUMBER(B18),B18-C18,"")</f>
        <v>0</v>
      </c>
      <c r="E18" s="3" t="str">
        <f aca="false">IF(ISNUMBER(B18),IF(ABS(B18-C18)&lt;=ABS(C18)*0.0002+0.000001,"OK","ECART"),"ECART")</f>
        <v>OK</v>
      </c>
      <c r="F18" s="14" t="s">
        <v>72</v>
      </c>
    </row>
    <row r="19" customFormat="false" ht="15" hidden="false" customHeight="false" outlineLevel="0" collapsed="false">
      <c r="A19" s="5" t="s">
        <v>53</v>
      </c>
      <c r="B19" s="13" t="n">
        <f aca="false">Marginal!D19</f>
        <v>0.937415157680945</v>
      </c>
      <c r="C19" s="16" t="n">
        <v>0.937415157680945</v>
      </c>
      <c r="D19" s="13" t="n">
        <f aca="false">IF(ISNUMBER(B19),B19-C19,"")</f>
        <v>0</v>
      </c>
      <c r="E19" s="3" t="str">
        <f aca="false">IF(ISNUMBER(B19),IF(ABS(B19-C19)&lt;=ABS(C19)*0.0002+0.000001,"OK","ECART"),"ECART")</f>
        <v>OK</v>
      </c>
      <c r="F19" s="14" t="s">
        <v>73</v>
      </c>
    </row>
    <row r="20" customFormat="false" ht="15" hidden="false" customHeight="false" outlineLevel="0" collapsed="false">
      <c r="A20" s="5" t="s">
        <v>74</v>
      </c>
      <c r="B20" s="8" t="n">
        <f aca="false">Marginal!E19</f>
        <v>20129793.3797592</v>
      </c>
      <c r="C20" s="6" t="n">
        <v>20129793.3797592</v>
      </c>
      <c r="D20" s="8" t="n">
        <f aca="false">IF(ISNUMBER(B20),B20-C20,"")</f>
        <v>0</v>
      </c>
      <c r="E20" s="3" t="str">
        <f aca="false">IF(ISNUMBER(B20),IF(ABS(B20-C20)&lt;=ABS(C20)*0.0002+0.000001,"OK","ECART"),"ECART")</f>
        <v>OK</v>
      </c>
      <c r="F20" s="14" t="s">
        <v>75</v>
      </c>
    </row>
    <row r="21" customFormat="false" ht="15" hidden="false" customHeight="false" outlineLevel="0" collapsed="false">
      <c r="A21" s="5" t="s">
        <v>76</v>
      </c>
      <c r="B21" s="13" t="n">
        <f aca="false">Marginal!F28</f>
        <v>0.502338229802493</v>
      </c>
      <c r="C21" s="16" t="n">
        <v>0.502338229802493</v>
      </c>
      <c r="D21" s="13" t="n">
        <f aca="false">IF(ISNUMBER(B21),B21-C21,"")</f>
        <v>0</v>
      </c>
      <c r="E21" s="3" t="str">
        <f aca="false">IF(ISNUMBER(B21),IF(ABS(B21-C21)&lt;=ABS(C21)*0.0002+0.000001,"OK","ECART"),"ECART")</f>
        <v>OK</v>
      </c>
      <c r="F21" s="14" t="s">
        <v>77</v>
      </c>
    </row>
    <row r="22" customFormat="false" ht="15" hidden="false" customHeight="false" outlineLevel="0" collapsed="false">
      <c r="A22" s="5" t="s">
        <v>78</v>
      </c>
      <c r="B22" s="8" t="n">
        <f aca="false">Marginal!G18</f>
        <v>8457640.78822899</v>
      </c>
      <c r="C22" s="6" t="n">
        <v>8457640.78822899</v>
      </c>
      <c r="D22" s="8" t="n">
        <f aca="false">IF(ISNUMBER(B22),B22-C22,"")</f>
        <v>0</v>
      </c>
      <c r="E22" s="3" t="str">
        <f aca="false">IF(ISNUMBER(B22),IF(ABS(B22-C22)&lt;=ABS(C22)*0.0002+0.000001,"OK","ECART"),"ECART")</f>
        <v>OK</v>
      </c>
      <c r="F22" s="14" t="s">
        <v>79</v>
      </c>
    </row>
    <row r="23" customFormat="false" ht="15" hidden="false" customHeight="false" outlineLevel="0" collapsed="false">
      <c r="A23" s="5" t="s">
        <v>80</v>
      </c>
      <c r="B23" s="8" t="n">
        <f aca="false">Marginal!G19</f>
        <v>-6445926.34049559</v>
      </c>
      <c r="C23" s="6" t="n">
        <v>-6445926.34049559</v>
      </c>
      <c r="D23" s="8" t="n">
        <f aca="false">IF(ISNUMBER(B23),B23-C23,"")</f>
        <v>0</v>
      </c>
      <c r="E23" s="3" t="str">
        <f aca="false">IF(ISNUMBER(B23),IF(ABS(B23-C23)&lt;=ABS(C23)*0.0002+0.000001,"OK","ECART"),"ECART")</f>
        <v>OK</v>
      </c>
      <c r="F23" s="14" t="s">
        <v>81</v>
      </c>
    </row>
    <row r="24" customFormat="false" ht="15" hidden="false" customHeight="false" outlineLevel="0" collapsed="false">
      <c r="A24" s="5" t="s">
        <v>82</v>
      </c>
      <c r="B24" s="8" t="n">
        <f aca="false">Marginal!B32</f>
        <v>171069852.352958</v>
      </c>
      <c r="C24" s="6" t="n">
        <v>171069852.352958</v>
      </c>
      <c r="D24" s="8" t="n">
        <f aca="false">IF(ISNUMBER(B24),B24-C24,"")</f>
        <v>0</v>
      </c>
      <c r="E24" s="3" t="str">
        <f aca="false">IF(ISNUMBER(B24),IF(ABS(B24-C24)&lt;=ABS(C24)*0.0002+0.000001,"OK","ECART"),"ECART")</f>
        <v>OK</v>
      </c>
      <c r="F24" s="14" t="s">
        <v>83</v>
      </c>
    </row>
    <row r="25" customFormat="false" ht="15" hidden="false" customHeight="false" outlineLevel="0" collapsed="false">
      <c r="A25" s="5" t="s">
        <v>84</v>
      </c>
      <c r="B25" s="8" t="n">
        <f aca="false">Marginal!B33</f>
        <v>171939274.697903</v>
      </c>
      <c r="C25" s="6" t="n">
        <v>171939274.697903</v>
      </c>
      <c r="D25" s="8" t="n">
        <f aca="false">IF(ISNUMBER(B25),B25-C25,"")</f>
        <v>0</v>
      </c>
      <c r="E25" s="3" t="str">
        <f aca="false">IF(ISNUMBER(B25),IF(ABS(B25-C25)&lt;=ABS(C25)*0.0002+0.000001,"OK","ECART"),"ECART")</f>
        <v>OK</v>
      </c>
      <c r="F25" s="14" t="s">
        <v>85</v>
      </c>
    </row>
    <row r="26" customFormat="false" ht="15" hidden="false" customHeight="false" outlineLevel="0" collapsed="false">
      <c r="A26" s="5" t="s">
        <v>86</v>
      </c>
      <c r="B26" s="8" t="n">
        <f aca="false">Marginal!B34</f>
        <v>869422.344944477</v>
      </c>
      <c r="C26" s="6" t="n">
        <v>869422.344944477</v>
      </c>
      <c r="D26" s="8" t="n">
        <f aca="false">IF(ISNUMBER(B26),B26-C26,"")</f>
        <v>0</v>
      </c>
      <c r="E26" s="3" t="str">
        <f aca="false">IF(ISNUMBER(B26),IF(ABS(B26-C26)&lt;=ABS(C26)*0.0002+0.000001,"OK","ECART"),"ECART")</f>
        <v>OK</v>
      </c>
      <c r="F26" s="14" t="s">
        <v>87</v>
      </c>
    </row>
    <row r="27" customFormat="false" ht="15" hidden="false" customHeight="false" outlineLevel="0" collapsed="false">
      <c r="A27" s="5" t="s">
        <v>88</v>
      </c>
      <c r="B27" s="13" t="n">
        <f aca="false">Marginal!B35</f>
        <v>0.00508226512729227</v>
      </c>
      <c r="C27" s="16" t="n">
        <v>0.00508226512729227</v>
      </c>
      <c r="D27" s="13" t="n">
        <f aca="false">IF(ISNUMBER(B27),B27-C27,"")</f>
        <v>0</v>
      </c>
      <c r="E27" s="3" t="str">
        <f aca="false">IF(ISNUMBER(B27),IF(ABS(B27-C27)&lt;=ABS(C27)*0.0002+0.000001,"OK","ECART"),"ECART")</f>
        <v>OK</v>
      </c>
      <c r="F27" s="14" t="s">
        <v>89</v>
      </c>
    </row>
    <row r="28" customFormat="false" ht="15" hidden="false" customHeight="false" outlineLevel="0" collapsed="false">
      <c r="A28" s="5" t="s">
        <v>90</v>
      </c>
      <c r="B28" s="8" t="n">
        <f aca="false">Marginal!B36</f>
        <v>1083188417.35868</v>
      </c>
      <c r="C28" s="6" t="n">
        <v>1083188417.35868</v>
      </c>
      <c r="D28" s="8" t="n">
        <f aca="false">IF(ISNUMBER(B28),B28-C28,"")</f>
        <v>0</v>
      </c>
      <c r="E28" s="3" t="str">
        <f aca="false">IF(ISNUMBER(B28),IF(ABS(B28-C28)&lt;=ABS(C28)*0.0002+0.000001,"OK","ECART"),"ECART")</f>
        <v>OK</v>
      </c>
      <c r="F28" s="14" t="s">
        <v>91</v>
      </c>
    </row>
    <row r="29" customFormat="false" ht="15" hidden="false" customHeight="false" outlineLevel="0" collapsed="false">
      <c r="A29" s="5" t="s">
        <v>92</v>
      </c>
      <c r="B29" s="17" t="n">
        <f aca="false">IF(AND(RANK(Marginal!E25,Marginal!E25:E28)=RANK(Marginal!F25,Marginal!F25:F28),RANK(Marginal!E26,Marginal!E25:E28)=RANK(Marginal!F26,Marginal!F25:F28),RANK(Marginal!E27,Marginal!E25:E28)=RANK(Marginal!F27,Marginal!F25:F28),RANK(Marginal!E28,Marginal!E25:E28)=RANK(Marginal!F28,Marginal!F25:F28)),1,0)</f>
        <v>1</v>
      </c>
      <c r="C29" s="18" t="n">
        <v>1</v>
      </c>
      <c r="D29" s="17" t="n">
        <f aca="false">B29-C29</f>
        <v>0</v>
      </c>
      <c r="E29" s="3" t="str">
        <f aca="false">IF(B29=1,"OK","ECART")</f>
        <v>OK</v>
      </c>
      <c r="F29" s="14" t="s">
        <v>93</v>
      </c>
    </row>
    <row r="30" customFormat="false" ht="15" hidden="false" customHeight="false" outlineLevel="0" collapsed="false">
      <c r="A30" s="5" t="s">
        <v>94</v>
      </c>
      <c r="B30" s="17" t="n">
        <f aca="false">IF(AND(Marginal!D16&lt;=1,Marginal!D17&lt;=1,Marginal!D18&lt;=1,Marginal!D19&lt;=1,Marginal!F16&lt;=1,Marginal!F17&lt;=1,Marginal!F18&lt;=1,Marginal!F19&lt;=1),1,0)</f>
        <v>1</v>
      </c>
      <c r="C30" s="18" t="n">
        <v>1</v>
      </c>
      <c r="D30" s="17" t="n">
        <f aca="false">B30-C30</f>
        <v>0</v>
      </c>
      <c r="E30" s="3" t="str">
        <f aca="false">IF(B30=1,"OK","ECART")</f>
        <v>OK</v>
      </c>
      <c r="F30" s="14" t="s">
        <v>95</v>
      </c>
    </row>
    <row r="32" customFormat="false" ht="15" hidden="false" customHeight="false" outlineLevel="0" collapsed="false">
      <c r="A32" s="3" t="s">
        <v>96</v>
      </c>
      <c r="B32" s="19" t="n">
        <f aca="false">COUNTIF(E5:E30,"ECART")</f>
        <v>0</v>
      </c>
    </row>
    <row r="33" customFormat="false" ht="15" hidden="false" customHeight="false" outlineLevel="0" collapsed="false">
      <c r="A33" s="3" t="s">
        <v>97</v>
      </c>
      <c r="B33" s="3" t="str">
        <f aca="false">IF(B32=0,"ALL OK",B32&amp;" failing")</f>
        <v>ALL 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2026-08-27T05:06:51Z</dcterms:created>
  <dc:creator>openpyxl</dc:creator>
  <dc:description/>
  <dc:language>en-US</dc:language>
  <cp:lastModifiedBy/>
  <dcterms:modified xsi:type="dcterms:W3CDTF">2026-09-23T22:37:01Z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