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Cash flows" sheetId="2" state="visible" r:id="rId4"/>
    <sheet name="2. Multiples" sheetId="3" state="visible" r:id="rId5"/>
    <sheet name="3. The two rates" sheetId="4" state="visible" r:id="rId6"/>
    <sheet name="4. Other lenses" sheetId="5" state="visible" r:id="rId7"/>
    <sheet name="5. Subscription line" sheetId="6" state="visible" r:id="rId8"/>
    <sheet name="6. 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<sst xmlns="http://schemas.openxmlformats.org/spreadsheetml/2006/main" count="142" uniqueCount="130">
  <si>
    <t xml:space="preserve">Reading a Fund's Numbers, End to End</t>
  </si>
  <si>
    <t xml:space="preserve">Appendix J of Private Equity Investor Relations, live. Every figure the appendix prints is a formula here. Revised 22 September 2026: one figure of the appendix is corrected, see sheet 4.</t>
  </si>
  <si>
    <t xml:space="preserve">Meridian Growth Partners III: 300 million of commitments, vintage 2018, eight years of cash flows, and a remaining portfolio carried at 145. Nothing about the flows is designed to make a point — that is what makes the spread between the measures worth looking at. It is not a pathological fund. It is a competent one in mid-life, and the measures still disagree by eleven percentage points.</t>
  </si>
  <si>
    <t xml:space="preserve">The gap that matters</t>
  </si>
  <si>
    <t xml:space="preserve">The rate of return on the full series, treating the closing valuation as a sale, is 18.04 per cent. Strip the valuation out and compute on realised cash alone and it is 7.12 per cent. That gap is the size of the question every experienced limited partner is really asking when they ask how confident the firm is in its marks.</t>
  </si>
  <si>
    <t xml:space="preserve">An investor relations professional who volunteers the second number before it is requested has done something unusual. One who is surprised by it in a meeting has not read their own report. Sheet 3 puts both on the same screen so neither can be reached for without the other.</t>
  </si>
  <si>
    <t xml:space="preserve">Four other ways to say the same thing</t>
  </si>
  <si>
    <t xml:space="preserve">Sheet 4 runs the same fund through the measures a limited partner will actually apply. Since inception, 18.04 per cent. Over the last three harvest years alone, measured from the firm's own 2022 valuation, 20.14 per cent: two points above since inception, not twenty-two. The first edition of the book prints 40.49, which solves the three-year window as if it lasted two; sheet 4 shows both. Against a nine per cent public index, a public market equivalent of 1.323 times, materially less flattering than 1.784 times of total value, and the number an investor with a funded obligation is really weighing.</t>
  </si>
  <si>
    <t xml:space="preserve">And the subscription line. Delay the first two years of calls by six months at four per cent and the rate rises about 1.2 points, to 19.20 per cent on actual days or 19.23 on whole years, while the multiple falls from 1.784 to 1.770 because the 2.1 million of interest is real money. Both are correct, both belong in the report, and the second is the one that goes missing.</t>
  </si>
  <si>
    <t xml:space="preserve">What to try</t>
  </si>
  <si>
    <t xml:space="preserve">Change one distribution on sheet 1 and watch DPI and the realised rate move while total value barely shifts: the difference between value created and value returned, in one keystroke. Then push the subscription line from six months to eighteen on sheet 1 and read sheet 5: the rate gain grows faster than the delay, and the multiple loss grows with it. A longer draw does not make the effect smaller. It makes more of the headline rate a matter of timing.</t>
  </si>
  <si>
    <t xml:space="preserve">What it does not do</t>
  </si>
  <si>
    <t xml:space="preserve">No fee model, no carry waterfall, no capital-account mechanics, no quarterly granularity. Every figure is net to the limited partner because that is the only basis on which one fund compares with another.</t>
  </si>
  <si>
    <t xml:space="preserve">The sheets</t>
  </si>
  <si>
    <t xml:space="preserve">1. Cash flows — the eight years. Amber cells are yours.</t>
  </si>
  <si>
    <t xml:space="preserve">2. Multiples — DPI, RVPI, TVPI, and what each one answers.</t>
  </si>
  <si>
    <t xml:space="preserve">3. The two rates — with the valuation, and on realised cash alone.</t>
  </si>
  <si>
    <t xml:space="preserve">4. Other lenses — point to point, public market equivalent, undrawn commitment.</t>
  </si>
  <si>
    <t xml:space="preserve">5. Subscription line — the rate it buys and the multiple it costs.</t>
  </si>
  <si>
    <t xml:space="preserve">6. Checks: thirteen controls that test themselves and say so.</t>
  </si>
  <si>
    <t xml:space="preserve">Nothing is locked, protected or watermarked. Break it and rebuild it.</t>
  </si>
  <si>
    <t xml:space="preserve">Year</t>
  </si>
  <si>
    <t xml:space="preserve">Called</t>
  </si>
  <si>
    <t xml:space="preserve">Distributed</t>
  </si>
  <si>
    <t xml:space="preserve">Net to LP</t>
  </si>
  <si>
    <t xml:space="preserve">Cumul. called</t>
  </si>
  <si>
    <t xml:space="preserve">Cumul. distributed</t>
  </si>
  <si>
    <t xml:space="preserve">Commitment</t>
  </si>
  <si>
    <t xml:space="preserve">Closing NAV</t>
  </si>
  <si>
    <t xml:space="preserve">NAV at end 2022</t>
  </si>
  <si>
    <t xml:space="preserve">Public index, a year</t>
  </si>
  <si>
    <t xml:space="preserve">Cost of the line</t>
  </si>
  <si>
    <t xml:space="preserve">Call deferral, months</t>
  </si>
  <si>
    <t xml:space="preserve">Every value here is net to the investor — after management fee, fund expenses and carried interest. It is the only basis on which one fund compares with another.</t>
  </si>
  <si>
    <t xml:space="preserve">The three multiples</t>
  </si>
  <si>
    <t xml:space="preserve">Value</t>
  </si>
  <si>
    <t xml:space="preserve">What it answers</t>
  </si>
  <si>
    <t xml:space="preserve">Net asset value</t>
  </si>
  <si>
    <t xml:space="preserve">DPI — distributions to paid-in</t>
  </si>
  <si>
    <t xml:space="preserve">The only measure here that describes money actually received.</t>
  </si>
  <si>
    <t xml:space="preserve">RVPI — residual value to paid-in</t>
  </si>
  <si>
    <t xml:space="preserve">An estimate of what remains, at a valuation the firm produced.</t>
  </si>
  <si>
    <t xml:space="preserve">TVPI — total value to paid-in</t>
  </si>
  <si>
    <t xml:space="preserve">Share of total value that is realised</t>
  </si>
  <si>
    <t xml:space="preserve">Share that rests on the firm's own marks</t>
  </si>
  <si>
    <t xml:space="preserve">The first thing a sophisticated investor computes.</t>
  </si>
  <si>
    <t xml:space="preserve">A fund at this point in its life should still hold assets, so a high unrealised share is not a criticism. It is a question, and it is better answered before it is asked.</t>
  </si>
  <si>
    <t xml:space="preserve">With closing NAV</t>
  </si>
  <si>
    <t xml:space="preserve">Realised only</t>
  </si>
  <si>
    <t xml:space="preserve">Net IRR, valuation treated as a sale</t>
  </si>
  <si>
    <t xml:space="preserve">Net IRR on realised cash alone</t>
  </si>
  <si>
    <t xml:space="preserve">The gap, in percentage points</t>
  </si>
  <si>
    <t xml:space="preserve">The second column asks what an investor would have earned if the remaining portfolio turned out to be worth nothing. Nobody expects that. The number is still the honest floor, and an investor who has to compute it themselves will wonder why they had to.</t>
  </si>
  <si>
    <t xml:space="preserve">Point to point — the last three years</t>
  </si>
  <si>
    <t xml:space="preserve">Opening valuation, end 2022</t>
  </si>
  <si>
    <t xml:space="preserve">Set by the firm, not by a buyer.</t>
  </si>
  <si>
    <t xml:space="preserve">The same flows, misdated</t>
  </si>
  <si>
    <t xml:space="preserve">End 2022: the opening valuation, as capital put at risk</t>
  </si>
  <si>
    <t xml:space="preserve">The start of the window.</t>
  </si>
  <si>
    <t xml:space="preserve">End 2023: the year's flows</t>
  </si>
  <si>
    <t xml:space="preserve">End 2024: the year's flows</t>
  </si>
  <si>
    <t xml:space="preserve">End 2025: the year's flows plus the closing valuation</t>
  </si>
  <si>
    <t xml:space="preserve">Three years after the opening date.</t>
  </si>
  <si>
    <t xml:space="preserve">IRR over the window, three years</t>
  </si>
  <si>
    <t xml:space="preserve">Since inception, for comparison</t>
  </si>
  <si>
    <t xml:space="preserve">Difference, in percentage points</t>
  </si>
  <si>
    <t xml:space="preserve">Both are true. Only one describes the investor's own commitment.</t>
  </si>
  <si>
    <t xml:space="preserve">What the first edition of the book prints: the same flows squeezed into two years</t>
  </si>
  <si>
    <t xml:space="preserve">Wrong. The 2023 flows are dated at the opening valuation, so a three-year window is solved as two.</t>
  </si>
  <si>
    <t xml:space="preserve">Public market equivalent</t>
  </si>
  <si>
    <t xml:space="preserve">Index return assumed</t>
  </si>
  <si>
    <t xml:space="preserve">Calls compounded to the end</t>
  </si>
  <si>
    <t xml:space="preserve">Distributions compounded to the end</t>
  </si>
  <si>
    <t xml:space="preserve">Above one means the fund beat the index on the same cash flows.</t>
  </si>
  <si>
    <t xml:space="preserve">Total value to paid-in, for comparison</t>
  </si>
  <si>
    <t xml:space="preserve">The multiple asks what the fund returned. The public market equivalent asks whether the illiquidity was worth accepting. An investor with a funded obligation is asking the second, whatever they say out loud.</t>
  </si>
  <si>
    <t xml:space="preserve">The commitment nobody counts</t>
  </si>
  <si>
    <t xml:space="preserve">Undrawn</t>
  </si>
  <si>
    <t xml:space="preserve">An obligation the investor still carries, and it appears in none of the measures above.</t>
  </si>
  <si>
    <t xml:space="preserve">Share called</t>
  </si>
  <si>
    <t xml:space="preserve">Two funds at different call rates are not comparable on multiples alone.</t>
  </si>
  <si>
    <t xml:space="preserve">Flow</t>
  </si>
  <si>
    <t xml:space="preserve">Date</t>
  </si>
  <si>
    <t xml:space="preserve">Without the line</t>
  </si>
  <si>
    <t xml:space="preserve">With the line</t>
  </si>
  <si>
    <t xml:space="preserve">Date with the line</t>
  </si>
  <si>
    <t xml:space="preserve">Whole years, no line</t>
  </si>
  <si>
    <t xml:space="preserve">Whole years, with the line</t>
  </si>
  <si>
    <t xml:space="preserve">2018 — call</t>
  </si>
  <si>
    <t xml:space="preserve">Delayed by the facility, and grossed up for interest.</t>
  </si>
  <si>
    <t xml:space="preserve">2019 — call</t>
  </si>
  <si>
    <t xml:space="preserve">2020 — call</t>
  </si>
  <si>
    <t xml:space="preserve">2021 — call</t>
  </si>
  <si>
    <t xml:space="preserve">2022 — call</t>
  </si>
  <si>
    <t xml:space="preserve">2023 — call</t>
  </si>
  <si>
    <t xml:space="preserve">2024 — call</t>
  </si>
  <si>
    <t xml:space="preserve">2025 — call</t>
  </si>
  <si>
    <t xml:space="preserve">2020 — distribution</t>
  </si>
  <si>
    <t xml:space="preserve">2021 — distribution</t>
  </si>
  <si>
    <t xml:space="preserve">2022 — distribution</t>
  </si>
  <si>
    <t xml:space="preserve">2023 — distribution</t>
  </si>
  <si>
    <t xml:space="preserve">2024 — distribution</t>
  </si>
  <si>
    <t xml:space="preserve">2025 — distribution</t>
  </si>
  <si>
    <t xml:space="preserve">Closing valuation</t>
  </si>
  <si>
    <t xml:space="preserve">Net IRR</t>
  </si>
  <si>
    <t xml:space="preserve">Total called</t>
  </si>
  <si>
    <t xml:space="preserve">Total value to paid-in</t>
  </si>
  <si>
    <t xml:space="preserve">Interest paid</t>
  </si>
  <si>
    <t xml:space="preserve">IRR gained, in percentage points</t>
  </si>
  <si>
    <t xml:space="preserve">Multiple lost</t>
  </si>
  <si>
    <t xml:space="preserve">Net IRR, discounted on whole years</t>
  </si>
  <si>
    <t xml:space="preserve">IRR gained on whole years, in percentage points</t>
  </si>
  <si>
    <t xml:space="preserve">Exact, not approximated: the calls are re-dated and the series is discounted two ways, on actual days (row 18) and on whole years (row 25). The two differ by a few hundredths of a point. Change "Call deferral" on sheet 1 from 6 to 18 months: the rate gain does not flatten, it grows faster than the delay, to 4.24 points, while the multiple loss nearly triples. The longer the line is drawn, the more of the reported rate is timing.</t>
  </si>
  <si>
    <t xml:space="preserve">The rate improves and the multiple deteriorates on the same portfolio, because the interest is a cost and the timing is not. Both effects are correct and both belong in the report. The second is the one that goes missing.</t>
  </si>
  <si>
    <t xml:space="preserve">#</t>
  </si>
  <si>
    <t xml:space="preserve">What is tested</t>
  </si>
  <si>
    <t xml:space="preserve">Verdict</t>
  </si>
  <si>
    <t xml:space="preserve">Cumulative calls reconcile with the sum of the yearly calls</t>
  </si>
  <si>
    <t xml:space="preserve">Total value to paid-in is the sum of its two parts, not an independent figure</t>
  </si>
  <si>
    <t xml:space="preserve">DPI reproduces the appendix's 1.216</t>
  </si>
  <si>
    <t xml:space="preserve">Total value to paid-in reproduces the appendix's 1.784</t>
  </si>
  <si>
    <t xml:space="preserve">Net IRR with the valuation reproduces the appendix's 18.04 per cent</t>
  </si>
  <si>
    <t xml:space="preserve">Net IRR on realised cash reproduces the appendix's 7.12 per cent</t>
  </si>
  <si>
    <t xml:space="preserve">The realised rate is below the rate that includes the valuation</t>
  </si>
  <si>
    <t xml:space="preserve">The public market equivalent reproduces the appendix's 1.323</t>
  </si>
  <si>
    <t xml:space="preserve">The subscription line raises the rate and lowers the multiple, at the appendix's six months</t>
  </si>
  <si>
    <t xml:space="preserve">And the multiple it costs is negative, never positive</t>
  </si>
  <si>
    <t xml:space="preserve">Point to point over the harvest window exceeds the since-inception rate</t>
  </si>
  <si>
    <t xml:space="preserve">The point-to-point window runs three years, not two, and reproduces 20.14 per cent</t>
  </si>
  <si>
    <t xml:space="preserve">Actual days and whole years agree to within a tenth of a point, with and without the line</t>
  </si>
</sst>
</file>

<file path=xl/styles.xml><?xml version="1.0" encoding="utf-8"?>
<styleSheet xmlns="http://schemas.openxmlformats.org/spreadsheetml/2006/main">
  <numFmts count="9">
    <numFmt numFmtId="164" formatCode="General"/>
    <numFmt numFmtId="165" formatCode="#,##0.0"/>
    <numFmt numFmtId="166" formatCode="0.0%"/>
    <numFmt numFmtId="167" formatCode="0.000\x"/>
    <numFmt numFmtId="168" formatCode="0.00%"/>
    <numFmt numFmtId="169" formatCode="0.00"/>
    <numFmt numFmtId="170" formatCode="General"/>
    <numFmt numFmtId="171" formatCode="dd/mm/yyyy"/>
    <numFmt numFmtId="172" formatCode="#,##0.00"/>
  </numFmts>
  <fonts count="7">
    <font>
      <sz val="11"/>
      <color theme="1"/>
      <name val="Calibri"/>
      <family val="2"/>
      <charset val="1"/>
    </font>
    <font>
      <sz val="10"/>
      <name val="Arial"/>
      <family val="0"/>
    </font>
    <font>
      <sz val="10"/>
      <name val="Arial"/>
      <family val="0"/>
    </font>
    <font>
      <sz val="10"/>
      <name val="Arial"/>
      <family val="0"/>
    </font>
    <font>
      <b val="true"/>
      <sz val="12"/>
      <color rgb="FF172A42"/>
      <name val="Cambria"/>
      <family val="0"/>
      <charset val="1"/>
    </font>
    <font>
      <b val="true"/>
      <sz val="11"/>
      <color rgb="FFFFFFFF"/>
      <name val="Cambria"/>
      <family val="0"/>
      <charset val="1"/>
    </font>
    <font>
      <b val="true"/>
      <sz val="11"/>
      <color rgb="FF172A42"/>
      <name val="Cambria"/>
      <family val="0"/>
      <charset val="1"/>
    </font>
  </fonts>
  <fills count="5">
    <fill>
      <patternFill patternType="none"/>
    </fill>
    <fill>
      <patternFill patternType="gray125"/>
    </fill>
    <fill>
      <patternFill patternType="solid">
        <fgColor rgb="FF172A42"/>
        <bgColor rgb="FF003366"/>
      </patternFill>
    </fill>
    <fill>
      <patternFill patternType="solid">
        <fgColor rgb="FFFFF3D6"/>
        <bgColor rgb="FFEFF3F8"/>
      </patternFill>
    </fill>
    <fill>
      <patternFill patternType="solid">
        <fgColor rgb="FFEFF3F8"/>
        <bgColor rgb="FFFFFFFF"/>
      </patternFill>
    </fill>
  </fills>
  <borders count="2">
    <border diagonalUp="false" diagonalDown="false">
      <left/>
      <right/>
      <top/>
      <bottom/>
      <diagonal/>
    </border>
    <border diagonalUp="false" diagonalDown="false">
      <left style="thin">
        <color rgb="FFBFC7D2"/>
      </left>
      <right style="thin">
        <color rgb="FFBFC7D2"/>
      </right>
      <top style="thin">
        <color rgb="FFBFC7D2"/>
      </top>
      <bottom style="thin">
        <color rgb="FFBFC7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2"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65" fontId="0" fillId="4"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6" fillId="3" borderId="1" xfId="0" applyFont="true" applyBorder="true" applyAlignment="false" applyProtection="false">
      <alignment horizontal="general" vertical="bottom" textRotation="0" wrapText="fals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70" fontId="0" fillId="4" borderId="0" xfId="0" applyFont="false" applyBorder="false" applyAlignment="false" applyProtection="false">
      <alignment horizontal="general" vertical="bottom" textRotation="0" wrapText="false" indent="0" shrinkToFit="false"/>
      <protection locked="true" hidden="false"/>
    </xf>
    <xf numFmtId="165" fontId="0" fillId="4" borderId="0" xfId="0" applyFont="false" applyBorder="false" applyAlignment="false" applyProtection="false">
      <alignment horizontal="general" vertical="bottom" textRotation="0" wrapText="false" indent="0" shrinkToFit="false"/>
      <protection locked="true" hidden="false"/>
    </xf>
    <xf numFmtId="168" fontId="0" fillId="4" borderId="0" xfId="0" applyFont="false" applyBorder="false" applyAlignment="false" applyProtection="false">
      <alignment horizontal="general" vertical="bottom" textRotation="0" wrapText="false" indent="0" shrinkToFit="false"/>
      <protection locked="true" hidden="false"/>
    </xf>
    <xf numFmtId="168" fontId="0" fillId="4" borderId="1" xfId="0" applyFont="false" applyBorder="true" applyAlignment="false" applyProtection="false">
      <alignment horizontal="general" vertical="bottom" textRotation="0" wrapText="false" indent="0" shrinkToFit="false"/>
      <protection locked="true" hidden="false"/>
    </xf>
    <xf numFmtId="168" fontId="6" fillId="4" borderId="0" xfId="0" applyFont="true" applyBorder="false" applyAlignment="false" applyProtection="false">
      <alignment horizontal="general" vertical="bottom" textRotation="0" wrapText="false" indent="0" shrinkToFit="false"/>
      <protection locked="true" hidden="false"/>
    </xf>
    <xf numFmtId="166" fontId="0" fillId="4" borderId="1" xfId="0" applyFont="false" applyBorder="true" applyAlignment="false" applyProtection="false">
      <alignment horizontal="general" vertical="bottom" textRotation="0" wrapText="false" indent="0" shrinkToFit="false"/>
      <protection locked="true" hidden="false"/>
    </xf>
    <xf numFmtId="167" fontId="0" fillId="4" borderId="1" xfId="0" applyFont="fals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4" fontId="5" fillId="2" borderId="1" xfId="0" applyFont="true" applyBorder="tru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71" fontId="0" fillId="4" borderId="1" xfId="0" applyFont="false" applyBorder="true" applyAlignment="false" applyProtection="false">
      <alignment horizontal="general" vertical="bottom" textRotation="0" wrapText="false" indent="0" shrinkToFit="false"/>
      <protection locked="true" hidden="false"/>
    </xf>
    <xf numFmtId="172" fontId="0" fillId="4" borderId="1" xfId="0" applyFont="false" applyBorder="true" applyAlignment="false" applyProtection="false">
      <alignment horizontal="general" vertical="bottom" textRotation="0" wrapText="false" indent="0" shrinkToFit="false"/>
      <protection locked="true" hidden="false"/>
    </xf>
    <xf numFmtId="171" fontId="0" fillId="4" borderId="0" xfId="0" applyFont="false" applyBorder="false" applyAlignment="false" applyProtection="false">
      <alignment horizontal="general" vertical="bottom" textRotation="0" wrapText="fals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9" fontId="6" fillId="4" borderId="0" xfId="0" applyFont="true" applyBorder="false" applyAlignment="false" applyProtection="false">
      <alignment horizontal="general" vertical="bottom" textRotation="0" wrapText="false" indent="0" shrinkToFit="false"/>
      <protection locked="true" hidden="false"/>
    </xf>
    <xf numFmtId="172" fontId="0" fillId="0" borderId="1" xfId="0" applyFont="false" applyBorder="true" applyAlignment="false" applyProtection="false">
      <alignment horizontal="general" vertical="bottom" textRotation="0" wrapText="false" indent="0" shrinkToFit="false"/>
      <protection locked="true" hidden="false"/>
    </xf>
    <xf numFmtId="167" fontId="0" fillId="0" borderId="1" xfId="0" applyFont="false" applyBorder="true" applyAlignment="false" applyProtection="false">
      <alignment horizontal="general" vertical="bottom" textRotation="0" wrapText="false" indent="0" shrinkToFit="false"/>
      <protection locked="true" hidden="false"/>
    </xf>
    <xf numFmtId="168" fontId="0" fillId="0" borderId="1" xfId="0" applyFont="false" applyBorder="true" applyAlignment="false" applyProtection="false">
      <alignment horizontal="general" vertical="bottom" textRotation="0" wrapText="false" indent="0" shrinkToFit="false"/>
      <protection locked="true" hidden="false"/>
    </xf>
    <xf numFmtId="169" fontId="0" fillId="0" borderId="1" xfId="0" applyFont="false" applyBorder="tru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7D2"/>
      <rgbColor rgb="FF808080"/>
      <rgbColor rgb="FF9999FF"/>
      <rgbColor rgb="FF993366"/>
      <rgbColor rgb="FFFFF3D6"/>
      <rgbColor rgb="FFEFF3F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72A4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5" hidden="false" customHeight="true" outlineLevel="0" collapsed="false">
      <c r="A1" s="1" t="s">
        <v>0</v>
      </c>
    </row>
    <row r="2" customFormat="false" ht="30" hidden="false" customHeight="true" outlineLevel="0" collapsed="false">
      <c r="A2" s="2" t="s">
        <v>1</v>
      </c>
    </row>
    <row r="3" customFormat="false" ht="15" hidden="false" customHeight="true" outlineLevel="0" collapsed="false">
      <c r="A3" s="2"/>
    </row>
    <row r="4" customFormat="false" ht="75" hidden="false" customHeight="true" outlineLevel="0" collapsed="false">
      <c r="A4" s="2" t="s">
        <v>2</v>
      </c>
    </row>
    <row r="5" customFormat="false" ht="15" hidden="false" customHeight="true" outlineLevel="0" collapsed="false">
      <c r="A5" s="2"/>
    </row>
    <row r="6" customFormat="false" ht="15" hidden="false" customHeight="true" outlineLevel="0" collapsed="false">
      <c r="A6" s="1" t="s">
        <v>3</v>
      </c>
    </row>
    <row r="7" customFormat="false" ht="60" hidden="false" customHeight="true" outlineLevel="0" collapsed="false">
      <c r="A7" s="2" t="s">
        <v>4</v>
      </c>
    </row>
    <row r="8" customFormat="false" ht="45" hidden="false" customHeight="true" outlineLevel="0" collapsed="false">
      <c r="A8" s="2" t="s">
        <v>5</v>
      </c>
    </row>
    <row r="9" customFormat="false" ht="15" hidden="false" customHeight="true" outlineLevel="0" collapsed="false">
      <c r="A9" s="2"/>
    </row>
    <row r="10" customFormat="false" ht="15" hidden="false" customHeight="true" outlineLevel="0" collapsed="false">
      <c r="A10" s="1" t="s">
        <v>6</v>
      </c>
    </row>
    <row r="11" customFormat="false" ht="75" hidden="false" customHeight="true" outlineLevel="0" collapsed="false">
      <c r="A11" s="2" t="s">
        <v>7</v>
      </c>
    </row>
    <row r="12" customFormat="false" ht="60" hidden="false" customHeight="true" outlineLevel="0" collapsed="false">
      <c r="A12" s="2" t="s">
        <v>8</v>
      </c>
    </row>
    <row r="13" customFormat="false" ht="15" hidden="false" customHeight="true" outlineLevel="0" collapsed="false">
      <c r="A13" s="2"/>
    </row>
    <row r="14" customFormat="false" ht="15" hidden="false" customHeight="true" outlineLevel="0" collapsed="false">
      <c r="A14" s="1" t="s">
        <v>9</v>
      </c>
    </row>
    <row r="15" customFormat="false" ht="75" hidden="false" customHeight="true" outlineLevel="0" collapsed="false">
      <c r="A15" s="2" t="s">
        <v>10</v>
      </c>
    </row>
    <row r="16" customFormat="false" ht="15" hidden="false" customHeight="true" outlineLevel="0" collapsed="false">
      <c r="A16" s="2"/>
    </row>
    <row r="17" customFormat="false" ht="15" hidden="false" customHeight="true" outlineLevel="0" collapsed="false">
      <c r="A17" s="1" t="s">
        <v>11</v>
      </c>
    </row>
    <row r="18" customFormat="false" ht="45" hidden="false" customHeight="true" outlineLevel="0" collapsed="false">
      <c r="A18" s="2" t="s">
        <v>12</v>
      </c>
    </row>
    <row r="19" customFormat="false" ht="15" hidden="false" customHeight="true" outlineLevel="0" collapsed="false">
      <c r="A19" s="2"/>
    </row>
    <row r="20" customFormat="false" ht="15" hidden="false" customHeight="true" outlineLevel="0" collapsed="false">
      <c r="A20" s="1" t="s">
        <v>13</v>
      </c>
    </row>
    <row r="21" customFormat="false" ht="15" hidden="false" customHeight="true" outlineLevel="0" collapsed="false">
      <c r="A21" s="2" t="s">
        <v>14</v>
      </c>
    </row>
    <row r="22" customFormat="false" ht="15" hidden="false" customHeight="true" outlineLevel="0" collapsed="false">
      <c r="A22" s="2" t="s">
        <v>15</v>
      </c>
    </row>
    <row r="23" customFormat="false" ht="15" hidden="false" customHeight="true" outlineLevel="0" collapsed="false">
      <c r="A23" s="2" t="s">
        <v>16</v>
      </c>
    </row>
    <row r="24" customFormat="false" ht="15" hidden="false" customHeight="true" outlineLevel="0" collapsed="false">
      <c r="A24" s="2" t="s">
        <v>17</v>
      </c>
    </row>
    <row r="25" customFormat="false" ht="15" hidden="false" customHeight="true" outlineLevel="0" collapsed="false">
      <c r="A25" s="2" t="s">
        <v>18</v>
      </c>
    </row>
    <row r="26" customFormat="false" ht="15" hidden="false" customHeight="true" outlineLevel="0" collapsed="false">
      <c r="A26" s="2" t="s">
        <v>19</v>
      </c>
    </row>
    <row r="27" customFormat="false" ht="15" hidden="false" customHeight="true" outlineLevel="0" collapsed="false">
      <c r="A27" s="2"/>
    </row>
    <row r="28" customFormat="false" ht="15" hidden="false" customHeight="true" outlineLevel="0" collapsed="false">
      <c r="A28" s="2" t="s">
        <v>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6" min="2" style="0" width="15"/>
    <col collapsed="false" customWidth="true" hidden="false" outlineLevel="0" max="7" min="7" style="0" width="46"/>
  </cols>
  <sheetData>
    <row r="1" customFormat="false" ht="28.35" hidden="false" customHeight="false" outlineLevel="0" collapsed="false">
      <c r="A1" s="3" t="s">
        <v>21</v>
      </c>
      <c r="B1" s="3" t="s">
        <v>22</v>
      </c>
      <c r="C1" s="3" t="s">
        <v>23</v>
      </c>
      <c r="D1" s="3" t="s">
        <v>24</v>
      </c>
      <c r="E1" s="3" t="s">
        <v>25</v>
      </c>
      <c r="F1" s="3" t="s">
        <v>26</v>
      </c>
      <c r="G1" s="3"/>
    </row>
    <row r="2" customFormat="false" ht="15" hidden="false" customHeight="false" outlineLevel="0" collapsed="false">
      <c r="A2" s="4" t="n">
        <v>2018</v>
      </c>
      <c r="B2" s="5" t="n">
        <v>45</v>
      </c>
      <c r="C2" s="5" t="n">
        <v>0</v>
      </c>
      <c r="D2" s="6" t="n">
        <f aca="false">C2-B2</f>
        <v>-45</v>
      </c>
      <c r="E2" s="6" t="n">
        <f aca="false">B2</f>
        <v>45</v>
      </c>
      <c r="F2" s="6" t="n">
        <f aca="false">C2</f>
        <v>0</v>
      </c>
    </row>
    <row r="3" customFormat="false" ht="15" hidden="false" customHeight="false" outlineLevel="0" collapsed="false">
      <c r="A3" s="4" t="n">
        <v>2019</v>
      </c>
      <c r="B3" s="5" t="n">
        <v>60</v>
      </c>
      <c r="C3" s="5" t="n">
        <v>0</v>
      </c>
      <c r="D3" s="6" t="n">
        <f aca="false">C3-B3</f>
        <v>-60</v>
      </c>
      <c r="E3" s="6" t="n">
        <f aca="false">E2+B3</f>
        <v>105</v>
      </c>
      <c r="F3" s="6" t="n">
        <f aca="false">F2+C3</f>
        <v>0</v>
      </c>
    </row>
    <row r="4" customFormat="false" ht="15" hidden="false" customHeight="false" outlineLevel="0" collapsed="false">
      <c r="A4" s="4" t="n">
        <v>2020</v>
      </c>
      <c r="B4" s="5" t="n">
        <v>50</v>
      </c>
      <c r="C4" s="5" t="n">
        <v>8</v>
      </c>
      <c r="D4" s="6" t="n">
        <f aca="false">C4-B4</f>
        <v>-42</v>
      </c>
      <c r="E4" s="6" t="n">
        <f aca="false">E3+B4</f>
        <v>155</v>
      </c>
      <c r="F4" s="6" t="n">
        <f aca="false">F3+C4</f>
        <v>8</v>
      </c>
    </row>
    <row r="5" customFormat="false" ht="15" hidden="false" customHeight="false" outlineLevel="0" collapsed="false">
      <c r="A5" s="4" t="n">
        <v>2021</v>
      </c>
      <c r="B5" s="5" t="n">
        <v>40</v>
      </c>
      <c r="C5" s="5" t="n">
        <v>35</v>
      </c>
      <c r="D5" s="6" t="n">
        <f aca="false">C5-B5</f>
        <v>-5</v>
      </c>
      <c r="E5" s="6" t="n">
        <f aca="false">E4+B5</f>
        <v>195</v>
      </c>
      <c r="F5" s="6" t="n">
        <f aca="false">F4+C5</f>
        <v>43</v>
      </c>
    </row>
    <row r="6" customFormat="false" ht="15" hidden="false" customHeight="false" outlineLevel="0" collapsed="false">
      <c r="A6" s="4" t="n">
        <v>2022</v>
      </c>
      <c r="B6" s="5" t="n">
        <v>30</v>
      </c>
      <c r="C6" s="5" t="n">
        <v>62</v>
      </c>
      <c r="D6" s="6" t="n">
        <f aca="false">C6-B6</f>
        <v>32</v>
      </c>
      <c r="E6" s="6" t="n">
        <f aca="false">E5+B6</f>
        <v>225</v>
      </c>
      <c r="F6" s="6" t="n">
        <f aca="false">F5+C6</f>
        <v>105</v>
      </c>
    </row>
    <row r="7" customFormat="false" ht="15" hidden="false" customHeight="false" outlineLevel="0" collapsed="false">
      <c r="A7" s="4" t="n">
        <v>2023</v>
      </c>
      <c r="B7" s="5" t="n">
        <v>20</v>
      </c>
      <c r="C7" s="5" t="n">
        <v>90</v>
      </c>
      <c r="D7" s="6" t="n">
        <f aca="false">C7-B7</f>
        <v>70</v>
      </c>
      <c r="E7" s="6" t="n">
        <f aca="false">E6+B7</f>
        <v>245</v>
      </c>
      <c r="F7" s="6" t="n">
        <f aca="false">F6+C7</f>
        <v>195</v>
      </c>
    </row>
    <row r="8" customFormat="false" ht="15" hidden="false" customHeight="false" outlineLevel="0" collapsed="false">
      <c r="A8" s="4" t="n">
        <v>2024</v>
      </c>
      <c r="B8" s="5" t="n">
        <v>10</v>
      </c>
      <c r="C8" s="5" t="n">
        <v>75</v>
      </c>
      <c r="D8" s="6" t="n">
        <f aca="false">C8-B8</f>
        <v>65</v>
      </c>
      <c r="E8" s="6" t="n">
        <f aca="false">E7+B8</f>
        <v>255</v>
      </c>
      <c r="F8" s="6" t="n">
        <f aca="false">F7+C8</f>
        <v>270</v>
      </c>
    </row>
    <row r="9" customFormat="false" ht="15" hidden="false" customHeight="false" outlineLevel="0" collapsed="false">
      <c r="A9" s="4" t="n">
        <v>2025</v>
      </c>
      <c r="B9" s="5" t="n">
        <v>0</v>
      </c>
      <c r="C9" s="5" t="n">
        <v>40</v>
      </c>
      <c r="D9" s="6" t="n">
        <f aca="false">C9-B9</f>
        <v>40</v>
      </c>
      <c r="E9" s="6" t="n">
        <f aca="false">E8+B9</f>
        <v>255</v>
      </c>
      <c r="F9" s="6" t="n">
        <f aca="false">F8+C9</f>
        <v>310</v>
      </c>
    </row>
    <row r="11" customFormat="false" ht="15" hidden="false" customHeight="false" outlineLevel="0" collapsed="false">
      <c r="A11" s="7" t="s">
        <v>27</v>
      </c>
      <c r="B11" s="8" t="n">
        <v>300</v>
      </c>
    </row>
    <row r="12" customFormat="false" ht="15" hidden="false" customHeight="false" outlineLevel="0" collapsed="false">
      <c r="A12" s="7" t="s">
        <v>28</v>
      </c>
      <c r="B12" s="8" t="n">
        <v>145</v>
      </c>
    </row>
    <row r="13" customFormat="false" ht="15" hidden="false" customHeight="false" outlineLevel="0" collapsed="false">
      <c r="A13" s="0" t="s">
        <v>29</v>
      </c>
      <c r="B13" s="5" t="n">
        <v>210</v>
      </c>
    </row>
    <row r="14" customFormat="false" ht="15" hidden="false" customHeight="false" outlineLevel="0" collapsed="false">
      <c r="A14" s="0" t="s">
        <v>30</v>
      </c>
      <c r="B14" s="9" t="n">
        <v>0.09</v>
      </c>
    </row>
    <row r="15" customFormat="false" ht="15" hidden="false" customHeight="false" outlineLevel="0" collapsed="false">
      <c r="A15" s="0" t="s">
        <v>31</v>
      </c>
      <c r="B15" s="9" t="n">
        <v>0.04</v>
      </c>
    </row>
    <row r="16" customFormat="false" ht="15" hidden="false" customHeight="false" outlineLevel="0" collapsed="false">
      <c r="A16" s="0" t="s">
        <v>32</v>
      </c>
      <c r="B16" s="10" t="n">
        <v>6</v>
      </c>
    </row>
    <row r="18" customFormat="false" ht="256.7" hidden="false" customHeight="false" outlineLevel="0" collapsed="false">
      <c r="A18" s="2" t="s">
        <v>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58"/>
  </cols>
  <sheetData>
    <row r="1" customFormat="false" ht="15" hidden="false" customHeight="false" outlineLevel="0" collapsed="false">
      <c r="A1" s="3" t="s">
        <v>34</v>
      </c>
      <c r="B1" s="3" t="s">
        <v>35</v>
      </c>
      <c r="C1" s="3" t="s">
        <v>36</v>
      </c>
    </row>
    <row r="2" customFormat="false" ht="15" hidden="false" customHeight="false" outlineLevel="0" collapsed="false">
      <c r="A2" s="4" t="s">
        <v>22</v>
      </c>
      <c r="B2" s="6" t="n">
        <f aca="false">SUM('1. Cash flows'!B2:B9)</f>
        <v>255</v>
      </c>
      <c r="C2" s="11"/>
    </row>
    <row r="3" customFormat="false" ht="15" hidden="false" customHeight="false" outlineLevel="0" collapsed="false">
      <c r="A3" s="4" t="s">
        <v>23</v>
      </c>
      <c r="B3" s="6" t="n">
        <f aca="false">SUM('1. Cash flows'!C2:C9)</f>
        <v>310</v>
      </c>
      <c r="C3" s="11"/>
    </row>
    <row r="4" customFormat="false" ht="15" hidden="false" customHeight="false" outlineLevel="0" collapsed="false">
      <c r="A4" s="4" t="s">
        <v>37</v>
      </c>
      <c r="B4" s="6" t="n">
        <f aca="false">'1. Cash flows'!B12</f>
        <v>145</v>
      </c>
      <c r="C4" s="11"/>
    </row>
    <row r="6" customFormat="false" ht="15" hidden="false" customHeight="false" outlineLevel="0" collapsed="false">
      <c r="A6" s="12" t="s">
        <v>38</v>
      </c>
      <c r="B6" s="13" t="n">
        <f aca="false">B3/B2</f>
        <v>1.2156862745098</v>
      </c>
      <c r="C6" s="11" t="s">
        <v>39</v>
      </c>
    </row>
    <row r="7" customFormat="false" ht="15" hidden="false" customHeight="false" outlineLevel="0" collapsed="false">
      <c r="A7" s="12" t="s">
        <v>40</v>
      </c>
      <c r="B7" s="13" t="n">
        <f aca="false">B4/B2</f>
        <v>0.568627450980392</v>
      </c>
      <c r="C7" s="11" t="s">
        <v>41</v>
      </c>
    </row>
    <row r="8" customFormat="false" ht="15" hidden="false" customHeight="false" outlineLevel="0" collapsed="false">
      <c r="A8" s="12" t="s">
        <v>42</v>
      </c>
      <c r="B8" s="13" t="n">
        <f aca="false">B6+B7</f>
        <v>1.7843137254902</v>
      </c>
      <c r="C8" s="11"/>
    </row>
    <row r="10" customFormat="false" ht="15" hidden="false" customHeight="false" outlineLevel="0" collapsed="false">
      <c r="A10" s="12" t="s">
        <v>43</v>
      </c>
      <c r="B10" s="14" t="n">
        <f aca="false">B3/(B3+B4)</f>
        <v>0.681318681318681</v>
      </c>
      <c r="C10" s="11"/>
    </row>
    <row r="11" customFormat="false" ht="15" hidden="false" customHeight="false" outlineLevel="0" collapsed="false">
      <c r="A11" s="12" t="s">
        <v>44</v>
      </c>
      <c r="B11" s="14" t="n">
        <f aca="false">1-B10</f>
        <v>0.318681318681319</v>
      </c>
      <c r="C11" s="11" t="s">
        <v>45</v>
      </c>
    </row>
    <row r="13" customFormat="false" ht="41.75" hidden="false" customHeight="false" outlineLevel="0" collapsed="false">
      <c r="A13" s="2" t="s">
        <v>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4" min="2" style="0" width="16"/>
    <col collapsed="false" customWidth="true" hidden="false" outlineLevel="0" max="5" min="5" style="0" width="54"/>
  </cols>
  <sheetData>
    <row r="1" customFormat="false" ht="28.35" hidden="false" customHeight="false" outlineLevel="0" collapsed="false">
      <c r="A1" s="3" t="s">
        <v>21</v>
      </c>
      <c r="B1" s="3" t="s">
        <v>24</v>
      </c>
      <c r="C1" s="3" t="s">
        <v>47</v>
      </c>
      <c r="D1" s="3" t="s">
        <v>48</v>
      </c>
      <c r="E1" s="3"/>
    </row>
    <row r="2" customFormat="false" ht="15" hidden="false" customHeight="false" outlineLevel="0" collapsed="false">
      <c r="A2" s="4" t="n">
        <v>2018</v>
      </c>
      <c r="B2" s="6" t="n">
        <f aca="false">'1. Cash flows'!D2</f>
        <v>-45</v>
      </c>
      <c r="C2" s="6" t="n">
        <f aca="false">B2</f>
        <v>-45</v>
      </c>
      <c r="D2" s="6" t="n">
        <f aca="false">B2</f>
        <v>-45</v>
      </c>
    </row>
    <row r="3" customFormat="false" ht="15" hidden="false" customHeight="false" outlineLevel="0" collapsed="false">
      <c r="A3" s="4" t="n">
        <v>2019</v>
      </c>
      <c r="B3" s="6" t="n">
        <f aca="false">'1. Cash flows'!D3</f>
        <v>-60</v>
      </c>
      <c r="C3" s="6" t="n">
        <f aca="false">B3</f>
        <v>-60</v>
      </c>
      <c r="D3" s="6" t="n">
        <f aca="false">B3</f>
        <v>-60</v>
      </c>
    </row>
    <row r="4" customFormat="false" ht="15" hidden="false" customHeight="false" outlineLevel="0" collapsed="false">
      <c r="A4" s="4" t="n">
        <v>2020</v>
      </c>
      <c r="B4" s="6" t="n">
        <f aca="false">'1. Cash flows'!D4</f>
        <v>-42</v>
      </c>
      <c r="C4" s="6" t="n">
        <f aca="false">B4</f>
        <v>-42</v>
      </c>
      <c r="D4" s="6" t="n">
        <f aca="false">B4</f>
        <v>-42</v>
      </c>
    </row>
    <row r="5" customFormat="false" ht="15" hidden="false" customHeight="false" outlineLevel="0" collapsed="false">
      <c r="A5" s="4" t="n">
        <v>2021</v>
      </c>
      <c r="B5" s="6" t="n">
        <f aca="false">'1. Cash flows'!D5</f>
        <v>-5</v>
      </c>
      <c r="C5" s="6" t="n">
        <f aca="false">B5</f>
        <v>-5</v>
      </c>
      <c r="D5" s="6" t="n">
        <f aca="false">B5</f>
        <v>-5</v>
      </c>
    </row>
    <row r="6" customFormat="false" ht="15" hidden="false" customHeight="false" outlineLevel="0" collapsed="false">
      <c r="A6" s="4" t="n">
        <v>2022</v>
      </c>
      <c r="B6" s="6" t="n">
        <f aca="false">'1. Cash flows'!D6</f>
        <v>32</v>
      </c>
      <c r="C6" s="6" t="n">
        <f aca="false">B6</f>
        <v>32</v>
      </c>
      <c r="D6" s="6" t="n">
        <f aca="false">B6</f>
        <v>32</v>
      </c>
    </row>
    <row r="7" customFormat="false" ht="15" hidden="false" customHeight="false" outlineLevel="0" collapsed="false">
      <c r="A7" s="4" t="n">
        <v>2023</v>
      </c>
      <c r="B7" s="6" t="n">
        <f aca="false">'1. Cash flows'!D7</f>
        <v>70</v>
      </c>
      <c r="C7" s="6" t="n">
        <f aca="false">B7</f>
        <v>70</v>
      </c>
      <c r="D7" s="6" t="n">
        <f aca="false">B7</f>
        <v>70</v>
      </c>
    </row>
    <row r="8" customFormat="false" ht="15" hidden="false" customHeight="false" outlineLevel="0" collapsed="false">
      <c r="A8" s="4" t="n">
        <v>2024</v>
      </c>
      <c r="B8" s="6" t="n">
        <f aca="false">'1. Cash flows'!D8</f>
        <v>65</v>
      </c>
      <c r="C8" s="6" t="n">
        <f aca="false">B8</f>
        <v>65</v>
      </c>
      <c r="D8" s="6" t="n">
        <f aca="false">B8</f>
        <v>65</v>
      </c>
    </row>
    <row r="9" customFormat="false" ht="15" hidden="false" customHeight="false" outlineLevel="0" collapsed="false">
      <c r="A9" s="4" t="n">
        <v>2025</v>
      </c>
      <c r="B9" s="6" t="n">
        <f aca="false">'1. Cash flows'!D9</f>
        <v>40</v>
      </c>
      <c r="C9" s="6" t="n">
        <f aca="false">B9+'1. Cash flows'!B12</f>
        <v>185</v>
      </c>
      <c r="D9" s="6" t="n">
        <f aca="false">B9</f>
        <v>40</v>
      </c>
    </row>
    <row r="11" customFormat="false" ht="15" hidden="false" customHeight="false" outlineLevel="0" collapsed="false">
      <c r="A11" s="7" t="s">
        <v>49</v>
      </c>
      <c r="C11" s="15" t="n">
        <f aca="false">IRR(C2:C9)</f>
        <v>0.180368627044934</v>
      </c>
    </row>
    <row r="12" customFormat="false" ht="15" hidden="false" customHeight="false" outlineLevel="0" collapsed="false">
      <c r="A12" s="7" t="s">
        <v>50</v>
      </c>
      <c r="D12" s="15" t="n">
        <f aca="false">IRR(D2:D9)</f>
        <v>0.0711810669815897</v>
      </c>
    </row>
    <row r="13" customFormat="false" ht="15" hidden="false" customHeight="false" outlineLevel="0" collapsed="false">
      <c r="A13" s="7" t="s">
        <v>51</v>
      </c>
      <c r="C13" s="16" t="n">
        <f aca="false">(C11-D12)*100</f>
        <v>10.9187560063344</v>
      </c>
    </row>
    <row r="15" customFormat="false" ht="108.95" hidden="false" customHeight="false" outlineLevel="0" collapsed="false">
      <c r="A15" s="2" t="s">
        <v>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2" min="2" style="0" width="16"/>
    <col collapsed="false" customWidth="true" hidden="false" outlineLevel="0" max="3" min="3" style="0" width="58"/>
    <col collapsed="false" customWidth="true" hidden="false" outlineLevel="0" max="4" min="4" style="0" width="24"/>
  </cols>
  <sheetData>
    <row r="1" customFormat="false" ht="15" hidden="false" customHeight="false" outlineLevel="0" collapsed="false">
      <c r="A1" s="3" t="s">
        <v>53</v>
      </c>
      <c r="B1" s="3" t="s">
        <v>35</v>
      </c>
      <c r="C1" s="3"/>
    </row>
    <row r="2" customFormat="false" ht="15" hidden="false" customHeight="false" outlineLevel="0" collapsed="false">
      <c r="A2" s="4" t="s">
        <v>54</v>
      </c>
      <c r="B2" s="6" t="n">
        <f aca="false">'1. Cash flows'!B13</f>
        <v>210</v>
      </c>
      <c r="C2" s="11" t="s">
        <v>55</v>
      </c>
      <c r="D2" s="17" t="s">
        <v>56</v>
      </c>
    </row>
    <row r="3" customFormat="false" ht="15" hidden="false" customHeight="false" outlineLevel="0" collapsed="false">
      <c r="A3" s="4" t="s">
        <v>57</v>
      </c>
      <c r="B3" s="6" t="n">
        <f aca="false">-B2</f>
        <v>-210</v>
      </c>
      <c r="C3" s="11" t="s">
        <v>58</v>
      </c>
      <c r="D3" s="18" t="n">
        <f aca="false">B3+B4</f>
        <v>-140</v>
      </c>
    </row>
    <row r="4" customFormat="false" ht="15" hidden="false" customHeight="false" outlineLevel="0" collapsed="false">
      <c r="A4" s="4" t="s">
        <v>59</v>
      </c>
      <c r="B4" s="6" t="n">
        <f aca="false">'1. Cash flows'!D7</f>
        <v>70</v>
      </c>
      <c r="C4" s="11"/>
      <c r="D4" s="19" t="n">
        <f aca="false">B5</f>
        <v>65</v>
      </c>
    </row>
    <row r="5" customFormat="false" ht="15" hidden="false" customHeight="false" outlineLevel="0" collapsed="false">
      <c r="A5" s="4" t="s">
        <v>60</v>
      </c>
      <c r="B5" s="6" t="n">
        <f aca="false">'1. Cash flows'!D8</f>
        <v>65</v>
      </c>
      <c r="C5" s="11"/>
      <c r="D5" s="20" t="n">
        <f aca="false">B6</f>
        <v>185</v>
      </c>
    </row>
    <row r="6" customFormat="false" ht="15" hidden="false" customHeight="false" outlineLevel="0" collapsed="false">
      <c r="A6" s="4" t="s">
        <v>61</v>
      </c>
      <c r="B6" s="21" t="n">
        <f aca="false">'1. Cash flows'!D9+'1. Cash flows'!B12</f>
        <v>185</v>
      </c>
      <c r="C6" s="11" t="s">
        <v>62</v>
      </c>
    </row>
    <row r="7" customFormat="false" ht="15" hidden="false" customHeight="false" outlineLevel="0" collapsed="false">
      <c r="A7" s="7" t="s">
        <v>63</v>
      </c>
      <c r="B7" s="22" t="n">
        <f aca="false">IRR(B3:B6)</f>
        <v>0.201362690030655</v>
      </c>
    </row>
    <row r="8" customFormat="false" ht="15" hidden="false" customHeight="false" outlineLevel="0" collapsed="false">
      <c r="A8" s="12" t="s">
        <v>64</v>
      </c>
      <c r="B8" s="15" t="n">
        <f aca="false">'3. The two rates'!C11</f>
        <v>0.180368627044934</v>
      </c>
      <c r="C8" s="11"/>
    </row>
    <row r="9" customFormat="false" ht="15" hidden="false" customHeight="false" outlineLevel="0" collapsed="false">
      <c r="A9" s="12" t="s">
        <v>65</v>
      </c>
      <c r="B9" s="16" t="n">
        <f aca="false">(B7-B8)*100</f>
        <v>2.0994062985721</v>
      </c>
      <c r="C9" s="11" t="s">
        <v>66</v>
      </c>
    </row>
    <row r="10" customFormat="false" ht="15" hidden="false" customHeight="false" outlineLevel="0" collapsed="false">
      <c r="A10" s="0" t="s">
        <v>67</v>
      </c>
      <c r="B10" s="20" t="n">
        <f aca="false">IRR(D3:D5)</f>
        <v>0.404882759061019</v>
      </c>
      <c r="C10" s="17" t="s">
        <v>68</v>
      </c>
    </row>
    <row r="11" customFormat="false" ht="15" hidden="false" customHeight="false" outlineLevel="0" collapsed="false">
      <c r="A11" s="3" t="s">
        <v>69</v>
      </c>
      <c r="B11" s="3" t="s">
        <v>35</v>
      </c>
      <c r="C11" s="3"/>
    </row>
    <row r="12" customFormat="false" ht="15" hidden="false" customHeight="false" outlineLevel="0" collapsed="false">
      <c r="A12" s="4" t="s">
        <v>70</v>
      </c>
      <c r="B12" s="23" t="n">
        <f aca="false">'1. Cash flows'!B14</f>
        <v>0.09</v>
      </c>
      <c r="C12" s="11"/>
    </row>
    <row r="13" customFormat="false" ht="15" hidden="false" customHeight="false" outlineLevel="0" collapsed="false">
      <c r="A13" s="4" t="s">
        <v>71</v>
      </c>
      <c r="B13" s="6" t="n">
        <f aca="false">SUMPRODUCT('1. Cash flows'!B2:B9,(1+B12)^('1. Cash flows'!A9-'1. Cash flows'!A2:A9))</f>
        <v>389.795099232211</v>
      </c>
      <c r="C13" s="11"/>
    </row>
    <row r="14" customFormat="false" ht="15" hidden="false" customHeight="false" outlineLevel="0" collapsed="false">
      <c r="A14" s="4" t="s">
        <v>72</v>
      </c>
      <c r="B14" s="6" t="n">
        <f aca="false">SUMPRODUCT('1. Cash flows'!C2:C9,(1+B12)^('1. Cash flows'!A9-'1. Cash flows'!A2:A9))</f>
        <v>370.6851459892</v>
      </c>
      <c r="C14" s="11"/>
    </row>
    <row r="15" customFormat="false" ht="15" hidden="false" customHeight="false" outlineLevel="0" collapsed="false">
      <c r="A15" s="12" t="s">
        <v>69</v>
      </c>
      <c r="B15" s="13" t="n">
        <f aca="false">(B14+'1. Cash flows'!B12)/B13</f>
        <v>1.32296467299091</v>
      </c>
      <c r="C15" s="11" t="s">
        <v>73</v>
      </c>
    </row>
    <row r="16" customFormat="false" ht="15" hidden="false" customHeight="false" outlineLevel="0" collapsed="false">
      <c r="A16" s="4" t="s">
        <v>74</v>
      </c>
      <c r="B16" s="24" t="n">
        <f aca="false">'2. Multiples'!B8</f>
        <v>1.7843137254902</v>
      </c>
      <c r="C16" s="11"/>
    </row>
    <row r="18" customFormat="false" ht="55.2" hidden="false" customHeight="false" outlineLevel="0" collapsed="false">
      <c r="A18" s="2" t="s">
        <v>75</v>
      </c>
    </row>
    <row r="20" customFormat="false" ht="15" hidden="false" customHeight="false" outlineLevel="0" collapsed="false">
      <c r="A20" s="3" t="s">
        <v>76</v>
      </c>
      <c r="B20" s="3" t="s">
        <v>35</v>
      </c>
      <c r="C20" s="3"/>
    </row>
    <row r="21" customFormat="false" ht="15" hidden="false" customHeight="false" outlineLevel="0" collapsed="false">
      <c r="A21" s="4" t="s">
        <v>27</v>
      </c>
      <c r="B21" s="6" t="n">
        <f aca="false">'1. Cash flows'!B11</f>
        <v>300</v>
      </c>
      <c r="C21" s="11"/>
    </row>
    <row r="22" customFormat="false" ht="15" hidden="false" customHeight="false" outlineLevel="0" collapsed="false">
      <c r="A22" s="4" t="s">
        <v>22</v>
      </c>
      <c r="B22" s="6" t="n">
        <f aca="false">'2. Multiples'!B2</f>
        <v>255</v>
      </c>
      <c r="C22" s="11"/>
    </row>
    <row r="23" customFormat="false" ht="28.35" hidden="false" customHeight="false" outlineLevel="0" collapsed="false">
      <c r="A23" s="12" t="s">
        <v>77</v>
      </c>
      <c r="B23" s="25" t="n">
        <f aca="false">B21-B22</f>
        <v>45</v>
      </c>
      <c r="C23" s="11" t="s">
        <v>78</v>
      </c>
    </row>
    <row r="24" customFormat="false" ht="28.35" hidden="false" customHeight="false" outlineLevel="0" collapsed="false">
      <c r="A24" s="12" t="s">
        <v>79</v>
      </c>
      <c r="B24" s="14" t="n">
        <f aca="false">B22/B21</f>
        <v>0.85</v>
      </c>
      <c r="C24" s="11" t="s">
        <v>80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4" min="3" style="0" width="16"/>
    <col collapsed="false" customWidth="true" hidden="false" outlineLevel="0" max="5" min="5" style="0" width="52"/>
    <col collapsed="false" customWidth="true" hidden="false" outlineLevel="0" max="6" min="6" style="0" width="17"/>
    <col collapsed="false" customWidth="true" hidden="false" outlineLevel="0" max="7" min="7" style="0" width="20"/>
    <col collapsed="false" customWidth="true" hidden="false" outlineLevel="0" max="8" min="8" style="0" width="24"/>
  </cols>
  <sheetData>
    <row r="1" customFormat="false" ht="15" hidden="false" customHeight="false" outlineLevel="0" collapsed="false">
      <c r="A1" s="3" t="s">
        <v>81</v>
      </c>
      <c r="B1" s="3" t="s">
        <v>82</v>
      </c>
      <c r="C1" s="3" t="s">
        <v>83</v>
      </c>
      <c r="D1" s="3" t="s">
        <v>84</v>
      </c>
      <c r="E1" s="3"/>
      <c r="F1" s="26" t="s">
        <v>85</v>
      </c>
      <c r="G1" s="27" t="s">
        <v>86</v>
      </c>
      <c r="H1" s="27" t="s">
        <v>87</v>
      </c>
    </row>
    <row r="2" customFormat="false" ht="15" hidden="false" customHeight="false" outlineLevel="0" collapsed="false">
      <c r="A2" s="4" t="s">
        <v>88</v>
      </c>
      <c r="B2" s="28" t="n">
        <f aca="false">EDATE(DATE(2018,12,31),0)</f>
        <v>43465</v>
      </c>
      <c r="C2" s="29" t="n">
        <f aca="false">-'1. Cash flows'!B2</f>
        <v>-45</v>
      </c>
      <c r="D2" s="29" t="n">
        <f aca="false">-'1. Cash flows'!B2*(1+'1. Cash flows'!B15*'1. Cash flows'!B16/12)</f>
        <v>-45.9</v>
      </c>
      <c r="E2" s="2" t="s">
        <v>89</v>
      </c>
      <c r="F2" s="28" t="n">
        <f aca="false">EDATE(DATE(2018,12,31),'1. Cash flows'!B16)</f>
        <v>43646</v>
      </c>
      <c r="G2" s="30" t="n">
        <f aca="false">DATE(2018,12,31)+365*(YEAR(B2)-2018)</f>
        <v>43465</v>
      </c>
      <c r="H2" s="30" t="n">
        <f aca="false">DATE(2018,12,31)+365*(YEAR(B2)-2018+'1. Cash flows'!$B$16/12)</f>
        <v>43647.5</v>
      </c>
    </row>
    <row r="3" customFormat="false" ht="15" hidden="false" customHeight="false" outlineLevel="0" collapsed="false">
      <c r="A3" s="4" t="s">
        <v>90</v>
      </c>
      <c r="B3" s="28" t="n">
        <f aca="false">EDATE(DATE(2019,12,31),0)</f>
        <v>43830</v>
      </c>
      <c r="C3" s="29" t="n">
        <f aca="false">-'1. Cash flows'!B3</f>
        <v>-60</v>
      </c>
      <c r="D3" s="29" t="n">
        <f aca="false">-'1. Cash flows'!B3*(1+'1. Cash flows'!B15*'1. Cash flows'!B16/12)</f>
        <v>-61.2</v>
      </c>
      <c r="E3" s="2" t="s">
        <v>89</v>
      </c>
      <c r="F3" s="28" t="n">
        <f aca="false">EDATE(DATE(2019,12,31),'1. Cash flows'!B16)</f>
        <v>44012</v>
      </c>
      <c r="G3" s="30" t="n">
        <f aca="false">DATE(2018,12,31)+365*(YEAR(B3)-2018)</f>
        <v>43830</v>
      </c>
      <c r="H3" s="30" t="n">
        <f aca="false">DATE(2018,12,31)+365*(YEAR(B3)-2018+'1. Cash flows'!$B$16/12)</f>
        <v>44012.5</v>
      </c>
    </row>
    <row r="4" customFormat="false" ht="15" hidden="false" customHeight="false" outlineLevel="0" collapsed="false">
      <c r="A4" s="4" t="s">
        <v>91</v>
      </c>
      <c r="B4" s="28" t="n">
        <f aca="false">DATE(2020,12,31)</f>
        <v>44196</v>
      </c>
      <c r="C4" s="29" t="n">
        <f aca="false">-'1. Cash flows'!B4</f>
        <v>-50</v>
      </c>
      <c r="D4" s="29" t="n">
        <f aca="false">C4</f>
        <v>-50</v>
      </c>
      <c r="F4" s="28" t="n">
        <f aca="false">DATE(2020,12,31)</f>
        <v>44196</v>
      </c>
      <c r="G4" s="30" t="n">
        <f aca="false">DATE(2018,12,31)+365*(YEAR(B4)-2018)</f>
        <v>44195</v>
      </c>
      <c r="H4" s="30" t="n">
        <f aca="false">G4</f>
        <v>44195</v>
      </c>
    </row>
    <row r="5" customFormat="false" ht="15" hidden="false" customHeight="false" outlineLevel="0" collapsed="false">
      <c r="A5" s="4" t="s">
        <v>92</v>
      </c>
      <c r="B5" s="28" t="n">
        <f aca="false">DATE(2021,12,31)</f>
        <v>44561</v>
      </c>
      <c r="C5" s="29" t="n">
        <f aca="false">-'1. Cash flows'!B5</f>
        <v>-40</v>
      </c>
      <c r="D5" s="29" t="n">
        <f aca="false">C5</f>
        <v>-40</v>
      </c>
      <c r="F5" s="28" t="n">
        <f aca="false">DATE(2021,12,31)</f>
        <v>44561</v>
      </c>
      <c r="G5" s="30" t="n">
        <f aca="false">DATE(2018,12,31)+365*(YEAR(B5)-2018)</f>
        <v>44560</v>
      </c>
      <c r="H5" s="30" t="n">
        <f aca="false">G5</f>
        <v>44560</v>
      </c>
    </row>
    <row r="6" customFormat="false" ht="15" hidden="false" customHeight="false" outlineLevel="0" collapsed="false">
      <c r="A6" s="4" t="s">
        <v>93</v>
      </c>
      <c r="B6" s="28" t="n">
        <f aca="false">DATE(2022,12,31)</f>
        <v>44926</v>
      </c>
      <c r="C6" s="29" t="n">
        <f aca="false">-'1. Cash flows'!B6</f>
        <v>-30</v>
      </c>
      <c r="D6" s="29" t="n">
        <f aca="false">C6</f>
        <v>-30</v>
      </c>
      <c r="F6" s="28" t="n">
        <f aca="false">DATE(2022,12,31)</f>
        <v>44926</v>
      </c>
      <c r="G6" s="30" t="n">
        <f aca="false">DATE(2018,12,31)+365*(YEAR(B6)-2018)</f>
        <v>44925</v>
      </c>
      <c r="H6" s="30" t="n">
        <f aca="false">G6</f>
        <v>44925</v>
      </c>
    </row>
    <row r="7" customFormat="false" ht="15" hidden="false" customHeight="false" outlineLevel="0" collapsed="false">
      <c r="A7" s="4" t="s">
        <v>94</v>
      </c>
      <c r="B7" s="28" t="n">
        <f aca="false">DATE(2023,12,31)</f>
        <v>45291</v>
      </c>
      <c r="C7" s="29" t="n">
        <f aca="false">-'1. Cash flows'!B7</f>
        <v>-20</v>
      </c>
      <c r="D7" s="29" t="n">
        <f aca="false">C7</f>
        <v>-20</v>
      </c>
      <c r="F7" s="28" t="n">
        <f aca="false">DATE(2023,12,31)</f>
        <v>45291</v>
      </c>
      <c r="G7" s="30" t="n">
        <f aca="false">DATE(2018,12,31)+365*(YEAR(B7)-2018)</f>
        <v>45290</v>
      </c>
      <c r="H7" s="30" t="n">
        <f aca="false">G7</f>
        <v>45290</v>
      </c>
    </row>
    <row r="8" customFormat="false" ht="15" hidden="false" customHeight="false" outlineLevel="0" collapsed="false">
      <c r="A8" s="4" t="s">
        <v>95</v>
      </c>
      <c r="B8" s="28" t="n">
        <f aca="false">DATE(2024,12,31)</f>
        <v>45657</v>
      </c>
      <c r="C8" s="29" t="n">
        <f aca="false">-'1. Cash flows'!B8</f>
        <v>-10</v>
      </c>
      <c r="D8" s="29" t="n">
        <f aca="false">C8</f>
        <v>-10</v>
      </c>
      <c r="F8" s="28" t="n">
        <f aca="false">DATE(2024,12,31)</f>
        <v>45657</v>
      </c>
      <c r="G8" s="30" t="n">
        <f aca="false">DATE(2018,12,31)+365*(YEAR(B8)-2018)</f>
        <v>45655</v>
      </c>
      <c r="H8" s="30" t="n">
        <f aca="false">G8</f>
        <v>45655</v>
      </c>
    </row>
    <row r="9" customFormat="false" ht="15" hidden="false" customHeight="false" outlineLevel="0" collapsed="false">
      <c r="A9" s="4" t="s">
        <v>96</v>
      </c>
      <c r="B9" s="28" t="n">
        <f aca="false">DATE(2025,12,31)</f>
        <v>46022</v>
      </c>
      <c r="C9" s="29" t="n">
        <f aca="false">-'1. Cash flows'!B9</f>
        <v>-0</v>
      </c>
      <c r="D9" s="29" t="n">
        <f aca="false">C9</f>
        <v>-0</v>
      </c>
      <c r="F9" s="28" t="n">
        <f aca="false">DATE(2025,12,31)</f>
        <v>46022</v>
      </c>
      <c r="G9" s="30" t="n">
        <f aca="false">DATE(2018,12,31)+365*(YEAR(B9)-2018)</f>
        <v>46020</v>
      </c>
      <c r="H9" s="30" t="n">
        <f aca="false">G9</f>
        <v>46020</v>
      </c>
    </row>
    <row r="10" customFormat="false" ht="15" hidden="false" customHeight="false" outlineLevel="0" collapsed="false">
      <c r="A10" s="4" t="s">
        <v>97</v>
      </c>
      <c r="B10" s="28" t="n">
        <f aca="false">DATE(2020,12,31)</f>
        <v>44196</v>
      </c>
      <c r="C10" s="29" t="n">
        <f aca="false">'1. Cash flows'!C4</f>
        <v>8</v>
      </c>
      <c r="D10" s="29" t="n">
        <f aca="false">C10</f>
        <v>8</v>
      </c>
      <c r="F10" s="28" t="n">
        <f aca="false">DATE(2020,12,31)</f>
        <v>44196</v>
      </c>
      <c r="G10" s="30" t="n">
        <f aca="false">DATE(2018,12,31)+365*(YEAR(B10)-2018)</f>
        <v>44195</v>
      </c>
      <c r="H10" s="30" t="n">
        <f aca="false">G10</f>
        <v>44195</v>
      </c>
    </row>
    <row r="11" customFormat="false" ht="15" hidden="false" customHeight="false" outlineLevel="0" collapsed="false">
      <c r="A11" s="4" t="s">
        <v>98</v>
      </c>
      <c r="B11" s="28" t="n">
        <f aca="false">DATE(2021,12,31)</f>
        <v>44561</v>
      </c>
      <c r="C11" s="29" t="n">
        <f aca="false">'1. Cash flows'!C5</f>
        <v>35</v>
      </c>
      <c r="D11" s="29" t="n">
        <f aca="false">C11</f>
        <v>35</v>
      </c>
      <c r="F11" s="28" t="n">
        <f aca="false">DATE(2021,12,31)</f>
        <v>44561</v>
      </c>
      <c r="G11" s="30" t="n">
        <f aca="false">DATE(2018,12,31)+365*(YEAR(B11)-2018)</f>
        <v>44560</v>
      </c>
      <c r="H11" s="30" t="n">
        <f aca="false">G11</f>
        <v>44560</v>
      </c>
    </row>
    <row r="12" customFormat="false" ht="15" hidden="false" customHeight="false" outlineLevel="0" collapsed="false">
      <c r="A12" s="4" t="s">
        <v>99</v>
      </c>
      <c r="B12" s="28" t="n">
        <f aca="false">DATE(2022,12,31)</f>
        <v>44926</v>
      </c>
      <c r="C12" s="29" t="n">
        <f aca="false">'1. Cash flows'!C6</f>
        <v>62</v>
      </c>
      <c r="D12" s="29" t="n">
        <f aca="false">C12</f>
        <v>62</v>
      </c>
      <c r="F12" s="28" t="n">
        <f aca="false">DATE(2022,12,31)</f>
        <v>44926</v>
      </c>
      <c r="G12" s="30" t="n">
        <f aca="false">DATE(2018,12,31)+365*(YEAR(B12)-2018)</f>
        <v>44925</v>
      </c>
      <c r="H12" s="30" t="n">
        <f aca="false">G12</f>
        <v>44925</v>
      </c>
    </row>
    <row r="13" customFormat="false" ht="15" hidden="false" customHeight="false" outlineLevel="0" collapsed="false">
      <c r="A13" s="4" t="s">
        <v>100</v>
      </c>
      <c r="B13" s="28" t="n">
        <f aca="false">DATE(2023,12,31)</f>
        <v>45291</v>
      </c>
      <c r="C13" s="29" t="n">
        <f aca="false">'1. Cash flows'!C7</f>
        <v>90</v>
      </c>
      <c r="D13" s="29" t="n">
        <f aca="false">C13</f>
        <v>90</v>
      </c>
      <c r="F13" s="28" t="n">
        <f aca="false">DATE(2023,12,31)</f>
        <v>45291</v>
      </c>
      <c r="G13" s="30" t="n">
        <f aca="false">DATE(2018,12,31)+365*(YEAR(B13)-2018)</f>
        <v>45290</v>
      </c>
      <c r="H13" s="30" t="n">
        <f aca="false">G13</f>
        <v>45290</v>
      </c>
    </row>
    <row r="14" customFormat="false" ht="15" hidden="false" customHeight="false" outlineLevel="0" collapsed="false">
      <c r="A14" s="4" t="s">
        <v>101</v>
      </c>
      <c r="B14" s="28" t="n">
        <f aca="false">DATE(2024,12,31)</f>
        <v>45657</v>
      </c>
      <c r="C14" s="29" t="n">
        <f aca="false">'1. Cash flows'!C8</f>
        <v>75</v>
      </c>
      <c r="D14" s="29" t="n">
        <f aca="false">C14</f>
        <v>75</v>
      </c>
      <c r="F14" s="28" t="n">
        <f aca="false">DATE(2024,12,31)</f>
        <v>45657</v>
      </c>
      <c r="G14" s="30" t="n">
        <f aca="false">DATE(2018,12,31)+365*(YEAR(B14)-2018)</f>
        <v>45655</v>
      </c>
      <c r="H14" s="30" t="n">
        <f aca="false">G14</f>
        <v>45655</v>
      </c>
    </row>
    <row r="15" customFormat="false" ht="15" hidden="false" customHeight="false" outlineLevel="0" collapsed="false">
      <c r="A15" s="4" t="s">
        <v>102</v>
      </c>
      <c r="B15" s="28" t="n">
        <f aca="false">DATE(2025,12,31)</f>
        <v>46022</v>
      </c>
      <c r="C15" s="29" t="n">
        <f aca="false">'1. Cash flows'!C9</f>
        <v>40</v>
      </c>
      <c r="D15" s="29" t="n">
        <f aca="false">C15</f>
        <v>40</v>
      </c>
      <c r="F15" s="28" t="n">
        <f aca="false">DATE(2025,12,31)</f>
        <v>46022</v>
      </c>
      <c r="G15" s="30" t="n">
        <f aca="false">DATE(2018,12,31)+365*(YEAR(B15)-2018)</f>
        <v>46020</v>
      </c>
      <c r="H15" s="30" t="n">
        <f aca="false">G15</f>
        <v>46020</v>
      </c>
    </row>
    <row r="16" customFormat="false" ht="15" hidden="false" customHeight="false" outlineLevel="0" collapsed="false">
      <c r="A16" s="4" t="s">
        <v>103</v>
      </c>
      <c r="B16" s="28" t="n">
        <f aca="false">DATE(2025,12,31)</f>
        <v>46022</v>
      </c>
      <c r="C16" s="29" t="n">
        <f aca="false">'1. Cash flows'!B12</f>
        <v>145</v>
      </c>
      <c r="D16" s="29" t="n">
        <f aca="false">C16</f>
        <v>145</v>
      </c>
      <c r="F16" s="28" t="n">
        <f aca="false">DATE(2025,12,31)</f>
        <v>46022</v>
      </c>
      <c r="G16" s="30" t="n">
        <f aca="false">DATE(2018,12,31)+365*(YEAR(B16)-2018)</f>
        <v>46020</v>
      </c>
      <c r="H16" s="30" t="n">
        <f aca="false">G16</f>
        <v>46020</v>
      </c>
    </row>
    <row r="18" customFormat="false" ht="15" hidden="false" customHeight="false" outlineLevel="0" collapsed="false">
      <c r="A18" s="12" t="s">
        <v>104</v>
      </c>
      <c r="C18" s="15" t="n">
        <f aca="false">XIRR(C2:C16,B2:B16)</f>
        <v>0.180221658404409</v>
      </c>
      <c r="D18" s="15" t="n">
        <f aca="false">XIRR(D2:D16,F2:F16)</f>
        <v>0.192007278112</v>
      </c>
    </row>
    <row r="19" customFormat="false" ht="15" hidden="false" customHeight="false" outlineLevel="0" collapsed="false">
      <c r="A19" s="4" t="s">
        <v>105</v>
      </c>
      <c r="C19" s="29" t="n">
        <f aca="false">SUMIF(C2:C16,"&lt;0")*-1</f>
        <v>255</v>
      </c>
      <c r="D19" s="29" t="n">
        <f aca="false">SUMIF(D2:D16,"&lt;0")*-1</f>
        <v>257.1</v>
      </c>
    </row>
    <row r="20" customFormat="false" ht="15" hidden="false" customHeight="false" outlineLevel="0" collapsed="false">
      <c r="A20" s="12" t="s">
        <v>106</v>
      </c>
      <c r="C20" s="13" t="n">
        <f aca="false">('2. Multiples'!B3+'2. Multiples'!B4)/C19</f>
        <v>1.7843137254902</v>
      </c>
      <c r="D20" s="13" t="n">
        <f aca="false">('2. Multiples'!B3+'2. Multiples'!B4)/D19</f>
        <v>1.76973940101128</v>
      </c>
    </row>
    <row r="22" customFormat="false" ht="15" hidden="false" customHeight="false" outlineLevel="0" collapsed="false">
      <c r="A22" s="7" t="s">
        <v>107</v>
      </c>
      <c r="D22" s="31" t="n">
        <f aca="false">D19-C19</f>
        <v>2.10000000000002</v>
      </c>
    </row>
    <row r="23" customFormat="false" ht="15" hidden="false" customHeight="false" outlineLevel="0" collapsed="false">
      <c r="A23" s="7" t="s">
        <v>108</v>
      </c>
      <c r="D23" s="16" t="n">
        <f aca="false">(D18-C18)*100</f>
        <v>1.17856197075906</v>
      </c>
    </row>
    <row r="24" customFormat="false" ht="15" hidden="false" customHeight="false" outlineLevel="0" collapsed="false">
      <c r="A24" s="7" t="s">
        <v>109</v>
      </c>
      <c r="D24" s="13" t="n">
        <f aca="false">D20-C20</f>
        <v>-0.0145743244789167</v>
      </c>
    </row>
    <row r="25" customFormat="false" ht="15" hidden="false" customHeight="false" outlineLevel="0" collapsed="false">
      <c r="A25" s="7" t="s">
        <v>110</v>
      </c>
      <c r="C25" s="22" t="n">
        <f aca="false">XIRR(C2:C16,G2:G16)</f>
        <v>0.180368627044934</v>
      </c>
      <c r="D25" s="22" t="n">
        <f aca="false">XIRR(D2:D16,H2:H16)</f>
        <v>0.192218879296267</v>
      </c>
    </row>
    <row r="26" customFormat="false" ht="28.35" hidden="false" customHeight="false" outlineLevel="0" collapsed="false">
      <c r="A26" s="32" t="s">
        <v>111</v>
      </c>
      <c r="D26" s="33" t="n">
        <f aca="false">(D25-C25)*100</f>
        <v>1.18502522513336</v>
      </c>
    </row>
    <row r="28" customFormat="false" ht="15" hidden="false" customHeight="false" outlineLevel="0" collapsed="false">
      <c r="A28" s="0" t="s">
        <v>112</v>
      </c>
    </row>
    <row r="29" customFormat="false" ht="15" hidden="false" customHeight="false" outlineLevel="0" collapsed="false">
      <c r="A29" s="2"/>
    </row>
    <row r="30" customFormat="false" ht="15" hidden="false" customHeight="false" outlineLevel="0" collapsed="false">
      <c r="A30" s="0"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62"/>
    <col collapsed="false" customWidth="true" hidden="false" outlineLevel="0" max="3" min="3" style="0" width="20"/>
    <col collapsed="false" customWidth="true" hidden="false" outlineLevel="0" max="4" min="4" style="0" width="14"/>
  </cols>
  <sheetData>
    <row r="1" customFormat="false" ht="15" hidden="false" customHeight="false" outlineLevel="0" collapsed="false">
      <c r="A1" s="3" t="s">
        <v>114</v>
      </c>
      <c r="B1" s="3" t="s">
        <v>115</v>
      </c>
      <c r="C1" s="3" t="s">
        <v>35</v>
      </c>
      <c r="D1" s="3" t="s">
        <v>116</v>
      </c>
    </row>
    <row r="2" customFormat="false" ht="15" hidden="false" customHeight="false" outlineLevel="0" collapsed="false">
      <c r="A2" s="4" t="n">
        <v>1</v>
      </c>
      <c r="B2" s="11" t="s">
        <v>117</v>
      </c>
      <c r="C2" s="34" t="n">
        <f aca="false">'1. Cash flows'!E9-SUM('1. Cash flows'!B2:B9)</f>
        <v>0</v>
      </c>
      <c r="D2" s="12" t="str">
        <f aca="false">IF(ABS(C2)&lt;0.0001,"PASS","FAIL")</f>
        <v>PASS</v>
      </c>
    </row>
    <row r="3" customFormat="false" ht="28.35" hidden="false" customHeight="false" outlineLevel="0" collapsed="false">
      <c r="A3" s="4" t="n">
        <v>2</v>
      </c>
      <c r="B3" s="11" t="s">
        <v>118</v>
      </c>
      <c r="C3" s="34" t="n">
        <f aca="false">'2. Multiples'!B8-('2. Multiples'!B6+'2. Multiples'!B7)</f>
        <v>0</v>
      </c>
      <c r="D3" s="12" t="str">
        <f aca="false">IF(ABS(C3)&lt;0.000001,"PASS","FAIL")</f>
        <v>PASS</v>
      </c>
    </row>
    <row r="4" customFormat="false" ht="15" hidden="false" customHeight="false" outlineLevel="0" collapsed="false">
      <c r="A4" s="4" t="n">
        <v>3</v>
      </c>
      <c r="B4" s="11" t="s">
        <v>119</v>
      </c>
      <c r="C4" s="35" t="n">
        <f aca="false">'2. Multiples'!B6-1.216</f>
        <v>-0.000313725490196148</v>
      </c>
      <c r="D4" s="12" t="str">
        <f aca="false">IF(ABS(C4)&lt;0.001,"PASS","FAIL")</f>
        <v>PASS</v>
      </c>
    </row>
    <row r="5" customFormat="false" ht="15" hidden="false" customHeight="false" outlineLevel="0" collapsed="false">
      <c r="A5" s="4" t="n">
        <v>4</v>
      </c>
      <c r="B5" s="11" t="s">
        <v>120</v>
      </c>
      <c r="C5" s="35" t="n">
        <f aca="false">'2. Multiples'!B8-1.784</f>
        <v>0.000313725490195926</v>
      </c>
      <c r="D5" s="12" t="str">
        <f aca="false">IF(ABS(C5)&lt;0.001,"PASS","FAIL")</f>
        <v>PASS</v>
      </c>
    </row>
    <row r="6" customFormat="false" ht="15" hidden="false" customHeight="false" outlineLevel="0" collapsed="false">
      <c r="A6" s="4" t="n">
        <v>5</v>
      </c>
      <c r="B6" s="11" t="s">
        <v>121</v>
      </c>
      <c r="C6" s="36" t="n">
        <f aca="false">'3. The two rates'!C11-0.1804</f>
        <v>-3.13729550663333E-005</v>
      </c>
      <c r="D6" s="12" t="str">
        <f aca="false">IF(ABS(C6)&lt;0.0005,"PASS","FAIL")</f>
        <v>PASS</v>
      </c>
    </row>
    <row r="7" customFormat="false" ht="15" hidden="false" customHeight="false" outlineLevel="0" collapsed="false">
      <c r="A7" s="4" t="n">
        <v>6</v>
      </c>
      <c r="B7" s="11" t="s">
        <v>122</v>
      </c>
      <c r="C7" s="36" t="n">
        <f aca="false">'3. The two rates'!D12-0.0712</f>
        <v>-1.89330184103137E-005</v>
      </c>
      <c r="D7" s="12" t="str">
        <f aca="false">IF(ABS(C7)&lt;0.0005,"PASS","FAIL")</f>
        <v>PASS</v>
      </c>
    </row>
    <row r="8" customFormat="false" ht="15" hidden="false" customHeight="false" outlineLevel="0" collapsed="false">
      <c r="A8" s="4" t="n">
        <v>7</v>
      </c>
      <c r="B8" s="11" t="s">
        <v>123</v>
      </c>
      <c r="C8" s="36" t="n">
        <f aca="false">'3. The two rates'!C11-'3. The two rates'!D12</f>
        <v>0.109187560063344</v>
      </c>
      <c r="D8" s="12" t="str">
        <f aca="false">IF(C8&gt;0,"PASS","CHECK")</f>
        <v>PASS</v>
      </c>
    </row>
    <row r="9" customFormat="false" ht="15" hidden="false" customHeight="false" outlineLevel="0" collapsed="false">
      <c r="A9" s="4" t="n">
        <v>8</v>
      </c>
      <c r="B9" s="11" t="s">
        <v>124</v>
      </c>
      <c r="C9" s="35" t="n">
        <f aca="false">'4. Other lenses'!B15-1.323</f>
        <v>-3.53270090938107E-005</v>
      </c>
      <c r="D9" s="12" t="str">
        <f aca="false">IF(ABS(C9)&lt;0.002,"PASS","FAIL")</f>
        <v>PASS</v>
      </c>
    </row>
    <row r="10" customFormat="false" ht="28.35" hidden="false" customHeight="false" outlineLevel="0" collapsed="false">
      <c r="A10" s="4" t="n">
        <v>9</v>
      </c>
      <c r="B10" s="11" t="s">
        <v>125</v>
      </c>
      <c r="C10" s="37" t="n">
        <f aca="false">'5. Subscription line'!D23</f>
        <v>1.17856197075906</v>
      </c>
      <c r="D10" s="12" t="str">
        <f aca="false">IF(C10&gt;0,"PASS","FAIL")</f>
        <v>PASS</v>
      </c>
    </row>
    <row r="11" customFormat="false" ht="15" hidden="false" customHeight="false" outlineLevel="0" collapsed="false">
      <c r="A11" s="4" t="n">
        <v>10</v>
      </c>
      <c r="B11" s="11" t="s">
        <v>126</v>
      </c>
      <c r="C11" s="35" t="n">
        <f aca="false">'5. Subscription line'!D24</f>
        <v>-0.0145743244789167</v>
      </c>
      <c r="D11" s="12" t="str">
        <f aca="false">IF(C11&lt;0,"PASS","FAIL")</f>
        <v>PASS</v>
      </c>
    </row>
    <row r="12" customFormat="false" ht="15" hidden="false" customHeight="false" outlineLevel="0" collapsed="false">
      <c r="A12" s="4" t="n">
        <v>11</v>
      </c>
      <c r="B12" s="11" t="s">
        <v>127</v>
      </c>
      <c r="C12" s="37" t="n">
        <f aca="false">'4. Other lenses'!B9</f>
        <v>2.0994062985721</v>
      </c>
      <c r="D12" s="12" t="str">
        <f aca="false">IF(C12&gt;0,"PASS","CHECK")</f>
        <v>PASS</v>
      </c>
    </row>
    <row r="13" customFormat="false" ht="15" hidden="false" customHeight="false" outlineLevel="0" collapsed="false">
      <c r="A13" s="0" t="n">
        <v>12</v>
      </c>
      <c r="B13" s="0" t="s">
        <v>128</v>
      </c>
      <c r="C13" s="38" t="n">
        <f aca="false">'4. Other lenses'!B7-0.2014</f>
        <v>-3.73099693452839E-005</v>
      </c>
      <c r="D13" s="7" t="str">
        <f aca="false">IF(ABS(C13)&lt;0.0005,"PASS","FAIL")</f>
        <v>PASS</v>
      </c>
    </row>
    <row r="14" customFormat="false" ht="15" hidden="false" customHeight="false" outlineLevel="0" collapsed="false">
      <c r="A14" s="0" t="n">
        <v>13</v>
      </c>
      <c r="B14" s="0" t="s">
        <v>129</v>
      </c>
      <c r="C14" s="0" t="n">
        <f aca="false">MAX(ABS('5. Subscription line'!C18-'5. Subscription line'!C25),ABS('5. Subscription line'!D18-'5. Subscription line'!D25))</f>
        <v>0.000211601184267635</v>
      </c>
      <c r="D14" s="7" t="str">
        <f aca="false">IF(C14&lt;0.001,"PASS","FAIL")</f>
        <v>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2026-08-22T03:21:41Z</dcterms:created>
  <dc:creator>openpyxl</dc:creator>
  <dc:description/>
  <dc:language>en-US</dc:language>
  <cp:lastModifiedBy/>
  <dcterms:modified xsi:type="dcterms:W3CDTF">2026-09-22T17:25:53Z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