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Funding" sheetId="2" state="visible" r:id="rId4"/>
    <sheet name="Dilution" sheetId="3" state="visible" r:id="rId5"/>
    <sheet name="Default loan and buyout" sheetId="4" state="visible" r:id="rId6"/>
    <sheet name="Clawback" sheetId="5" state="visible" r:id="rId7"/>
    <sheet name="Removal"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<sst xmlns="http://schemas.openxmlformats.org/spreadsheetml/2006/main" count="358" uniqueCount="285">
  <si>
    <t xml:space="preserve">Real Estate Joint Ventures — Workbook 3 of 4</t>
  </si>
  <si>
    <t xml:space="preserve">Failure to fund, the clawback, and what removal costs</t>
  </si>
  <si>
    <t xml:space="preserve">Julian R. Sterling · julianrsterling.com/jv</t>
  </si>
  <si>
    <t xml:space="preserve">Model the remedy before you sign it</t>
  </si>
  <si>
    <t xml:space="preserve">Chapter 8 ends with that instruction: run your own percentage through the exact formula in the draft, using a realistic missed call, and see what you hold afterwards. This workbook is that calculation, for all four dilution families at once, on your own numbers.</t>
  </si>
  <si>
    <t xml:space="preserve">The four formulas that sound identical</t>
  </si>
  <si>
    <t xml:space="preserve">'Dilution' reproduces the table of Chapter 8. A sponsor at 10% that misses a 2.00 call ends at 7.14%, 7.04%, 2.99% or 1.52% depending on which of four formulas the agreement contains. Investors frequently negotiate the credit multiple believing it is punitive; it moves the sponsor by a tenth of a point. The capital account reduction is the one with teeth. Both phrases appear in term sheets as 'dilution at 1.5 times'.</t>
  </si>
  <si>
    <t xml:space="preserve">The remedy that actually reaches the sponsor's money</t>
  </si>
  <si>
    <t xml:space="preserve">The same sheet prices the promote alongside the percentage, because Chapter 8's practical example turns on it: dilution costs the sponsor under a million on that deal and the promote is worth six times that. An investor that dilutes without touching the promote has barely moved the sponsor's economics.</t>
  </si>
  <si>
    <t xml:space="preserve">The clawback, and the single negotiated word</t>
  </si>
  <si>
    <t xml:space="preserve">'Clawback' rebuilds the worked venture of Chapter 11 — a refinancing that pays 12.00 of promote in year three, a rescue call in year four, and a sale in year seven that leaves the partners 1.55 short of their preferred return. The lookback identifies the whole 12.00 as repayable. Then the net-of-tax limitation caps it at 7.20, and the sponsor finishes at 1.52x against the investor's 1.22x on a deal that produced almost no profit. The tax rate is a blue cell. Move it and watch the gap.</t>
  </si>
  <si>
    <t xml:space="preserve">What removal costs</t>
  </si>
  <si>
    <t xml:space="preserve">'Removal' reproduces the five variants of Chapter 19 on the same venture: no removal, promote preserved, promote pro-rated, promote crystallised at the removal-date valuation, and forfeiture for cause. The spread between full preservation and crystallisation is larger than the sponsor's entire capital contribution.</t>
  </si>
  <si>
    <t xml:space="preserve">Conventions</t>
  </si>
  <si>
    <t xml:space="preserve">Blue is an input. Black is a formula. Yellow fill marks the assumptions that carry the answer. Figures follow the book's own units — read Chapter 8 in millions and Chapters 11 and 19 in the abstract units of the running example.</t>
  </si>
  <si>
    <t xml:space="preserve">Provided for education. Not investment advice.</t>
  </si>
  <si>
    <t xml:space="preserve">Revised 23 September 2026</t>
  </si>
  <si>
    <t xml:space="preserve">Revised 23 September 2026. A new sheet, 'Funding', rebuilds the sources and uses of Chapter 7 with its 8% contingency, the cost of calling 10 a quarter early (0.175 of preferred return for nothing) and the equalization of a late partner (0.40). The removal sheet now shows what the sponsor's capital interest becomes if the promote it gives up falls back into the partners' pro rata distributions instead of going to the investor alone, which is what Chapter 19's table silently assumes: 22.99 rather than 21.66 when the promote is pro-rated, 23.20 when it is crystallised at 180. The checks sheet gains eight lines and ends ALL OK.</t>
  </si>
  <si>
    <t xml:space="preserve">Sizing the commitment, and what calling early costs</t>
  </si>
  <si>
    <t xml:space="preserve">Chapter 7, 'Sizing the Commitment' and 'Calling Ahead of Need, and Equalization'.</t>
  </si>
  <si>
    <t xml:space="preserve">SOURCES AND USES AT CLOSING, WITH CONTINGENCY</t>
  </si>
  <si>
    <t xml:space="preserve">Line</t>
  </si>
  <si>
    <t xml:space="preserve">Amount</t>
  </si>
  <si>
    <t xml:space="preserve">Note</t>
  </si>
  <si>
    <t xml:space="preserve">Purchase price</t>
  </si>
  <si>
    <t xml:space="preserve">Contracted</t>
  </si>
  <si>
    <t xml:space="preserve">Acquisition costs and transfer taxes</t>
  </si>
  <si>
    <t xml:space="preserve">Jurisdiction-specific; verify early</t>
  </si>
  <si>
    <t xml:space="preserve">Capital expenditure</t>
  </si>
  <si>
    <t xml:space="preserve">Priced construction budget</t>
  </si>
  <si>
    <t xml:space="preserve">Leasing costs (tenant improvements and commissions)</t>
  </si>
  <si>
    <t xml:space="preserve">On currently vacant space</t>
  </si>
  <si>
    <t xml:space="preserve">Interest reserve</t>
  </si>
  <si>
    <t xml:space="preserve">To stabilization under the base case</t>
  </si>
  <si>
    <t xml:space="preserve">Working capital and reserves</t>
  </si>
  <si>
    <t xml:space="preserve">Including lender escrows</t>
  </si>
  <si>
    <t xml:space="preserve">Contingency rate on capex and leasing</t>
  </si>
  <si>
    <t xml:space="preserve">Contingency</t>
  </si>
  <si>
    <t xml:space="preserve">Total uses</t>
  </si>
  <si>
    <t xml:space="preserve">Senior facility as a share of total cost</t>
  </si>
  <si>
    <t xml:space="preserve">Senior facility</t>
  </si>
  <si>
    <t xml:space="preserve">Equity commitment</t>
  </si>
  <si>
    <t xml:space="preserve">Investor share</t>
  </si>
  <si>
    <t xml:space="preserve">Investor commitment</t>
  </si>
  <si>
    <t xml:space="preserve">Sponsor commitment</t>
  </si>
  <si>
    <t xml:space="preserve">CALLING AHEAD OF NEED</t>
  </si>
  <si>
    <t xml:space="preserve">Capital called early</t>
  </si>
  <si>
    <t xml:space="preserve">Spread between the preferred return and the deposit rate</t>
  </si>
  <si>
    <t xml:space="preserve">Months early</t>
  </si>
  <si>
    <t xml:space="preserve">Preferred return accrued for nothing, taken from the residual</t>
  </si>
  <si>
    <t xml:space="preserve">EQUALIZATION OF A LATE PARTNER</t>
  </si>
  <si>
    <t xml:space="preserve">Equity funded at closing by partner A alone</t>
  </si>
  <si>
    <t xml:space="preserve">Share admitted to partner B</t>
  </si>
  <si>
    <t xml:space="preserve">Equalization rate</t>
  </si>
  <si>
    <t xml:space="preserve">Months until B is admitted</t>
  </si>
  <si>
    <t xml:space="preserve">B funds its share of the capital</t>
  </si>
  <si>
    <t xml:space="preserve">plus an equalization payment, made to A and not to the venture</t>
  </si>
  <si>
    <t xml:space="preserve">The same default, four dilution formulas</t>
  </si>
  <si>
    <t xml:space="preserve">Chapter 8, 'Dilution, Worked'. Contributions in millions.</t>
  </si>
  <si>
    <t xml:space="preserve">THE DEFAULT</t>
  </si>
  <si>
    <t xml:space="preserve">The remedy that does not reach the money</t>
  </si>
  <si>
    <t xml:space="preserve">Investor contributions before the call</t>
  </si>
  <si>
    <t xml:space="preserve">Read rows 32 to 36 across. Whichever dilution formula applies, the promote is the same number, and it is several times what the dilution took. That is the arithmetic behind Chapter 8's conclusion: an investor that dilutes without touching the promote has barely moved the sponsor's economics.
The asymmetry runs the other way too. An investor has no promote, so a promote-forfeiture remedy costs it nothing and costs the sponsor everything. A sponsor's percentage is small, so dilution — even punitive dilution — takes little from it. Which is why sponsors negotiate for dilution-based remedies and investors negotiate for promote-based ones, and why an agreement containing only one of the two has given somebody a remedy that does not reach the other side's money.
One variable this sheet does not model, and you should check in your own draft: whether percentages are computed on contributed capital or on committed capital. Where funding has been uneven — a front-ended sponsor contribution, an equalisation, a partner loan not counted as capital — the two diverge, and a formula applied to the wrong base produces a result neither party intended. Define the base in the same clause as the formula.</t>
  </si>
  <si>
    <t xml:space="preserve">Sponsor contributions before the call</t>
  </si>
  <si>
    <t xml:space="preserve">Size of the capital call</t>
  </si>
  <si>
    <t xml:space="preserve">Sponsor's share of the call</t>
  </si>
  <si>
    <t xml:space="preserve">Credit multiple to the non-defaulting partner</t>
  </si>
  <si>
    <t xml:space="preserve">Capital account reduction multiple</t>
  </si>
  <si>
    <t xml:space="preserve">Second capital account reduction multiple, for comparison</t>
  </si>
  <si>
    <t xml:space="preserve">Investor's share of the call</t>
  </si>
  <si>
    <t xml:space="preserve">Investor funds its own share and the sponsor's</t>
  </si>
  <si>
    <t xml:space="preserve">THE FOUR FORMULAS</t>
  </si>
  <si>
    <t xml:space="preserve">Formula</t>
  </si>
  <si>
    <t xml:space="preserve">Sponsor's capital</t>
  </si>
  <si>
    <t xml:space="preserve">Investor's capital</t>
  </si>
  <si>
    <t xml:space="preserve">Sponsor's stake after</t>
  </si>
  <si>
    <t xml:space="preserve">Investor's stake after</t>
  </si>
  <si>
    <t xml:space="preserve">Before the call</t>
  </si>
  <si>
    <t xml:space="preserve">Straight dilution on contributed capital</t>
  </si>
  <si>
    <t xml:space="preserve">Non-defaulter credited at the credit multiple</t>
  </si>
  <si>
    <t xml:space="preserve">Defaulter's capital account reduced at the first multiple</t>
  </si>
  <si>
    <t xml:space="preserve">Defaulter's capital account reduced at the second multiple</t>
  </si>
  <si>
    <t xml:space="preserve">WHAT IT ACTUALLY COSTS THE SPONSOR</t>
  </si>
  <si>
    <t xml:space="preserve">Chapter 8's practical example: an exit generating residual profit above the preferred return and capital, with a promote on it.</t>
  </si>
  <si>
    <t xml:space="preserve">Residual profit above capital and the preferred return</t>
  </si>
  <si>
    <t xml:space="preserve">Promote percentage</t>
  </si>
  <si>
    <t xml:space="preserve">Promote</t>
  </si>
  <si>
    <t xml:space="preserve">Remaining for the partners</t>
  </si>
  <si>
    <t xml:space="preserve">Sponsor's stake</t>
  </si>
  <si>
    <t xml:space="preserve">Sponsor's share of the residual</t>
  </si>
  <si>
    <t xml:space="preserve">Plus the promote if kept</t>
  </si>
  <si>
    <t xml:space="preserve">Total to the sponsor</t>
  </si>
  <si>
    <t xml:space="preserve">Cost of the harshest dilution, against the mildest</t>
  </si>
  <si>
    <t xml:space="preserve">Value of the promote the sponsor keeps throughout</t>
  </si>
  <si>
    <t xml:space="preserve">The default loan, and the forced buyout at a discount</t>
  </si>
  <si>
    <t xml:space="preserve">Chapter 8, 'The Default Loan, Worked' and 'Remedies That Are Not About Money'.</t>
  </si>
  <si>
    <t xml:space="preserve">THE DEFAULT LOAN</t>
  </si>
  <si>
    <t xml:space="preserve">What each remedy is actually for</t>
  </si>
  <si>
    <t xml:space="preserve">Shortfall advanced by the non-defaulting partner</t>
  </si>
  <si>
    <t xml:space="preserve">A default loan is compensatory on its face: a punitive rate with priority repayment, designed to make the funding partner whole rather than to remove the other one. It has one feature both parties underestimate — it is only as good as the deal. A compounding claim with priority is worth nothing if the venture never distributes. A non-defaulting partner choosing between a loan and dilution is choosing between a claim on a venture it may no longer believe in and a permanently larger share of that same venture. Where the plan is intact and the shortfall temporary, the loan is right; where confidence has gone, it is not.
Two drafting choices change its character completely. Whether it is repaid from all distributions or only from the defaulter's share — the first primes the lender's own preferred return, which sounds odd until you remember the lender is the investor paying itself first. And whether it converts to equity after six or twelve months, because conversion at the accreted balance rather than the original shortfall makes a meaningful difference to the resulting percentages.
On the buyout: a 75% price on a 6.00 interest, paid three years later with no interest, is worth about 3.38 at a 10% discount rate — 56% of fair value, not 75%. A partner accepting a deferred buyout provision should insist that the deferred amount carries interest. Row 36 shows what that insistence is worth.</t>
  </si>
  <si>
    <t xml:space="preserve">Interest rate, compounding annually</t>
  </si>
  <si>
    <t xml:space="preserve">Years outstanding</t>
  </si>
  <si>
    <t xml:space="preserve">Balance to be repaid before any distribution</t>
  </si>
  <si>
    <t xml:space="preserve">Interest element</t>
  </si>
  <si>
    <t xml:space="preserve">Accretion year by year</t>
  </si>
  <si>
    <t xml:space="preserve">Year</t>
  </si>
  <si>
    <t xml:space="preserve">Opening</t>
  </si>
  <si>
    <t xml:space="preserve">Interest</t>
  </si>
  <si>
    <t xml:space="preserve">Closing</t>
  </si>
  <si>
    <t xml:space="preserve">If the loan converts to equity on the accreted balance rather than the original shortfall, the dilution formula applies to the closing figure above, not to the 2.00.</t>
  </si>
  <si>
    <t xml:space="preserve">THE FORCED BUYOUT AT A DISCOUNT</t>
  </si>
  <si>
    <t xml:space="preserve">The discount is not the whole of it. If the price is payable at exit rather than in cash on completion, the deferral is worth more than the discount.</t>
  </si>
  <si>
    <t xml:space="preserve">Fair value of the defaulting partner's interest</t>
  </si>
  <si>
    <t xml:space="preserve">Purchase price as a % of fair value</t>
  </si>
  <si>
    <t xml:space="preserve">Years until the price is paid</t>
  </si>
  <si>
    <t xml:space="preserve">Discount rate</t>
  </si>
  <si>
    <t xml:space="preserve">Stated purchase price</t>
  </si>
  <si>
    <t xml:space="preserve">Present value if paid at exit with no interest</t>
  </si>
  <si>
    <t xml:space="preserve">as a % of fair value</t>
  </si>
  <si>
    <t xml:space="preserve">Effective discount taken</t>
  </si>
  <si>
    <t xml:space="preserve">With interest accruing on the deferred amount at the discount rate</t>
  </si>
  <si>
    <t xml:space="preserve">the deferral costs nothing</t>
  </si>
  <si>
    <t xml:space="preserve">A clawback, worked</t>
  </si>
  <si>
    <t xml:space="preserve">Chapter 11, 'A Clawback, Worked'. Interim promote paid in year three, a rescue call in year four, and a sale in year seven.</t>
  </si>
  <si>
    <t xml:space="preserve">THE VENTURE</t>
  </si>
  <si>
    <t xml:space="preserve">The price of a single negotiated word</t>
  </si>
  <si>
    <t xml:space="preserve">Equity funded at closing</t>
  </si>
  <si>
    <t xml:space="preserve">Three years in, the sponsor had taken 26.80 out of a 10 investment while the investor sat at 1.48x. Every dollar of that profit was consumed by what followed. On the lookback the partners finish 1.55 short of even their preferred return, so the promote was never earned and the whole 12.00 is repayable.
Then the net-of-tax limitation. Assume the individuals who received the promote paid 40% on it — a placeholder, not a rate; the real figure varies by jurisdiction, entity and individual. The clawback is capped at 7.20 and 4.80 is permanently retained.
Read the bottom table. With a full clawback both partners finish at 1.25x, which is the correct answer: the promote was never earned, so both should receive the same return on the same terms. With the net-of-tax cap the sponsor finishes at 1.52x and the investor at 1.22x, on a deal that produced almost no profit. Thirty points of multiple, for one clause.
The limitation is defensible in one circumstance only: where the promote has genuinely been distributed to individuals who have genuinely paid tax and cannot recover it. Test it. Require that it applies only to amounts actually distributed to natural persons, only to the extent tax was actually paid and is not recoverable, and never to promote retained at the entity level. Then require the sponsor to escrow an amount equal to the retention, so that the concession costs the investor nothing if the venture performs.</t>
  </si>
  <si>
    <t xml:space="preserve">Preferred return, compounded annually</t>
  </si>
  <si>
    <t xml:space="preserve">Catch-up split — share to the promote</t>
  </si>
  <si>
    <t xml:space="preserve">Catch-up target — promote as a share of profit</t>
  </si>
  <si>
    <t xml:space="preserve">Promote above the catch-up</t>
  </si>
  <si>
    <t xml:space="preserve">Year of the refinancing</t>
  </si>
  <si>
    <t xml:space="preserve">Refinancing distribution</t>
  </si>
  <si>
    <t xml:space="preserve">Year of the rescue call</t>
  </si>
  <si>
    <t xml:space="preserve">Rescue equity called</t>
  </si>
  <si>
    <t xml:space="preserve">Year of the sale</t>
  </si>
  <si>
    <t xml:space="preserve">Net proceeds to equity at the sale</t>
  </si>
  <si>
    <t xml:space="preserve">Tax rate assumed on promote received by individuals</t>
  </si>
  <si>
    <t xml:space="preserve">THE YEAR-THREE WATERFALL</t>
  </si>
  <si>
    <t xml:space="preserve">Preferred return accrued to the refinancing</t>
  </si>
  <si>
    <t xml:space="preserve">Catch-up amount</t>
  </si>
  <si>
    <t xml:space="preserve">Tier</t>
  </si>
  <si>
    <t xml:space="preserve">Cash applied</t>
  </si>
  <si>
    <t xml:space="preserve">To the partners</t>
  </si>
  <si>
    <t xml:space="preserve">To the promote</t>
  </si>
  <si>
    <t xml:space="preserve">1. Return of capital</t>
  </si>
  <si>
    <t xml:space="preserve">2. Preferred return</t>
  </si>
  <si>
    <t xml:space="preserve">3. Catch-up</t>
  </si>
  <si>
    <t xml:space="preserve">4. Residual</t>
  </si>
  <si>
    <t xml:space="preserve">Total</t>
  </si>
  <si>
    <t xml:space="preserve">Promote as a share of the profit distributed</t>
  </si>
  <si>
    <t xml:space="preserve">CASH FLOWS OF THE VENTURE</t>
  </si>
  <si>
    <t xml:space="preserve">Event</t>
  </si>
  <si>
    <t xml:space="preserve">To or (from) the partners</t>
  </si>
  <si>
    <t xml:space="preserve">Equity funded</t>
  </si>
  <si>
    <t xml:space="preserve">Refinancing distributes</t>
  </si>
  <si>
    <t xml:space="preserve">Rescue equity call</t>
  </si>
  <si>
    <t xml:space="preserve">Sale</t>
  </si>
  <si>
    <t xml:space="preserve">Life of the venture, net</t>
  </si>
  <si>
    <t xml:space="preserve">Partners contributed</t>
  </si>
  <si>
    <t xml:space="preserve">Partners received</t>
  </si>
  <si>
    <t xml:space="preserve">Venture's total profit</t>
  </si>
  <si>
    <t xml:space="preserve">Sponsor's share of that profit</t>
  </si>
  <si>
    <t xml:space="preserve">THE LOOKBACK RECOMPUTATION</t>
  </si>
  <si>
    <t xml:space="preserve">The preferred return is not a single number: it accrues on each contribution from the date it was made until it is returned.</t>
  </si>
  <si>
    <t xml:space="preserve">Cumulative partner contributions</t>
  </si>
  <si>
    <t xml:space="preserve">Preferred return on the original capital, to the refinancing</t>
  </si>
  <si>
    <t xml:space="preserve">Preferred return on the rescue equity, to the sale</t>
  </si>
  <si>
    <t xml:space="preserve">Capital plus preferred return owed to the partners</t>
  </si>
  <si>
    <t xml:space="preserve">Total cash the venture ever distributed</t>
  </si>
  <si>
    <t xml:space="preserve">Shortfall against capital plus preferred return</t>
  </si>
  <si>
    <t xml:space="preserve">Promote entitlement on the lookback</t>
  </si>
  <si>
    <t xml:space="preserve">Promote actually received in year three</t>
  </si>
  <si>
    <t xml:space="preserve">Gross clawback obligation</t>
  </si>
  <si>
    <t xml:space="preserve">Clawback capped at the after-tax amount</t>
  </si>
  <si>
    <t xml:space="preserve">Permanently retained by the sponsor under the cap</t>
  </si>
  <si>
    <t xml:space="preserve">WHERE THE PARTIES FINISH</t>
  </si>
  <si>
    <t xml:space="preserve">Outcome</t>
  </si>
  <si>
    <t xml:space="preserve">Investor multiple</t>
  </si>
  <si>
    <t xml:space="preserve">Sponsor multiple</t>
  </si>
  <si>
    <t xml:space="preserve">Amount repaid</t>
  </si>
  <si>
    <t xml:space="preserve">Investor contributed</t>
  </si>
  <si>
    <t xml:space="preserve">Sponsor contributed</t>
  </si>
  <si>
    <t xml:space="preserve">No clawback</t>
  </si>
  <si>
    <t xml:space="preserve">Clawback limited to the after-tax amount</t>
  </si>
  <si>
    <t xml:space="preserve">Full clawback</t>
  </si>
  <si>
    <t xml:space="preserve">What removal costs the sponsor</t>
  </si>
  <si>
    <t xml:space="preserve">Chapter 19, 'What the Sponsor Loses: The Promote, Worked'. The running venture, removed at the end of year three.</t>
  </si>
  <si>
    <t xml:space="preserve">The table is the negotiation</t>
  </si>
  <si>
    <t xml:space="preserve">Total equity</t>
  </si>
  <si>
    <t xml:space="preserve">The spread between full preservation and crystallisation at the removal date is larger than the sponsor's entire capital contribution, and larger than several years of management fees. Three points follow.
Crystallisation is not neutral. It converts a promote on the eventual outcome into a promote on a valuation taken at a moment the sponsor did not choose, and valuations taken mid-business-plan systematically understate a repositioning that is half done. A sponsor accepting it should insist on the valuation basis: fair market value assuming completion of the approved business plan, by an independent valuer from an agreed panel, with each partner entitled to make submissions.
Timing of payment matters almost as much as amount. A crystallised promote paid at the actual exit is a deferred, unsecured claim on a venture the sponsor no longer controls. A crystallised promote paid at removal is cash.
Forfeiture should be calibrated to the cause. Total forfeiture is right for fraud, misappropriation and wilful misconduct. It is harsh for a single uncured breach of a reporting covenant, or a failure to fund already punished by dilution. A two-tier structure — total forfeiture for the conduct triggers, crystallisation with a 25% or 50% discount for the others — is where well-advised parties usually land.
None of this is the expensive part. A removal right without a transition provision is a right to acquire a problem, and almost every real estate facility conditions on the identity of the manager. Exercising a removal right that breaches the facility is not exercising a right; it is accelerating the loan.</t>
  </si>
  <si>
    <t xml:space="preserve">Sponsor share of equity</t>
  </si>
  <si>
    <t xml:space="preserve">Preferred return</t>
  </si>
  <si>
    <t xml:space="preserve">Catch-up target</t>
  </si>
  <si>
    <t xml:space="preserve">Second hurdle — partner IRR</t>
  </si>
  <si>
    <t xml:space="preserve">Promote below the hurdle</t>
  </si>
  <si>
    <t xml:space="preserve">Promote above the hurdle</t>
  </si>
  <si>
    <t xml:space="preserve">Exit year in the base case</t>
  </si>
  <si>
    <t xml:space="preserve">Exit proceeds in the base case</t>
  </si>
  <si>
    <t xml:space="preserve">Year of removal</t>
  </si>
  <si>
    <t xml:space="preserve">Independent valuation of the venture's equity at removal</t>
  </si>
  <si>
    <t xml:space="preserve">THE TWO WATERFALLS</t>
  </si>
  <si>
    <t xml:space="preserve">At the base-case exit</t>
  </si>
  <si>
    <t xml:space="preserve">At the removal-date valuation</t>
  </si>
  <si>
    <t xml:space="preserve">Proceeds run through the waterfall</t>
  </si>
  <si>
    <t xml:space="preserve">Preferred return accrued</t>
  </si>
  <si>
    <t xml:space="preserve">Cumulative to the partners at the hurdle</t>
  </si>
  <si>
    <t xml:space="preserve">Sponsor's capital interest</t>
  </si>
  <si>
    <t xml:space="preserve">WHAT THE SPONSOR RECEIVES UNDER EACH VARIANT</t>
  </si>
  <si>
    <t xml:space="preserve">Variant</t>
  </si>
  <si>
    <t xml:space="preserve">Promote received</t>
  </si>
  <si>
    <t xml:space="preserve">Capital interest</t>
  </si>
  <si>
    <t xml:space="preserve">No removal; sale at the base case</t>
  </si>
  <si>
    <t xml:space="preserve">No-cause; promote preserved to the actual exit</t>
  </si>
  <si>
    <t xml:space="preserve">No-cause; promote pro-rated by years served</t>
  </si>
  <si>
    <t xml:space="preserve">No-cause; promote crystallised at the removal valuation</t>
  </si>
  <si>
    <t xml:space="preserve">Cause; promote forfeited, capital bought at cost</t>
  </si>
  <si>
    <t xml:space="preserve">Spread between full preservation and crystallisation</t>
  </si>
  <si>
    <t xml:space="preserve">The sponsor's entire capital contribution, for comparison</t>
  </si>
  <si>
    <t xml:space="preserve">IF THE PROMOTE GIVEN UP IS SHARED PRO RATA</t>
  </si>
  <si>
    <t xml:space="preserve">The table above keeps the sponsor's capital interest at 21.66 whatever happens to its promote, which assumes the promote it gives up goes to the investor alone. If the agreement lets it fall back into the partners' pro rata distributions, the sponsor's 10% shares in it:</t>
  </si>
  <si>
    <t xml:space="preserve">Capital interest with the promote pro-rated</t>
  </si>
  <si>
    <t xml:space="preserve">Capital interest with the promote crystallised at the removal valuation</t>
  </si>
  <si>
    <t xml:space="preserve">Every figure these three chapters print, against what this workbook computes</t>
  </si>
  <si>
    <t xml:space="preserve">Column D links into the model. Change an input and the whole page moves with it.</t>
  </si>
  <si>
    <t xml:space="preserve">Source</t>
  </si>
  <si>
    <t xml:space="preserve">Figure as the book prints it</t>
  </si>
  <si>
    <t xml:space="preserve">Printed</t>
  </si>
  <si>
    <t xml:space="preserve">Computed</t>
  </si>
  <si>
    <t xml:space="preserve">Variance</t>
  </si>
  <si>
    <t xml:space="preserve">Status</t>
  </si>
  <si>
    <t xml:space="preserve">One line to explain</t>
  </si>
  <si>
    <t xml:space="preserve">Ch. 8</t>
  </si>
  <si>
    <t xml:space="preserve">Sponsor's stake before the call</t>
  </si>
  <si>
    <t xml:space="preserve">Chapter 19 prints the crystallised promote as 17.99 and the top tier as 5.95. Carried at full precision the tier is 5.9422 and the promote 17.98. The chapter rounds each tier to two decimals and adds the rounded figures; the workbook adds first and rounds once. The spread against full preservation moves by the same hundredth, from 15.44 to 15.45.
Nothing turns on it. It is marked 'rounding' rather than smoothed into 'reproduced' because a check that widens its own tolerance until everything passes is not a check.</t>
  </si>
  <si>
    <t xml:space="preserve">Non-defaulter credited at 1.5x the shortfall</t>
  </si>
  <si>
    <t xml:space="preserve">Defaulter's capital account reduced by 1.5x</t>
  </si>
  <si>
    <t xml:space="preserve">Defaulter's capital account reduced by 2.0x</t>
  </si>
  <si>
    <t xml:space="preserve">Investor's stake under the credit multiple</t>
  </si>
  <si>
    <t xml:space="preserve">Investor's stake under a 1.5x account reduction</t>
  </si>
  <si>
    <t xml:space="preserve">Sponsor's share of the residual under the credit multiple</t>
  </si>
  <si>
    <t xml:space="preserve">Sponsor's share of the residual under a 1.5x reduction</t>
  </si>
  <si>
    <t xml:space="preserve">The promote, unchanged by either formula</t>
  </si>
  <si>
    <t xml:space="preserve">Default loan of 2.00 at 15% after two years</t>
  </si>
  <si>
    <t xml:space="preserve">Deferred buyout: 75% of 6.00, paid in three years at 10%</t>
  </si>
  <si>
    <t xml:space="preserve">the same, as a percentage of fair value</t>
  </si>
  <si>
    <t xml:space="preserve">Ch. 11</t>
  </si>
  <si>
    <t xml:space="preserve">Preferred return accrued to the year-three refinancing</t>
  </si>
  <si>
    <t xml:space="preserve">Catch-up amount at the refinancing</t>
  </si>
  <si>
    <t xml:space="preserve">Catch-up split to the promote</t>
  </si>
  <si>
    <t xml:space="preserve">Residual after the catch-up</t>
  </si>
  <si>
    <t xml:space="preserve">Residual to the partners</t>
  </si>
  <si>
    <t xml:space="preserve">Total promote taken in year three</t>
  </si>
  <si>
    <t xml:space="preserve">Total to the partners in year three</t>
  </si>
  <si>
    <t xml:space="preserve">Promote as a share of the 60.00 of profit then distributed</t>
  </si>
  <si>
    <t xml:space="preserve">The venture's total profit over its life</t>
  </si>
  <si>
    <t xml:space="preserve">Preferred return on the rescue equity, years four to seven</t>
  </si>
  <si>
    <t xml:space="preserve">Investor multiple with no clawback</t>
  </si>
  <si>
    <t xml:space="preserve">Sponsor multiple with no clawback</t>
  </si>
  <si>
    <t xml:space="preserve">Investor multiple under the net-of-tax cap</t>
  </si>
  <si>
    <t xml:space="preserve">Sponsor multiple under the net-of-tax cap</t>
  </si>
  <si>
    <t xml:space="preserve">Investor multiple under a full clawback</t>
  </si>
  <si>
    <t xml:space="preserve">Sponsor multiple under a full clawback</t>
  </si>
  <si>
    <t xml:space="preserve">Ch. 19</t>
  </si>
  <si>
    <t xml:space="preserve">Base-case promote at a sale of 250 in year five</t>
  </si>
  <si>
    <t xml:space="preserve">Preferred return accrued to the removal date</t>
  </si>
  <si>
    <t xml:space="preserve">Catch-up amount at the removal date</t>
  </si>
  <si>
    <t xml:space="preserve">The 14% hurdle requirement at year three</t>
  </si>
  <si>
    <t xml:space="preserve">Crystallised promote at a valuation of 180</t>
  </si>
  <si>
    <t xml:space="preserve">Partners' share at the removal-date valuation</t>
  </si>
  <si>
    <t xml:space="preserve">Sponsor's capital interest at the removal date</t>
  </si>
  <si>
    <t xml:space="preserve">Promote pro-rated three fifths of the actual</t>
  </si>
  <si>
    <t xml:space="preserve">Spread between preservation and crystallisation  (two rounded tiers, so two hundredths)</t>
  </si>
  <si>
    <t xml:space="preserve">Ch. 7</t>
  </si>
  <si>
    <t xml:space="preserve">Contingency at 8% of capex and leasing</t>
  </si>
  <si>
    <t xml:space="preserve">Senior facility at 60% of total cost</t>
  </si>
  <si>
    <t xml:space="preserve">Investor commitment at 90/10</t>
  </si>
  <si>
    <t xml:space="preserve">Preferred return accrued on 10 called a quarter early</t>
  </si>
  <si>
    <t xml:space="preserve">Equalization payment</t>
  </si>
  <si>
    <t xml:space="preserve">Lines reproduced exactly</t>
  </si>
  <si>
    <t xml:space="preserve">Lines differing only by the book's rounding of an intermediate figure</t>
  </si>
  <si>
    <t xml:space="preserve">Lines revised since the first edition (the corrected figure is in column C)</t>
  </si>
  <si>
    <t xml:space="preserve">Lines to check</t>
  </si>
  <si>
    <t xml:space="preserve">All checks</t>
  </si>
</sst>
</file>

<file path=xl/styles.xml><?xml version="1.0" encoding="utf-8"?>
<styleSheet xmlns="http://schemas.openxmlformats.org/spreadsheetml/2006/main">
  <numFmts count="7">
    <numFmt numFmtId="164" formatCode="General"/>
    <numFmt numFmtId="165" formatCode="#,##0.00;\(#,##0.00\);\-"/>
    <numFmt numFmtId="166" formatCode="0.0%"/>
    <numFmt numFmtId="167" formatCode="0"/>
    <numFmt numFmtId="168" formatCode="0.000"/>
    <numFmt numFmtId="169" formatCode="0.00\x"/>
    <numFmt numFmtId="170" formatCode="0.00%"/>
  </numFmts>
  <fonts count="19">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595959"/>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2" fillId="3"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5" fontId="12" fillId="3" borderId="0" xfId="0" applyFont="true" applyBorder="false" applyAlignment="false" applyProtection="false">
      <alignment horizontal="general" vertical="bottom" textRotation="0" wrapText="false" indent="0" shrinkToFit="false"/>
      <protection locked="true" hidden="false"/>
    </xf>
    <xf numFmtId="167" fontId="12" fillId="3" borderId="0" xfId="0" applyFont="true" applyBorder="false" applyAlignment="false" applyProtection="false">
      <alignment horizontal="general" vertical="bottom" textRotation="0" wrapText="false" indent="0" shrinkToFit="false"/>
      <protection locked="true" hidden="false"/>
    </xf>
    <xf numFmtId="168" fontId="13"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2" fillId="3"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9" fontId="12" fillId="3"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6" fontId="12" fillId="3" borderId="0" xfId="0" applyFont="true" applyBorder="false" applyAlignment="true" applyProtection="false">
      <alignment horizontal="general" vertical="bottom" textRotation="0" wrapText="false" indent="0" shrinkToFit="false"/>
      <protection locked="true" hidden="false"/>
    </xf>
    <xf numFmtId="167" fontId="12" fillId="3"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70" fontId="16" fillId="0" borderId="0" xfId="0" applyFont="true" applyBorder="false" applyAlignment="true" applyProtection="false">
      <alignment horizontal="general" vertical="bottom" textRotation="0" wrapText="false" indent="0" shrinkToFit="false"/>
      <protection locked="true" hidden="false"/>
    </xf>
    <xf numFmtId="170" fontId="17" fillId="0" borderId="0" xfId="0" applyFont="true" applyBorder="false" applyAlignment="true" applyProtection="false">
      <alignment horizontal="general" vertical="bottom" textRotation="0" wrapText="false" indent="0" shrinkToFit="false"/>
      <protection locked="true" hidden="false"/>
    </xf>
    <xf numFmtId="170" fontId="15" fillId="0" borderId="0" xfId="0" applyFont="tru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70" fontId="16" fillId="4" borderId="0" xfId="0" applyFont="true" applyBorder="false" applyAlignment="true" applyProtection="false">
      <alignment horizontal="general" vertical="bottom" textRotation="0" wrapText="false" indent="0" shrinkToFit="false"/>
      <protection locked="true" hidden="false"/>
    </xf>
    <xf numFmtId="170" fontId="17" fillId="4" borderId="0" xfId="0" applyFont="true" applyBorder="false" applyAlignment="true" applyProtection="false">
      <alignment horizontal="general" vertical="bottom" textRotation="0" wrapText="false" indent="0" shrinkToFit="false"/>
      <protection locked="true" hidden="false"/>
    </xf>
    <xf numFmtId="170" fontId="15" fillId="4" borderId="0" xfId="0" applyFont="true" applyBorder="false" applyAlignment="true" applyProtection="false">
      <alignment horizontal="general" vertical="bottom" textRotation="0" wrapText="false" indent="0" shrinkToFit="false"/>
      <protection locked="true" hidden="false"/>
    </xf>
    <xf numFmtId="164" fontId="18"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7"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9" fontId="16" fillId="4" borderId="0" xfId="0" applyFont="true" applyBorder="false" applyAlignment="true" applyProtection="false">
      <alignment horizontal="general" vertical="bottom" textRotation="0" wrapText="false" indent="0" shrinkToFit="false"/>
      <protection locked="true" hidden="false"/>
    </xf>
    <xf numFmtId="169" fontId="17" fillId="4" borderId="0" xfId="0" applyFont="true" applyBorder="false" applyAlignment="true" applyProtection="false">
      <alignment horizontal="general" vertical="bottom" textRotation="0" wrapText="false" indent="0" shrinkToFit="false"/>
      <protection locked="true" hidden="false"/>
    </xf>
    <xf numFmtId="169" fontId="15" fillId="4" borderId="0" xfId="0" applyFont="true" applyBorder="false" applyAlignment="true" applyProtection="false">
      <alignment horizontal="general" vertical="bottom" textRotation="0" wrapText="false" indent="0" shrinkToFit="false"/>
      <protection locked="true" hidden="false"/>
    </xf>
    <xf numFmtId="169" fontId="16" fillId="0" borderId="0" xfId="0" applyFont="true" applyBorder="false" applyAlignment="true" applyProtection="false">
      <alignment horizontal="general" vertical="bottom" textRotation="0" wrapText="false" indent="0" shrinkToFit="false"/>
      <protection locked="true" hidden="false"/>
    </xf>
    <xf numFmtId="169" fontId="17" fillId="0" borderId="0" xfId="0" applyFont="true" applyBorder="false" applyAlignment="true" applyProtection="false">
      <alignment horizontal="general" vertical="bottom" textRotation="0" wrapText="false" indent="0" shrinkToFit="false"/>
      <protection locked="true" hidden="false"/>
    </xf>
    <xf numFmtId="169" fontId="15"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false" applyProtection="false">
      <alignment horizontal="general" vertical="bottom" textRotation="0" wrapText="false" indent="0"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5" fontId="16" fillId="4"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58.5" hidden="false" customHeight="true" outlineLevel="0" collapsed="false">
      <c r="B7" s="6" t="s">
        <v>4</v>
      </c>
    </row>
    <row r="9" customFormat="false" ht="15" hidden="false" customHeight="true" outlineLevel="0" collapsed="false">
      <c r="B9" s="5" t="s">
        <v>5</v>
      </c>
    </row>
    <row r="10" customFormat="false" ht="88.5" hidden="false" customHeight="true" outlineLevel="0" collapsed="false">
      <c r="B10" s="6" t="s">
        <v>6</v>
      </c>
    </row>
    <row r="12" customFormat="false" ht="15" hidden="false" customHeight="true" outlineLevel="0" collapsed="false">
      <c r="B12" s="5" t="s">
        <v>7</v>
      </c>
    </row>
    <row r="13" customFormat="false" ht="73.5" hidden="false" customHeight="true" outlineLevel="0" collapsed="false">
      <c r="B13" s="6" t="s">
        <v>8</v>
      </c>
    </row>
    <row r="15" customFormat="false" ht="15" hidden="false" customHeight="true" outlineLevel="0" collapsed="false">
      <c r="B15" s="5" t="s">
        <v>9</v>
      </c>
    </row>
    <row r="16" customFormat="false" ht="88.5" hidden="false" customHeight="true" outlineLevel="0" collapsed="false">
      <c r="B16" s="6" t="s">
        <v>10</v>
      </c>
    </row>
    <row r="18" customFormat="false" ht="15" hidden="false" customHeight="true" outlineLevel="0" collapsed="false">
      <c r="B18" s="5" t="s">
        <v>11</v>
      </c>
    </row>
    <row r="19" customFormat="false" ht="73.5" hidden="false" customHeight="true" outlineLevel="0" collapsed="false">
      <c r="B19" s="6" t="s">
        <v>12</v>
      </c>
    </row>
    <row r="21" customFormat="false" ht="15" hidden="false" customHeight="true" outlineLevel="0" collapsed="false">
      <c r="B21" s="5" t="s">
        <v>13</v>
      </c>
    </row>
    <row r="22" customFormat="false" ht="58.5" hidden="false" customHeight="true" outlineLevel="0" collapsed="false">
      <c r="B22" s="6" t="s">
        <v>14</v>
      </c>
    </row>
    <row r="25" customFormat="false" ht="15" hidden="false" customHeight="true" outlineLevel="0" collapsed="false">
      <c r="B25" s="4" t="s">
        <v>15</v>
      </c>
    </row>
    <row r="27" customFormat="false" ht="15" hidden="false" customHeight="false" outlineLevel="0" collapsed="false">
      <c r="B27" s="7" t="s">
        <v>16</v>
      </c>
    </row>
    <row r="28" customFormat="false" ht="103.5" hidden="false" customHeight="true" outlineLevel="0" collapsed="false">
      <c r="B28" s="6"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3"/>
    <col collapsed="false" customWidth="true" hidden="false" outlineLevel="0" max="4" min="4" style="0" width="60"/>
  </cols>
  <sheetData>
    <row r="1" customFormat="false" ht="17.35" hidden="false" customHeight="false" outlineLevel="0" collapsed="false">
      <c r="A1" s="8" t="s">
        <v>18</v>
      </c>
    </row>
    <row r="2" customFormat="false" ht="15" hidden="false" customHeight="false" outlineLevel="0" collapsed="false">
      <c r="A2" s="9" t="s">
        <v>19</v>
      </c>
    </row>
    <row r="4" customFormat="false" ht="15" hidden="false" customHeight="false" outlineLevel="0" collapsed="false">
      <c r="A4" s="7" t="s">
        <v>20</v>
      </c>
    </row>
    <row r="5" customFormat="false" ht="15" hidden="false" customHeight="false" outlineLevel="0" collapsed="false">
      <c r="A5" s="10" t="s">
        <v>21</v>
      </c>
      <c r="B5" s="10" t="s">
        <v>22</v>
      </c>
      <c r="C5" s="10"/>
      <c r="D5" s="10" t="s">
        <v>23</v>
      </c>
    </row>
    <row r="6" customFormat="false" ht="15" hidden="false" customHeight="false" outlineLevel="0" collapsed="false">
      <c r="A6" s="11" t="s">
        <v>24</v>
      </c>
      <c r="B6" s="12" t="n">
        <v>82</v>
      </c>
      <c r="D6" s="9" t="s">
        <v>25</v>
      </c>
    </row>
    <row r="7" customFormat="false" ht="15" hidden="false" customHeight="false" outlineLevel="0" collapsed="false">
      <c r="A7" s="11" t="s">
        <v>26</v>
      </c>
      <c r="B7" s="12" t="n">
        <v>6</v>
      </c>
      <c r="D7" s="9" t="s">
        <v>27</v>
      </c>
    </row>
    <row r="8" customFormat="false" ht="15" hidden="false" customHeight="false" outlineLevel="0" collapsed="false">
      <c r="A8" s="11" t="s">
        <v>28</v>
      </c>
      <c r="B8" s="12" t="n">
        <v>20</v>
      </c>
      <c r="D8" s="9" t="s">
        <v>29</v>
      </c>
    </row>
    <row r="9" customFormat="false" ht="15" hidden="false" customHeight="false" outlineLevel="0" collapsed="false">
      <c r="A9" s="11" t="s">
        <v>30</v>
      </c>
      <c r="B9" s="12" t="n">
        <v>5</v>
      </c>
      <c r="D9" s="9" t="s">
        <v>31</v>
      </c>
    </row>
    <row r="10" customFormat="false" ht="15" hidden="false" customHeight="false" outlineLevel="0" collapsed="false">
      <c r="A10" s="11" t="s">
        <v>32</v>
      </c>
      <c r="B10" s="12" t="n">
        <v>3</v>
      </c>
      <c r="D10" s="9" t="s">
        <v>33</v>
      </c>
    </row>
    <row r="11" customFormat="false" ht="15" hidden="false" customHeight="false" outlineLevel="0" collapsed="false">
      <c r="A11" s="11" t="s">
        <v>34</v>
      </c>
      <c r="B11" s="12" t="n">
        <v>2</v>
      </c>
      <c r="D11" s="9" t="s">
        <v>35</v>
      </c>
    </row>
    <row r="12" customFormat="false" ht="15" hidden="false" customHeight="false" outlineLevel="0" collapsed="false">
      <c r="A12" s="11" t="s">
        <v>36</v>
      </c>
      <c r="B12" s="13" t="n">
        <v>0.08</v>
      </c>
    </row>
    <row r="13" customFormat="false" ht="15" hidden="false" customHeight="false" outlineLevel="0" collapsed="false">
      <c r="A13" s="11" t="s">
        <v>37</v>
      </c>
      <c r="B13" s="14" t="n">
        <f aca="false">B12*(B8+B9)</f>
        <v>2</v>
      </c>
    </row>
    <row r="14" customFormat="false" ht="15" hidden="false" customHeight="false" outlineLevel="0" collapsed="false">
      <c r="A14" s="11" t="s">
        <v>38</v>
      </c>
      <c r="B14" s="15" t="n">
        <f aca="false">SUM(B6:B11)+B13</f>
        <v>120</v>
      </c>
    </row>
    <row r="15" customFormat="false" ht="15" hidden="false" customHeight="false" outlineLevel="0" collapsed="false">
      <c r="A15" s="11" t="s">
        <v>39</v>
      </c>
      <c r="B15" s="13" t="n">
        <v>0.6</v>
      </c>
    </row>
    <row r="16" customFormat="false" ht="15" hidden="false" customHeight="false" outlineLevel="0" collapsed="false">
      <c r="A16" s="11" t="s">
        <v>40</v>
      </c>
      <c r="B16" s="14" t="n">
        <f aca="false">B14*B15</f>
        <v>72</v>
      </c>
    </row>
    <row r="17" customFormat="false" ht="15" hidden="false" customHeight="false" outlineLevel="0" collapsed="false">
      <c r="A17" s="11" t="s">
        <v>41</v>
      </c>
      <c r="B17" s="15" t="n">
        <f aca="false">B14-B16</f>
        <v>48</v>
      </c>
    </row>
    <row r="18" customFormat="false" ht="15" hidden="false" customHeight="false" outlineLevel="0" collapsed="false">
      <c r="A18" s="11" t="s">
        <v>42</v>
      </c>
      <c r="B18" s="13" t="n">
        <v>0.9</v>
      </c>
    </row>
    <row r="19" customFormat="false" ht="15" hidden="false" customHeight="false" outlineLevel="0" collapsed="false">
      <c r="A19" s="11" t="s">
        <v>43</v>
      </c>
      <c r="B19" s="14" t="n">
        <f aca="false">B17*B18</f>
        <v>43.2</v>
      </c>
    </row>
    <row r="20" customFormat="false" ht="15" hidden="false" customHeight="false" outlineLevel="0" collapsed="false">
      <c r="A20" s="11" t="s">
        <v>44</v>
      </c>
      <c r="B20" s="14" t="n">
        <f aca="false">B17-B19</f>
        <v>4.8</v>
      </c>
    </row>
    <row r="22" customFormat="false" ht="15" hidden="false" customHeight="false" outlineLevel="0" collapsed="false">
      <c r="A22" s="7" t="s">
        <v>45</v>
      </c>
    </row>
    <row r="23" customFormat="false" ht="15" hidden="false" customHeight="false" outlineLevel="0" collapsed="false">
      <c r="A23" s="11" t="s">
        <v>46</v>
      </c>
      <c r="B23" s="16" t="n">
        <v>10</v>
      </c>
    </row>
    <row r="24" customFormat="false" ht="15" hidden="false" customHeight="false" outlineLevel="0" collapsed="false">
      <c r="A24" s="11" t="s">
        <v>47</v>
      </c>
      <c r="B24" s="13" t="n">
        <v>0.07</v>
      </c>
    </row>
    <row r="25" customFormat="false" ht="15" hidden="false" customHeight="false" outlineLevel="0" collapsed="false">
      <c r="A25" s="11" t="s">
        <v>48</v>
      </c>
      <c r="B25" s="17" t="n">
        <v>3</v>
      </c>
    </row>
    <row r="26" customFormat="false" ht="15" hidden="false" customHeight="false" outlineLevel="0" collapsed="false">
      <c r="A26" s="11" t="s">
        <v>49</v>
      </c>
      <c r="B26" s="18" t="n">
        <f aca="false">B23*B24*B25/12</f>
        <v>0.175</v>
      </c>
    </row>
    <row r="28" customFormat="false" ht="15" hidden="false" customHeight="false" outlineLevel="0" collapsed="false">
      <c r="A28" s="7" t="s">
        <v>50</v>
      </c>
    </row>
    <row r="29" customFormat="false" ht="15" hidden="false" customHeight="false" outlineLevel="0" collapsed="false">
      <c r="A29" s="11" t="s">
        <v>51</v>
      </c>
      <c r="B29" s="16" t="n">
        <v>20</v>
      </c>
    </row>
    <row r="30" customFormat="false" ht="15" hidden="false" customHeight="false" outlineLevel="0" collapsed="false">
      <c r="A30" s="11" t="s">
        <v>52</v>
      </c>
      <c r="B30" s="13" t="n">
        <v>0.5</v>
      </c>
    </row>
    <row r="31" customFormat="false" ht="15" hidden="false" customHeight="false" outlineLevel="0" collapsed="false">
      <c r="A31" s="11" t="s">
        <v>53</v>
      </c>
      <c r="B31" s="13" t="n">
        <v>0.08</v>
      </c>
    </row>
    <row r="32" customFormat="false" ht="15" hidden="false" customHeight="false" outlineLevel="0" collapsed="false">
      <c r="A32" s="11" t="s">
        <v>54</v>
      </c>
      <c r="B32" s="17" t="n">
        <v>6</v>
      </c>
    </row>
    <row r="33" customFormat="false" ht="15" hidden="false" customHeight="false" outlineLevel="0" collapsed="false">
      <c r="A33" s="11" t="s">
        <v>55</v>
      </c>
      <c r="B33" s="14" t="n">
        <f aca="false">B29*B30</f>
        <v>10</v>
      </c>
    </row>
    <row r="34" customFormat="false" ht="15" hidden="false" customHeight="false" outlineLevel="0" collapsed="false">
      <c r="A34" s="11" t="s">
        <v>56</v>
      </c>
      <c r="B34" s="15" t="n">
        <f aca="false">B33*B31*B32/12</f>
        <v>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5" min="2" style="1" width="15"/>
    <col collapsed="false" customWidth="true" hidden="false" outlineLevel="0" max="6" min="6" style="1" width="3"/>
    <col collapsed="false" customWidth="true" hidden="false" outlineLevel="0" max="7" min="7" style="1" width="50"/>
  </cols>
  <sheetData>
    <row r="1" customFormat="false" ht="17.25" hidden="false" customHeight="true" outlineLevel="0" collapsed="false">
      <c r="A1" s="19" t="s">
        <v>57</v>
      </c>
    </row>
    <row r="2" customFormat="false" ht="15" hidden="false" customHeight="true" outlineLevel="0" collapsed="false">
      <c r="A2" s="4" t="s">
        <v>58</v>
      </c>
    </row>
    <row r="4" customFormat="false" ht="15" hidden="false" customHeight="true" outlineLevel="0" collapsed="false">
      <c r="A4" s="5" t="s">
        <v>59</v>
      </c>
      <c r="G4" s="5" t="s">
        <v>60</v>
      </c>
    </row>
    <row r="5" customFormat="false" ht="15" hidden="false" customHeight="true" outlineLevel="0" collapsed="false">
      <c r="A5" s="20" t="s">
        <v>61</v>
      </c>
      <c r="B5" s="21" t="n">
        <v>45</v>
      </c>
      <c r="G5" s="22" t="s">
        <v>62</v>
      </c>
    </row>
    <row r="6" customFormat="false" ht="15" hidden="false" customHeight="true" outlineLevel="0" collapsed="false">
      <c r="A6" s="20" t="s">
        <v>63</v>
      </c>
      <c r="B6" s="21" t="n">
        <v>5</v>
      </c>
      <c r="G6" s="22"/>
    </row>
    <row r="7" customFormat="false" ht="15" hidden="false" customHeight="true" outlineLevel="0" collapsed="false">
      <c r="A7" s="20" t="s">
        <v>64</v>
      </c>
      <c r="B7" s="21" t="n">
        <v>20</v>
      </c>
      <c r="G7" s="22"/>
    </row>
    <row r="8" customFormat="false" ht="15" hidden="false" customHeight="true" outlineLevel="0" collapsed="false">
      <c r="A8" s="20" t="s">
        <v>65</v>
      </c>
      <c r="B8" s="21" t="n">
        <v>2</v>
      </c>
      <c r="G8" s="22"/>
    </row>
    <row r="9" customFormat="false" ht="15" hidden="false" customHeight="true" outlineLevel="0" collapsed="false">
      <c r="A9" s="20" t="s">
        <v>66</v>
      </c>
      <c r="B9" s="23" t="n">
        <v>1.5</v>
      </c>
      <c r="G9" s="22"/>
    </row>
    <row r="10" customFormat="false" ht="15" hidden="false" customHeight="true" outlineLevel="0" collapsed="false">
      <c r="A10" s="20" t="s">
        <v>67</v>
      </c>
      <c r="B10" s="23" t="n">
        <v>1.5</v>
      </c>
      <c r="G10" s="22"/>
    </row>
    <row r="11" customFormat="false" ht="15" hidden="false" customHeight="true" outlineLevel="0" collapsed="false">
      <c r="A11" s="20" t="s">
        <v>68</v>
      </c>
      <c r="B11" s="23" t="n">
        <v>2</v>
      </c>
      <c r="G11" s="22"/>
    </row>
    <row r="12" customFormat="false" ht="15" hidden="false" customHeight="true" outlineLevel="0" collapsed="false">
      <c r="G12" s="22"/>
    </row>
    <row r="13" customFormat="false" ht="15" hidden="false" customHeight="true" outlineLevel="0" collapsed="false">
      <c r="A13" s="20" t="s">
        <v>69</v>
      </c>
      <c r="B13" s="24" t="n">
        <f aca="false">B7-B8</f>
        <v>18</v>
      </c>
      <c r="G13" s="22"/>
    </row>
    <row r="14" customFormat="false" ht="15" hidden="false" customHeight="true" outlineLevel="0" collapsed="false">
      <c r="A14" s="20" t="s">
        <v>70</v>
      </c>
      <c r="B14" s="24" t="n">
        <f aca="false">B7</f>
        <v>20</v>
      </c>
      <c r="G14" s="22"/>
    </row>
    <row r="15" customFormat="false" ht="15" hidden="false" customHeight="true" outlineLevel="0" collapsed="false">
      <c r="G15" s="22"/>
    </row>
    <row r="16" customFormat="false" ht="15" hidden="false" customHeight="true" outlineLevel="0" collapsed="false">
      <c r="A16" s="5" t="s">
        <v>71</v>
      </c>
      <c r="G16" s="22"/>
    </row>
    <row r="17" customFormat="false" ht="27.75" hidden="false" customHeight="true" outlineLevel="0" collapsed="false">
      <c r="A17" s="25" t="s">
        <v>72</v>
      </c>
      <c r="B17" s="26" t="s">
        <v>73</v>
      </c>
      <c r="C17" s="26" t="s">
        <v>74</v>
      </c>
      <c r="D17" s="26" t="s">
        <v>75</v>
      </c>
      <c r="E17" s="26" t="s">
        <v>76</v>
      </c>
      <c r="G17" s="22"/>
    </row>
    <row r="18" customFormat="false" ht="15" hidden="false" customHeight="true" outlineLevel="0" collapsed="false">
      <c r="A18" s="20" t="s">
        <v>77</v>
      </c>
      <c r="B18" s="24" t="n">
        <f aca="false">B6</f>
        <v>5</v>
      </c>
      <c r="C18" s="24" t="n">
        <f aca="false">B5</f>
        <v>45</v>
      </c>
      <c r="D18" s="27" t="n">
        <f aca="false">B18/(B18+C18)</f>
        <v>0.1</v>
      </c>
      <c r="E18" s="27" t="n">
        <f aca="false">C18/(B18+C18)</f>
        <v>0.9</v>
      </c>
      <c r="G18" s="22"/>
    </row>
    <row r="19" customFormat="false" ht="15" hidden="false" customHeight="true" outlineLevel="0" collapsed="false">
      <c r="A19" s="20" t="s">
        <v>78</v>
      </c>
      <c r="B19" s="24" t="n">
        <f aca="false">B6</f>
        <v>5</v>
      </c>
      <c r="C19" s="24" t="n">
        <f aca="false">B5+B14</f>
        <v>65</v>
      </c>
      <c r="D19" s="27" t="n">
        <f aca="false">B19/(B19+C19)</f>
        <v>0.0714285714285714</v>
      </c>
      <c r="E19" s="27" t="n">
        <f aca="false">C19/(B19+C19)</f>
        <v>0.928571428571429</v>
      </c>
      <c r="G19" s="22"/>
    </row>
    <row r="20" customFormat="false" ht="15" hidden="false" customHeight="true" outlineLevel="0" collapsed="false">
      <c r="A20" s="20" t="s">
        <v>79</v>
      </c>
      <c r="B20" s="24" t="n">
        <f aca="false">B6</f>
        <v>5</v>
      </c>
      <c r="C20" s="24" t="n">
        <f aca="false">B5+B13+B8*B9</f>
        <v>66</v>
      </c>
      <c r="D20" s="27" t="n">
        <f aca="false">B20/(B20+C20)</f>
        <v>0.0704225352112676</v>
      </c>
      <c r="E20" s="27" t="n">
        <f aca="false">C20/(B20+C20)</f>
        <v>0.929577464788732</v>
      </c>
      <c r="G20" s="22"/>
    </row>
    <row r="21" customFormat="false" ht="15" hidden="false" customHeight="true" outlineLevel="0" collapsed="false">
      <c r="A21" s="20" t="s">
        <v>80</v>
      </c>
      <c r="B21" s="24" t="n">
        <f aca="false">MAX(0,B6-B8*B10)</f>
        <v>2</v>
      </c>
      <c r="C21" s="24" t="n">
        <f aca="false">B5+B14</f>
        <v>65</v>
      </c>
      <c r="D21" s="27" t="n">
        <f aca="false">B21/(B21+C21)</f>
        <v>0.0298507462686567</v>
      </c>
      <c r="E21" s="27" t="n">
        <f aca="false">C21/(B21+C21)</f>
        <v>0.970149253731343</v>
      </c>
      <c r="G21" s="22"/>
    </row>
    <row r="22" customFormat="false" ht="15" hidden="false" customHeight="true" outlineLevel="0" collapsed="false">
      <c r="A22" s="20" t="s">
        <v>81</v>
      </c>
      <c r="B22" s="24" t="n">
        <f aca="false">MAX(0,B6-B8*B11)</f>
        <v>1</v>
      </c>
      <c r="C22" s="24" t="n">
        <f aca="false">B5+B14</f>
        <v>65</v>
      </c>
      <c r="D22" s="27" t="n">
        <f aca="false">B22/(B22+C22)</f>
        <v>0.0151515151515152</v>
      </c>
      <c r="E22" s="27" t="n">
        <f aca="false">C22/(B22+C22)</f>
        <v>0.984848484848485</v>
      </c>
      <c r="G22" s="22"/>
    </row>
    <row r="23" customFormat="false" ht="15" hidden="false" customHeight="true" outlineLevel="0" collapsed="false">
      <c r="G23" s="22"/>
    </row>
    <row r="24" customFormat="false" ht="15" hidden="false" customHeight="true" outlineLevel="0" collapsed="false">
      <c r="A24" s="5" t="s">
        <v>82</v>
      </c>
      <c r="G24" s="22"/>
    </row>
    <row r="25" customFormat="false" ht="15" hidden="false" customHeight="true" outlineLevel="0" collapsed="false">
      <c r="A25" s="28" t="s">
        <v>83</v>
      </c>
      <c r="B25" s="28"/>
      <c r="C25" s="28"/>
      <c r="D25" s="28"/>
      <c r="E25" s="28"/>
      <c r="G25" s="22"/>
    </row>
    <row r="26" customFormat="false" ht="15" hidden="false" customHeight="true" outlineLevel="0" collapsed="false">
      <c r="A26" s="20" t="s">
        <v>84</v>
      </c>
      <c r="B26" s="21" t="n">
        <v>30</v>
      </c>
      <c r="G26" s="22"/>
    </row>
    <row r="27" customFormat="false" ht="15" hidden="false" customHeight="true" outlineLevel="0" collapsed="false">
      <c r="A27" s="20" t="s">
        <v>85</v>
      </c>
      <c r="B27" s="29" t="n">
        <v>0.2</v>
      </c>
      <c r="G27" s="22"/>
    </row>
    <row r="28" customFormat="false" ht="15" hidden="false" customHeight="true" outlineLevel="0" collapsed="false">
      <c r="A28" s="20" t="s">
        <v>86</v>
      </c>
      <c r="B28" s="24" t="n">
        <f aca="false">B26*B27</f>
        <v>6</v>
      </c>
      <c r="G28" s="22"/>
    </row>
    <row r="29" customFormat="false" ht="15" hidden="false" customHeight="true" outlineLevel="0" collapsed="false">
      <c r="A29" s="20" t="s">
        <v>87</v>
      </c>
      <c r="B29" s="24" t="n">
        <f aca="false">B26-B28</f>
        <v>24</v>
      </c>
      <c r="G29" s="22"/>
    </row>
    <row r="30" customFormat="false" ht="15" hidden="false" customHeight="true" outlineLevel="0" collapsed="false">
      <c r="G30" s="22"/>
    </row>
    <row r="31" customFormat="false" ht="27.75" hidden="false" customHeight="true" outlineLevel="0" collapsed="false">
      <c r="A31" s="25" t="s">
        <v>72</v>
      </c>
      <c r="B31" s="26" t="s">
        <v>88</v>
      </c>
      <c r="C31" s="26" t="s">
        <v>89</v>
      </c>
      <c r="D31" s="26" t="s">
        <v>90</v>
      </c>
      <c r="E31" s="26" t="s">
        <v>91</v>
      </c>
      <c r="G31" s="22"/>
    </row>
    <row r="32" customFormat="false" ht="15" hidden="false" customHeight="true" outlineLevel="0" collapsed="false">
      <c r="A32" s="20" t="s">
        <v>78</v>
      </c>
      <c r="B32" s="27" t="n">
        <f aca="false">D19</f>
        <v>0.0714285714285714</v>
      </c>
      <c r="C32" s="24" t="n">
        <f aca="false">B32*$B$29</f>
        <v>1.71428571428571</v>
      </c>
      <c r="D32" s="24" t="n">
        <f aca="false">$B$28</f>
        <v>6</v>
      </c>
      <c r="E32" s="24" t="n">
        <f aca="false">C32+D32</f>
        <v>7.71428571428571</v>
      </c>
      <c r="G32" s="22"/>
    </row>
    <row r="33" customFormat="false" ht="15" hidden="false" customHeight="true" outlineLevel="0" collapsed="false">
      <c r="A33" s="20" t="s">
        <v>79</v>
      </c>
      <c r="B33" s="27" t="n">
        <f aca="false">D20</f>
        <v>0.0704225352112676</v>
      </c>
      <c r="C33" s="24" t="n">
        <f aca="false">B33*$B$29</f>
        <v>1.69014084507042</v>
      </c>
      <c r="D33" s="24" t="n">
        <f aca="false">$B$28</f>
        <v>6</v>
      </c>
      <c r="E33" s="24" t="n">
        <f aca="false">C33+D33</f>
        <v>7.69014084507042</v>
      </c>
    </row>
    <row r="34" customFormat="false" ht="15" hidden="false" customHeight="true" outlineLevel="0" collapsed="false">
      <c r="A34" s="20" t="s">
        <v>80</v>
      </c>
      <c r="B34" s="27" t="n">
        <f aca="false">D21</f>
        <v>0.0298507462686567</v>
      </c>
      <c r="C34" s="24" t="n">
        <f aca="false">B34*$B$29</f>
        <v>0.716417910447761</v>
      </c>
      <c r="D34" s="24" t="n">
        <f aca="false">$B$28</f>
        <v>6</v>
      </c>
      <c r="E34" s="24" t="n">
        <f aca="false">C34+D34</f>
        <v>6.71641791044776</v>
      </c>
    </row>
    <row r="35" customFormat="false" ht="15" hidden="false" customHeight="true" outlineLevel="0" collapsed="false">
      <c r="A35" s="20" t="s">
        <v>81</v>
      </c>
      <c r="B35" s="27" t="n">
        <f aca="false">D22</f>
        <v>0.0151515151515152</v>
      </c>
      <c r="C35" s="24" t="n">
        <f aca="false">B35*$B$29</f>
        <v>0.363636363636364</v>
      </c>
      <c r="D35" s="24" t="n">
        <f aca="false">$B$28</f>
        <v>6</v>
      </c>
      <c r="E35" s="24" t="n">
        <f aca="false">C35+D35</f>
        <v>6.36363636363636</v>
      </c>
    </row>
    <row r="37" customFormat="false" ht="15" hidden="false" customHeight="true" outlineLevel="0" collapsed="false">
      <c r="A37" s="20" t="s">
        <v>92</v>
      </c>
      <c r="B37" s="24" t="n">
        <f aca="false">C32-C35</f>
        <v>1.35064935064935</v>
      </c>
    </row>
    <row r="38" customFormat="false" ht="15" hidden="false" customHeight="true" outlineLevel="0" collapsed="false">
      <c r="A38" s="20" t="s">
        <v>93</v>
      </c>
      <c r="B38" s="24" t="n">
        <f aca="false">B28</f>
        <v>6</v>
      </c>
    </row>
  </sheetData>
  <mergeCells count="2">
    <mergeCell ref="G5:G32"/>
    <mergeCell ref="A25:E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4" min="2" style="1" width="15"/>
    <col collapsed="false" customWidth="true" hidden="false" outlineLevel="0" max="5" min="5" style="1" width="3"/>
    <col collapsed="false" customWidth="true" hidden="false" outlineLevel="0" max="6" min="6" style="1" width="50"/>
  </cols>
  <sheetData>
    <row r="1" customFormat="false" ht="17.25" hidden="false" customHeight="true" outlineLevel="0" collapsed="false">
      <c r="A1" s="19" t="s">
        <v>94</v>
      </c>
    </row>
    <row r="2" customFormat="false" ht="15" hidden="false" customHeight="true" outlineLevel="0" collapsed="false">
      <c r="A2" s="4" t="s">
        <v>95</v>
      </c>
    </row>
    <row r="4" customFormat="false" ht="15" hidden="false" customHeight="true" outlineLevel="0" collapsed="false">
      <c r="A4" s="5" t="s">
        <v>96</v>
      </c>
      <c r="F4" s="5" t="s">
        <v>97</v>
      </c>
    </row>
    <row r="5" customFormat="false" ht="15" hidden="false" customHeight="true" outlineLevel="0" collapsed="false">
      <c r="A5" s="20" t="s">
        <v>98</v>
      </c>
      <c r="B5" s="21" t="n">
        <v>2</v>
      </c>
      <c r="F5" s="22" t="s">
        <v>99</v>
      </c>
    </row>
    <row r="6" customFormat="false" ht="15" hidden="false" customHeight="true" outlineLevel="0" collapsed="false">
      <c r="A6" s="20" t="s">
        <v>100</v>
      </c>
      <c r="B6" s="29" t="n">
        <v>0.15</v>
      </c>
      <c r="F6" s="22"/>
    </row>
    <row r="7" customFormat="false" ht="15" hidden="false" customHeight="true" outlineLevel="0" collapsed="false">
      <c r="A7" s="20" t="s">
        <v>101</v>
      </c>
      <c r="B7" s="30" t="n">
        <v>2</v>
      </c>
      <c r="F7" s="22"/>
    </row>
    <row r="8" customFormat="false" ht="15" hidden="false" customHeight="true" outlineLevel="0" collapsed="false">
      <c r="F8" s="22"/>
    </row>
    <row r="9" customFormat="false" ht="15" hidden="false" customHeight="true" outlineLevel="0" collapsed="false">
      <c r="A9" s="31" t="s">
        <v>102</v>
      </c>
      <c r="B9" s="32" t="n">
        <f aca="false">B5*(1+B6)^B7</f>
        <v>2.645</v>
      </c>
      <c r="F9" s="22"/>
    </row>
    <row r="10" customFormat="false" ht="15" hidden="false" customHeight="true" outlineLevel="0" collapsed="false">
      <c r="A10" s="20" t="s">
        <v>103</v>
      </c>
      <c r="B10" s="24" t="n">
        <f aca="false">B9-B5</f>
        <v>0.645</v>
      </c>
      <c r="F10" s="22"/>
    </row>
    <row r="11" customFormat="false" ht="15" hidden="false" customHeight="true" outlineLevel="0" collapsed="false">
      <c r="F11" s="22"/>
    </row>
    <row r="12" customFormat="false" ht="15" hidden="false" customHeight="true" outlineLevel="0" collapsed="false">
      <c r="A12" s="31" t="s">
        <v>104</v>
      </c>
      <c r="F12" s="22"/>
    </row>
    <row r="13" customFormat="false" ht="27.75" hidden="false" customHeight="true" outlineLevel="0" collapsed="false">
      <c r="A13" s="25" t="s">
        <v>105</v>
      </c>
      <c r="B13" s="26" t="s">
        <v>106</v>
      </c>
      <c r="C13" s="26" t="s">
        <v>107</v>
      </c>
      <c r="D13" s="26" t="s">
        <v>108</v>
      </c>
      <c r="F13" s="22"/>
    </row>
    <row r="14" customFormat="false" ht="15" hidden="false" customHeight="true" outlineLevel="0" collapsed="false">
      <c r="A14" s="33" t="n">
        <v>1</v>
      </c>
      <c r="B14" s="24" t="n">
        <f aca="false">$B$5</f>
        <v>2</v>
      </c>
      <c r="C14" s="24" t="n">
        <f aca="false">B14*$B$6</f>
        <v>0.3</v>
      </c>
      <c r="D14" s="24" t="n">
        <f aca="false">B14+C14</f>
        <v>2.3</v>
      </c>
      <c r="F14" s="22"/>
    </row>
    <row r="15" customFormat="false" ht="15" hidden="false" customHeight="true" outlineLevel="0" collapsed="false">
      <c r="A15" s="33" t="n">
        <v>2</v>
      </c>
      <c r="B15" s="24" t="n">
        <f aca="false">D14</f>
        <v>2.3</v>
      </c>
      <c r="C15" s="24" t="n">
        <f aca="false">B15*$B$6</f>
        <v>0.345</v>
      </c>
      <c r="D15" s="24" t="n">
        <f aca="false">B15+C15</f>
        <v>2.645</v>
      </c>
      <c r="F15" s="22"/>
    </row>
    <row r="16" customFormat="false" ht="15" hidden="false" customHeight="true" outlineLevel="0" collapsed="false">
      <c r="A16" s="33" t="n">
        <v>3</v>
      </c>
      <c r="B16" s="24" t="n">
        <f aca="false">D15</f>
        <v>2.645</v>
      </c>
      <c r="C16" s="24" t="n">
        <f aca="false">B16*$B$6</f>
        <v>0.39675</v>
      </c>
      <c r="D16" s="24" t="n">
        <f aca="false">B16+C16</f>
        <v>3.04175</v>
      </c>
      <c r="F16" s="22"/>
    </row>
    <row r="17" customFormat="false" ht="15" hidden="false" customHeight="true" outlineLevel="0" collapsed="false">
      <c r="A17" s="33" t="n">
        <v>4</v>
      </c>
      <c r="B17" s="24" t="n">
        <f aca="false">D16</f>
        <v>3.04175</v>
      </c>
      <c r="C17" s="24" t="n">
        <f aca="false">B17*$B$6</f>
        <v>0.4562625</v>
      </c>
      <c r="D17" s="24" t="n">
        <f aca="false">B17+C17</f>
        <v>3.4980125</v>
      </c>
      <c r="F17" s="22"/>
    </row>
    <row r="18" customFormat="false" ht="15" hidden="false" customHeight="true" outlineLevel="0" collapsed="false">
      <c r="A18" s="33" t="n">
        <v>5</v>
      </c>
      <c r="B18" s="24" t="n">
        <f aca="false">D17</f>
        <v>3.4980125</v>
      </c>
      <c r="C18" s="24" t="n">
        <f aca="false">B18*$B$6</f>
        <v>0.524701875</v>
      </c>
      <c r="D18" s="24" t="n">
        <f aca="false">B18+C18</f>
        <v>4.022714375</v>
      </c>
      <c r="F18" s="22"/>
    </row>
    <row r="19" customFormat="false" ht="15" hidden="false" customHeight="true" outlineLevel="0" collapsed="false">
      <c r="A19" s="33" t="n">
        <v>6</v>
      </c>
      <c r="B19" s="24" t="n">
        <f aca="false">D18</f>
        <v>4.022714375</v>
      </c>
      <c r="C19" s="24" t="n">
        <f aca="false">B19*$B$6</f>
        <v>0.60340715625</v>
      </c>
      <c r="D19" s="24" t="n">
        <f aca="false">B19+C19</f>
        <v>4.62612153125</v>
      </c>
      <c r="F19" s="22"/>
    </row>
    <row r="20" customFormat="false" ht="15" hidden="false" customHeight="true" outlineLevel="0" collapsed="false">
      <c r="F20" s="22"/>
    </row>
    <row r="21" customFormat="false" ht="15" hidden="false" customHeight="true" outlineLevel="0" collapsed="false">
      <c r="A21" s="34" t="s">
        <v>109</v>
      </c>
      <c r="B21" s="34"/>
      <c r="C21" s="34"/>
      <c r="D21" s="34"/>
      <c r="F21" s="22"/>
    </row>
    <row r="22" customFormat="false" ht="15" hidden="false" customHeight="true" outlineLevel="0" collapsed="false">
      <c r="A22" s="34"/>
      <c r="B22" s="34"/>
      <c r="C22" s="34"/>
      <c r="D22" s="34"/>
      <c r="F22" s="22"/>
    </row>
    <row r="23" customFormat="false" ht="15" hidden="false" customHeight="true" outlineLevel="0" collapsed="false">
      <c r="F23" s="22"/>
    </row>
    <row r="24" customFormat="false" ht="15" hidden="false" customHeight="true" outlineLevel="0" collapsed="false">
      <c r="A24" s="5" t="s">
        <v>110</v>
      </c>
      <c r="F24" s="22"/>
    </row>
    <row r="25" customFormat="false" ht="15" hidden="false" customHeight="true" outlineLevel="0" collapsed="false">
      <c r="A25" s="28" t="s">
        <v>111</v>
      </c>
      <c r="B25" s="28"/>
      <c r="C25" s="28"/>
      <c r="D25" s="28"/>
      <c r="F25" s="22"/>
    </row>
    <row r="26" customFormat="false" ht="15" hidden="false" customHeight="true" outlineLevel="0" collapsed="false">
      <c r="A26" s="20" t="s">
        <v>112</v>
      </c>
      <c r="B26" s="21" t="n">
        <v>6</v>
      </c>
      <c r="F26" s="22"/>
    </row>
    <row r="27" customFormat="false" ht="15" hidden="false" customHeight="true" outlineLevel="0" collapsed="false">
      <c r="A27" s="20" t="s">
        <v>113</v>
      </c>
      <c r="B27" s="29" t="n">
        <v>0.75</v>
      </c>
      <c r="F27" s="22"/>
    </row>
    <row r="28" customFormat="false" ht="15" hidden="false" customHeight="true" outlineLevel="0" collapsed="false">
      <c r="A28" s="20" t="s">
        <v>114</v>
      </c>
      <c r="B28" s="30" t="n">
        <v>3</v>
      </c>
      <c r="F28" s="22"/>
    </row>
    <row r="29" customFormat="false" ht="15" hidden="false" customHeight="true" outlineLevel="0" collapsed="false">
      <c r="A29" s="20" t="s">
        <v>115</v>
      </c>
      <c r="B29" s="29" t="n">
        <v>0.1</v>
      </c>
      <c r="F29" s="22"/>
    </row>
    <row r="30" customFormat="false" ht="15" hidden="false" customHeight="true" outlineLevel="0" collapsed="false">
      <c r="F30" s="22"/>
    </row>
    <row r="31" customFormat="false" ht="15" hidden="false" customHeight="true" outlineLevel="0" collapsed="false">
      <c r="A31" s="20" t="s">
        <v>116</v>
      </c>
      <c r="B31" s="24" t="n">
        <f aca="false">B26*B27</f>
        <v>4.5</v>
      </c>
      <c r="F31" s="22"/>
    </row>
    <row r="32" customFormat="false" ht="15" hidden="false" customHeight="true" outlineLevel="0" collapsed="false">
      <c r="A32" s="31" t="s">
        <v>117</v>
      </c>
      <c r="B32" s="32" t="n">
        <f aca="false">B31/(1+B29)^B28</f>
        <v>3.3809166040571</v>
      </c>
      <c r="F32" s="22"/>
    </row>
    <row r="33" customFormat="false" ht="15" hidden="false" customHeight="true" outlineLevel="0" collapsed="false">
      <c r="A33" s="20" t="s">
        <v>118</v>
      </c>
      <c r="B33" s="27" t="n">
        <f aca="false">B32/B26</f>
        <v>0.563486100676183</v>
      </c>
      <c r="F33" s="22"/>
    </row>
    <row r="34" customFormat="false" ht="15" hidden="false" customHeight="true" outlineLevel="0" collapsed="false">
      <c r="A34" s="20" t="s">
        <v>119</v>
      </c>
      <c r="B34" s="27" t="n">
        <f aca="false">1-B33</f>
        <v>0.436513899323817</v>
      </c>
      <c r="F34" s="22"/>
    </row>
    <row r="36" customFormat="false" ht="15" hidden="false" customHeight="true" outlineLevel="0" collapsed="false">
      <c r="A36" s="20" t="s">
        <v>120</v>
      </c>
      <c r="B36" s="24" t="n">
        <f aca="false">B31</f>
        <v>4.5</v>
      </c>
      <c r="C36" s="4" t="s">
        <v>121</v>
      </c>
    </row>
  </sheetData>
  <mergeCells count="3">
    <mergeCell ref="F5:F34"/>
    <mergeCell ref="A21:D22"/>
    <mergeCell ref="A25:D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4" min="2" style="1" width="15"/>
    <col collapsed="false" customWidth="true" hidden="false" outlineLevel="0" max="5" min="5" style="1" width="3"/>
    <col collapsed="false" customWidth="true" hidden="false" outlineLevel="0" max="6" min="6" style="1" width="50"/>
  </cols>
  <sheetData>
    <row r="1" customFormat="false" ht="17.25" hidden="false" customHeight="true" outlineLevel="0" collapsed="false">
      <c r="A1" s="19" t="s">
        <v>122</v>
      </c>
    </row>
    <row r="2" customFormat="false" ht="15" hidden="false" customHeight="true" outlineLevel="0" collapsed="false">
      <c r="A2" s="4" t="s">
        <v>123</v>
      </c>
    </row>
    <row r="4" customFormat="false" ht="15" hidden="false" customHeight="true" outlineLevel="0" collapsed="false">
      <c r="A4" s="5" t="s">
        <v>124</v>
      </c>
      <c r="F4" s="5" t="s">
        <v>125</v>
      </c>
    </row>
    <row r="5" customFormat="false" ht="15" hidden="false" customHeight="true" outlineLevel="0" collapsed="false">
      <c r="A5" s="20" t="s">
        <v>126</v>
      </c>
      <c r="B5" s="21" t="n">
        <v>100</v>
      </c>
      <c r="F5" s="22" t="s">
        <v>127</v>
      </c>
    </row>
    <row r="6" customFormat="false" ht="15" hidden="false" customHeight="true" outlineLevel="0" collapsed="false">
      <c r="A6" s="20" t="s">
        <v>42</v>
      </c>
      <c r="B6" s="29" t="n">
        <v>0.9</v>
      </c>
      <c r="F6" s="22"/>
    </row>
    <row r="7" customFormat="false" ht="15" hidden="false" customHeight="true" outlineLevel="0" collapsed="false">
      <c r="A7" s="20" t="s">
        <v>128</v>
      </c>
      <c r="B7" s="29" t="n">
        <v>0.08</v>
      </c>
      <c r="F7" s="22"/>
    </row>
    <row r="8" customFormat="false" ht="15" hidden="false" customHeight="true" outlineLevel="0" collapsed="false">
      <c r="A8" s="20" t="s">
        <v>129</v>
      </c>
      <c r="B8" s="29" t="n">
        <v>0.5</v>
      </c>
      <c r="F8" s="22"/>
    </row>
    <row r="9" customFormat="false" ht="15" hidden="false" customHeight="true" outlineLevel="0" collapsed="false">
      <c r="A9" s="20" t="s">
        <v>130</v>
      </c>
      <c r="B9" s="29" t="n">
        <v>0.2</v>
      </c>
      <c r="F9" s="22"/>
    </row>
    <row r="10" customFormat="false" ht="15" hidden="false" customHeight="true" outlineLevel="0" collapsed="false">
      <c r="A10" s="20" t="s">
        <v>131</v>
      </c>
      <c r="B10" s="29" t="n">
        <v>0.2</v>
      </c>
      <c r="F10" s="22"/>
    </row>
    <row r="11" customFormat="false" ht="15" hidden="false" customHeight="true" outlineLevel="0" collapsed="false">
      <c r="A11" s="20" t="s">
        <v>132</v>
      </c>
      <c r="B11" s="30" t="n">
        <v>3</v>
      </c>
      <c r="F11" s="22"/>
    </row>
    <row r="12" customFormat="false" ht="15" hidden="false" customHeight="true" outlineLevel="0" collapsed="false">
      <c r="A12" s="20" t="s">
        <v>133</v>
      </c>
      <c r="B12" s="21" t="n">
        <v>160</v>
      </c>
      <c r="F12" s="22"/>
    </row>
    <row r="13" customFormat="false" ht="15" hidden="false" customHeight="true" outlineLevel="0" collapsed="false">
      <c r="A13" s="20" t="s">
        <v>134</v>
      </c>
      <c r="B13" s="30" t="n">
        <v>4</v>
      </c>
      <c r="F13" s="22"/>
    </row>
    <row r="14" customFormat="false" ht="15" hidden="false" customHeight="true" outlineLevel="0" collapsed="false">
      <c r="A14" s="20" t="s">
        <v>135</v>
      </c>
      <c r="B14" s="21" t="n">
        <v>60</v>
      </c>
      <c r="F14" s="22"/>
    </row>
    <row r="15" customFormat="false" ht="15" hidden="false" customHeight="true" outlineLevel="0" collapsed="false">
      <c r="A15" s="20" t="s">
        <v>136</v>
      </c>
      <c r="B15" s="30" t="n">
        <v>7</v>
      </c>
      <c r="F15" s="22"/>
    </row>
    <row r="16" customFormat="false" ht="15" hidden="false" customHeight="true" outlineLevel="0" collapsed="false">
      <c r="A16" s="20" t="s">
        <v>137</v>
      </c>
      <c r="B16" s="21" t="n">
        <v>40</v>
      </c>
      <c r="F16" s="22"/>
    </row>
    <row r="17" customFormat="false" ht="15" hidden="false" customHeight="true" outlineLevel="0" collapsed="false">
      <c r="A17" s="20" t="s">
        <v>138</v>
      </c>
      <c r="B17" s="29" t="n">
        <v>0.4</v>
      </c>
      <c r="F17" s="22"/>
    </row>
    <row r="18" customFormat="false" ht="15" hidden="false" customHeight="true" outlineLevel="0" collapsed="false">
      <c r="F18" s="22"/>
    </row>
    <row r="19" customFormat="false" ht="15" hidden="false" customHeight="true" outlineLevel="0" collapsed="false">
      <c r="A19" s="5" t="s">
        <v>139</v>
      </c>
      <c r="F19" s="22"/>
    </row>
    <row r="20" customFormat="false" ht="15" hidden="false" customHeight="true" outlineLevel="0" collapsed="false">
      <c r="A20" s="20" t="s">
        <v>140</v>
      </c>
      <c r="B20" s="24" t="n">
        <f aca="false">B5*((1+B7)^B11-1)</f>
        <v>25.9712</v>
      </c>
      <c r="F20" s="22"/>
    </row>
    <row r="21" customFormat="false" ht="15" hidden="false" customHeight="true" outlineLevel="0" collapsed="false">
      <c r="A21" s="20" t="s">
        <v>141</v>
      </c>
      <c r="B21" s="24" t="n">
        <f aca="false">B9*B20/(B8-B9)</f>
        <v>17.3141333333334</v>
      </c>
      <c r="F21" s="22"/>
    </row>
    <row r="22" customFormat="false" ht="27.75" hidden="false" customHeight="true" outlineLevel="0" collapsed="false">
      <c r="A22" s="25" t="s">
        <v>142</v>
      </c>
      <c r="B22" s="26" t="s">
        <v>143</v>
      </c>
      <c r="C22" s="26" t="s">
        <v>144</v>
      </c>
      <c r="D22" s="26" t="s">
        <v>145</v>
      </c>
      <c r="F22" s="22"/>
    </row>
    <row r="23" customFormat="false" ht="15" hidden="false" customHeight="true" outlineLevel="0" collapsed="false">
      <c r="A23" s="20" t="s">
        <v>146</v>
      </c>
      <c r="B23" s="24" t="n">
        <f aca="false">MIN($B$12,$B$5)</f>
        <v>100</v>
      </c>
      <c r="C23" s="24" t="n">
        <f aca="false">B23</f>
        <v>100</v>
      </c>
      <c r="D23" s="24" t="n">
        <f aca="false">0</f>
        <v>0</v>
      </c>
      <c r="F23" s="22"/>
    </row>
    <row r="24" customFormat="false" ht="15" hidden="false" customHeight="true" outlineLevel="0" collapsed="false">
      <c r="A24" s="20" t="s">
        <v>147</v>
      </c>
      <c r="B24" s="24" t="n">
        <f aca="false">MIN(MAX(0,$B$12-$B$5),$B$20)</f>
        <v>25.9712</v>
      </c>
      <c r="C24" s="24" t="n">
        <f aca="false">B24</f>
        <v>25.9712</v>
      </c>
      <c r="D24" s="24" t="n">
        <f aca="false">0</f>
        <v>0</v>
      </c>
      <c r="F24" s="22"/>
    </row>
    <row r="25" customFormat="false" ht="15" hidden="false" customHeight="true" outlineLevel="0" collapsed="false">
      <c r="A25" s="20" t="s">
        <v>148</v>
      </c>
      <c r="B25" s="24" t="n">
        <f aca="false">MIN(MAX(0,$B$12-$B$5-$B$20),$B$21)</f>
        <v>17.3141333333334</v>
      </c>
      <c r="C25" s="24" t="n">
        <f aca="false">B25*(1-$B$8)</f>
        <v>8.65706666666667</v>
      </c>
      <c r="D25" s="24" t="n">
        <f aca="false">B25*$B$8</f>
        <v>8.65706666666667</v>
      </c>
      <c r="F25" s="22"/>
    </row>
    <row r="26" customFormat="false" ht="15" hidden="false" customHeight="true" outlineLevel="0" collapsed="false">
      <c r="A26" s="20" t="s">
        <v>149</v>
      </c>
      <c r="B26" s="24" t="n">
        <f aca="false">MAX(0,$B$12-$B$5-$B$20-$B$21)</f>
        <v>16.7146666666666</v>
      </c>
      <c r="C26" s="24" t="n">
        <f aca="false">B26*(1-$B$10)</f>
        <v>13.3717333333333</v>
      </c>
      <c r="D26" s="24" t="n">
        <f aca="false">B26*$B$10</f>
        <v>3.34293333333333</v>
      </c>
      <c r="F26" s="22"/>
    </row>
    <row r="27" customFormat="false" ht="15" hidden="false" customHeight="true" outlineLevel="0" collapsed="false">
      <c r="A27" s="35" t="s">
        <v>150</v>
      </c>
      <c r="B27" s="36" t="n">
        <f aca="false">SUM(B23:B26)</f>
        <v>160</v>
      </c>
      <c r="C27" s="36" t="n">
        <f aca="false">SUM(C23:C26)</f>
        <v>148</v>
      </c>
      <c r="D27" s="36" t="n">
        <f aca="false">SUM(D23:D26)</f>
        <v>12</v>
      </c>
      <c r="F27" s="22"/>
    </row>
    <row r="28" customFormat="false" ht="15" hidden="false" customHeight="true" outlineLevel="0" collapsed="false">
      <c r="A28" s="20" t="s">
        <v>151</v>
      </c>
      <c r="B28" s="27" t="n">
        <f aca="false">D27/(B12-B5)</f>
        <v>0.2</v>
      </c>
      <c r="F28" s="22"/>
    </row>
    <row r="29" customFormat="false" ht="15" hidden="false" customHeight="true" outlineLevel="0" collapsed="false">
      <c r="F29" s="22"/>
    </row>
    <row r="30" customFormat="false" ht="15" hidden="false" customHeight="true" outlineLevel="0" collapsed="false">
      <c r="A30" s="5" t="s">
        <v>152</v>
      </c>
      <c r="F30" s="22"/>
    </row>
    <row r="31" customFormat="false" ht="27.75" hidden="false" customHeight="true" outlineLevel="0" collapsed="false">
      <c r="A31" s="25" t="s">
        <v>153</v>
      </c>
      <c r="B31" s="26" t="s">
        <v>105</v>
      </c>
      <c r="C31" s="26" t="s">
        <v>154</v>
      </c>
      <c r="D31" s="26" t="s">
        <v>145</v>
      </c>
      <c r="F31" s="22"/>
    </row>
    <row r="32" customFormat="false" ht="15" hidden="false" customHeight="true" outlineLevel="0" collapsed="false">
      <c r="A32" s="20" t="s">
        <v>155</v>
      </c>
      <c r="B32" s="33" t="n">
        <v>0</v>
      </c>
      <c r="C32" s="24" t="n">
        <f aca="false">-B5</f>
        <v>-100</v>
      </c>
      <c r="D32" s="24" t="n">
        <f aca="false">0</f>
        <v>0</v>
      </c>
      <c r="F32" s="22"/>
    </row>
    <row r="33" customFormat="false" ht="15" hidden="false" customHeight="true" outlineLevel="0" collapsed="false">
      <c r="A33" s="20" t="s">
        <v>156</v>
      </c>
      <c r="B33" s="37" t="n">
        <f aca="false">B11</f>
        <v>3</v>
      </c>
      <c r="C33" s="24" t="n">
        <f aca="false">C27</f>
        <v>148</v>
      </c>
      <c r="D33" s="24" t="n">
        <f aca="false">D27</f>
        <v>12</v>
      </c>
      <c r="F33" s="22"/>
    </row>
    <row r="34" customFormat="false" ht="15" hidden="false" customHeight="true" outlineLevel="0" collapsed="false">
      <c r="A34" s="20" t="s">
        <v>157</v>
      </c>
      <c r="B34" s="37" t="n">
        <f aca="false">B13</f>
        <v>4</v>
      </c>
      <c r="C34" s="24" t="n">
        <f aca="false">-B14</f>
        <v>-60</v>
      </c>
      <c r="D34" s="24" t="n">
        <f aca="false">0</f>
        <v>0</v>
      </c>
      <c r="F34" s="22"/>
    </row>
    <row r="35" customFormat="false" ht="15" hidden="false" customHeight="true" outlineLevel="0" collapsed="false">
      <c r="A35" s="20" t="s">
        <v>158</v>
      </c>
      <c r="B35" s="37" t="n">
        <f aca="false">B15</f>
        <v>7</v>
      </c>
      <c r="C35" s="24" t="n">
        <f aca="false">B16</f>
        <v>40</v>
      </c>
      <c r="D35" s="24" t="n">
        <f aca="false">0</f>
        <v>0</v>
      </c>
      <c r="F35" s="22"/>
    </row>
    <row r="36" customFormat="false" ht="15" hidden="false" customHeight="true" outlineLevel="0" collapsed="false">
      <c r="A36" s="31" t="s">
        <v>159</v>
      </c>
      <c r="C36" s="32" t="n">
        <f aca="false">SUM(C32:C35)</f>
        <v>28</v>
      </c>
      <c r="D36" s="32" t="n">
        <f aca="false">SUM(D32:D35)</f>
        <v>12</v>
      </c>
      <c r="F36" s="22"/>
    </row>
    <row r="37" customFormat="false" ht="15" hidden="false" customHeight="true" outlineLevel="0" collapsed="false">
      <c r="A37" s="20" t="s">
        <v>160</v>
      </c>
      <c r="B37" s="24" t="n">
        <f aca="false">B5+B14</f>
        <v>160</v>
      </c>
    </row>
    <row r="38" customFormat="false" ht="15" hidden="false" customHeight="true" outlineLevel="0" collapsed="false">
      <c r="A38" s="20" t="s">
        <v>161</v>
      </c>
      <c r="B38" s="24" t="n">
        <f aca="false">C33+C35</f>
        <v>188</v>
      </c>
    </row>
    <row r="39" customFormat="false" ht="15" hidden="false" customHeight="true" outlineLevel="0" collapsed="false">
      <c r="A39" s="20" t="s">
        <v>162</v>
      </c>
      <c r="B39" s="24" t="n">
        <f aca="false">B38+D36-B37</f>
        <v>40</v>
      </c>
    </row>
    <row r="40" customFormat="false" ht="15" hidden="false" customHeight="true" outlineLevel="0" collapsed="false">
      <c r="A40" s="20" t="s">
        <v>163</v>
      </c>
      <c r="B40" s="27" t="n">
        <f aca="false">D36/B39</f>
        <v>0.3</v>
      </c>
    </row>
    <row r="42" customFormat="false" ht="15" hidden="false" customHeight="true" outlineLevel="0" collapsed="false">
      <c r="A42" s="5" t="s">
        <v>164</v>
      </c>
    </row>
    <row r="43" customFormat="false" ht="15" hidden="false" customHeight="true" outlineLevel="0" collapsed="false">
      <c r="A43" s="28" t="s">
        <v>165</v>
      </c>
      <c r="B43" s="28"/>
      <c r="C43" s="28"/>
      <c r="D43" s="28"/>
    </row>
    <row r="44" customFormat="false" ht="15" hidden="false" customHeight="true" outlineLevel="0" collapsed="false">
      <c r="A44" s="20" t="s">
        <v>166</v>
      </c>
      <c r="B44" s="24" t="n">
        <f aca="false">B37</f>
        <v>160</v>
      </c>
    </row>
    <row r="45" customFormat="false" ht="15" hidden="false" customHeight="true" outlineLevel="0" collapsed="false">
      <c r="A45" s="20" t="s">
        <v>167</v>
      </c>
      <c r="B45" s="24" t="n">
        <f aca="false">B5*((1+B7)^B11-1)</f>
        <v>25.9712</v>
      </c>
    </row>
    <row r="46" customFormat="false" ht="15" hidden="false" customHeight="true" outlineLevel="0" collapsed="false">
      <c r="A46" s="20" t="s">
        <v>168</v>
      </c>
      <c r="B46" s="24" t="n">
        <f aca="false">B14*((1+B7)^(B15-B13)-1)</f>
        <v>15.58272</v>
      </c>
    </row>
    <row r="47" customFormat="false" ht="15" hidden="false" customHeight="true" outlineLevel="0" collapsed="false">
      <c r="A47" s="20" t="s">
        <v>169</v>
      </c>
      <c r="B47" s="24" t="n">
        <f aca="false">B44+B45+B46</f>
        <v>201.55392</v>
      </c>
    </row>
    <row r="48" customFormat="false" ht="15" hidden="false" customHeight="true" outlineLevel="0" collapsed="false">
      <c r="A48" s="20" t="s">
        <v>170</v>
      </c>
      <c r="B48" s="24" t="n">
        <f aca="false">C33+C35+D33</f>
        <v>200</v>
      </c>
    </row>
    <row r="49" customFormat="false" ht="15" hidden="false" customHeight="true" outlineLevel="0" collapsed="false">
      <c r="A49" s="20" t="s">
        <v>171</v>
      </c>
      <c r="B49" s="24" t="n">
        <f aca="false">B48-B47</f>
        <v>-1.55392000000001</v>
      </c>
    </row>
    <row r="50" customFormat="false" ht="15" hidden="false" customHeight="true" outlineLevel="0" collapsed="false">
      <c r="A50" s="20" t="s">
        <v>172</v>
      </c>
      <c r="B50" s="24" t="n">
        <f aca="false">MAX(0,B48-B47)</f>
        <v>0</v>
      </c>
    </row>
    <row r="51" customFormat="false" ht="15" hidden="false" customHeight="true" outlineLevel="0" collapsed="false">
      <c r="A51" s="20" t="s">
        <v>173</v>
      </c>
      <c r="B51" s="24" t="n">
        <f aca="false">D33</f>
        <v>12</v>
      </c>
    </row>
    <row r="52" customFormat="false" ht="15" hidden="false" customHeight="true" outlineLevel="0" collapsed="false">
      <c r="A52" s="31" t="s">
        <v>174</v>
      </c>
      <c r="B52" s="32" t="n">
        <f aca="false">B51-B50</f>
        <v>12</v>
      </c>
    </row>
    <row r="54" customFormat="false" ht="15" hidden="false" customHeight="true" outlineLevel="0" collapsed="false">
      <c r="A54" s="20" t="s">
        <v>175</v>
      </c>
      <c r="B54" s="24" t="n">
        <f aca="false">B52*(1-B17)</f>
        <v>7.2</v>
      </c>
    </row>
    <row r="55" customFormat="false" ht="15" hidden="false" customHeight="true" outlineLevel="0" collapsed="false">
      <c r="A55" s="20" t="s">
        <v>176</v>
      </c>
      <c r="B55" s="24" t="n">
        <f aca="false">B52-B54</f>
        <v>4.8</v>
      </c>
    </row>
    <row r="57" customFormat="false" ht="15" hidden="false" customHeight="true" outlineLevel="0" collapsed="false">
      <c r="A57" s="5" t="s">
        <v>177</v>
      </c>
    </row>
    <row r="58" customFormat="false" ht="27.75" hidden="false" customHeight="true" outlineLevel="0" collapsed="false">
      <c r="A58" s="25" t="s">
        <v>178</v>
      </c>
      <c r="B58" s="26" t="s">
        <v>179</v>
      </c>
      <c r="C58" s="26" t="s">
        <v>180</v>
      </c>
      <c r="D58" s="26" t="s">
        <v>181</v>
      </c>
    </row>
    <row r="59" customFormat="false" ht="15" hidden="false" customHeight="true" outlineLevel="0" collapsed="false">
      <c r="A59" s="20" t="s">
        <v>182</v>
      </c>
      <c r="B59" s="24" t="n">
        <f aca="false">B37*B6</f>
        <v>144</v>
      </c>
      <c r="C59" s="20" t="s">
        <v>183</v>
      </c>
      <c r="D59" s="24" t="n">
        <f aca="false">B37*(1-B6)</f>
        <v>16</v>
      </c>
    </row>
    <row r="61" customFormat="false" ht="15" hidden="false" customHeight="true" outlineLevel="0" collapsed="false">
      <c r="A61" s="20" t="s">
        <v>184</v>
      </c>
      <c r="B61" s="38" t="n">
        <f aca="false">($B$38*$B$6+D61*$B$6)/$B$59</f>
        <v>1.175</v>
      </c>
      <c r="C61" s="38" t="n">
        <f aca="false">($B$38*(1-$B$6)+$D$33-D61+D61*(1-$B$6))/$D$59</f>
        <v>1.925</v>
      </c>
      <c r="D61" s="24" t="n">
        <f aca="false">0</f>
        <v>0</v>
      </c>
    </row>
    <row r="62" customFormat="false" ht="15" hidden="false" customHeight="true" outlineLevel="0" collapsed="false">
      <c r="A62" s="20" t="s">
        <v>185</v>
      </c>
      <c r="B62" s="38" t="n">
        <f aca="false">($B$38*$B$6+D62*$B$6)/$B$59</f>
        <v>1.22</v>
      </c>
      <c r="C62" s="38" t="n">
        <f aca="false">($B$38*(1-$B$6)+$D$33-D62+D62*(1-$B$6))/$D$59</f>
        <v>1.52</v>
      </c>
      <c r="D62" s="24" t="n">
        <f aca="false">B54</f>
        <v>7.2</v>
      </c>
    </row>
    <row r="63" customFormat="false" ht="15" hidden="false" customHeight="true" outlineLevel="0" collapsed="false">
      <c r="A63" s="20" t="s">
        <v>186</v>
      </c>
      <c r="B63" s="38" t="n">
        <f aca="false">($B$38*$B$6+D63*$B$6)/$B$59</f>
        <v>1.25</v>
      </c>
      <c r="C63" s="38" t="n">
        <f aca="false">($B$38*(1-$B$6)+$D$33-D63+D63*(1-$B$6))/$D$59</f>
        <v>1.25</v>
      </c>
      <c r="D63" s="24" t="n">
        <f aca="false">B52</f>
        <v>12</v>
      </c>
    </row>
  </sheetData>
  <mergeCells count="2">
    <mergeCell ref="F5:F36"/>
    <mergeCell ref="A43:D4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4" min="2" style="1" width="16"/>
    <col collapsed="false" customWidth="true" hidden="false" outlineLevel="0" max="5" min="5" style="1" width="3"/>
    <col collapsed="false" customWidth="true" hidden="false" outlineLevel="0" max="6" min="6" style="1" width="50"/>
  </cols>
  <sheetData>
    <row r="1" customFormat="false" ht="17.25" hidden="false" customHeight="true" outlineLevel="0" collapsed="false">
      <c r="A1" s="19" t="s">
        <v>187</v>
      </c>
    </row>
    <row r="2" customFormat="false" ht="15" hidden="false" customHeight="true" outlineLevel="0" collapsed="false">
      <c r="A2" s="4" t="s">
        <v>188</v>
      </c>
    </row>
    <row r="4" customFormat="false" ht="15" hidden="false" customHeight="true" outlineLevel="0" collapsed="false">
      <c r="A4" s="5" t="s">
        <v>124</v>
      </c>
      <c r="F4" s="5" t="s">
        <v>189</v>
      </c>
    </row>
    <row r="5" customFormat="false" ht="15" hidden="false" customHeight="true" outlineLevel="0" collapsed="false">
      <c r="A5" s="20" t="s">
        <v>190</v>
      </c>
      <c r="B5" s="21" t="n">
        <v>100</v>
      </c>
      <c r="F5" s="22" t="s">
        <v>191</v>
      </c>
    </row>
    <row r="6" customFormat="false" ht="15" hidden="false" customHeight="true" outlineLevel="0" collapsed="false">
      <c r="A6" s="20" t="s">
        <v>192</v>
      </c>
      <c r="B6" s="29" t="n">
        <v>0.1</v>
      </c>
      <c r="F6" s="22"/>
    </row>
    <row r="7" customFormat="false" ht="15" hidden="false" customHeight="true" outlineLevel="0" collapsed="false">
      <c r="A7" s="20" t="s">
        <v>193</v>
      </c>
      <c r="B7" s="29" t="n">
        <v>0.08</v>
      </c>
      <c r="F7" s="22"/>
    </row>
    <row r="8" customFormat="false" ht="15" hidden="false" customHeight="true" outlineLevel="0" collapsed="false">
      <c r="A8" s="20" t="s">
        <v>129</v>
      </c>
      <c r="B8" s="29" t="n">
        <v>0.5</v>
      </c>
      <c r="F8" s="22"/>
    </row>
    <row r="9" customFormat="false" ht="15" hidden="false" customHeight="true" outlineLevel="0" collapsed="false">
      <c r="A9" s="20" t="s">
        <v>194</v>
      </c>
      <c r="B9" s="29" t="n">
        <v>0.2</v>
      </c>
      <c r="F9" s="22"/>
    </row>
    <row r="10" customFormat="false" ht="15" hidden="false" customHeight="true" outlineLevel="0" collapsed="false">
      <c r="A10" s="20" t="s">
        <v>195</v>
      </c>
      <c r="B10" s="29" t="n">
        <v>0.14</v>
      </c>
      <c r="F10" s="22"/>
    </row>
    <row r="11" customFormat="false" ht="15" hidden="false" customHeight="true" outlineLevel="0" collapsed="false">
      <c r="A11" s="20" t="s">
        <v>196</v>
      </c>
      <c r="B11" s="29" t="n">
        <v>0.2</v>
      </c>
      <c r="F11" s="22"/>
    </row>
    <row r="12" customFormat="false" ht="15" hidden="false" customHeight="true" outlineLevel="0" collapsed="false">
      <c r="A12" s="20" t="s">
        <v>197</v>
      </c>
      <c r="B12" s="29" t="n">
        <v>0.3</v>
      </c>
      <c r="F12" s="22"/>
    </row>
    <row r="13" customFormat="false" ht="15" hidden="false" customHeight="true" outlineLevel="0" collapsed="false">
      <c r="A13" s="20" t="s">
        <v>198</v>
      </c>
      <c r="B13" s="30" t="n">
        <v>5</v>
      </c>
      <c r="F13" s="22"/>
    </row>
    <row r="14" customFormat="false" ht="15" hidden="false" customHeight="true" outlineLevel="0" collapsed="false">
      <c r="A14" s="20" t="s">
        <v>199</v>
      </c>
      <c r="B14" s="21" t="n">
        <v>250</v>
      </c>
      <c r="F14" s="22"/>
    </row>
    <row r="15" customFormat="false" ht="15" hidden="false" customHeight="true" outlineLevel="0" collapsed="false">
      <c r="A15" s="20" t="s">
        <v>200</v>
      </c>
      <c r="B15" s="30" t="n">
        <v>3</v>
      </c>
      <c r="F15" s="22"/>
    </row>
    <row r="16" customFormat="false" ht="15" hidden="false" customHeight="true" outlineLevel="0" collapsed="false">
      <c r="A16" s="20" t="s">
        <v>201</v>
      </c>
      <c r="B16" s="21" t="n">
        <v>180</v>
      </c>
      <c r="F16" s="22"/>
    </row>
    <row r="17" customFormat="false" ht="15" hidden="false" customHeight="true" outlineLevel="0" collapsed="false">
      <c r="F17" s="22"/>
    </row>
    <row r="18" customFormat="false" ht="15" hidden="false" customHeight="true" outlineLevel="0" collapsed="false">
      <c r="A18" s="5" t="s">
        <v>202</v>
      </c>
      <c r="F18" s="22"/>
    </row>
    <row r="19" customFormat="false" ht="27.75" hidden="false" customHeight="true" outlineLevel="0" collapsed="false">
      <c r="A19" s="25"/>
      <c r="B19" s="26" t="s">
        <v>203</v>
      </c>
      <c r="C19" s="26" t="s">
        <v>204</v>
      </c>
      <c r="F19" s="22"/>
    </row>
    <row r="20" customFormat="false" ht="15" hidden="false" customHeight="true" outlineLevel="0" collapsed="false">
      <c r="A20" s="20" t="s">
        <v>205</v>
      </c>
      <c r="B20" s="24" t="n">
        <f aca="false">B14</f>
        <v>250</v>
      </c>
      <c r="C20" s="24" t="n">
        <f aca="false">B16</f>
        <v>180</v>
      </c>
      <c r="F20" s="22"/>
    </row>
    <row r="21" customFormat="false" ht="15" hidden="false" customHeight="true" outlineLevel="0" collapsed="false">
      <c r="A21" s="20" t="s">
        <v>105</v>
      </c>
      <c r="B21" s="37" t="n">
        <f aca="false">B13</f>
        <v>5</v>
      </c>
      <c r="C21" s="37" t="n">
        <f aca="false">B15</f>
        <v>3</v>
      </c>
      <c r="F21" s="22"/>
    </row>
    <row r="22" customFormat="false" ht="15" hidden="false" customHeight="true" outlineLevel="0" collapsed="false">
      <c r="A22" s="20" t="s">
        <v>206</v>
      </c>
      <c r="B22" s="24" t="n">
        <f aca="false">B5*((1+B7)^B13-1)</f>
        <v>46.9328076800001</v>
      </c>
      <c r="C22" s="24" t="n">
        <f aca="false">B5*((1+B7)^B15-1)</f>
        <v>25.9712</v>
      </c>
      <c r="F22" s="22"/>
    </row>
    <row r="23" customFormat="false" ht="15" hidden="false" customHeight="true" outlineLevel="0" collapsed="false">
      <c r="A23" s="20" t="s">
        <v>141</v>
      </c>
      <c r="B23" s="24" t="n">
        <f aca="false">B9*B22/(B8-B9)</f>
        <v>31.2885384533334</v>
      </c>
      <c r="C23" s="24" t="n">
        <f aca="false">B9*C22/(B8-B9)</f>
        <v>17.3141333333334</v>
      </c>
      <c r="F23" s="22"/>
    </row>
    <row r="24" customFormat="false" ht="15" hidden="false" customHeight="true" outlineLevel="0" collapsed="false">
      <c r="A24" s="20" t="s">
        <v>207</v>
      </c>
      <c r="B24" s="24" t="n">
        <f aca="false">B5*(1+B10)^B13</f>
        <v>192.54145824</v>
      </c>
      <c r="C24" s="24" t="n">
        <f aca="false">B5*(1+B10)^B15</f>
        <v>148.1544</v>
      </c>
      <c r="F24" s="22"/>
    </row>
    <row r="25" customFormat="false" ht="15" hidden="false" customHeight="true" outlineLevel="0" collapsed="false">
      <c r="A25" s="31" t="s">
        <v>86</v>
      </c>
      <c r="B25" s="32" t="n">
        <f aca="false">(MIN(MAX(0,$B$14-$B$5-($B$5*((1+$B$7)^$B$13-1))),($B$9*($B$5*((1+$B$7)^$B$13-1))/($B$8-$B$9)))*$B$8+MIN(MAX(0,$B$14-$B$5-($B$5*((1+$B$7)^$B$13-1))-($B$9*($B$5*((1+$B$7)^$B$13-1))/($B$8-$B$9))),MAX(0,(($B$5*(1+$B$10)^$B$13)-(MIN($B$14,$B$5)+MIN(MAX(0,$B$14-$B$5),($B$5*((1+$B$7)^$B$13-1)))+MIN(MAX(0,$B$14-$B$5-($B$5*((1+$B$7)^$B$13-1))),($B$9*($B$5*((1+$B$7)^$B$13-1))/($B$8-$B$9)))*(1-$B$8)))/(1-$B$11)))*$B$11+MAX(0,$B$14-$B$5-($B$5*((1+$B$7)^$B$13-1))-($B$9*($B$5*((1+$B$7)^$B$13-1))/($B$8-$B$9))-MIN(MAX(0,$B$14-$B$5-($B$5*((1+$B$7)^$B$13-1))-($B$9*($B$5*((1+$B$7)^$B$13-1))/($B$8-$B$9))),MAX(0,(($B$5*(1+$B$10)^$B$13)-(MIN($B$14,$B$5)+MIN(MAX(0,$B$14-$B$5),($B$5*((1+$B$7)^$B$13-1)))+MIN(MAX(0,$B$14-$B$5-($B$5*((1+$B$7)^$B$13-1))),($B$9*($B$5*((1+$B$7)^$B$13-1))/($B$8-$B$9)))*(1-$B$8)))/(1-$B$11))))*$B$12)</f>
        <v>33.43231772</v>
      </c>
      <c r="C25" s="32" t="n">
        <f aca="false">(MIN(MAX(0,$B$16-$B$5-($B$5*((1+$B$7)^$B$15-1))),($B$9*($B$5*((1+$B$7)^$B$15-1))/($B$8-$B$9)))*$B$8+MIN(MAX(0,$B$16-$B$5-($B$5*((1+$B$7)^$B$15-1))-($B$9*($B$5*((1+$B$7)^$B$15-1))/($B$8-$B$9))),MAX(0,(($B$5*(1+$B$10)^$B$15)-(MIN($B$16,$B$5)+MIN(MAX(0,$B$16-$B$5),($B$5*((1+$B$7)^$B$15-1)))+MIN(MAX(0,$B$16-$B$5-($B$5*((1+$B$7)^$B$15-1))),($B$9*($B$5*((1+$B$7)^$B$15-1))/($B$8-$B$9)))*(1-$B$8)))/(1-$B$11)))*$B$11+MAX(0,$B$16-$B$5-($B$5*((1+$B$7)^$B$15-1))-($B$9*($B$5*((1+$B$7)^$B$15-1))/($B$8-$B$9))-MIN(MAX(0,$B$16-$B$5-($B$5*((1+$B$7)^$B$15-1))-($B$9*($B$5*((1+$B$7)^$B$15-1))/($B$8-$B$9))),MAX(0,(($B$5*(1+$B$10)^$B$15)-(MIN($B$16,$B$5)+MIN(MAX(0,$B$16-$B$5),($B$5*((1+$B$7)^$B$15-1)))+MIN(MAX(0,$B$16-$B$5-($B$5*((1+$B$7)^$B$15-1))),($B$9*($B$5*((1+$B$7)^$B$15-1))/($B$8-$B$9)))*(1-$B$8)))/(1-$B$11))))*$B$12)</f>
        <v>17.9807</v>
      </c>
      <c r="F25" s="22"/>
    </row>
    <row r="26" customFormat="false" ht="15" hidden="false" customHeight="true" outlineLevel="0" collapsed="false">
      <c r="A26" s="20" t="s">
        <v>144</v>
      </c>
      <c r="B26" s="24" t="n">
        <f aca="false">B14-B25</f>
        <v>216.56768228</v>
      </c>
      <c r="C26" s="24" t="n">
        <f aca="false">B16-C25</f>
        <v>162.0193</v>
      </c>
      <c r="F26" s="22"/>
    </row>
    <row r="27" customFormat="false" ht="15" hidden="false" customHeight="true" outlineLevel="0" collapsed="false">
      <c r="A27" s="20" t="s">
        <v>208</v>
      </c>
      <c r="B27" s="24" t="n">
        <f aca="false">B26*B6</f>
        <v>21.656768228</v>
      </c>
      <c r="C27" s="24" t="n">
        <f aca="false">C26*B6</f>
        <v>16.20193</v>
      </c>
      <c r="F27" s="22"/>
    </row>
    <row r="28" customFormat="false" ht="15" hidden="false" customHeight="true" outlineLevel="0" collapsed="false">
      <c r="F28" s="22"/>
    </row>
    <row r="29" customFormat="false" ht="15" hidden="false" customHeight="true" outlineLevel="0" collapsed="false">
      <c r="A29" s="5" t="s">
        <v>209</v>
      </c>
      <c r="F29" s="22"/>
    </row>
    <row r="30" customFormat="false" ht="27.75" hidden="false" customHeight="true" outlineLevel="0" collapsed="false">
      <c r="A30" s="25" t="s">
        <v>210</v>
      </c>
      <c r="B30" s="26" t="s">
        <v>211</v>
      </c>
      <c r="C30" s="26" t="s">
        <v>212</v>
      </c>
      <c r="D30" s="26" t="s">
        <v>150</v>
      </c>
      <c r="F30" s="22"/>
    </row>
    <row r="31" customFormat="false" ht="15" hidden="false" customHeight="true" outlineLevel="0" collapsed="false">
      <c r="A31" s="20" t="s">
        <v>213</v>
      </c>
      <c r="B31" s="24" t="n">
        <f aca="false">B25</f>
        <v>33.43231772</v>
      </c>
      <c r="C31" s="24" t="n">
        <f aca="false">B27</f>
        <v>21.656768228</v>
      </c>
      <c r="D31" s="24" t="n">
        <f aca="false">B31+C31</f>
        <v>55.089085948</v>
      </c>
      <c r="F31" s="22"/>
    </row>
    <row r="32" customFormat="false" ht="15" hidden="false" customHeight="true" outlineLevel="0" collapsed="false">
      <c r="A32" s="20" t="s">
        <v>214</v>
      </c>
      <c r="B32" s="24" t="n">
        <f aca="false">B25</f>
        <v>33.43231772</v>
      </c>
      <c r="C32" s="24" t="n">
        <f aca="false">B27</f>
        <v>21.656768228</v>
      </c>
      <c r="D32" s="24" t="n">
        <f aca="false">B32+C32</f>
        <v>55.089085948</v>
      </c>
      <c r="F32" s="22"/>
    </row>
    <row r="33" customFormat="false" ht="15" hidden="false" customHeight="true" outlineLevel="0" collapsed="false">
      <c r="A33" s="20" t="s">
        <v>215</v>
      </c>
      <c r="B33" s="24" t="n">
        <f aca="false">B25*B15/B13</f>
        <v>20.059390632</v>
      </c>
      <c r="C33" s="24" t="n">
        <f aca="false">B27</f>
        <v>21.656768228</v>
      </c>
      <c r="D33" s="24" t="n">
        <f aca="false">B33+C33</f>
        <v>41.71615886</v>
      </c>
      <c r="F33" s="22"/>
    </row>
    <row r="34" customFormat="false" ht="15" hidden="false" customHeight="true" outlineLevel="0" collapsed="false">
      <c r="A34" s="20" t="s">
        <v>216</v>
      </c>
      <c r="B34" s="24" t="n">
        <f aca="false">C25</f>
        <v>17.9807</v>
      </c>
      <c r="C34" s="24" t="n">
        <f aca="false">B27</f>
        <v>21.656768228</v>
      </c>
      <c r="D34" s="24" t="n">
        <f aca="false">B34+C34</f>
        <v>39.637468228</v>
      </c>
      <c r="F34" s="22"/>
    </row>
    <row r="35" customFormat="false" ht="15" hidden="false" customHeight="true" outlineLevel="0" collapsed="false">
      <c r="A35" s="20" t="s">
        <v>217</v>
      </c>
      <c r="B35" s="24" t="n">
        <f aca="false">0</f>
        <v>0</v>
      </c>
      <c r="C35" s="24" t="n">
        <f aca="false">B5*B6</f>
        <v>10</v>
      </c>
      <c r="D35" s="24" t="n">
        <f aca="false">B35+C35</f>
        <v>10</v>
      </c>
      <c r="F35" s="22"/>
    </row>
    <row r="36" customFormat="false" ht="15" hidden="false" customHeight="true" outlineLevel="0" collapsed="false">
      <c r="F36" s="22"/>
    </row>
    <row r="37" customFormat="false" ht="15" hidden="false" customHeight="true" outlineLevel="0" collapsed="false">
      <c r="A37" s="31" t="s">
        <v>218</v>
      </c>
      <c r="B37" s="32" t="n">
        <f aca="false">B32-B34</f>
        <v>15.45161772</v>
      </c>
      <c r="F37" s="22"/>
    </row>
    <row r="38" customFormat="false" ht="15" hidden="false" customHeight="true" outlineLevel="0" collapsed="false">
      <c r="A38" s="20" t="s">
        <v>219</v>
      </c>
      <c r="B38" s="24" t="n">
        <f aca="false">B5*B6</f>
        <v>10</v>
      </c>
      <c r="F38" s="22"/>
    </row>
    <row r="40" customFormat="false" ht="15" hidden="false" customHeight="false" outlineLevel="0" collapsed="false">
      <c r="A40" s="7" t="s">
        <v>220</v>
      </c>
    </row>
    <row r="41" customFormat="false" ht="39.75" hidden="false" customHeight="true" outlineLevel="0" collapsed="false">
      <c r="A41" s="39" t="s">
        <v>221</v>
      </c>
      <c r="B41" s="39"/>
      <c r="C41" s="39"/>
      <c r="D41" s="39"/>
    </row>
    <row r="42" customFormat="false" ht="15" hidden="false" customHeight="false" outlineLevel="0" collapsed="false">
      <c r="A42" s="11" t="s">
        <v>222</v>
      </c>
      <c r="B42" s="14" t="n">
        <f aca="false">(B14-B33)*B6</f>
        <v>22.9940609368</v>
      </c>
    </row>
    <row r="43" customFormat="false" ht="15" hidden="false" customHeight="false" outlineLevel="0" collapsed="false">
      <c r="A43" s="11" t="s">
        <v>223</v>
      </c>
      <c r="B43" s="14" t="n">
        <f aca="false">(B14-C25)*B6</f>
        <v>23.20193</v>
      </c>
    </row>
  </sheetData>
  <mergeCells count="2">
    <mergeCell ref="F5:F38"/>
    <mergeCell ref="A41:D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4"/>
    <col collapsed="false" customWidth="true" hidden="false" outlineLevel="0" max="4" min="3" style="1" width="14"/>
    <col collapsed="false" customWidth="true" hidden="false" outlineLevel="0" max="5" min="5" style="1" width="12"/>
    <col collapsed="false" customWidth="true" hidden="false" outlineLevel="0" max="6" min="6"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19" t="s">
        <v>224</v>
      </c>
    </row>
    <row r="2" customFormat="false" ht="15" hidden="false" customHeight="true" outlineLevel="0" collapsed="false">
      <c r="A2" s="4" t="s">
        <v>225</v>
      </c>
    </row>
    <row r="4" customFormat="false" ht="27.75" hidden="false" customHeight="true" outlineLevel="0" collapsed="false">
      <c r="A4" s="25" t="s">
        <v>226</v>
      </c>
      <c r="B4" s="26" t="s">
        <v>227</v>
      </c>
      <c r="C4" s="26" t="s">
        <v>228</v>
      </c>
      <c r="D4" s="26" t="s">
        <v>229</v>
      </c>
      <c r="E4" s="26" t="s">
        <v>230</v>
      </c>
      <c r="F4" s="26" t="s">
        <v>231</v>
      </c>
      <c r="H4" s="5" t="s">
        <v>232</v>
      </c>
    </row>
    <row r="5" customFormat="false" ht="15" hidden="false" customHeight="true" outlineLevel="0" collapsed="false">
      <c r="A5" s="40" t="s">
        <v>233</v>
      </c>
      <c r="B5" s="41" t="s">
        <v>234</v>
      </c>
      <c r="C5" s="42" t="n">
        <v>0.1</v>
      </c>
      <c r="D5" s="43" t="n">
        <f aca="false">Dilution!D18</f>
        <v>0.1</v>
      </c>
      <c r="E5" s="44" t="n">
        <f aca="false">D5-C5</f>
        <v>0</v>
      </c>
      <c r="F5" s="45" t="str">
        <f aca="false">IF(ABS(E5)&lt;0.005,"reproduced",IF(ABS(E5)&lt;0.011,"rounding","CHECK"))</f>
        <v>reproduced</v>
      </c>
      <c r="H5" s="22" t="s">
        <v>235</v>
      </c>
    </row>
    <row r="6" customFormat="false" ht="15" hidden="false" customHeight="true" outlineLevel="0" collapsed="false">
      <c r="A6" s="46" t="s">
        <v>233</v>
      </c>
      <c r="B6" s="47" t="s">
        <v>78</v>
      </c>
      <c r="C6" s="48" t="n">
        <v>0.0714</v>
      </c>
      <c r="D6" s="49" t="n">
        <f aca="false">Dilution!D19</f>
        <v>0.0714285714285714</v>
      </c>
      <c r="E6" s="50" t="n">
        <f aca="false">D6-C6</f>
        <v>2.85714285714195E-005</v>
      </c>
      <c r="F6" s="51" t="str">
        <f aca="false">IF(ABS(E6)&lt;0.005,"reproduced",IF(ABS(E6)&lt;0.011,"rounding","CHECK"))</f>
        <v>reproduced</v>
      </c>
      <c r="H6" s="22"/>
    </row>
    <row r="7" customFormat="false" ht="15" hidden="false" customHeight="true" outlineLevel="0" collapsed="false">
      <c r="A7" s="40" t="s">
        <v>233</v>
      </c>
      <c r="B7" s="41" t="s">
        <v>236</v>
      </c>
      <c r="C7" s="42" t="n">
        <v>0.0704</v>
      </c>
      <c r="D7" s="43" t="n">
        <f aca="false">Dilution!D20</f>
        <v>0.0704225352112676</v>
      </c>
      <c r="E7" s="44" t="n">
        <f aca="false">D7-C7</f>
        <v>2.25352112676047E-005</v>
      </c>
      <c r="F7" s="45" t="str">
        <f aca="false">IF(ABS(E7)&lt;0.005,"reproduced",IF(ABS(E7)&lt;0.011,"rounding","CHECK"))</f>
        <v>reproduced</v>
      </c>
      <c r="H7" s="22"/>
    </row>
    <row r="8" customFormat="false" ht="15" hidden="false" customHeight="true" outlineLevel="0" collapsed="false">
      <c r="A8" s="46" t="s">
        <v>233</v>
      </c>
      <c r="B8" s="47" t="s">
        <v>237</v>
      </c>
      <c r="C8" s="48" t="n">
        <v>0.0299</v>
      </c>
      <c r="D8" s="49" t="n">
        <f aca="false">Dilution!D21</f>
        <v>0.0298507462686567</v>
      </c>
      <c r="E8" s="50" t="n">
        <f aca="false">D8-C8</f>
        <v>-4.92537313432836E-005</v>
      </c>
      <c r="F8" s="51" t="str">
        <f aca="false">IF(ABS(E8)&lt;0.005,"reproduced",IF(ABS(E8)&lt;0.011,"rounding","CHECK"))</f>
        <v>reproduced</v>
      </c>
      <c r="H8" s="22"/>
    </row>
    <row r="9" customFormat="false" ht="15" hidden="false" customHeight="true" outlineLevel="0" collapsed="false">
      <c r="A9" s="40" t="s">
        <v>233</v>
      </c>
      <c r="B9" s="41" t="s">
        <v>238</v>
      </c>
      <c r="C9" s="42" t="n">
        <v>0.0152</v>
      </c>
      <c r="D9" s="43" t="n">
        <f aca="false">Dilution!D22</f>
        <v>0.0151515151515152</v>
      </c>
      <c r="E9" s="44" t="n">
        <f aca="false">D9-C9</f>
        <v>-4.8484848484848E-005</v>
      </c>
      <c r="F9" s="45" t="str">
        <f aca="false">IF(ABS(E9)&lt;0.005,"reproduced",IF(ABS(E9)&lt;0.011,"rounding","CHECK"))</f>
        <v>reproduced</v>
      </c>
      <c r="H9" s="22"/>
    </row>
    <row r="10" customFormat="false" ht="15" hidden="false" customHeight="true" outlineLevel="0" collapsed="false">
      <c r="A10" s="46" t="s">
        <v>233</v>
      </c>
      <c r="B10" s="47" t="s">
        <v>239</v>
      </c>
      <c r="C10" s="48" t="n">
        <v>0.9296</v>
      </c>
      <c r="D10" s="49" t="n">
        <f aca="false">Dilution!E20</f>
        <v>0.929577464788732</v>
      </c>
      <c r="E10" s="50" t="n">
        <f aca="false">D10-C10</f>
        <v>-2.25352112676047E-005</v>
      </c>
      <c r="F10" s="51" t="str">
        <f aca="false">IF(ABS(E10)&lt;0.005,"reproduced",IF(ABS(E10)&lt;0.011,"rounding","CHECK"))</f>
        <v>reproduced</v>
      </c>
      <c r="H10" s="22"/>
    </row>
    <row r="11" customFormat="false" ht="15" hidden="false" customHeight="true" outlineLevel="0" collapsed="false">
      <c r="A11" s="40" t="s">
        <v>233</v>
      </c>
      <c r="B11" s="41" t="s">
        <v>240</v>
      </c>
      <c r="C11" s="42" t="n">
        <v>0.9701</v>
      </c>
      <c r="D11" s="43" t="n">
        <f aca="false">Dilution!E21</f>
        <v>0.970149253731343</v>
      </c>
      <c r="E11" s="44" t="n">
        <f aca="false">D11-C11</f>
        <v>4.92537313433461E-005</v>
      </c>
      <c r="F11" s="45" t="str">
        <f aca="false">IF(ABS(E11)&lt;0.005,"reproduced",IF(ABS(E11)&lt;0.011,"rounding","CHECK"))</f>
        <v>reproduced</v>
      </c>
      <c r="H11" s="22"/>
    </row>
    <row r="12" customFormat="false" ht="15" hidden="false" customHeight="true" outlineLevel="0" collapsed="false">
      <c r="A12" s="46" t="s">
        <v>233</v>
      </c>
      <c r="B12" s="47" t="s">
        <v>241</v>
      </c>
      <c r="C12" s="52" t="n">
        <v>1.69</v>
      </c>
      <c r="D12" s="53" t="n">
        <f aca="false">Dilution!C33</f>
        <v>1.69014084507042</v>
      </c>
      <c r="E12" s="54" t="n">
        <f aca="false">D12-C12</f>
        <v>0.000140845070422557</v>
      </c>
      <c r="F12" s="51" t="str">
        <f aca="false">IF(ABS(E12)&lt;0.005,"reproduced",IF(ABS(E12)&lt;0.011,"rounding","CHECK"))</f>
        <v>reproduced</v>
      </c>
      <c r="H12" s="22"/>
    </row>
    <row r="13" customFormat="false" ht="15" hidden="false" customHeight="true" outlineLevel="0" collapsed="false">
      <c r="A13" s="40" t="s">
        <v>233</v>
      </c>
      <c r="B13" s="41" t="s">
        <v>242</v>
      </c>
      <c r="C13" s="55" t="n">
        <v>0.72</v>
      </c>
      <c r="D13" s="56" t="n">
        <f aca="false">Dilution!C34</f>
        <v>0.716417910447761</v>
      </c>
      <c r="E13" s="57" t="n">
        <f aca="false">D13-C13</f>
        <v>-0.00358208955223882</v>
      </c>
      <c r="F13" s="45" t="str">
        <f aca="false">IF(ABS(E13)&lt;0.005,"reproduced",IF(ABS(E13)&lt;0.011,"rounding","CHECK"))</f>
        <v>reproduced</v>
      </c>
      <c r="H13" s="22"/>
    </row>
    <row r="14" customFormat="false" ht="15" hidden="false" customHeight="true" outlineLevel="0" collapsed="false">
      <c r="A14" s="46" t="s">
        <v>233</v>
      </c>
      <c r="B14" s="47" t="s">
        <v>243</v>
      </c>
      <c r="C14" s="52" t="n">
        <v>6</v>
      </c>
      <c r="D14" s="53" t="n">
        <f aca="false">Dilution!B28</f>
        <v>6</v>
      </c>
      <c r="E14" s="54" t="n">
        <f aca="false">D14-C14</f>
        <v>0</v>
      </c>
      <c r="F14" s="51" t="str">
        <f aca="false">IF(ABS(E14)&lt;0.005,"reproduced",IF(ABS(E14)&lt;0.011,"rounding","CHECK"))</f>
        <v>reproduced</v>
      </c>
      <c r="H14" s="22"/>
    </row>
    <row r="15" customFormat="false" ht="15" hidden="false" customHeight="true" outlineLevel="0" collapsed="false">
      <c r="A15" s="40" t="s">
        <v>233</v>
      </c>
      <c r="B15" s="41" t="s">
        <v>244</v>
      </c>
      <c r="C15" s="55" t="n">
        <v>2.645</v>
      </c>
      <c r="D15" s="56" t="n">
        <f aca="false">'Default loan and buyout'!B9</f>
        <v>2.645</v>
      </c>
      <c r="E15" s="57" t="n">
        <f aca="false">D15-C15</f>
        <v>0</v>
      </c>
      <c r="F15" s="45" t="str">
        <f aca="false">IF(ABS(E15)&lt;0.005,"reproduced",IF(ABS(E15)&lt;0.011,"rounding","CHECK"))</f>
        <v>reproduced</v>
      </c>
      <c r="H15" s="22"/>
    </row>
    <row r="16" customFormat="false" ht="15" hidden="false" customHeight="true" outlineLevel="0" collapsed="false">
      <c r="A16" s="46" t="s">
        <v>233</v>
      </c>
      <c r="B16" s="47" t="s">
        <v>245</v>
      </c>
      <c r="C16" s="52" t="n">
        <v>3.38</v>
      </c>
      <c r="D16" s="53" t="n">
        <f aca="false">'Default loan and buyout'!B32</f>
        <v>3.3809166040571</v>
      </c>
      <c r="E16" s="54" t="n">
        <f aca="false">D16-C16</f>
        <v>0.000916604057099146</v>
      </c>
      <c r="F16" s="51" t="str">
        <f aca="false">IF(ABS(E16)&lt;0.005,"reproduced",IF(ABS(E16)&lt;0.011,"rounding","CHECK"))</f>
        <v>reproduced</v>
      </c>
      <c r="H16" s="22"/>
    </row>
    <row r="17" customFormat="false" ht="15" hidden="false" customHeight="true" outlineLevel="0" collapsed="false">
      <c r="A17" s="40" t="s">
        <v>233</v>
      </c>
      <c r="B17" s="41" t="s">
        <v>246</v>
      </c>
      <c r="C17" s="42" t="n">
        <v>0.563</v>
      </c>
      <c r="D17" s="43" t="n">
        <f aca="false">'Default loan and buyout'!B33</f>
        <v>0.563486100676183</v>
      </c>
      <c r="E17" s="44" t="n">
        <f aca="false">D17-C17</f>
        <v>0.000486100676183265</v>
      </c>
      <c r="F17" s="45" t="str">
        <f aca="false">IF(ABS(E17)&lt;0.005,"reproduced",IF(ABS(E17)&lt;0.011,"rounding","CHECK"))</f>
        <v>reproduced</v>
      </c>
      <c r="H17" s="22"/>
    </row>
    <row r="18" customFormat="false" ht="15" hidden="false" customHeight="true" outlineLevel="0" collapsed="false">
      <c r="A18" s="46" t="s">
        <v>247</v>
      </c>
      <c r="B18" s="47" t="s">
        <v>248</v>
      </c>
      <c r="C18" s="52" t="n">
        <v>25.97</v>
      </c>
      <c r="D18" s="53" t="n">
        <f aca="false">Clawback!B20</f>
        <v>25.9712</v>
      </c>
      <c r="E18" s="54" t="n">
        <f aca="false">D18-C18</f>
        <v>0.00120000000001852</v>
      </c>
      <c r="F18" s="51" t="str">
        <f aca="false">IF(ABS(E18)&lt;0.005,"reproduced",IF(ABS(E18)&lt;0.011,"rounding","CHECK"))</f>
        <v>reproduced</v>
      </c>
      <c r="H18" s="22"/>
    </row>
    <row r="19" customFormat="false" ht="15" hidden="false" customHeight="true" outlineLevel="0" collapsed="false">
      <c r="A19" s="40" t="s">
        <v>247</v>
      </c>
      <c r="B19" s="41" t="s">
        <v>249</v>
      </c>
      <c r="C19" s="55" t="n">
        <v>17.31</v>
      </c>
      <c r="D19" s="56" t="n">
        <f aca="false">Clawback!B21</f>
        <v>17.3141333333334</v>
      </c>
      <c r="E19" s="57" t="n">
        <f aca="false">D19-C19</f>
        <v>0.00413333333334975</v>
      </c>
      <c r="F19" s="45" t="str">
        <f aca="false">IF(ABS(E19)&lt;0.005,"reproduced",IF(ABS(E19)&lt;0.011,"rounding","CHECK"))</f>
        <v>reproduced</v>
      </c>
      <c r="H19" s="22"/>
    </row>
    <row r="20" customFormat="false" ht="15" hidden="false" customHeight="true" outlineLevel="0" collapsed="false">
      <c r="A20" s="46" t="s">
        <v>247</v>
      </c>
      <c r="B20" s="47" t="s">
        <v>250</v>
      </c>
      <c r="C20" s="52" t="n">
        <v>8.66</v>
      </c>
      <c r="D20" s="53" t="n">
        <f aca="false">Clawback!D25</f>
        <v>8.65706666666667</v>
      </c>
      <c r="E20" s="54" t="n">
        <f aca="false">D20-C20</f>
        <v>-0.00293333333332591</v>
      </c>
      <c r="F20" s="51" t="str">
        <f aca="false">IF(ABS(E20)&lt;0.005,"reproduced",IF(ABS(E20)&lt;0.011,"rounding","CHECK"))</f>
        <v>reproduced</v>
      </c>
      <c r="H20" s="22"/>
    </row>
    <row r="21" customFormat="false" ht="15" hidden="false" customHeight="true" outlineLevel="0" collapsed="false">
      <c r="A21" s="40" t="s">
        <v>247</v>
      </c>
      <c r="B21" s="41" t="s">
        <v>251</v>
      </c>
      <c r="C21" s="55" t="n">
        <v>16.72</v>
      </c>
      <c r="D21" s="56" t="n">
        <f aca="false">Clawback!B26</f>
        <v>16.7146666666666</v>
      </c>
      <c r="E21" s="57" t="n">
        <f aca="false">D21-C21</f>
        <v>-0.00533333333336472</v>
      </c>
      <c r="F21" s="45" t="str">
        <f aca="false">IF(ABS(E21)&lt;0.005,"reproduced",IF(ABS(E21)&lt;0.011,"rounding","CHECK"))</f>
        <v>rounding</v>
      </c>
    </row>
    <row r="22" customFormat="false" ht="15" hidden="false" customHeight="true" outlineLevel="0" collapsed="false">
      <c r="A22" s="46" t="s">
        <v>247</v>
      </c>
      <c r="B22" s="47" t="s">
        <v>252</v>
      </c>
      <c r="C22" s="52" t="n">
        <v>13.38</v>
      </c>
      <c r="D22" s="53" t="n">
        <f aca="false">Clawback!C26</f>
        <v>13.3717333333333</v>
      </c>
      <c r="E22" s="54" t="n">
        <f aca="false">D22-C22</f>
        <v>-0.0082666666666924</v>
      </c>
      <c r="F22" s="51" t="str">
        <f aca="false">IF(ABS(E22)&lt;0.005,"reproduced",IF(ABS(E22)&lt;0.011,"rounding","CHECK"))</f>
        <v>rounding</v>
      </c>
    </row>
    <row r="23" customFormat="false" ht="15" hidden="false" customHeight="true" outlineLevel="0" collapsed="false">
      <c r="A23" s="40" t="s">
        <v>247</v>
      </c>
      <c r="B23" s="41" t="s">
        <v>253</v>
      </c>
      <c r="C23" s="55" t="n">
        <v>12</v>
      </c>
      <c r="D23" s="56" t="n">
        <f aca="false">Clawback!D27</f>
        <v>12</v>
      </c>
      <c r="E23" s="57" t="n">
        <f aca="false">D23-C23</f>
        <v>0</v>
      </c>
      <c r="F23" s="45" t="str">
        <f aca="false">IF(ABS(E23)&lt;0.005,"reproduced",IF(ABS(E23)&lt;0.011,"rounding","CHECK"))</f>
        <v>reproduced</v>
      </c>
    </row>
    <row r="24" customFormat="false" ht="15" hidden="false" customHeight="true" outlineLevel="0" collapsed="false">
      <c r="A24" s="46" t="s">
        <v>247</v>
      </c>
      <c r="B24" s="47" t="s">
        <v>254</v>
      </c>
      <c r="C24" s="52" t="n">
        <v>148</v>
      </c>
      <c r="D24" s="53" t="n">
        <f aca="false">Clawback!C27</f>
        <v>148</v>
      </c>
      <c r="E24" s="54" t="n">
        <f aca="false">D24-C24</f>
        <v>0</v>
      </c>
      <c r="F24" s="51" t="str">
        <f aca="false">IF(ABS(E24)&lt;0.005,"reproduced",IF(ABS(E24)&lt;0.011,"rounding","CHECK"))</f>
        <v>reproduced</v>
      </c>
    </row>
    <row r="25" customFormat="false" ht="15" hidden="false" customHeight="true" outlineLevel="0" collapsed="false">
      <c r="A25" s="40" t="s">
        <v>247</v>
      </c>
      <c r="B25" s="41" t="s">
        <v>255</v>
      </c>
      <c r="C25" s="42" t="n">
        <v>0.2</v>
      </c>
      <c r="D25" s="43" t="n">
        <f aca="false">Clawback!B28</f>
        <v>0.2</v>
      </c>
      <c r="E25" s="44" t="n">
        <f aca="false">D25-C25</f>
        <v>0</v>
      </c>
      <c r="F25" s="45" t="str">
        <f aca="false">IF(ABS(E25)&lt;0.005,"reproduced",IF(ABS(E25)&lt;0.011,"rounding","CHECK"))</f>
        <v>reproduced</v>
      </c>
    </row>
    <row r="26" customFormat="false" ht="15" hidden="false" customHeight="true" outlineLevel="0" collapsed="false">
      <c r="A26" s="46" t="s">
        <v>247</v>
      </c>
      <c r="B26" s="47" t="s">
        <v>256</v>
      </c>
      <c r="C26" s="52" t="n">
        <v>40</v>
      </c>
      <c r="D26" s="53" t="n">
        <f aca="false">Clawback!B39</f>
        <v>40</v>
      </c>
      <c r="E26" s="54" t="n">
        <f aca="false">D26-C26</f>
        <v>0</v>
      </c>
      <c r="F26" s="51" t="str">
        <f aca="false">IF(ABS(E26)&lt;0.005,"reproduced",IF(ABS(E26)&lt;0.011,"rounding","CHECK"))</f>
        <v>reproduced</v>
      </c>
    </row>
    <row r="27" customFormat="false" ht="15" hidden="false" customHeight="true" outlineLevel="0" collapsed="false">
      <c r="A27" s="40" t="s">
        <v>247</v>
      </c>
      <c r="B27" s="41" t="s">
        <v>163</v>
      </c>
      <c r="C27" s="42" t="n">
        <v>0.3</v>
      </c>
      <c r="D27" s="43" t="n">
        <f aca="false">Clawback!B40</f>
        <v>0.3</v>
      </c>
      <c r="E27" s="44" t="n">
        <f aca="false">D27-C27</f>
        <v>0</v>
      </c>
      <c r="F27" s="45" t="str">
        <f aca="false">IF(ABS(E27)&lt;0.005,"reproduced",IF(ABS(E27)&lt;0.011,"rounding","CHECK"))</f>
        <v>reproduced</v>
      </c>
    </row>
    <row r="28" customFormat="false" ht="15" hidden="false" customHeight="true" outlineLevel="0" collapsed="false">
      <c r="A28" s="46" t="s">
        <v>247</v>
      </c>
      <c r="B28" s="47" t="s">
        <v>257</v>
      </c>
      <c r="C28" s="52" t="n">
        <v>15.58</v>
      </c>
      <c r="D28" s="53" t="n">
        <f aca="false">Clawback!B46</f>
        <v>15.58272</v>
      </c>
      <c r="E28" s="54" t="n">
        <f aca="false">D28-C28</f>
        <v>0.00272000000000894</v>
      </c>
      <c r="F28" s="51" t="str">
        <f aca="false">IF(ABS(E28)&lt;0.005,"reproduced",IF(ABS(E28)&lt;0.011,"rounding","CHECK"))</f>
        <v>reproduced</v>
      </c>
    </row>
    <row r="29" customFormat="false" ht="15" hidden="false" customHeight="true" outlineLevel="0" collapsed="false">
      <c r="A29" s="40" t="s">
        <v>247</v>
      </c>
      <c r="B29" s="41" t="s">
        <v>169</v>
      </c>
      <c r="C29" s="55" t="n">
        <v>201.55</v>
      </c>
      <c r="D29" s="56" t="n">
        <f aca="false">Clawback!B47</f>
        <v>201.55392</v>
      </c>
      <c r="E29" s="57" t="n">
        <f aca="false">D29-C29</f>
        <v>0.00391999999999371</v>
      </c>
      <c r="F29" s="45" t="str">
        <f aca="false">IF(ABS(E29)&lt;0.005,"reproduced",IF(ABS(E29)&lt;0.011,"rounding","CHECK"))</f>
        <v>reproduced</v>
      </c>
    </row>
    <row r="30" customFormat="false" ht="15" hidden="false" customHeight="true" outlineLevel="0" collapsed="false">
      <c r="A30" s="46" t="s">
        <v>247</v>
      </c>
      <c r="B30" s="47" t="s">
        <v>170</v>
      </c>
      <c r="C30" s="52" t="n">
        <v>200</v>
      </c>
      <c r="D30" s="53" t="n">
        <f aca="false">Clawback!B48</f>
        <v>200</v>
      </c>
      <c r="E30" s="54" t="n">
        <f aca="false">D30-C30</f>
        <v>0</v>
      </c>
      <c r="F30" s="51" t="str">
        <f aca="false">IF(ABS(E30)&lt;0.005,"reproduced",IF(ABS(E30)&lt;0.011,"rounding","CHECK"))</f>
        <v>reproduced</v>
      </c>
    </row>
    <row r="31" customFormat="false" ht="15" hidden="false" customHeight="true" outlineLevel="0" collapsed="false">
      <c r="A31" s="40" t="s">
        <v>247</v>
      </c>
      <c r="B31" s="41" t="s">
        <v>171</v>
      </c>
      <c r="C31" s="55" t="n">
        <v>-1.55</v>
      </c>
      <c r="D31" s="56" t="n">
        <f aca="false">Clawback!B49</f>
        <v>-1.55392000000001</v>
      </c>
      <c r="E31" s="57" t="n">
        <f aca="false">D31-C31</f>
        <v>-0.00392000000000503</v>
      </c>
      <c r="F31" s="45" t="str">
        <f aca="false">IF(ABS(E31)&lt;0.005,"reproduced",IF(ABS(E31)&lt;0.011,"rounding","CHECK"))</f>
        <v>reproduced</v>
      </c>
    </row>
    <row r="32" customFormat="false" ht="15" hidden="false" customHeight="true" outlineLevel="0" collapsed="false">
      <c r="A32" s="46" t="s">
        <v>247</v>
      </c>
      <c r="B32" s="47" t="s">
        <v>174</v>
      </c>
      <c r="C32" s="52" t="n">
        <v>12</v>
      </c>
      <c r="D32" s="53" t="n">
        <f aca="false">Clawback!B52</f>
        <v>12</v>
      </c>
      <c r="E32" s="54" t="n">
        <f aca="false">D32-C32</f>
        <v>0</v>
      </c>
      <c r="F32" s="51" t="str">
        <f aca="false">IF(ABS(E32)&lt;0.005,"reproduced",IF(ABS(E32)&lt;0.011,"rounding","CHECK"))</f>
        <v>reproduced</v>
      </c>
    </row>
    <row r="33" customFormat="false" ht="15" hidden="false" customHeight="true" outlineLevel="0" collapsed="false">
      <c r="A33" s="40" t="s">
        <v>247</v>
      </c>
      <c r="B33" s="41" t="s">
        <v>175</v>
      </c>
      <c r="C33" s="55" t="n">
        <v>7.2</v>
      </c>
      <c r="D33" s="56" t="n">
        <f aca="false">Clawback!B54</f>
        <v>7.2</v>
      </c>
      <c r="E33" s="57" t="n">
        <f aca="false">D33-C33</f>
        <v>0</v>
      </c>
      <c r="F33" s="45" t="str">
        <f aca="false">IF(ABS(E33)&lt;0.005,"reproduced",IF(ABS(E33)&lt;0.011,"rounding","CHECK"))</f>
        <v>reproduced</v>
      </c>
    </row>
    <row r="34" customFormat="false" ht="15" hidden="false" customHeight="true" outlineLevel="0" collapsed="false">
      <c r="A34" s="46" t="s">
        <v>247</v>
      </c>
      <c r="B34" s="47" t="s">
        <v>258</v>
      </c>
      <c r="C34" s="58" t="n">
        <v>1.175</v>
      </c>
      <c r="D34" s="59" t="n">
        <f aca="false">Clawback!B61</f>
        <v>1.175</v>
      </c>
      <c r="E34" s="60" t="n">
        <f aca="false">D34-C34</f>
        <v>0</v>
      </c>
      <c r="F34" s="51" t="str">
        <f aca="false">IF(ABS(E34)&lt;0.005,"reproduced",IF(ABS(E34)&lt;0.011,"rounding","CHECK"))</f>
        <v>reproduced</v>
      </c>
    </row>
    <row r="35" customFormat="false" ht="15" hidden="false" customHeight="true" outlineLevel="0" collapsed="false">
      <c r="A35" s="40" t="s">
        <v>247</v>
      </c>
      <c r="B35" s="41" t="s">
        <v>259</v>
      </c>
      <c r="C35" s="61" t="n">
        <v>1.93</v>
      </c>
      <c r="D35" s="62" t="n">
        <f aca="false">Clawback!C61</f>
        <v>1.925</v>
      </c>
      <c r="E35" s="63" t="n">
        <f aca="false">D35-C35</f>
        <v>-0.00499999999999967</v>
      </c>
      <c r="F35" s="45" t="str">
        <f aca="false">IF(ABS(E35)&lt;0.005,"reproduced",IF(ABS(E35)&lt;0.011,"rounding","CHECK"))</f>
        <v>reproduced</v>
      </c>
    </row>
    <row r="36" customFormat="false" ht="15" hidden="false" customHeight="true" outlineLevel="0" collapsed="false">
      <c r="A36" s="46" t="s">
        <v>247</v>
      </c>
      <c r="B36" s="47" t="s">
        <v>260</v>
      </c>
      <c r="C36" s="58" t="n">
        <v>1.22</v>
      </c>
      <c r="D36" s="59" t="n">
        <f aca="false">Clawback!B62</f>
        <v>1.22</v>
      </c>
      <c r="E36" s="60" t="n">
        <f aca="false">D36-C36</f>
        <v>0</v>
      </c>
      <c r="F36" s="51" t="str">
        <f aca="false">IF(ABS(E36)&lt;0.005,"reproduced",IF(ABS(E36)&lt;0.011,"rounding","CHECK"))</f>
        <v>reproduced</v>
      </c>
    </row>
    <row r="37" customFormat="false" ht="15" hidden="false" customHeight="true" outlineLevel="0" collapsed="false">
      <c r="A37" s="40" t="s">
        <v>247</v>
      </c>
      <c r="B37" s="41" t="s">
        <v>261</v>
      </c>
      <c r="C37" s="61" t="n">
        <v>1.52</v>
      </c>
      <c r="D37" s="62" t="n">
        <f aca="false">Clawback!C62</f>
        <v>1.52</v>
      </c>
      <c r="E37" s="63" t="n">
        <f aca="false">D37-C37</f>
        <v>0</v>
      </c>
      <c r="F37" s="45" t="str">
        <f aca="false">IF(ABS(E37)&lt;0.005,"reproduced",IF(ABS(E37)&lt;0.011,"rounding","CHECK"))</f>
        <v>reproduced</v>
      </c>
    </row>
    <row r="38" customFormat="false" ht="15" hidden="false" customHeight="true" outlineLevel="0" collapsed="false">
      <c r="A38" s="46" t="s">
        <v>247</v>
      </c>
      <c r="B38" s="47" t="s">
        <v>262</v>
      </c>
      <c r="C38" s="58" t="n">
        <v>1.25</v>
      </c>
      <c r="D38" s="59" t="n">
        <f aca="false">Clawback!B63</f>
        <v>1.25</v>
      </c>
      <c r="E38" s="60" t="n">
        <f aca="false">D38-C38</f>
        <v>0</v>
      </c>
      <c r="F38" s="51" t="str">
        <f aca="false">IF(ABS(E38)&lt;0.005,"reproduced",IF(ABS(E38)&lt;0.011,"rounding","CHECK"))</f>
        <v>reproduced</v>
      </c>
    </row>
    <row r="39" customFormat="false" ht="15" hidden="false" customHeight="true" outlineLevel="0" collapsed="false">
      <c r="A39" s="40" t="s">
        <v>247</v>
      </c>
      <c r="B39" s="41" t="s">
        <v>263</v>
      </c>
      <c r="C39" s="61" t="n">
        <v>1.25</v>
      </c>
      <c r="D39" s="62" t="n">
        <f aca="false">Clawback!C63</f>
        <v>1.25</v>
      </c>
      <c r="E39" s="63" t="n">
        <f aca="false">D39-C39</f>
        <v>0</v>
      </c>
      <c r="F39" s="45" t="str">
        <f aca="false">IF(ABS(E39)&lt;0.005,"reproduced",IF(ABS(E39)&lt;0.011,"rounding","CHECK"))</f>
        <v>reproduced</v>
      </c>
    </row>
    <row r="40" customFormat="false" ht="15" hidden="false" customHeight="true" outlineLevel="0" collapsed="false">
      <c r="A40" s="46" t="s">
        <v>264</v>
      </c>
      <c r="B40" s="47" t="s">
        <v>265</v>
      </c>
      <c r="C40" s="52" t="n">
        <v>33.43</v>
      </c>
      <c r="D40" s="53" t="n">
        <f aca="false">Removal!B25</f>
        <v>33.43231772</v>
      </c>
      <c r="E40" s="54" t="n">
        <f aca="false">D40-C40</f>
        <v>0.00231771999998642</v>
      </c>
      <c r="F40" s="51" t="str">
        <f aca="false">IF(ABS(E40)&lt;0.005,"reproduced",IF(ABS(E40)&lt;0.011,"rounding","CHECK"))</f>
        <v>reproduced</v>
      </c>
    </row>
    <row r="41" customFormat="false" ht="15" hidden="false" customHeight="true" outlineLevel="0" collapsed="false">
      <c r="A41" s="40" t="s">
        <v>264</v>
      </c>
      <c r="B41" s="41" t="s">
        <v>266</v>
      </c>
      <c r="C41" s="55" t="n">
        <v>25.97</v>
      </c>
      <c r="D41" s="56" t="n">
        <f aca="false">Removal!C22</f>
        <v>25.9712</v>
      </c>
      <c r="E41" s="57" t="n">
        <f aca="false">D41-C41</f>
        <v>0.00120000000001852</v>
      </c>
      <c r="F41" s="45" t="str">
        <f aca="false">IF(ABS(E41)&lt;0.005,"reproduced",IF(ABS(E41)&lt;0.011,"rounding","CHECK"))</f>
        <v>reproduced</v>
      </c>
    </row>
    <row r="42" customFormat="false" ht="15" hidden="false" customHeight="true" outlineLevel="0" collapsed="false">
      <c r="A42" s="46" t="s">
        <v>264</v>
      </c>
      <c r="B42" s="47" t="s">
        <v>267</v>
      </c>
      <c r="C42" s="52" t="n">
        <v>17.31</v>
      </c>
      <c r="D42" s="53" t="n">
        <f aca="false">Removal!C23</f>
        <v>17.3141333333334</v>
      </c>
      <c r="E42" s="54" t="n">
        <f aca="false">D42-C42</f>
        <v>0.00413333333334975</v>
      </c>
      <c r="F42" s="51" t="str">
        <f aca="false">IF(ABS(E42)&lt;0.005,"reproduced",IF(ABS(E42)&lt;0.011,"rounding","CHECK"))</f>
        <v>reproduced</v>
      </c>
    </row>
    <row r="43" customFormat="false" ht="15" hidden="false" customHeight="true" outlineLevel="0" collapsed="false">
      <c r="A43" s="40" t="s">
        <v>264</v>
      </c>
      <c r="B43" s="41" t="s">
        <v>268</v>
      </c>
      <c r="C43" s="55" t="n">
        <v>148.15</v>
      </c>
      <c r="D43" s="56" t="n">
        <f aca="false">Removal!C24</f>
        <v>148.1544</v>
      </c>
      <c r="E43" s="57" t="n">
        <f aca="false">D43-C43</f>
        <v>0.00440000000003238</v>
      </c>
      <c r="F43" s="45" t="str">
        <f aca="false">IF(ABS(E43)&lt;0.005,"reproduced",IF(ABS(E43)&lt;0.011,"rounding","CHECK"))</f>
        <v>reproduced</v>
      </c>
    </row>
    <row r="44" customFormat="false" ht="15" hidden="false" customHeight="true" outlineLevel="0" collapsed="false">
      <c r="A44" s="46" t="s">
        <v>264</v>
      </c>
      <c r="B44" s="47" t="s">
        <v>269</v>
      </c>
      <c r="C44" s="52" t="n">
        <v>17.99</v>
      </c>
      <c r="D44" s="53" t="n">
        <f aca="false">Removal!C25</f>
        <v>17.9807</v>
      </c>
      <c r="E44" s="54" t="n">
        <f aca="false">D44-C44</f>
        <v>-0.0093000000000032</v>
      </c>
      <c r="F44" s="51" t="str">
        <f aca="false">IF(ABS(E44)&lt;0.005,"reproduced",IF(ABS(E44)&lt;0.011,"rounding","CHECK"))</f>
        <v>rounding</v>
      </c>
    </row>
    <row r="45" customFormat="false" ht="15" hidden="false" customHeight="true" outlineLevel="0" collapsed="false">
      <c r="A45" s="40" t="s">
        <v>264</v>
      </c>
      <c r="B45" s="41" t="s">
        <v>270</v>
      </c>
      <c r="C45" s="55" t="n">
        <v>162.01</v>
      </c>
      <c r="D45" s="56" t="n">
        <f aca="false">Removal!C26</f>
        <v>162.0193</v>
      </c>
      <c r="E45" s="57" t="n">
        <f aca="false">D45-C45</f>
        <v>0.00930000000002451</v>
      </c>
      <c r="F45" s="45" t="str">
        <f aca="false">IF(ABS(E45)&lt;0.005,"reproduced",IF(ABS(E45)&lt;0.011,"rounding","CHECK"))</f>
        <v>rounding</v>
      </c>
    </row>
    <row r="46" customFormat="false" ht="15" hidden="false" customHeight="true" outlineLevel="0" collapsed="false">
      <c r="A46" s="46" t="s">
        <v>264</v>
      </c>
      <c r="B46" s="47" t="s">
        <v>271</v>
      </c>
      <c r="C46" s="52" t="n">
        <v>16.2</v>
      </c>
      <c r="D46" s="53" t="n">
        <f aca="false">Removal!C27</f>
        <v>16.20193</v>
      </c>
      <c r="E46" s="54" t="n">
        <f aca="false">D46-C46</f>
        <v>0.00193000000000154</v>
      </c>
      <c r="F46" s="51" t="str">
        <f aca="false">IF(ABS(E46)&lt;0.005,"reproduced",IF(ABS(E46)&lt;0.011,"rounding","CHECK"))</f>
        <v>reproduced</v>
      </c>
    </row>
    <row r="47" customFormat="false" ht="15" hidden="false" customHeight="true" outlineLevel="0" collapsed="false">
      <c r="A47" s="40" t="s">
        <v>264</v>
      </c>
      <c r="B47" s="41" t="s">
        <v>272</v>
      </c>
      <c r="C47" s="55" t="n">
        <v>20.06</v>
      </c>
      <c r="D47" s="56" t="n">
        <f aca="false">Removal!B33</f>
        <v>20.059390632</v>
      </c>
      <c r="E47" s="57" t="n">
        <f aca="false">D47-C47</f>
        <v>-0.000609368000006327</v>
      </c>
      <c r="F47" s="45" t="str">
        <f aca="false">IF(ABS(E47)&lt;0.005,"reproduced",IF(ABS(E47)&lt;0.011,"rounding","CHECK"))</f>
        <v>reproduced</v>
      </c>
    </row>
    <row r="48" customFormat="false" ht="15" hidden="false" customHeight="true" outlineLevel="0" collapsed="false">
      <c r="A48" s="46" t="s">
        <v>264</v>
      </c>
      <c r="B48" s="47" t="s">
        <v>273</v>
      </c>
      <c r="C48" s="52" t="n">
        <v>15.44</v>
      </c>
      <c r="D48" s="53" t="n">
        <f aca="false">Removal!B37</f>
        <v>15.45161772</v>
      </c>
      <c r="E48" s="54" t="n">
        <f aca="false">D48-C48</f>
        <v>0.0116177199999914</v>
      </c>
      <c r="F48" s="51" t="str">
        <f aca="false">IF(ABS(E48)&lt;0.005,"reproduced",IF(ABS(E48)&lt;0.021,"rounding","CHECK"))</f>
        <v>rounding</v>
      </c>
    </row>
    <row r="49" customFormat="false" ht="15" hidden="false" customHeight="false" outlineLevel="0" collapsed="false">
      <c r="A49" s="64" t="s">
        <v>274</v>
      </c>
      <c r="B49" s="65" t="s">
        <v>38</v>
      </c>
      <c r="C49" s="66" t="n">
        <v>120</v>
      </c>
      <c r="D49" s="67" t="n">
        <f aca="false">Funding!B14</f>
        <v>120</v>
      </c>
      <c r="E49" s="67" t="n">
        <f aca="false">D49-C49</f>
        <v>0</v>
      </c>
      <c r="F49" s="68" t="str">
        <f aca="false">IF(ABS(E49)&lt;0.005,"reproduced",IF(ABS(E49)&lt;0.021,"rounding","CHECK"))</f>
        <v>reproduced</v>
      </c>
    </row>
    <row r="50" customFormat="false" ht="15" hidden="false" customHeight="true" outlineLevel="0" collapsed="false">
      <c r="A50" s="46" t="s">
        <v>274</v>
      </c>
      <c r="B50" s="69" t="s">
        <v>275</v>
      </c>
      <c r="C50" s="52" t="n">
        <v>2</v>
      </c>
      <c r="D50" s="70" t="n">
        <f aca="false">Funding!B13</f>
        <v>2</v>
      </c>
      <c r="E50" s="70" t="n">
        <f aca="false">D50-C50</f>
        <v>0</v>
      </c>
      <c r="F50" s="71" t="str">
        <f aca="false">IF(ABS(E50)&lt;0.005,"reproduced",IF(ABS(E50)&lt;0.021,"rounding","CHECK"))</f>
        <v>reproduced</v>
      </c>
    </row>
    <row r="51" customFormat="false" ht="15" hidden="false" customHeight="true" outlineLevel="0" collapsed="false">
      <c r="A51" s="40" t="s">
        <v>274</v>
      </c>
      <c r="B51" s="65" t="s">
        <v>276</v>
      </c>
      <c r="C51" s="55" t="n">
        <v>72</v>
      </c>
      <c r="D51" s="67" t="n">
        <f aca="false">Funding!B16</f>
        <v>72</v>
      </c>
      <c r="E51" s="67" t="n">
        <f aca="false">D51-C51</f>
        <v>0</v>
      </c>
      <c r="F51" s="68" t="str">
        <f aca="false">IF(ABS(E51)&lt;0.005,"reproduced",IF(ABS(E51)&lt;0.021,"rounding","CHECK"))</f>
        <v>reproduced</v>
      </c>
    </row>
    <row r="52" customFormat="false" ht="15" hidden="false" customHeight="true" outlineLevel="0" collapsed="false">
      <c r="A52" s="46" t="s">
        <v>274</v>
      </c>
      <c r="B52" s="69" t="s">
        <v>41</v>
      </c>
      <c r="C52" s="52" t="n">
        <v>48</v>
      </c>
      <c r="D52" s="70" t="n">
        <f aca="false">Funding!B17</f>
        <v>48</v>
      </c>
      <c r="E52" s="70" t="n">
        <f aca="false">D52-C52</f>
        <v>0</v>
      </c>
      <c r="F52" s="71" t="str">
        <f aca="false">IF(ABS(E52)&lt;0.005,"reproduced",IF(ABS(E52)&lt;0.021,"rounding","CHECK"))</f>
        <v>reproduced</v>
      </c>
    </row>
    <row r="53" customFormat="false" ht="15" hidden="false" customHeight="false" outlineLevel="0" collapsed="false">
      <c r="A53" s="64" t="s">
        <v>274</v>
      </c>
      <c r="B53" s="65" t="s">
        <v>277</v>
      </c>
      <c r="C53" s="66" t="n">
        <v>43.2</v>
      </c>
      <c r="D53" s="67" t="n">
        <f aca="false">Funding!B19</f>
        <v>43.2</v>
      </c>
      <c r="E53" s="67" t="n">
        <f aca="false">D53-C53</f>
        <v>0</v>
      </c>
      <c r="F53" s="68" t="str">
        <f aca="false">IF(ABS(E53)&lt;0.005,"reproduced",IF(ABS(E53)&lt;0.021,"rounding","CHECK"))</f>
        <v>reproduced</v>
      </c>
    </row>
    <row r="54" customFormat="false" ht="15" hidden="false" customHeight="false" outlineLevel="0" collapsed="false">
      <c r="A54" s="72" t="s">
        <v>274</v>
      </c>
      <c r="B54" s="69" t="s">
        <v>44</v>
      </c>
      <c r="C54" s="73" t="n">
        <v>4.8</v>
      </c>
      <c r="D54" s="70" t="n">
        <f aca="false">Funding!B20</f>
        <v>4.8</v>
      </c>
      <c r="E54" s="70" t="n">
        <f aca="false">D54-C54</f>
        <v>0</v>
      </c>
      <c r="F54" s="71" t="str">
        <f aca="false">IF(ABS(E54)&lt;0.005,"reproduced",IF(ABS(E54)&lt;0.021,"rounding","CHECK"))</f>
        <v>reproduced</v>
      </c>
    </row>
    <row r="55" customFormat="false" ht="15" hidden="false" customHeight="false" outlineLevel="0" collapsed="false">
      <c r="A55" s="64" t="s">
        <v>274</v>
      </c>
      <c r="B55" s="65" t="s">
        <v>278</v>
      </c>
      <c r="C55" s="66" t="n">
        <v>0.175</v>
      </c>
      <c r="D55" s="67" t="n">
        <f aca="false">Funding!B26</f>
        <v>0.175</v>
      </c>
      <c r="E55" s="67" t="n">
        <f aca="false">D55-C55</f>
        <v>0</v>
      </c>
      <c r="F55" s="68" t="str">
        <f aca="false">IF(ABS(E55)&lt;0.0005,"reproduced",IF(ABS(E55)&lt;0.021,"rounding","CHECK"))</f>
        <v>reproduced</v>
      </c>
    </row>
    <row r="56" customFormat="false" ht="15" hidden="false" customHeight="false" outlineLevel="0" collapsed="false">
      <c r="A56" s="72" t="s">
        <v>274</v>
      </c>
      <c r="B56" s="69" t="s">
        <v>279</v>
      </c>
      <c r="C56" s="73" t="n">
        <v>0.4</v>
      </c>
      <c r="D56" s="70" t="n">
        <f aca="false">Funding!B34</f>
        <v>0.4</v>
      </c>
      <c r="E56" s="70" t="n">
        <f aca="false">D56-C56</f>
        <v>0</v>
      </c>
      <c r="F56" s="71" t="str">
        <f aca="false">IF(ABS(E56)&lt;0.005,"reproduced",IF(ABS(E56)&lt;0.021,"rounding","CHECK"))</f>
        <v>reproduced</v>
      </c>
    </row>
    <row r="58" customFormat="false" ht="15" hidden="false" customHeight="false" outlineLevel="0" collapsed="false">
      <c r="A58" s="11" t="s">
        <v>280</v>
      </c>
      <c r="C58" s="74" t="n">
        <f aca="false">COUNTIF(F5:F56,"reproduced")</f>
        <v>47</v>
      </c>
    </row>
    <row r="59" customFormat="false" ht="15" hidden="false" customHeight="false" outlineLevel="0" collapsed="false">
      <c r="A59" s="11" t="s">
        <v>281</v>
      </c>
      <c r="C59" s="74" t="n">
        <f aca="false">COUNTIF(F5:F56,"rounding")</f>
        <v>5</v>
      </c>
    </row>
    <row r="60" customFormat="false" ht="15" hidden="false" customHeight="false" outlineLevel="0" collapsed="false">
      <c r="A60" s="11" t="s">
        <v>282</v>
      </c>
      <c r="C60" s="74" t="n">
        <f aca="false">COUNTIF(F5:F56,"revised")</f>
        <v>0</v>
      </c>
    </row>
    <row r="61" customFormat="false" ht="15" hidden="false" customHeight="false" outlineLevel="0" collapsed="false">
      <c r="A61" s="11" t="s">
        <v>283</v>
      </c>
      <c r="C61" s="74" t="n">
        <f aca="false">COUNTIF(F5:F56,"CHECK")</f>
        <v>0</v>
      </c>
    </row>
    <row r="63" customFormat="false" ht="15" hidden="false" customHeight="false" outlineLevel="0" collapsed="false">
      <c r="A63" s="75" t="s">
        <v>284</v>
      </c>
      <c r="C63" s="75" t="str">
        <f aca="false">IF(COUNTIF(F5:F56,"CHECK")=0,"ALL OK","SOME FAIL")</f>
        <v>ALL OK</v>
      </c>
    </row>
  </sheetData>
  <mergeCells count="1">
    <mergeCell ref="H5: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2026-08-20T03:06:52Z</dcterms:created>
  <dc:creator>openpyxl</dc:creator>
  <dc:description/>
  <dc:language>en-US</dc:language>
  <cp:lastModifiedBy/>
  <dcterms:modified xsi:type="dcterms:W3CDTF">2026-09-23T22:15:24Z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