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Deal terms" sheetId="2" state="visible" r:id="rId4"/>
    <sheet name="Sources and uses" sheetId="3" state="visible" r:id="rId5"/>
    <sheet name="Operations" sheetId="4" state="visible" r:id="rId6"/>
    <sheet name="Capital account" sheetId="5" state="visible" r:id="rId7"/>
    <sheet name="Exit waterfall" sheetId="6" state="visible" r:id="rId8"/>
    <sheet name="Returns" sheetId="7" state="visible" r:id="rId9"/>
    <sheet name="Downside" sheetId="8" state="visible" r:id="rId10"/>
    <sheet name="Checks" sheetId="9" state="visible" r:id="rId1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<sst xmlns="http://schemas.openxmlformats.org/spreadsheetml/2006/main" count="482" uniqueCount="352">
  <si>
    <t xml:space="preserve">Real Estate Joint Ventures — Workbook 2 of 4</t>
  </si>
  <si>
    <t xml:space="preserve">The complete venture of Chapter 23, rebuilt from the chapter alone</t>
  </si>
  <si>
    <t xml:space="preserve">Julian R. Sterling · julianrsterling.com/jv</t>
  </si>
  <si>
    <t xml:space="preserve">The invitation this workbook accepts</t>
  </si>
  <si>
    <t xml:space="preserve">Chapter 23 opens by saying that a reader with a spreadsheet should be able to rebuild the deal from the chapter alone. This is that spreadsheet. An eight-unit urban logistics estate at 100 of price and 105 of closing capitalisation, 50 of equity, five years, one tenant failure, one refinancing, one late capital call, and an exit at 160.</t>
  </si>
  <si>
    <t xml:space="preserve">What is derived rather than printed</t>
  </si>
  <si>
    <t xml:space="preserve">The chapter prints interest and the asset management fee as a single line each year. The workbook splits them — 5.0% on the senior loan and the drawn capex facility to year three, 5.5% on the new facility afterwards, and 0.50% of gross asset value a year — and the split reproduces all five combined figures the chapter prints and totals to the 3.60 of fees the chapter states. That derivation sits on the 'Operations' sheet in plain view, because it is an inference and should be visible as one.</t>
  </si>
  <si>
    <t xml:space="preserve">The tier that is not a percentage</t>
  </si>
  <si>
    <t xml:space="preserve">Tier 4 of the exit waterfall is sized by an IRR, not by a split. The partners' cash flows are irregular — a call in year one, distributions in years one to four — so the year-five receipt that produces 14% has to be solved for. The 'Exit waterfall' sheet solves it in the cell by discounting the earlier flows and grossing up. It arrives at 71.54, which is what the chapter prints.</t>
  </si>
  <si>
    <t xml:space="preserve">The line the chapter draws and does not cross</t>
  </si>
  <si>
    <t xml:space="preserve">'Downside' runs the same venture with the exit price as a variable. At 118 the capital comes back, the preferred return does not, the promote is nil, and the sponsor owes 2.33 in cash under its parent's guarantee. The chapter names that case in one sentence. The sheet also finds the exit price at which the promote first becomes payable — worth locating before signing a guarantee.</t>
  </si>
  <si>
    <t xml:space="preserve">Checks</t>
  </si>
  <si>
    <t xml:space="preserve">Every figure the chapter prints, beside what this workbook computes, with the variance. The lines that carry a note rather than a tick say why.</t>
  </si>
  <si>
    <t xml:space="preserve">Conventions</t>
  </si>
  <si>
    <t xml:space="preserve">Blue is an input. Black is a formula. Green is a link to another sheet. Yellow fill marks the assumptions that carry the answer. Figures are in the chapter's own round units.</t>
  </si>
  <si>
    <t xml:space="preserve">Provided for education. Not investment advice.</t>
  </si>
  <si>
    <t xml:space="preserve">Revised 23 September 2026</t>
  </si>
  <si>
    <t xml:space="preserve">Revised 23 September 2026. Two conclusions of Chapter 23 did not survive the arithmetic, and the workbook now shows both. First, the deemed liquidation at the refinancing was run with the partners' capital at 34.00, its level after 2.00 had already gone to the sponsor as an advance; those 2.00 were counted nowhere. Run first, as the order of events requires, the test finds 1.50 above capital and the preferred return and a promote entitlement of 0.75 (Capital account, rows 28 to 38): not nil, and still well short of the 2.00 advanced. Second, the sponsor's regret about the catch-up: at this exit a full catch-up would have added nothing, because the 50/50 catch-up completes too; the 70/30 tier it traded for paid 0.58 (Exit waterfall, rows 48 to 55). The checks sheet gains six lines marked "revised" and ends ALL OK.</t>
  </si>
  <si>
    <t xml:space="preserve">The term sheet as agreed</t>
  </si>
  <si>
    <t xml:space="preserve">Chapter 23. Every blue cell below drives the rest of the workbook.</t>
  </si>
  <si>
    <t xml:space="preserve">Three lines that were fought over</t>
  </si>
  <si>
    <t xml:space="preserve">THE ASSET AND THE CLOSING</t>
  </si>
  <si>
    <t xml:space="preserve">The sponsor wanted a full catch-up and conceded the 50/50 in exchange for the 70/30 tier above the 14% hurdle — a trade that costs it on a mediocre outcome and pays it on a good one. On this exit the 70/30 tier paid 1.74, while a full catch-up in place of the 50/50 would have been worth more than twice that. Set the catch-up split to 100% and read the promote again.
The investor wanted the preferred return to accrue on capital plus accrued and unpaid preferred return, and got it. On a venture with three thin years that is worth more than a point of rate: it is what takes the accrued balance to 20.79 by exit rather than to roughly 18.
The sponsor struck the disposition and financing fees entirely, which cost it real money and bought it a clean negotiation on the promote. An explicit trade, made deliberately.</t>
  </si>
  <si>
    <t xml:space="preserve">Purchase price</t>
  </si>
  <si>
    <t xml:space="preserve">Total closing capitalisation</t>
  </si>
  <si>
    <t xml:space="preserve">Going-in net operating income</t>
  </si>
  <si>
    <t xml:space="preserve">Senior loan at closing</t>
  </si>
  <si>
    <t xml:space="preserve">Committed capex facility</t>
  </si>
  <si>
    <t xml:space="preserve">Total equity at closing</t>
  </si>
  <si>
    <t xml:space="preserve">Investor share of equity</t>
  </si>
  <si>
    <t xml:space="preserve">Sponsor share of equity</t>
  </si>
  <si>
    <t xml:space="preserve">THE WATERFALL</t>
  </si>
  <si>
    <t xml:space="preserve">Preferred return, compounded, on capital plus accrued</t>
  </si>
  <si>
    <t xml:space="preserve">Catch-up split — share to the promote</t>
  </si>
  <si>
    <t xml:space="preserve">Catch-up target — promote as a share of profit</t>
  </si>
  <si>
    <t xml:space="preserve">Second hurdle — partner IRR</t>
  </si>
  <si>
    <t xml:space="preserve">Promote below the second hurdle</t>
  </si>
  <si>
    <t xml:space="preserve">Promote above the second hurdle</t>
  </si>
  <si>
    <t xml:space="preserve">FEES AND FINANCING</t>
  </si>
  <si>
    <t xml:space="preserve">Acquisition fee, % of purchase price</t>
  </si>
  <si>
    <t xml:space="preserve">Asset management fee, % of gross asset value a year</t>
  </si>
  <si>
    <t xml:space="preserve">All-in cost of the original facility</t>
  </si>
  <si>
    <t xml:space="preserve">All-in cost of the new facility</t>
  </si>
  <si>
    <t xml:space="preserve">The non-economic terms, for reference</t>
  </si>
  <si>
    <t xml:space="preserve">THE FIVE YEARS</t>
  </si>
  <si>
    <t xml:space="preserve">Governance: a board of four, two appointed by each partner; the sponsor chairs without a casting vote. Major decisions: a schedule of eighteen items requiring investor consent, deemed consent after ten business days. Business plan approved at closing, annual budget approved each year, a 5% or 0.25 variance threshold. Transfers: a two-year lock-up, then a right of first offer; tag for the investor; drag above a floor price. Removal: for cause at any time, key person event, no-cause removal after year four with promote crystallisation. Term: five-year target hold, outside date at year seven, after which either partner may initiate a sale.
Those lines cost nothing and decided everything. The deemed consent window is what allowed a three-consent leasing package to be approved in six days at the moment the venture needed speed most.</t>
  </si>
  <si>
    <t xml:space="preserve">Capex programme</t>
  </si>
  <si>
    <t xml:space="preserve">Equity capital call, start of year two</t>
  </si>
  <si>
    <t xml:space="preserve">Refinancing valuation, end of year three</t>
  </si>
  <si>
    <t xml:space="preserve">New senior facility</t>
  </si>
  <si>
    <t xml:space="preserve">Advance to the sponsor at the refinancing</t>
  </si>
  <si>
    <t xml:space="preserve">Interest rate on the advance</t>
  </si>
  <si>
    <t xml:space="preserve">Gross sale proceeds, end of year five</t>
  </si>
  <si>
    <t xml:space="preserve">Sale costs, % of gross proceeds</t>
  </si>
  <si>
    <t xml:space="preserve">Sources and uses, at closing and at the refinancing</t>
  </si>
  <si>
    <t xml:space="preserve">Chapter 23, 'Closing: Sources and Uses' and the year-three refinancing.</t>
  </si>
  <si>
    <t xml:space="preserve">AT CLOSING</t>
  </si>
  <si>
    <t xml:space="preserve">What the refinancing did and did not do</t>
  </si>
  <si>
    <t xml:space="preserve">Sources</t>
  </si>
  <si>
    <t xml:space="preserve">Amount</t>
  </si>
  <si>
    <t xml:space="preserve">Uses</t>
  </si>
  <si>
    <t xml:space="preserve">It is tempting to read this table as a success for the sponsor's economics. It was not. The 16.40 it released went almost entirely to returning the partners' capital, and the promote is computed on what is left after capital and the preferred return. A refinancing changes neither. What it did change was risk: the venture now carried 78 of debt against an asset the partners had originally leveraged at 55.
The sponsor asked to crystallise part of its promote, and the agreement tested that by a deemed liquidation — run the waterfall as if the asset were sold at the refinancing valuation. A deemed sale at 126, less 1.26 of notional costs and the 78.00 of new debt, leaves 46.74. Unreturned capital stood at 34.00 and accrued preferred return at 13.24. Return of capital takes 34.00, leaving 12.74 against a requirement of 13.24. The preferred return is not satisfied, so the promote is zero. That test is worked on the 'Capital account' sheet.
What the partners agreed instead was an advance of 2.00 at 8%, repayable out of the sponsor's first promote, guaranteed by its parent and set off in full at exit. Its price was explicit and both sides could see it: 2.00 of cash leaving the venture stayed out of the return-of-capital tier for two more years, so the preferred return compounded on it — 2.00 × (1.08² − 1) = 0.33 — taken directly out of the residual on which the sponsor's own promote would later be computed.</t>
  </si>
  <si>
    <t xml:space="preserve">Senior loan</t>
  </si>
  <si>
    <t xml:space="preserve">Investor equity</t>
  </si>
  <si>
    <t xml:space="preserve">Transfer taxes and registration</t>
  </si>
  <si>
    <t xml:space="preserve">Sponsor equity</t>
  </si>
  <si>
    <t xml:space="preserve">Agent, legal, technical, environmental and tax diligence</t>
  </si>
  <si>
    <t xml:space="preserve">Lender arrangement fee and financing costs</t>
  </si>
  <si>
    <t xml:space="preserve">Total sources</t>
  </si>
  <si>
    <t xml:space="preserve">Sponsor acquisition fee</t>
  </si>
  <si>
    <t xml:space="preserve">Working capital and interest reserve</t>
  </si>
  <si>
    <t xml:space="preserve">Sources less uses</t>
  </si>
  <si>
    <t xml:space="preserve">Total uses</t>
  </si>
  <si>
    <t xml:space="preserve">Loan to purchase price</t>
  </si>
  <si>
    <t xml:space="preserve">Loan to total cost</t>
  </si>
  <si>
    <t xml:space="preserve">Going-in yield on price</t>
  </si>
  <si>
    <t xml:space="preserve">AT THE REFINANCING, END OF YEAR THREE</t>
  </si>
  <si>
    <t xml:space="preserve">The estate was valued at 126 on the strength of the new lease; the new facility was sized at 62% of value.</t>
  </si>
  <si>
    <t xml:space="preserve">Repayment of the existing facility</t>
  </si>
  <si>
    <t xml:space="preserve">Release of trapped cash</t>
  </si>
  <si>
    <t xml:space="preserve">Arrangement fee</t>
  </si>
  <si>
    <t xml:space="preserve">Interest rate cap premium</t>
  </si>
  <si>
    <t xml:space="preserve">Legal, valuation and lender's counsel</t>
  </si>
  <si>
    <t xml:space="preserve">Retention for the tenant fit-out contribution</t>
  </si>
  <si>
    <t xml:space="preserve">New facility as a % of value</t>
  </si>
  <si>
    <t xml:space="preserve">Working capital top-up</t>
  </si>
  <si>
    <t xml:space="preserve">Of the refinancing distribution, to the partners</t>
  </si>
  <si>
    <t xml:space="preserve">Distribution</t>
  </si>
  <si>
    <t xml:space="preserve">and to the sponsor as an advance</t>
  </si>
  <si>
    <t xml:space="preserve">Operating cash flow, year by year</t>
  </si>
  <si>
    <t xml:space="preserve">Chapter 23. The chapter prints three lines; the rest of this sheet derives them.</t>
  </si>
  <si>
    <t xml:space="preserve">Why the split is shown at all</t>
  </si>
  <si>
    <t xml:space="preserve">Year 1</t>
  </si>
  <si>
    <t xml:space="preserve">Year 2</t>
  </si>
  <si>
    <t xml:space="preserve">Year 3</t>
  </si>
  <si>
    <t xml:space="preserve">Year 4</t>
  </si>
  <si>
    <t xml:space="preserve">Year 5</t>
  </si>
  <si>
    <t xml:space="preserve">Total</t>
  </si>
  <si>
    <t xml:space="preserve">The chapter prints interest and the asset management fee as one line. That is enough to follow the story and not enough to test it, so the workbook splits them and lets you see whether the split holds.
Interest is 5.0% on the senior loan, and from year two on the drawn capex facility as well — which is how we know the facility was fully drawn, since the refinancing repays 59.00 against an original 55.00. From year four it is 5.5% on the new facility of 78.00, or 4.29 a year, exactly as the chapter says.
The asset management fee is 0.50% of gross asset value. Working backwards from the printed combined figures gives a value of 105 in year one, 110 in years two and three, and 122 in years four and five — a sequence that tracks the estate's own history. The five fees sum to 2.85, and with the acquisition fee of 0.75 that is the 3.60 of total fees the chapter states.
Rows 14 and 23 are the test: they subtract the chapter's printed figure from the workbook's computed one. Both rows are zero across all five years. Had the split been wrong, they would not be.
The reconciling items in rows 17 to 20 are the chapter's own, named one by one in the paragraph that follows its table.</t>
  </si>
  <si>
    <t xml:space="preserve">Net operating income</t>
  </si>
  <si>
    <t xml:space="preserve">Gross asset value used for the fee</t>
  </si>
  <si>
    <t xml:space="preserve">Debt drawn during the year</t>
  </si>
  <si>
    <t xml:space="preserve">Interest</t>
  </si>
  <si>
    <t xml:space="preserve">Asset management fee</t>
  </si>
  <si>
    <t xml:space="preserve">Interest and asset management fee</t>
  </si>
  <si>
    <t xml:space="preserve">as the chapter prints it</t>
  </si>
  <si>
    <t xml:space="preserve">difference</t>
  </si>
  <si>
    <t xml:space="preserve">Net operating income less interest and fee</t>
  </si>
  <si>
    <t xml:space="preserve">Non-recoverable costs and minor leasing capital expenditure</t>
  </si>
  <si>
    <t xml:space="preserve">Letting costs on the vacant units and the re-letting</t>
  </si>
  <si>
    <t xml:space="preserve">Void costs following the tenant failure</t>
  </si>
  <si>
    <t xml:space="preserve">Reserve established, and released</t>
  </si>
  <si>
    <t xml:space="preserve">Cash distributed from operations</t>
  </si>
  <si>
    <t xml:space="preserve">Distributed from operations, as carried into the waterfall</t>
  </si>
  <si>
    <t xml:space="preserve">Total fees paid to the sponsor over the life of the venture</t>
  </si>
  <si>
    <t xml:space="preserve">the chapter states 3.60</t>
  </si>
  <si>
    <t xml:space="preserve">Year one differs from row 21 by 0.01: the chapter takes 6.50 less its own rounded 3.28 to 3.22, then deducts 0.22. The workbook's unrounded figure is 3.005. The chapter's number is used below.</t>
  </si>
  <si>
    <t xml:space="preserve">Of the refinancing distribution of 16.40, 14.40 reached the partners and 2.00 went to the sponsor as the advance; with the 1.60 from operations, the partners received 16.00 in year three.</t>
  </si>
  <si>
    <t xml:space="preserve">The partners' capital account, rolled forward</t>
  </si>
  <si>
    <t xml:space="preserve">Chapter 23, 'Distributions and the partners' capital account'. The preferred return accrues on capital plus the accrued balance.</t>
  </si>
  <si>
    <t xml:space="preserve">Following the roll-forward once</t>
  </si>
  <si>
    <t xml:space="preserve">It is mechanical and worth doing by hand once.
Year one: 8% of 50.00 is 4.00; the 3.00 distributed reduces capital to 47.00. Year two: the 6.00 call takes capital to 53.00, so the accrual is 8% of 57.00, or 4.56, and 3.00 reduces capital to 50.00. Year three: the accrual is 8% of 58.56, or 4.68, and 16.00 reduces capital to 34.00. Year four: 8% of 47.24, or 3.78, and 4.00 reduces capital to 30.00. Year five: 8% of 47.02, or 3.76, taking the accrued preferred return to 20.79 immediately before the exit distribution.
Two things are doing the work. Distributions are applied to capital first, so the accrued balance keeps growing through the thin years. And the accrual base includes that accrued balance, which is the single term the investor negotiated for and the sponsor conceded. Set the base to unreturned capital alone — delete row 8 from row 9 — and the accrued figure at exit falls by about three, every unit of which lands in the residual where the promote lives.</t>
  </si>
  <si>
    <t xml:space="preserve">Unreturned capital, opening</t>
  </si>
  <si>
    <t xml:space="preserve">Capital called during the year</t>
  </si>
  <si>
    <t xml:space="preserve">Accrued preferred return, opening</t>
  </si>
  <si>
    <t xml:space="preserve">Base for the accrual (capital plus accrued)</t>
  </si>
  <si>
    <t xml:space="preserve">Preferred return accrued in the year</t>
  </si>
  <si>
    <t xml:space="preserve">Distributed to the partners</t>
  </si>
  <si>
    <t xml:space="preserve">Unreturned capital, closing</t>
  </si>
  <si>
    <t xml:space="preserve">Accrued preferred return, closing</t>
  </si>
  <si>
    <t xml:space="preserve">THE DEEMED LIQUIDATION AT THE REFINANCING</t>
  </si>
  <si>
    <t xml:space="preserve">Crystallisation on a capital event is tested by running the waterfall as if the asset were sold at the refinancing valuation.</t>
  </si>
  <si>
    <t xml:space="preserve">Refinancing valuation</t>
  </si>
  <si>
    <t xml:space="preserve">Notional costs of sale at 1%</t>
  </si>
  <si>
    <t xml:space="preserve">New senior facility repaid</t>
  </si>
  <si>
    <t xml:space="preserve">Notional equity proceeds</t>
  </si>
  <si>
    <t xml:space="preserve">Unreturned capital at that date, as the chapter takes it (after the 2.00 advance)</t>
  </si>
  <si>
    <t xml:space="preserve">Accrued preferred return at that date</t>
  </si>
  <si>
    <t xml:space="preserve">Left after the return of capital</t>
  </si>
  <si>
    <t xml:space="preserve">Promote entitlement, as the chapter runs the test</t>
  </si>
  <si>
    <t xml:space="preserve">Shortfall against the preferred return</t>
  </si>
  <si>
    <t xml:space="preserve">THE SAME TEST, RUN BEFORE THE ADVANCE LEAVES THE VENTURE</t>
  </si>
  <si>
    <t xml:space="preserve">Revised. The chapter runs the test with the partners' capital at 34.00, which is its level after 2.00 of the refinancing cash has already gone to the sponsor as the advance: those 2.00 are then counted nowhere. The advance was agreed because of the test, so the test comes first, with all 18.00 of the year's cash reaching the partners.</t>
  </si>
  <si>
    <t xml:space="preserve">Unreturned capital if the year's 18.00 reaches the partners</t>
  </si>
  <si>
    <t xml:space="preserve">Notional equity proceeds at the refinancing valuation</t>
  </si>
  <si>
    <t xml:space="preserve">Left after the preferred return</t>
  </si>
  <si>
    <t xml:space="preserve">Catch-up amount that clears the target at that date</t>
  </si>
  <si>
    <t xml:space="preserve">Promote entitlement at the refinancing</t>
  </si>
  <si>
    <t xml:space="preserve">the chapter says nil; the preferred return is in fact cleared by 1.50</t>
  </si>
  <si>
    <t xml:space="preserve">The advance actually paid</t>
  </si>
  <si>
    <t xml:space="preserve">Advance in excess of the entitlement</t>
  </si>
  <si>
    <t xml:space="preserve">The exit waterfall at the end of year five</t>
  </si>
  <si>
    <t xml:space="preserve">Chapter 23, 'Year Five: The Decision to Sell, and the Exit'. Every line is reproducible.</t>
  </si>
  <si>
    <t xml:space="preserve">THE CASH AT COMPLETION</t>
  </si>
  <si>
    <t xml:space="preserve">Where tier 4 comes from</t>
  </si>
  <si>
    <t xml:space="preserve">Gross sale proceeds</t>
  </si>
  <si>
    <t xml:space="preserve">Tiers 1, 2, 3 and 5 are arithmetic. Tier 4 is the only one that needs a solve, and it is the tier most hand-built models get wrong.
The hurdle says the partners must have achieved a 14% internal rate of return. Their flows are −50.00 at closing, −3.00 net in year one after the capital call, +3.00 in year two, +16.00 in year three and +4.00 in year four. Discount those at 14%, negate, and compound forward five years: the year-five receipt that clears the hurdle is 71.54. Row 25 does exactly that in one formula.
Through tiers 1 to 3 the partners have received 57.72. So 13.82 more must reach them, and at an 80/20 split that consumes 17.28 of cash and generates 3.46 of promote. The remaining 5.80 runs 70/30.
Note what tier 4 is not: it is not 80% of what is left. Sizing it that way — a common shortcut — would have put the venture into the top tier far too early and overpaid the sponsor by several units.
The lookback found no clawback because the deal worked. The advance of 2.00 and its accrued interest of 0.33 were set off against the 12.13 of entitlement, leaving 9.80 paid in cash, and the partners' 75.60 plus that 9.80 reconciles exactly to the 85.40 of cash the venture actually had.</t>
  </si>
  <si>
    <t xml:space="preserve">Sale costs</t>
  </si>
  <si>
    <t xml:space="preserve">Repayment of the senior facility</t>
  </si>
  <si>
    <t xml:space="preserve">Net proceeds to the equity</t>
  </si>
  <si>
    <t xml:space="preserve">Cash from operations in year five</t>
  </si>
  <si>
    <t xml:space="preserve">Total cash distributed at completion</t>
  </si>
  <si>
    <t xml:space="preserve">The sponsor's advance and interest, set off</t>
  </si>
  <si>
    <t xml:space="preserve">Cash running through the waterfall</t>
  </si>
  <si>
    <t xml:space="preserve">BALANCES IMMEDIATELY BEFORE THE EXIT DISTRIBUTION</t>
  </si>
  <si>
    <t xml:space="preserve">Unreturned capital</t>
  </si>
  <si>
    <t xml:space="preserve">Accrued preferred return</t>
  </si>
  <si>
    <t xml:space="preserve">Catch-up amount that clears the target</t>
  </si>
  <si>
    <t xml:space="preserve">THE PARTNERS' 14% HURDLE</t>
  </si>
  <si>
    <t xml:space="preserve">The hurdle is a level of cumulative cash, not a share of it, and the partners' flows are irregular. The year-five receipt that produces 14% has to be solved for.</t>
  </si>
  <si>
    <t xml:space="preserve">Partners' cash flows</t>
  </si>
  <si>
    <t xml:space="preserve">t = 0</t>
  </si>
  <si>
    <t xml:space="preserve">t = 1</t>
  </si>
  <si>
    <t xml:space="preserve">t = 2</t>
  </si>
  <si>
    <t xml:space="preserve">t = 3</t>
  </si>
  <si>
    <t xml:space="preserve">t = 4</t>
  </si>
  <si>
    <t xml:space="preserve">Capital contributed</t>
  </si>
  <si>
    <t xml:space="preserve">Distributions received</t>
  </si>
  <si>
    <t xml:space="preserve">Net</t>
  </si>
  <si>
    <t xml:space="preserve">Year-five receipt that produces the hurdle IRR</t>
  </si>
  <si>
    <t xml:space="preserve">the chapter prints 71.54</t>
  </si>
  <si>
    <t xml:space="preserve">Tier</t>
  </si>
  <si>
    <t xml:space="preserve">Cash available</t>
  </si>
  <si>
    <t xml:space="preserve">Cash applied</t>
  </si>
  <si>
    <t xml:space="preserve">To the partners</t>
  </si>
  <si>
    <t xml:space="preserve">To the promote</t>
  </si>
  <si>
    <t xml:space="preserve">Cumulative to partners</t>
  </si>
  <si>
    <t xml:space="preserve">1. Return of the remaining capital</t>
  </si>
  <si>
    <t xml:space="preserve">2. Accrued preferred return</t>
  </si>
  <si>
    <t xml:space="preserve">3. Catch-up, 50/50</t>
  </si>
  <si>
    <t xml:space="preserve">4. Residual to the 14% hurdle</t>
  </si>
  <si>
    <t xml:space="preserve">5. Residual above the hurdle</t>
  </si>
  <si>
    <t xml:space="preserve">Cash applied must equal the cash running through</t>
  </si>
  <si>
    <t xml:space="preserve">THE LOOKBACK TRUE-UP</t>
  </si>
  <si>
    <t xml:space="preserve">Promote entitlement under the final waterfall</t>
  </si>
  <si>
    <t xml:space="preserve">Less the advance made at the year-three refinancing</t>
  </si>
  <si>
    <t xml:space="preserve">Less interest accrued on the advance</t>
  </si>
  <si>
    <t xml:space="preserve">Promote paid in cash at completion</t>
  </si>
  <si>
    <t xml:space="preserve">Reconciliation to actual cash</t>
  </si>
  <si>
    <t xml:space="preserve">To the sponsor in cash</t>
  </si>
  <si>
    <t xml:space="preserve">Total, which must equal the cash distributed at completion</t>
  </si>
  <si>
    <t xml:space="preserve">THE CATCH-UP TRADE, AT THIS EXIT</t>
  </si>
  <si>
    <t xml:space="preserve">Revised. The sponsor conceded a full catch-up for the 70/30 tier. At 87.73 the catch-up completes under either rate, so the full catch-up would have added nothing here; the tier it bought paid 0.58 more than an 80/20 split on the same 5.81.</t>
  </si>
  <si>
    <t xml:space="preserve">Promote as agreed: 50/50 catch-up, 70/30 above the hurdle</t>
  </si>
  <si>
    <t xml:space="preserve">With a full catch-up and the 70/30 tier</t>
  </si>
  <si>
    <t xml:space="preserve">With the 50/50 catch-up and 80/20 all the way up</t>
  </si>
  <si>
    <t xml:space="preserve">With a full catch-up and 80/20 all the way up</t>
  </si>
  <si>
    <t xml:space="preserve">What the full catch-up would have added</t>
  </si>
  <si>
    <t xml:space="preserve">the chapter says a full catch-up would have been worth more than twice 1.74</t>
  </si>
  <si>
    <t xml:space="preserve">What the 70/30 tier added over 80/20</t>
  </si>
  <si>
    <t xml:space="preserve">What each partner made</t>
  </si>
  <si>
    <t xml:space="preserve">Chapter 23, 'Returns by partner'. Read the last three rows together or not at all.</t>
  </si>
  <si>
    <t xml:space="preserve">Two conventions, and why the multiples differ</t>
  </si>
  <si>
    <t xml:space="preserve">Cash flows</t>
  </si>
  <si>
    <t xml:space="preserve">t = 5</t>
  </si>
  <si>
    <t xml:space="preserve">The returns table at rows 12 to 15 counts every contribution and every distribution gross: 50.40 in and 91.44 out for the investor, 1.81x. The gross-up at rows 20 to 24 nets the year-one call against the year-one distribution, exactly as the chapter's own IRR series does, so its multiples are computed on net flows: 2.18x rather than 2.12x.
Both conventions are defensible and the chapter uses each once. Neither changes an IRR — an internal rate of return is indifferent to whether two flows in the same period are shown separately or netted. It changes a multiple, because a multiple divides one sum by another. Rows 24 to 26 are on the net convention throughout so that the three of them can be read as a bridge.
The bridge is the point of the sheet. 19.3% gross; 1.3 points of it is the sponsor's fees, taking the venture's equity to 18.0%; a further 3.0 points is the promote, leaving the investor 15.0%. Quoting only the first of those three, the chapter says, is the most common piece of dishonesty in the business — and the sponsor's 37.3% against the investor's 15.0% is not a better deal, it is the same deal seen from the end that holds the promote.</t>
  </si>
  <si>
    <t xml:space="preserve">Investor</t>
  </si>
  <si>
    <t xml:space="preserve">Sponsor</t>
  </si>
  <si>
    <t xml:space="preserve">Venture equity</t>
  </si>
  <si>
    <t xml:space="preserve">RETURNS</t>
  </si>
  <si>
    <t xml:space="preserve">Measure</t>
  </si>
  <si>
    <t xml:space="preserve">Cash distributed</t>
  </si>
  <si>
    <t xml:space="preserve">Equity multiple</t>
  </si>
  <si>
    <t xml:space="preserve">Internal rate of return</t>
  </si>
  <si>
    <t xml:space="preserve">THE THREE NUMBERS AN INVESTMENT COMMITTEE SHOULD BE QUOTED</t>
  </si>
  <si>
    <t xml:space="preserve">Fees paid to the sponsor, added back in the year they were paid, on the venture's own equity flows.</t>
  </si>
  <si>
    <t xml:space="preserve">Venture equity, as it happened</t>
  </si>
  <si>
    <t xml:space="preserve">Fees paid to the sponsor in the year</t>
  </si>
  <si>
    <t xml:space="preserve">Venture equity before fees</t>
  </si>
  <si>
    <t xml:space="preserve">Gross return, before fees and before promote</t>
  </si>
  <si>
    <t xml:space="preserve">the chapter prints 19.3% and 2.18x</t>
  </si>
  <si>
    <t xml:space="preserve">After fees, before promote — the venture's equity</t>
  </si>
  <si>
    <t xml:space="preserve">the chapter prints 18.0%</t>
  </si>
  <si>
    <t xml:space="preserve">After fees and after promote — the investor</t>
  </si>
  <si>
    <t xml:space="preserve">the chapter prints 15.0%</t>
  </si>
  <si>
    <t xml:space="preserve">Cost of the fees, in points of return</t>
  </si>
  <si>
    <t xml:space="preserve">Cost of the promote, in points of return</t>
  </si>
  <si>
    <t xml:space="preserve">Promote as a share of the venture's total equity profit</t>
  </si>
  <si>
    <t xml:space="preserve">the chapter prints 21.1% of 57.40 of profit</t>
  </si>
  <si>
    <t xml:space="preserve">The same venture at a lower exit</t>
  </si>
  <si>
    <t xml:space="preserve">Chapter 23 draws this line in a single sentence. The sheet lets you find where it falls.</t>
  </si>
  <si>
    <t xml:space="preserve">Why this sheet exists</t>
  </si>
  <si>
    <t xml:space="preserve">Had the estate sold for 118 rather than 160, net proceeds to the equity would have been 38.82. With 5.00 of operating cash and the 2.33 receivable, 46.15 runs the waterfall. The return of capital takes 30.00, leaving 16.15 against an accrued preferred return of 20.79. The preferred return is not satisfied, the promote entitlement is nil, and the sponsor has to fund 2.33 in cash under its parent's guarantee.
That is what a lookback is for. It is also why an investor should never accept a clawback obligation sitting in an entity with no balance sheet behind it: on this deal the obligation is small, but it is owed by a vehicle whose only asset is the interest that just failed to perform.
Row 23 finds the crossing point — the gross sale price at which the promote first becomes payable at all. It is worth knowing before signing a guarantee, and it is not a number the term sheet contains anywhere.
The ladder below runs the full waterfall at seven exit prices. Notice how flat the promote stays until the preferred return is cleared, and how quickly it moves afterwards.</t>
  </si>
  <si>
    <t xml:space="preserve">Promote entitlement</t>
  </si>
  <si>
    <t xml:space="preserve">Cash the sponsor must fund under its parent's guarantee</t>
  </si>
  <si>
    <t xml:space="preserve">THE EXIT PRICE AT WHICH THE PROMOTE FIRST BECOMES PAYABLE</t>
  </si>
  <si>
    <t xml:space="preserve">Cash required to clear capital and the preferred return</t>
  </si>
  <si>
    <t xml:space="preserve">less operating cash and the set-off</t>
  </si>
  <si>
    <t xml:space="preserve">Net proceeds to the equity required</t>
  </si>
  <si>
    <t xml:space="preserve">Gross sale price required</t>
  </si>
  <si>
    <t xml:space="preserve">A LADDER OF EXITS</t>
  </si>
  <si>
    <t xml:space="preserve">Gross sale price</t>
  </si>
  <si>
    <t xml:space="preserve">Cash to the waterfall</t>
  </si>
  <si>
    <t xml:space="preserve">Promote</t>
  </si>
  <si>
    <t xml:space="preserve">Investor multiple</t>
  </si>
  <si>
    <t xml:space="preserve">Every figure Chapter 23 prints, against what this workbook computes</t>
  </si>
  <si>
    <t xml:space="preserve">Column D is a live link into the model, not a re-typed number. Change a term and this sheet moves with it.</t>
  </si>
  <si>
    <t xml:space="preserve">Source</t>
  </si>
  <si>
    <t xml:space="preserve">Figure as the chapter prints it</t>
  </si>
  <si>
    <t xml:space="preserve">Printed</t>
  </si>
  <si>
    <t xml:space="preserve">Computed</t>
  </si>
  <si>
    <t xml:space="preserve">Variance</t>
  </si>
  <si>
    <t xml:space="preserve">Status</t>
  </si>
  <si>
    <t xml:space="preserve">How to read a variance here</t>
  </si>
  <si>
    <t xml:space="preserve">Closing</t>
  </si>
  <si>
    <t xml:space="preserve">Total sources and uses at closing</t>
  </si>
  <si>
    <t xml:space="preserve">Column D is not a number typed in beside the chapter's. It is a link into the model — change the preferred return on the 'Deal terms' sheet and every line on this page moves. That is the difference between a check and a transcript.
One line differs by a hundredth, and it is the year-one operating distribution. The chapter computes it as 6.50 less its own rounded 3.28, then deducts 0.22, reaching 3.00. Unrounded, the interest and fee are 3.275 and the answer is 3.005. The chapter's figure is the one carried into the waterfall, so nothing downstream inherits the difference.
If a line ever reads CHECK, the model and the chapter have parted company and the model is the thing to distrust first.</t>
  </si>
  <si>
    <t xml:space="preserve">Senior loan as a % of purchase price</t>
  </si>
  <si>
    <t xml:space="preserve">Senior loan as a % of total cost</t>
  </si>
  <si>
    <t xml:space="preserve">Going-in yield on the price</t>
  </si>
  <si>
    <t xml:space="preserve">Operations</t>
  </si>
  <si>
    <t xml:space="preserve">Interest and asset management fee, year 1</t>
  </si>
  <si>
    <t xml:space="preserve">Interest and asset management fee, year 2</t>
  </si>
  <si>
    <t xml:space="preserve">Interest and asset management fee, year 3</t>
  </si>
  <si>
    <t xml:space="preserve">Interest and asset management fee, year 4</t>
  </si>
  <si>
    <t xml:space="preserve">Interest and asset management fee, year 5</t>
  </si>
  <si>
    <t xml:space="preserve">Total fees paid to the sponsor over the venture</t>
  </si>
  <si>
    <t xml:space="preserve">Cash distributed from operations, year 1</t>
  </si>
  <si>
    <t xml:space="preserve">Cash distributed from operations, year 2</t>
  </si>
  <si>
    <t xml:space="preserve">Cash distributed from operations, year 3</t>
  </si>
  <si>
    <t xml:space="preserve">Cash distributed from operations, year 4</t>
  </si>
  <si>
    <t xml:space="preserve">Cash distributed from operations, year 5</t>
  </si>
  <si>
    <t xml:space="preserve">Capital acct</t>
  </si>
  <si>
    <t xml:space="preserve">Preferred return accrued in year 1</t>
  </si>
  <si>
    <t xml:space="preserve">Preferred return accrued in year 2</t>
  </si>
  <si>
    <t xml:space="preserve">Preferred return accrued in year 3</t>
  </si>
  <si>
    <t xml:space="preserve">Preferred return accrued in year 4</t>
  </si>
  <si>
    <t xml:space="preserve">Preferred return accrued in year 5</t>
  </si>
  <si>
    <t xml:space="preserve">Unreturned capital at the end of year 1</t>
  </si>
  <si>
    <t xml:space="preserve">Unreturned capital at the end of year 2</t>
  </si>
  <si>
    <t xml:space="preserve">Unreturned capital at the end of year 3</t>
  </si>
  <si>
    <t xml:space="preserve">Unreturned capital at the end of year 4</t>
  </si>
  <si>
    <t xml:space="preserve">Accrued preferred return at the end of year 1</t>
  </si>
  <si>
    <t xml:space="preserve">Accrued preferred return at the end of year 2</t>
  </si>
  <si>
    <t xml:space="preserve">Accrued preferred return at the end of year 3</t>
  </si>
  <si>
    <t xml:space="preserve">Accrued preferred return at the end of year 4</t>
  </si>
  <si>
    <t xml:space="preserve">Exit</t>
  </si>
  <si>
    <t xml:space="preserve">Accrued preferred return immediately before the exit</t>
  </si>
  <si>
    <t xml:space="preserve">Refinancing</t>
  </si>
  <si>
    <t xml:space="preserve">Total sources at the refinancing</t>
  </si>
  <si>
    <t xml:space="preserve">Distribution out of the refinancing</t>
  </si>
  <si>
    <t xml:space="preserve">New facility as a % of the 126 valuation</t>
  </si>
  <si>
    <t xml:space="preserve">Deemed-liquidation equity proceeds at 126</t>
  </si>
  <si>
    <t xml:space="preserve">Left after the return of capital in the deemed test</t>
  </si>
  <si>
    <t xml:space="preserve">Accrued preferred return it had to cover</t>
  </si>
  <si>
    <t xml:space="preserve">The advance and its interest, set off at exit</t>
  </si>
  <si>
    <t xml:space="preserve">Year-five receipt that produces the 14% hurdle</t>
  </si>
  <si>
    <t xml:space="preserve">Tier 1 — return of the remaining capital</t>
  </si>
  <si>
    <t xml:space="preserve">Tier 2 — accrued preferred return</t>
  </si>
  <si>
    <t xml:space="preserve">Tier 3 — catch-up, cash applied</t>
  </si>
  <si>
    <t xml:space="preserve">Tier 3 — to the promote</t>
  </si>
  <si>
    <t xml:space="preserve">Tier 4 — cash applied</t>
  </si>
  <si>
    <t xml:space="preserve">Tier 4 — to the partners</t>
  </si>
  <si>
    <t xml:space="preserve">Tier 4 — to the promote</t>
  </si>
  <si>
    <t xml:space="preserve">Tier 5 — cash applied</t>
  </si>
  <si>
    <t xml:space="preserve">Tier 5 — to the promote</t>
  </si>
  <si>
    <t xml:space="preserve">Total to the partners</t>
  </si>
  <si>
    <t xml:space="preserve">Total promote entitlement</t>
  </si>
  <si>
    <t xml:space="preserve">Promote paid in cash after the set-off</t>
  </si>
  <si>
    <t xml:space="preserve">Returns</t>
  </si>
  <si>
    <t xml:space="preserve">Investor capital contributed</t>
  </si>
  <si>
    <t xml:space="preserve">Sponsor capital contributed</t>
  </si>
  <si>
    <t xml:space="preserve">Investor cash distributed</t>
  </si>
  <si>
    <t xml:space="preserve">Sponsor cash distributed</t>
  </si>
  <si>
    <t xml:space="preserve">Venture equity cash distributed</t>
  </si>
  <si>
    <t xml:space="preserve">Investor equity multiple</t>
  </si>
  <si>
    <t xml:space="preserve">Sponsor equity multiple</t>
  </si>
  <si>
    <t xml:space="preserve">Venture equity multiple</t>
  </si>
  <si>
    <t xml:space="preserve">Investor internal rate of return</t>
  </si>
  <si>
    <t xml:space="preserve">Sponsor internal rate of return</t>
  </si>
  <si>
    <t xml:space="preserve">Venture equity internal rate of return</t>
  </si>
  <si>
    <t xml:space="preserve">Gross return before fees and promote</t>
  </si>
  <si>
    <t xml:space="preserve">Gross multiple before fees and promote</t>
  </si>
  <si>
    <t xml:space="preserve">Promote as a share of total equity profit</t>
  </si>
  <si>
    <t xml:space="preserve">Downside</t>
  </si>
  <si>
    <t xml:space="preserve">Net proceeds to the equity at a sale of 118</t>
  </si>
  <si>
    <t xml:space="preserve">Cash the sponsor must fund under the guarantee</t>
  </si>
  <si>
    <t xml:space="preserve">Excess over capital and preferred return at 126, test run before the advance</t>
  </si>
  <si>
    <t xml:space="preserve">revised: the chapter shows a shortfall of 0.50, having run the test after the advance had left</t>
  </si>
  <si>
    <t xml:space="preserve">Promote entitlement on the deemed liquidation</t>
  </si>
  <si>
    <t xml:space="preserve">revised: the chapter says nil</t>
  </si>
  <si>
    <t xml:space="preserve">Advance paid in excess of that entitlement</t>
  </si>
  <si>
    <t xml:space="preserve">What a full catch-up would have added at this exit</t>
  </si>
  <si>
    <t xml:space="preserve">revised: the chapter says more than twice 1.74</t>
  </si>
  <si>
    <t xml:space="preserve">What the 70/30 tier added over an 80/20 split</t>
  </si>
  <si>
    <t xml:space="preserve">Promote with 50/50 and 80/20 throughout, equal to full catch-up and 80/20</t>
  </si>
  <si>
    <t xml:space="preserve">the two catch-up rates give the same promote once the band is passed</t>
  </si>
  <si>
    <t xml:space="preserve">Lines reproduced exactly</t>
  </si>
  <si>
    <t xml:space="preserve">Lines differing only by the book's rounding of an intermediate figure</t>
  </si>
  <si>
    <t xml:space="preserve">Lines revised since the first edition (the corrected figure is in column C)</t>
  </si>
  <si>
    <t xml:space="preserve">Lines to check</t>
  </si>
  <si>
    <t xml:space="preserve">All checks</t>
  </si>
</sst>
</file>

<file path=xl/styles.xml><?xml version="1.0" encoding="utf-8"?>
<styleSheet xmlns="http://schemas.openxmlformats.org/spreadsheetml/2006/main">
  <numFmts count="6">
    <numFmt numFmtId="164" formatCode="General"/>
    <numFmt numFmtId="165" formatCode="#,##0.00;\(#,##0.00\);\-"/>
    <numFmt numFmtId="166" formatCode="0.0%"/>
    <numFmt numFmtId="167" formatCode="0.00%"/>
    <numFmt numFmtId="168" formatCode="0.00\x"/>
    <numFmt numFmtId="169" formatCode="0"/>
  </numFmts>
  <fonts count="21">
    <font>
      <sz val="11"/>
      <color theme="1"/>
      <name val="Calibri"/>
      <family val="2"/>
      <charset val="1"/>
    </font>
    <font>
      <sz val="10"/>
      <name val="Arial"/>
      <family val="0"/>
    </font>
    <font>
      <sz val="10"/>
      <name val="Arial"/>
      <family val="0"/>
    </font>
    <font>
      <sz val="10"/>
      <name val="Arial"/>
      <family val="0"/>
    </font>
    <font>
      <b val="true"/>
      <sz val="15"/>
      <name val="Arial"/>
      <family val="0"/>
      <charset val="1"/>
    </font>
    <font>
      <i val="true"/>
      <sz val="11"/>
      <color rgb="FF595959"/>
      <name val="Arial"/>
      <family val="0"/>
      <charset val="1"/>
    </font>
    <font>
      <i val="true"/>
      <sz val="10"/>
      <color rgb="FF595959"/>
      <name val="Arial"/>
      <family val="0"/>
      <charset val="1"/>
    </font>
    <font>
      <b val="true"/>
      <sz val="11"/>
      <color rgb="FF8C5A00"/>
      <name val="Arial"/>
      <family val="0"/>
      <charset val="1"/>
    </font>
    <font>
      <sz val="10"/>
      <name val="Arial"/>
      <family val="0"/>
      <charset val="1"/>
    </font>
    <font>
      <b val="true"/>
      <sz val="14"/>
      <color rgb="FF14171D"/>
      <name val="Arial"/>
      <family val="0"/>
      <charset val="1"/>
    </font>
    <font>
      <sz val="10"/>
      <color rgb="FF0000FF"/>
      <name val="Arial"/>
      <family val="0"/>
      <charset val="1"/>
    </font>
    <font>
      <b val="true"/>
      <sz val="10"/>
      <color rgb="FFFFFFFF"/>
      <name val="Arial"/>
      <family val="0"/>
      <charset val="1"/>
    </font>
    <font>
      <sz val="10"/>
      <color rgb="FF008000"/>
      <name val="Arial"/>
      <family val="0"/>
      <charset val="1"/>
    </font>
    <font>
      <b val="true"/>
      <sz val="10"/>
      <name val="Arial"/>
      <family val="0"/>
      <charset val="1"/>
    </font>
    <font>
      <sz val="9"/>
      <color rgb="FF0000FF"/>
      <name val="Arial"/>
      <family val="0"/>
      <charset val="1"/>
    </font>
    <font>
      <sz val="9"/>
      <name val="Arial"/>
      <family val="0"/>
      <charset val="1"/>
    </font>
    <font>
      <sz val="10"/>
      <color rgb="FF595959"/>
      <name val="Arial"/>
      <family val="0"/>
      <charset val="1"/>
    </font>
    <font>
      <sz val="9"/>
      <color rgb="FF8C5A00"/>
      <name val="Arial"/>
      <family val="0"/>
      <charset val="1"/>
    </font>
    <font>
      <sz val="9"/>
      <color rgb="FF008000"/>
      <name val="Arial"/>
      <family val="0"/>
      <charset val="1"/>
    </font>
    <font>
      <b val="true"/>
      <sz val="9"/>
      <name val="Arial"/>
      <family val="0"/>
      <charset val="1"/>
    </font>
    <font>
      <sz val="9"/>
      <color rgb="FF595959"/>
      <name val="Arial"/>
      <family val="0"/>
      <charset val="1"/>
    </font>
  </fonts>
  <fills count="5">
    <fill>
      <patternFill patternType="none"/>
    </fill>
    <fill>
      <patternFill patternType="gray125"/>
    </fill>
    <fill>
      <patternFill patternType="solid">
        <fgColor rgb="FFFFFF00"/>
        <bgColor rgb="FFFFFF00"/>
      </patternFill>
    </fill>
    <fill>
      <patternFill patternType="solid">
        <fgColor rgb="FF14171D"/>
        <bgColor rgb="FF000000"/>
      </patternFill>
    </fill>
    <fill>
      <patternFill patternType="solid">
        <fgColor rgb="FFF2F2F2"/>
        <bgColor rgb="FFFFFFFF"/>
      </patternFill>
    </fill>
  </fills>
  <borders count="2">
    <border diagonalUp="false" diagonalDown="false">
      <left/>
      <right/>
      <top/>
      <bottom/>
      <diagonal/>
    </border>
    <border diagonalUp="false" diagonalDown="false">
      <left/>
      <right/>
      <top style="medium">
        <color rgb="FF808080"/>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5" fontId="10" fillId="2" borderId="0" xfId="0" applyFont="true" applyBorder="false" applyAlignment="true" applyProtection="false">
      <alignment horizontal="general" vertical="bottom" textRotation="0" wrapText="false" indent="0" shrinkToFit="false"/>
      <protection locked="true" hidden="false"/>
    </xf>
    <xf numFmtId="166" fontId="10" fillId="2" borderId="0" xfId="0" applyFont="true" applyBorder="false" applyAlignment="true" applyProtection="false">
      <alignment horizontal="general" vertical="bottom" textRotation="0" wrapText="false" indent="0" shrinkToFit="false"/>
      <protection locked="true" hidden="false"/>
    </xf>
    <xf numFmtId="166" fontId="8" fillId="0" borderId="0" xfId="0" applyFont="true" applyBorder="false" applyAlignment="true" applyProtection="false">
      <alignment horizontal="general" vertical="bottom" textRotation="0" wrapText="false" indent="0" shrinkToFit="false"/>
      <protection locked="true" hidden="false"/>
    </xf>
    <xf numFmtId="167" fontId="10" fillId="2" borderId="0" xfId="0" applyFont="true" applyBorder="false" applyAlignment="true" applyProtection="false">
      <alignment horizontal="general" vertical="bottom" textRotation="0" wrapText="false" indent="0" shrinkToFit="false"/>
      <protection locked="true" hidden="false"/>
    </xf>
    <xf numFmtId="164" fontId="11" fillId="3" borderId="0" xfId="0" applyFont="true" applyBorder="false" applyAlignment="true" applyProtection="false">
      <alignment horizontal="left" vertical="center" textRotation="0" wrapText="true" indent="0" shrinkToFit="false"/>
      <protection locked="true" hidden="false"/>
    </xf>
    <xf numFmtId="164" fontId="11" fillId="3" borderId="0" xfId="0" applyFont="true" applyBorder="false" applyAlignment="true" applyProtection="false">
      <alignment horizontal="center" vertical="center" textRotation="0" wrapText="true" indent="0" shrinkToFit="false"/>
      <protection locked="true" hidden="false"/>
    </xf>
    <xf numFmtId="165" fontId="12" fillId="0"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64" fontId="13" fillId="0" borderId="1" xfId="0" applyFont="true" applyBorder="true" applyAlignment="true" applyProtection="false">
      <alignment horizontal="general" vertical="bottom" textRotation="0" wrapText="false" indent="0" shrinkToFit="false"/>
      <protection locked="true" hidden="false"/>
    </xf>
    <xf numFmtId="165" fontId="13" fillId="0" borderId="1" xfId="0" applyFont="true" applyBorder="tru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xf numFmtId="165" fontId="10" fillId="0"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5" fontId="13" fillId="0" borderId="0" xfId="0" applyFont="true" applyBorder="false" applyAlignment="true" applyProtection="false">
      <alignment horizontal="general" vertical="bottom" textRotation="0" wrapText="false" indent="0" shrinkToFit="false"/>
      <protection locked="true" hidden="false"/>
    </xf>
    <xf numFmtId="165" fontId="14" fillId="0" borderId="0" xfId="0" applyFont="true" applyBorder="false" applyAlignment="true" applyProtection="false">
      <alignment horizontal="general" vertical="bottom" textRotation="0" wrapText="false" indent="0" shrinkToFit="false"/>
      <protection locked="true" hidden="false"/>
    </xf>
    <xf numFmtId="165" fontId="1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5" fontId="13"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8" fontId="13" fillId="0" borderId="0" xfId="0" applyFont="true" applyBorder="false" applyAlignment="true" applyProtection="false">
      <alignment horizontal="general" vertical="bottom" textRotation="0" wrapText="false" indent="0" shrinkToFit="false"/>
      <protection locked="true" hidden="false"/>
    </xf>
    <xf numFmtId="166" fontId="13" fillId="0" borderId="0" xfId="0" applyFont="true" applyBorder="false" applyAlignment="true" applyProtection="false">
      <alignment horizontal="general" vertical="bottom" textRotation="0" wrapText="false" indent="0" shrinkToFit="false"/>
      <protection locked="true" hidden="false"/>
    </xf>
    <xf numFmtId="168" fontId="8" fillId="0" borderId="0" xfId="0" applyFont="true" applyBorder="false" applyAlignment="true" applyProtection="false">
      <alignment horizontal="general" vertical="bottom" textRotation="0" wrapText="false" indent="0" shrinkToFit="false"/>
      <protection locked="true" hidden="false"/>
    </xf>
    <xf numFmtId="167" fontId="8"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5" fontId="18" fillId="0" borderId="0" xfId="0" applyFont="true" applyBorder="false" applyAlignment="tru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xf numFmtId="164" fontId="17" fillId="4" borderId="0" xfId="0" applyFont="true" applyBorder="false" applyAlignment="true" applyProtection="false">
      <alignment horizontal="general" vertical="bottom" textRotation="0" wrapText="false" indent="0" shrinkToFit="false"/>
      <protection locked="true" hidden="false"/>
    </xf>
    <xf numFmtId="164" fontId="15" fillId="4" borderId="0" xfId="0" applyFont="true" applyBorder="false" applyAlignment="true" applyProtection="false">
      <alignment horizontal="general" vertical="bottom" textRotation="0" wrapText="false" indent="0" shrinkToFit="false"/>
      <protection locked="true" hidden="false"/>
    </xf>
    <xf numFmtId="167" fontId="14" fillId="4" borderId="0" xfId="0" applyFont="true" applyBorder="false" applyAlignment="true" applyProtection="false">
      <alignment horizontal="general" vertical="bottom" textRotation="0" wrapText="false" indent="0" shrinkToFit="false"/>
      <protection locked="true" hidden="false"/>
    </xf>
    <xf numFmtId="167" fontId="18" fillId="4" borderId="0" xfId="0" applyFont="true" applyBorder="false" applyAlignment="true" applyProtection="false">
      <alignment horizontal="general" vertical="bottom" textRotation="0" wrapText="false" indent="0" shrinkToFit="false"/>
      <protection locked="true" hidden="false"/>
    </xf>
    <xf numFmtId="167" fontId="15" fillId="4" borderId="0" xfId="0" applyFont="true" applyBorder="false" applyAlignment="true" applyProtection="false">
      <alignment horizontal="general" vertical="bottom" textRotation="0" wrapText="false" indent="0" shrinkToFit="false"/>
      <protection locked="true" hidden="false"/>
    </xf>
    <xf numFmtId="164" fontId="19" fillId="4" borderId="0" xfId="0" applyFont="true" applyBorder="false" applyAlignment="true" applyProtection="false">
      <alignment horizontal="general" vertical="bottom" textRotation="0" wrapText="false" indent="0" shrinkToFit="false"/>
      <protection locked="true" hidden="false"/>
    </xf>
    <xf numFmtId="167" fontId="14" fillId="0" borderId="0" xfId="0" applyFont="true" applyBorder="false" applyAlignment="true" applyProtection="false">
      <alignment horizontal="general" vertical="bottom" textRotation="0" wrapText="false" indent="0" shrinkToFit="false"/>
      <protection locked="true" hidden="false"/>
    </xf>
    <xf numFmtId="167" fontId="18" fillId="0" borderId="0" xfId="0" applyFont="true" applyBorder="false" applyAlignment="true" applyProtection="false">
      <alignment horizontal="general" vertical="bottom" textRotation="0" wrapText="false" indent="0" shrinkToFit="false"/>
      <protection locked="true" hidden="false"/>
    </xf>
    <xf numFmtId="167" fontId="15" fillId="0" borderId="0" xfId="0" applyFont="true" applyBorder="false" applyAlignment="true" applyProtection="false">
      <alignment horizontal="general" vertical="bottom" textRotation="0" wrapText="false" indent="0" shrinkToFit="false"/>
      <protection locked="true" hidden="false"/>
    </xf>
    <xf numFmtId="165" fontId="14" fillId="4" borderId="0" xfId="0" applyFont="true" applyBorder="false" applyAlignment="true" applyProtection="false">
      <alignment horizontal="general" vertical="bottom" textRotation="0" wrapText="false" indent="0" shrinkToFit="false"/>
      <protection locked="true" hidden="false"/>
    </xf>
    <xf numFmtId="165" fontId="18" fillId="4" borderId="0" xfId="0" applyFont="true" applyBorder="false" applyAlignment="true" applyProtection="false">
      <alignment horizontal="general" vertical="bottom" textRotation="0" wrapText="false" indent="0" shrinkToFit="false"/>
      <protection locked="true" hidden="false"/>
    </xf>
    <xf numFmtId="165" fontId="15" fillId="4" borderId="0" xfId="0" applyFont="true" applyBorder="false" applyAlignment="true" applyProtection="false">
      <alignment horizontal="general" vertical="bottom" textRotation="0" wrapText="false" indent="0" shrinkToFit="false"/>
      <protection locked="true" hidden="false"/>
    </xf>
    <xf numFmtId="168" fontId="14" fillId="0" borderId="0" xfId="0" applyFont="true" applyBorder="false" applyAlignment="true" applyProtection="false">
      <alignment horizontal="general" vertical="bottom" textRotation="0" wrapText="false" indent="0" shrinkToFit="false"/>
      <protection locked="true" hidden="false"/>
    </xf>
    <xf numFmtId="168" fontId="18" fillId="0" borderId="0" xfId="0" applyFont="true" applyBorder="false" applyAlignment="true" applyProtection="false">
      <alignment horizontal="general" vertical="bottom" textRotation="0" wrapText="false" indent="0" shrinkToFit="false"/>
      <protection locked="true" hidden="false"/>
    </xf>
    <xf numFmtId="168" fontId="15" fillId="0" borderId="0" xfId="0" applyFont="true" applyBorder="false" applyAlignment="true" applyProtection="false">
      <alignment horizontal="general" vertical="bottom" textRotation="0" wrapText="false" indent="0" shrinkToFit="false"/>
      <protection locked="true" hidden="false"/>
    </xf>
    <xf numFmtId="168" fontId="14" fillId="4" borderId="0" xfId="0" applyFont="true" applyBorder="false" applyAlignment="true" applyProtection="false">
      <alignment horizontal="general" vertical="bottom" textRotation="0" wrapText="false" indent="0" shrinkToFit="false"/>
      <protection locked="true" hidden="false"/>
    </xf>
    <xf numFmtId="168" fontId="18" fillId="4" borderId="0" xfId="0" applyFont="true" applyBorder="false" applyAlignment="true" applyProtection="false">
      <alignment horizontal="general" vertical="bottom" textRotation="0" wrapText="false" indent="0" shrinkToFit="false"/>
      <protection locked="true" hidden="false"/>
    </xf>
    <xf numFmtId="168" fontId="15" fillId="4"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5" fontId="14" fillId="0" borderId="0" xfId="0" applyFont="true" applyBorder="false" applyAlignment="false" applyProtection="false">
      <alignment horizontal="general" vertical="bottom" textRotation="0" wrapText="false" indent="0" shrinkToFit="false"/>
      <protection locked="true" hidden="false"/>
    </xf>
    <xf numFmtId="165" fontId="15"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15" fillId="4" borderId="0" xfId="0" applyFont="true" applyBorder="false" applyAlignment="false" applyProtection="false">
      <alignment horizontal="general" vertical="bottom" textRotation="0" wrapText="false" indent="0" shrinkToFit="false"/>
      <protection locked="true" hidden="false"/>
    </xf>
    <xf numFmtId="165" fontId="15" fillId="4" borderId="0" xfId="0" applyFont="true" applyBorder="false" applyAlignment="false" applyProtection="false">
      <alignment horizontal="general" vertical="bottom" textRotation="0" wrapText="false" indent="0" shrinkToFit="false"/>
      <protection locked="true" hidden="false"/>
    </xf>
    <xf numFmtId="164" fontId="19" fillId="4" borderId="0" xfId="0" applyFont="true" applyBorder="false" applyAlignment="false" applyProtection="false">
      <alignment horizontal="general" vertical="bottom" textRotation="0" wrapText="false" indent="0" shrinkToFit="false"/>
      <protection locked="true" hidden="false"/>
    </xf>
    <xf numFmtId="164" fontId="17" fillId="4" borderId="0" xfId="0" applyFont="true" applyBorder="false" applyAlignment="false" applyProtection="false">
      <alignment horizontal="general" vertical="bottom" textRotation="0" wrapText="false" indent="0" shrinkToFit="false"/>
      <protection locked="true" hidden="false"/>
    </xf>
    <xf numFmtId="165" fontId="14" fillId="4" borderId="0" xfId="0" applyFont="true" applyBorder="false" applyAlignment="false" applyProtection="false">
      <alignment horizontal="general" vertical="bottom" textRotation="0" wrapText="false" indent="0" shrinkToFit="false"/>
      <protection locked="true" hidden="false"/>
    </xf>
    <xf numFmtId="169" fontId="13"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104"/>
  </cols>
  <sheetData>
    <row r="2" customFormat="false" ht="18"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row>
    <row r="6" customFormat="false" ht="15" hidden="false" customHeight="true" outlineLevel="0" collapsed="false">
      <c r="B6" s="5" t="s">
        <v>3</v>
      </c>
    </row>
    <row r="7" customFormat="false" ht="73.5" hidden="false" customHeight="true" outlineLevel="0" collapsed="false">
      <c r="B7" s="6" t="s">
        <v>4</v>
      </c>
    </row>
    <row r="9" customFormat="false" ht="15" hidden="false" customHeight="true" outlineLevel="0" collapsed="false">
      <c r="B9" s="5" t="s">
        <v>5</v>
      </c>
    </row>
    <row r="10" customFormat="false" ht="88.5" hidden="false" customHeight="true" outlineLevel="0" collapsed="false">
      <c r="B10" s="6" t="s">
        <v>6</v>
      </c>
    </row>
    <row r="12" customFormat="false" ht="15" hidden="false" customHeight="true" outlineLevel="0" collapsed="false">
      <c r="B12" s="5" t="s">
        <v>7</v>
      </c>
    </row>
    <row r="13" customFormat="false" ht="73.5" hidden="false" customHeight="true" outlineLevel="0" collapsed="false">
      <c r="B13" s="6" t="s">
        <v>8</v>
      </c>
    </row>
    <row r="15" customFormat="false" ht="15" hidden="false" customHeight="true" outlineLevel="0" collapsed="false">
      <c r="B15" s="5" t="s">
        <v>9</v>
      </c>
    </row>
    <row r="16" customFormat="false" ht="73.5" hidden="false" customHeight="true" outlineLevel="0" collapsed="false">
      <c r="B16" s="6" t="s">
        <v>10</v>
      </c>
    </row>
    <row r="18" customFormat="false" ht="15" hidden="false" customHeight="true" outlineLevel="0" collapsed="false">
      <c r="B18" s="5" t="s">
        <v>11</v>
      </c>
    </row>
    <row r="19" customFormat="false" ht="43.5" hidden="false" customHeight="true" outlineLevel="0" collapsed="false">
      <c r="B19" s="6" t="s">
        <v>12</v>
      </c>
    </row>
    <row r="21" customFormat="false" ht="15" hidden="false" customHeight="true" outlineLevel="0" collapsed="false">
      <c r="B21" s="5" t="s">
        <v>13</v>
      </c>
    </row>
    <row r="22" customFormat="false" ht="43.5" hidden="false" customHeight="true" outlineLevel="0" collapsed="false">
      <c r="B22" s="6" t="s">
        <v>14</v>
      </c>
    </row>
    <row r="25" customFormat="false" ht="15" hidden="false" customHeight="true" outlineLevel="0" collapsed="false">
      <c r="B25" s="4" t="s">
        <v>15</v>
      </c>
    </row>
    <row r="27" customFormat="false" ht="15" hidden="false" customHeight="false" outlineLevel="0" collapsed="false">
      <c r="B27" s="7" t="s">
        <v>16</v>
      </c>
    </row>
    <row r="28" customFormat="false" ht="129.75" hidden="false" customHeight="true" outlineLevel="0" collapsed="false">
      <c r="B28" s="6" t="s">
        <v>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0"/>
    <col collapsed="false" customWidth="true" hidden="false" outlineLevel="0" max="2" min="2" style="1" width="14"/>
    <col collapsed="false" customWidth="true" hidden="false" outlineLevel="0" max="3" min="3" style="1" width="3"/>
    <col collapsed="false" customWidth="true" hidden="false" outlineLevel="0" max="4" min="4" style="1" width="62"/>
  </cols>
  <sheetData>
    <row r="1" customFormat="false" ht="17.25" hidden="false" customHeight="true" outlineLevel="0" collapsed="false">
      <c r="A1" s="8" t="s">
        <v>18</v>
      </c>
    </row>
    <row r="2" customFormat="false" ht="15" hidden="false" customHeight="true" outlineLevel="0" collapsed="false">
      <c r="A2" s="4" t="s">
        <v>19</v>
      </c>
    </row>
    <row r="4" customFormat="false" ht="15" hidden="false" customHeight="true" outlineLevel="0" collapsed="false">
      <c r="D4" s="5" t="s">
        <v>20</v>
      </c>
    </row>
    <row r="5" customFormat="false" ht="15" hidden="false" customHeight="true" outlineLevel="0" collapsed="false">
      <c r="A5" s="5" t="s">
        <v>21</v>
      </c>
      <c r="D5" s="9" t="s">
        <v>22</v>
      </c>
    </row>
    <row r="6" customFormat="false" ht="15" hidden="false" customHeight="true" outlineLevel="0" collapsed="false">
      <c r="A6" s="10" t="s">
        <v>23</v>
      </c>
      <c r="B6" s="11" t="n">
        <v>100</v>
      </c>
      <c r="D6" s="9"/>
    </row>
    <row r="7" customFormat="false" ht="15" hidden="false" customHeight="true" outlineLevel="0" collapsed="false">
      <c r="A7" s="10" t="s">
        <v>24</v>
      </c>
      <c r="B7" s="11" t="n">
        <v>105</v>
      </c>
      <c r="D7" s="9"/>
    </row>
    <row r="8" customFormat="false" ht="15" hidden="false" customHeight="true" outlineLevel="0" collapsed="false">
      <c r="A8" s="10" t="s">
        <v>25</v>
      </c>
      <c r="B8" s="11" t="n">
        <v>6.5</v>
      </c>
      <c r="D8" s="9"/>
    </row>
    <row r="9" customFormat="false" ht="15" hidden="false" customHeight="true" outlineLevel="0" collapsed="false">
      <c r="A9" s="10" t="s">
        <v>26</v>
      </c>
      <c r="B9" s="11" t="n">
        <v>55</v>
      </c>
      <c r="D9" s="9"/>
    </row>
    <row r="10" customFormat="false" ht="15" hidden="false" customHeight="true" outlineLevel="0" collapsed="false">
      <c r="A10" s="10" t="s">
        <v>27</v>
      </c>
      <c r="B10" s="11" t="n">
        <v>4</v>
      </c>
      <c r="D10" s="9"/>
    </row>
    <row r="11" customFormat="false" ht="15" hidden="false" customHeight="true" outlineLevel="0" collapsed="false">
      <c r="A11" s="10" t="s">
        <v>28</v>
      </c>
      <c r="B11" s="11" t="n">
        <v>50</v>
      </c>
      <c r="D11" s="9"/>
    </row>
    <row r="12" customFormat="false" ht="15" hidden="false" customHeight="true" outlineLevel="0" collapsed="false">
      <c r="A12" s="10" t="s">
        <v>29</v>
      </c>
      <c r="B12" s="12" t="n">
        <v>0.9</v>
      </c>
      <c r="D12" s="9"/>
    </row>
    <row r="13" customFormat="false" ht="15" hidden="false" customHeight="true" outlineLevel="0" collapsed="false">
      <c r="A13" s="10" t="s">
        <v>30</v>
      </c>
      <c r="B13" s="13" t="n">
        <f aca="false">1-B$12</f>
        <v>0.1</v>
      </c>
      <c r="D13" s="9"/>
    </row>
    <row r="14" customFormat="false" ht="15" hidden="false" customHeight="true" outlineLevel="0" collapsed="false">
      <c r="D14" s="9"/>
    </row>
    <row r="15" customFormat="false" ht="15" hidden="false" customHeight="true" outlineLevel="0" collapsed="false">
      <c r="A15" s="5" t="s">
        <v>31</v>
      </c>
      <c r="D15" s="9"/>
    </row>
    <row r="16" customFormat="false" ht="15" hidden="false" customHeight="true" outlineLevel="0" collapsed="false">
      <c r="A16" s="10" t="s">
        <v>32</v>
      </c>
      <c r="B16" s="12" t="n">
        <v>0.08</v>
      </c>
      <c r="D16" s="9"/>
    </row>
    <row r="17" customFormat="false" ht="15" hidden="false" customHeight="true" outlineLevel="0" collapsed="false">
      <c r="A17" s="10" t="s">
        <v>33</v>
      </c>
      <c r="B17" s="12" t="n">
        <v>0.5</v>
      </c>
      <c r="D17" s="9"/>
    </row>
    <row r="18" customFormat="false" ht="15" hidden="false" customHeight="true" outlineLevel="0" collapsed="false">
      <c r="A18" s="10" t="s">
        <v>34</v>
      </c>
      <c r="B18" s="12" t="n">
        <v>0.2</v>
      </c>
      <c r="D18" s="9"/>
    </row>
    <row r="19" customFormat="false" ht="15" hidden="false" customHeight="true" outlineLevel="0" collapsed="false">
      <c r="A19" s="10" t="s">
        <v>35</v>
      </c>
      <c r="B19" s="12" t="n">
        <v>0.14</v>
      </c>
      <c r="D19" s="9"/>
    </row>
    <row r="20" customFormat="false" ht="15" hidden="false" customHeight="true" outlineLevel="0" collapsed="false">
      <c r="A20" s="10" t="s">
        <v>36</v>
      </c>
      <c r="B20" s="12" t="n">
        <v>0.2</v>
      </c>
      <c r="D20" s="9"/>
    </row>
    <row r="21" customFormat="false" ht="15" hidden="false" customHeight="true" outlineLevel="0" collapsed="false">
      <c r="A21" s="10" t="s">
        <v>37</v>
      </c>
      <c r="B21" s="12" t="n">
        <v>0.3</v>
      </c>
      <c r="D21" s="9"/>
    </row>
    <row r="22" customFormat="false" ht="15" hidden="false" customHeight="true" outlineLevel="0" collapsed="false">
      <c r="D22" s="9"/>
    </row>
    <row r="23" customFormat="false" ht="15" hidden="false" customHeight="true" outlineLevel="0" collapsed="false">
      <c r="A23" s="5" t="s">
        <v>38</v>
      </c>
      <c r="D23" s="9"/>
    </row>
    <row r="24" customFormat="false" ht="15" hidden="false" customHeight="true" outlineLevel="0" collapsed="false">
      <c r="A24" s="10" t="s">
        <v>39</v>
      </c>
      <c r="B24" s="14" t="n">
        <v>0.0075</v>
      </c>
      <c r="D24" s="9"/>
    </row>
    <row r="25" customFormat="false" ht="15" hidden="false" customHeight="true" outlineLevel="0" collapsed="false">
      <c r="A25" s="10" t="s">
        <v>40</v>
      </c>
      <c r="B25" s="14" t="n">
        <v>0.005</v>
      </c>
      <c r="D25" s="9"/>
    </row>
    <row r="26" customFormat="false" ht="15" hidden="false" customHeight="true" outlineLevel="0" collapsed="false">
      <c r="A26" s="10" t="s">
        <v>41</v>
      </c>
      <c r="B26" s="12" t="n">
        <v>0.05</v>
      </c>
      <c r="D26" s="9"/>
    </row>
    <row r="27" customFormat="false" ht="15" hidden="false" customHeight="true" outlineLevel="0" collapsed="false">
      <c r="A27" s="10" t="s">
        <v>42</v>
      </c>
      <c r="B27" s="12" t="n">
        <v>0.055</v>
      </c>
    </row>
    <row r="28" customFormat="false" ht="15" hidden="false" customHeight="true" outlineLevel="0" collapsed="false">
      <c r="D28" s="5" t="s">
        <v>43</v>
      </c>
    </row>
    <row r="29" customFormat="false" ht="15" hidden="false" customHeight="true" outlineLevel="0" collapsed="false">
      <c r="A29" s="5" t="s">
        <v>44</v>
      </c>
      <c r="D29" s="9" t="s">
        <v>45</v>
      </c>
    </row>
    <row r="30" customFormat="false" ht="15" hidden="false" customHeight="true" outlineLevel="0" collapsed="false">
      <c r="A30" s="10" t="s">
        <v>46</v>
      </c>
      <c r="B30" s="11" t="n">
        <v>10</v>
      </c>
      <c r="D30" s="9"/>
    </row>
    <row r="31" customFormat="false" ht="15" hidden="false" customHeight="true" outlineLevel="0" collapsed="false">
      <c r="A31" s="10" t="s">
        <v>47</v>
      </c>
      <c r="B31" s="11" t="n">
        <v>6</v>
      </c>
      <c r="D31" s="9"/>
    </row>
    <row r="32" customFormat="false" ht="15" hidden="false" customHeight="true" outlineLevel="0" collapsed="false">
      <c r="A32" s="10" t="s">
        <v>48</v>
      </c>
      <c r="B32" s="11" t="n">
        <v>126</v>
      </c>
      <c r="D32" s="9"/>
    </row>
    <row r="33" customFormat="false" ht="15" hidden="false" customHeight="true" outlineLevel="0" collapsed="false">
      <c r="A33" s="10" t="s">
        <v>49</v>
      </c>
      <c r="B33" s="11" t="n">
        <v>78</v>
      </c>
      <c r="D33" s="9"/>
    </row>
    <row r="34" customFormat="false" ht="15" hidden="false" customHeight="true" outlineLevel="0" collapsed="false">
      <c r="A34" s="10" t="s">
        <v>50</v>
      </c>
      <c r="B34" s="11" t="n">
        <v>2</v>
      </c>
      <c r="D34" s="9"/>
    </row>
    <row r="35" customFormat="false" ht="15" hidden="false" customHeight="true" outlineLevel="0" collapsed="false">
      <c r="A35" s="10" t="s">
        <v>51</v>
      </c>
      <c r="B35" s="12" t="n">
        <v>0.08</v>
      </c>
      <c r="D35" s="9"/>
    </row>
    <row r="36" customFormat="false" ht="15" hidden="false" customHeight="true" outlineLevel="0" collapsed="false">
      <c r="A36" s="10" t="s">
        <v>52</v>
      </c>
      <c r="B36" s="11" t="n">
        <v>160</v>
      </c>
      <c r="D36" s="9"/>
    </row>
    <row r="37" customFormat="false" ht="15" hidden="false" customHeight="true" outlineLevel="0" collapsed="false">
      <c r="A37" s="10" t="s">
        <v>53</v>
      </c>
      <c r="B37" s="12" t="n">
        <v>0.01</v>
      </c>
      <c r="D37" s="9"/>
    </row>
    <row r="38" customFormat="false" ht="15" hidden="false" customHeight="true" outlineLevel="0" collapsed="false">
      <c r="D38" s="9"/>
    </row>
    <row r="39" customFormat="false" ht="15" hidden="false" customHeight="true" outlineLevel="0" collapsed="false">
      <c r="D39" s="9"/>
    </row>
    <row r="40" customFormat="false" ht="15" hidden="false" customHeight="true" outlineLevel="0" collapsed="false">
      <c r="D40" s="9"/>
    </row>
    <row r="41" customFormat="false" ht="15" hidden="false" customHeight="true" outlineLevel="0" collapsed="false">
      <c r="D41" s="9"/>
    </row>
    <row r="42" customFormat="false" ht="15" hidden="false" customHeight="true" outlineLevel="0" collapsed="false">
      <c r="D42" s="9"/>
    </row>
  </sheetData>
  <mergeCells count="2">
    <mergeCell ref="D5:D26"/>
    <mergeCell ref="D29:D4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14"/>
    <col collapsed="false" customWidth="true" hidden="false" outlineLevel="0" max="3" min="3" style="1" width="3"/>
    <col collapsed="false" customWidth="true" hidden="false" outlineLevel="0" max="4" min="4" style="1" width="46"/>
    <col collapsed="false" customWidth="true" hidden="false" outlineLevel="0" max="5" min="5" style="1" width="14"/>
    <col collapsed="false" customWidth="true" hidden="false" outlineLevel="0" max="6" min="6" style="1" width="3"/>
    <col collapsed="false" customWidth="true" hidden="false" outlineLevel="0" max="7" min="7" style="1" width="50"/>
  </cols>
  <sheetData>
    <row r="1" customFormat="false" ht="17.25" hidden="false" customHeight="true" outlineLevel="0" collapsed="false">
      <c r="A1" s="8" t="s">
        <v>54</v>
      </c>
    </row>
    <row r="2" customFormat="false" ht="15" hidden="false" customHeight="true" outlineLevel="0" collapsed="false">
      <c r="A2" s="4" t="s">
        <v>55</v>
      </c>
    </row>
    <row r="4" customFormat="false" ht="15" hidden="false" customHeight="true" outlineLevel="0" collapsed="false">
      <c r="A4" s="5" t="s">
        <v>56</v>
      </c>
      <c r="G4" s="5" t="s">
        <v>57</v>
      </c>
    </row>
    <row r="5" customFormat="false" ht="27.75" hidden="false" customHeight="true" outlineLevel="0" collapsed="false">
      <c r="A5" s="15" t="s">
        <v>58</v>
      </c>
      <c r="B5" s="16" t="s">
        <v>59</v>
      </c>
      <c r="D5" s="15" t="s">
        <v>60</v>
      </c>
      <c r="E5" s="16" t="s">
        <v>59</v>
      </c>
      <c r="G5" s="9" t="s">
        <v>61</v>
      </c>
    </row>
    <row r="6" customFormat="false" ht="15" hidden="false" customHeight="true" outlineLevel="0" collapsed="false">
      <c r="A6" s="10" t="s">
        <v>62</v>
      </c>
      <c r="B6" s="17" t="n">
        <f aca="false">'Deal terms'!$B$9</f>
        <v>55</v>
      </c>
      <c r="D6" s="10" t="s">
        <v>23</v>
      </c>
      <c r="E6" s="17" t="n">
        <f aca="false">'Deal terms'!$B$6</f>
        <v>100</v>
      </c>
      <c r="G6" s="9"/>
    </row>
    <row r="7" customFormat="false" ht="15" hidden="false" customHeight="true" outlineLevel="0" collapsed="false">
      <c r="A7" s="10" t="s">
        <v>63</v>
      </c>
      <c r="B7" s="17" t="n">
        <f aca="false">'Deal terms'!$B$11*'Deal terms'!$B$12</f>
        <v>45</v>
      </c>
      <c r="D7" s="10" t="s">
        <v>64</v>
      </c>
      <c r="E7" s="18" t="n">
        <f aca="false">2</f>
        <v>2</v>
      </c>
      <c r="G7" s="9"/>
    </row>
    <row r="8" customFormat="false" ht="15" hidden="false" customHeight="true" outlineLevel="0" collapsed="false">
      <c r="A8" s="10" t="s">
        <v>65</v>
      </c>
      <c r="B8" s="17" t="n">
        <f aca="false">'Deal terms'!$B$11*'Deal terms'!$B$13</f>
        <v>5</v>
      </c>
      <c r="D8" s="10" t="s">
        <v>66</v>
      </c>
      <c r="E8" s="18" t="n">
        <f aca="false">1.2</f>
        <v>1.2</v>
      </c>
      <c r="G8" s="9"/>
    </row>
    <row r="9" customFormat="false" ht="15" hidden="false" customHeight="true" outlineLevel="0" collapsed="false">
      <c r="D9" s="10" t="s">
        <v>67</v>
      </c>
      <c r="E9" s="18" t="n">
        <f aca="false">0.55</f>
        <v>0.55</v>
      </c>
      <c r="G9" s="9"/>
    </row>
    <row r="10" customFormat="false" ht="15" hidden="false" customHeight="true" outlineLevel="0" collapsed="false">
      <c r="A10" s="19" t="s">
        <v>68</v>
      </c>
      <c r="B10" s="20" t="n">
        <f aca="false">SUM(B6:B8)</f>
        <v>105</v>
      </c>
      <c r="D10" s="10" t="s">
        <v>69</v>
      </c>
      <c r="E10" s="17" t="n">
        <f aca="false">'Deal terms'!$B$24*'Deal terms'!$B$6</f>
        <v>0.75</v>
      </c>
      <c r="G10" s="9"/>
    </row>
    <row r="11" customFormat="false" ht="15" hidden="false" customHeight="true" outlineLevel="0" collapsed="false">
      <c r="D11" s="10" t="s">
        <v>70</v>
      </c>
      <c r="E11" s="18" t="n">
        <f aca="false">0.5</f>
        <v>0.5</v>
      </c>
      <c r="G11" s="9"/>
    </row>
    <row r="12" customFormat="false" ht="15" hidden="false" customHeight="true" outlineLevel="0" collapsed="false">
      <c r="A12" s="10" t="s">
        <v>71</v>
      </c>
      <c r="B12" s="10" t="str">
        <f aca="false">IF(ABS(B10-E12)&lt;0.005,"balances at "&amp;TEXT(B10,"0.00"),"OUT BY "&amp;TEXT(B10-E12,"0.00"))</f>
        <v>balances at 105.00</v>
      </c>
      <c r="D12" s="19" t="s">
        <v>72</v>
      </c>
      <c r="E12" s="20" t="n">
        <f aca="false">SUM(E6:E11)</f>
        <v>105</v>
      </c>
      <c r="G12" s="9"/>
    </row>
    <row r="13" customFormat="false" ht="15" hidden="false" customHeight="true" outlineLevel="0" collapsed="false">
      <c r="G13" s="9"/>
    </row>
    <row r="14" customFormat="false" ht="15" hidden="false" customHeight="true" outlineLevel="0" collapsed="false">
      <c r="A14" s="10" t="s">
        <v>73</v>
      </c>
      <c r="B14" s="13" t="n">
        <f aca="false">B6/'Deal terms'!$B$6</f>
        <v>0.55</v>
      </c>
      <c r="G14" s="9"/>
    </row>
    <row r="15" customFormat="false" ht="15" hidden="false" customHeight="true" outlineLevel="0" collapsed="false">
      <c r="A15" s="10" t="s">
        <v>74</v>
      </c>
      <c r="B15" s="13" t="n">
        <f aca="false">B6/E12</f>
        <v>0.523809523809524</v>
      </c>
      <c r="G15" s="9"/>
    </row>
    <row r="16" customFormat="false" ht="15" hidden="false" customHeight="true" outlineLevel="0" collapsed="false">
      <c r="A16" s="10" t="s">
        <v>75</v>
      </c>
      <c r="B16" s="13" t="n">
        <f aca="false">'Deal terms'!$B$8/'Deal terms'!$B$6</f>
        <v>0.065</v>
      </c>
      <c r="G16" s="9"/>
    </row>
    <row r="17" customFormat="false" ht="15" hidden="false" customHeight="true" outlineLevel="0" collapsed="false">
      <c r="G17" s="9"/>
    </row>
    <row r="18" customFormat="false" ht="15" hidden="false" customHeight="true" outlineLevel="0" collapsed="false">
      <c r="G18" s="9"/>
    </row>
    <row r="19" customFormat="false" ht="15" hidden="false" customHeight="true" outlineLevel="0" collapsed="false">
      <c r="A19" s="5" t="s">
        <v>76</v>
      </c>
      <c r="G19" s="9"/>
    </row>
    <row r="20" customFormat="false" ht="15" hidden="false" customHeight="true" outlineLevel="0" collapsed="false">
      <c r="A20" s="21" t="s">
        <v>77</v>
      </c>
      <c r="B20" s="21"/>
      <c r="C20" s="21"/>
      <c r="D20" s="21"/>
      <c r="E20" s="21"/>
      <c r="G20" s="9"/>
    </row>
    <row r="21" customFormat="false" ht="27.75" hidden="false" customHeight="true" outlineLevel="0" collapsed="false">
      <c r="A21" s="15" t="s">
        <v>58</v>
      </c>
      <c r="B21" s="16" t="s">
        <v>59</v>
      </c>
      <c r="D21" s="15" t="s">
        <v>60</v>
      </c>
      <c r="E21" s="16" t="s">
        <v>59</v>
      </c>
      <c r="G21" s="9"/>
    </row>
    <row r="22" customFormat="false" ht="15" hidden="false" customHeight="true" outlineLevel="0" collapsed="false">
      <c r="A22" s="10" t="s">
        <v>49</v>
      </c>
      <c r="B22" s="17" t="n">
        <f aca="false">'Deal terms'!$B$33</f>
        <v>78</v>
      </c>
      <c r="D22" s="10" t="s">
        <v>78</v>
      </c>
      <c r="E22" s="17" t="n">
        <f aca="false">'Deal terms'!$B$9+'Deal terms'!$B$10</f>
        <v>59</v>
      </c>
      <c r="G22" s="9"/>
    </row>
    <row r="23" customFormat="false" ht="15" hidden="false" customHeight="true" outlineLevel="0" collapsed="false">
      <c r="A23" s="10" t="s">
        <v>79</v>
      </c>
      <c r="B23" s="18" t="n">
        <f aca="false">0.4</f>
        <v>0.4</v>
      </c>
      <c r="D23" s="10" t="s">
        <v>80</v>
      </c>
      <c r="E23" s="18" t="n">
        <f aca="false">0.78</f>
        <v>0.78</v>
      </c>
      <c r="G23" s="9"/>
    </row>
    <row r="24" customFormat="false" ht="15" hidden="false" customHeight="true" outlineLevel="0" collapsed="false">
      <c r="D24" s="10" t="s">
        <v>81</v>
      </c>
      <c r="E24" s="18" t="n">
        <f aca="false">0.3</f>
        <v>0.3</v>
      </c>
      <c r="G24" s="9"/>
    </row>
    <row r="25" customFormat="false" ht="15" hidden="false" customHeight="true" outlineLevel="0" collapsed="false">
      <c r="A25" s="19" t="s">
        <v>68</v>
      </c>
      <c r="B25" s="20" t="n">
        <f aca="false">SUM(B22:B23)</f>
        <v>78.4</v>
      </c>
      <c r="D25" s="10" t="s">
        <v>82</v>
      </c>
      <c r="E25" s="18" t="n">
        <f aca="false">0.32</f>
        <v>0.32</v>
      </c>
      <c r="G25" s="9"/>
    </row>
    <row r="26" customFormat="false" ht="15" hidden="false" customHeight="true" outlineLevel="0" collapsed="false">
      <c r="D26" s="10" t="s">
        <v>83</v>
      </c>
      <c r="E26" s="18" t="n">
        <f aca="false">1.2</f>
        <v>1.2</v>
      </c>
      <c r="G26" s="9"/>
    </row>
    <row r="27" customFormat="false" ht="15" hidden="false" customHeight="true" outlineLevel="0" collapsed="false">
      <c r="A27" s="10" t="s">
        <v>84</v>
      </c>
      <c r="B27" s="13" t="n">
        <f aca="false">B22/'Deal terms'!$B$32</f>
        <v>0.619047619047619</v>
      </c>
      <c r="D27" s="10" t="s">
        <v>85</v>
      </c>
      <c r="E27" s="18" t="n">
        <f aca="false">0.4</f>
        <v>0.4</v>
      </c>
      <c r="G27" s="9"/>
    </row>
    <row r="28" customFormat="false" ht="15" hidden="false" customHeight="true" outlineLevel="0" collapsed="false">
      <c r="A28" s="10" t="s">
        <v>86</v>
      </c>
      <c r="B28" s="18" t="n">
        <f aca="false">E28-'Deal terms'!$B$34</f>
        <v>14.4</v>
      </c>
      <c r="D28" s="10" t="s">
        <v>87</v>
      </c>
      <c r="E28" s="18" t="n">
        <f aca="false">B25-SUM(E22:E27)</f>
        <v>16.4</v>
      </c>
      <c r="G28" s="9"/>
    </row>
    <row r="29" customFormat="false" ht="15" hidden="false" customHeight="true" outlineLevel="0" collapsed="false">
      <c r="A29" s="10" t="s">
        <v>88</v>
      </c>
      <c r="B29" s="17" t="n">
        <f aca="false">'Deal terms'!$B$34</f>
        <v>2</v>
      </c>
      <c r="D29" s="19" t="s">
        <v>72</v>
      </c>
      <c r="E29" s="20" t="n">
        <f aca="false">SUM(E22:E28)</f>
        <v>78.4</v>
      </c>
      <c r="G29" s="9"/>
    </row>
    <row r="30" customFormat="false" ht="15" hidden="false" customHeight="true" outlineLevel="0" collapsed="false">
      <c r="G30" s="9"/>
    </row>
    <row r="31" customFormat="false" ht="15" hidden="false" customHeight="true" outlineLevel="0" collapsed="false">
      <c r="G31" s="9"/>
    </row>
    <row r="32" customFormat="false" ht="15" hidden="false" customHeight="true" outlineLevel="0" collapsed="false">
      <c r="G32" s="9"/>
    </row>
    <row r="33" customFormat="false" ht="15" hidden="false" customHeight="true" outlineLevel="0" collapsed="false">
      <c r="G33" s="9"/>
    </row>
    <row r="34" customFormat="false" ht="15" hidden="false" customHeight="true" outlineLevel="0" collapsed="false">
      <c r="G34" s="9"/>
    </row>
    <row r="35" customFormat="false" ht="15" hidden="false" customHeight="true" outlineLevel="0" collapsed="false">
      <c r="G35" s="9"/>
    </row>
    <row r="36" customFormat="false" ht="15" hidden="false" customHeight="true" outlineLevel="0" collapsed="false">
      <c r="G36" s="9"/>
    </row>
  </sheetData>
  <mergeCells count="2">
    <mergeCell ref="G5:G36"/>
    <mergeCell ref="A20:E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0"/>
    <col collapsed="false" customWidth="true" hidden="false" outlineLevel="0" max="7" min="2" style="1" width="12"/>
    <col collapsed="false" customWidth="true" hidden="false" outlineLevel="0" max="8" min="8" style="1" width="3"/>
    <col collapsed="false" customWidth="true" hidden="false" outlineLevel="0" max="9" min="9" style="1" width="50"/>
  </cols>
  <sheetData>
    <row r="1" customFormat="false" ht="17.25" hidden="false" customHeight="true" outlineLevel="0" collapsed="false">
      <c r="A1" s="8" t="s">
        <v>89</v>
      </c>
    </row>
    <row r="2" customFormat="false" ht="15" hidden="false" customHeight="true" outlineLevel="0" collapsed="false">
      <c r="A2" s="4" t="s">
        <v>90</v>
      </c>
    </row>
    <row r="4" customFormat="false" ht="15" hidden="false" customHeight="true" outlineLevel="0" collapsed="false">
      <c r="I4" s="5" t="s">
        <v>91</v>
      </c>
    </row>
    <row r="5" customFormat="false" ht="27.75" hidden="false" customHeight="true" outlineLevel="0" collapsed="false">
      <c r="A5" s="15"/>
      <c r="B5" s="16" t="s">
        <v>92</v>
      </c>
      <c r="C5" s="16" t="s">
        <v>93</v>
      </c>
      <c r="D5" s="16" t="s">
        <v>94</v>
      </c>
      <c r="E5" s="16" t="s">
        <v>95</v>
      </c>
      <c r="F5" s="16" t="s">
        <v>96</v>
      </c>
      <c r="G5" s="16" t="s">
        <v>97</v>
      </c>
      <c r="I5" s="9" t="s">
        <v>98</v>
      </c>
    </row>
    <row r="6" customFormat="false" ht="15" hidden="false" customHeight="true" outlineLevel="0" collapsed="false">
      <c r="A6" s="10" t="s">
        <v>99</v>
      </c>
      <c r="B6" s="22" t="n">
        <v>6.5</v>
      </c>
      <c r="C6" s="22" t="n">
        <v>7.5</v>
      </c>
      <c r="D6" s="22" t="n">
        <v>6.2</v>
      </c>
      <c r="E6" s="22" t="n">
        <v>9</v>
      </c>
      <c r="F6" s="22" t="n">
        <v>10</v>
      </c>
      <c r="G6" s="18" t="n">
        <f aca="false">SUM(B6:F6)</f>
        <v>39.2</v>
      </c>
      <c r="I6" s="9"/>
    </row>
    <row r="7" customFormat="false" ht="15" hidden="false" customHeight="true" outlineLevel="0" collapsed="false">
      <c r="I7" s="9"/>
    </row>
    <row r="8" customFormat="false" ht="15" hidden="false" customHeight="true" outlineLevel="0" collapsed="false">
      <c r="A8" s="10" t="s">
        <v>100</v>
      </c>
      <c r="B8" s="22" t="n">
        <v>105</v>
      </c>
      <c r="C8" s="22" t="n">
        <v>110</v>
      </c>
      <c r="D8" s="22" t="n">
        <v>110</v>
      </c>
      <c r="E8" s="22" t="n">
        <v>122</v>
      </c>
      <c r="F8" s="22" t="n">
        <v>122</v>
      </c>
      <c r="I8" s="9"/>
    </row>
    <row r="9" customFormat="false" ht="15" hidden="false" customHeight="true" outlineLevel="0" collapsed="false">
      <c r="A9" s="10" t="s">
        <v>101</v>
      </c>
      <c r="B9" s="17" t="n">
        <f aca="false">'Deal terms'!$B$9</f>
        <v>55</v>
      </c>
      <c r="C9" s="17" t="n">
        <f aca="false">'Deal terms'!$B$9+'Deal terms'!$B$10</f>
        <v>59</v>
      </c>
      <c r="D9" s="17" t="n">
        <f aca="false">'Deal terms'!$B$9+'Deal terms'!$B$10</f>
        <v>59</v>
      </c>
      <c r="E9" s="17" t="n">
        <f aca="false">'Deal terms'!$B$33</f>
        <v>78</v>
      </c>
      <c r="F9" s="17" t="n">
        <f aca="false">'Deal terms'!$B$33</f>
        <v>78</v>
      </c>
      <c r="I9" s="9"/>
    </row>
    <row r="10" customFormat="false" ht="15" hidden="false" customHeight="true" outlineLevel="0" collapsed="false">
      <c r="A10" s="10" t="s">
        <v>102</v>
      </c>
      <c r="B10" s="18" t="n">
        <f aca="false">B9*'Deal terms'!$B$26</f>
        <v>2.75</v>
      </c>
      <c r="C10" s="18" t="n">
        <f aca="false">C9*'Deal terms'!$B$26</f>
        <v>2.95</v>
      </c>
      <c r="D10" s="18" t="n">
        <f aca="false">D9*'Deal terms'!$B$26</f>
        <v>2.95</v>
      </c>
      <c r="E10" s="18" t="n">
        <f aca="false">E9*'Deal terms'!$B$27</f>
        <v>4.29</v>
      </c>
      <c r="F10" s="18" t="n">
        <f aca="false">F9*'Deal terms'!$B$27</f>
        <v>4.29</v>
      </c>
      <c r="G10" s="18" t="n">
        <f aca="false">SUM(B10:F10)</f>
        <v>17.23</v>
      </c>
      <c r="I10" s="9"/>
    </row>
    <row r="11" customFormat="false" ht="15" hidden="false" customHeight="true" outlineLevel="0" collapsed="false">
      <c r="A11" s="10" t="s">
        <v>103</v>
      </c>
      <c r="B11" s="18" t="n">
        <f aca="false">B8*'Deal terms'!$B$25</f>
        <v>0.525</v>
      </c>
      <c r="C11" s="18" t="n">
        <f aca="false">C8*'Deal terms'!$B$25</f>
        <v>0.55</v>
      </c>
      <c r="D11" s="18" t="n">
        <f aca="false">D8*'Deal terms'!$B$25</f>
        <v>0.55</v>
      </c>
      <c r="E11" s="18" t="n">
        <f aca="false">E8*'Deal terms'!$B$25</f>
        <v>0.61</v>
      </c>
      <c r="F11" s="18" t="n">
        <f aca="false">F8*'Deal terms'!$B$25</f>
        <v>0.61</v>
      </c>
      <c r="G11" s="18" t="n">
        <f aca="false">SUM(B11:F11)</f>
        <v>2.845</v>
      </c>
      <c r="I11" s="9"/>
    </row>
    <row r="12" customFormat="false" ht="15" hidden="false" customHeight="true" outlineLevel="0" collapsed="false">
      <c r="A12" s="23" t="s">
        <v>104</v>
      </c>
      <c r="B12" s="24" t="n">
        <f aca="false">B10+B11</f>
        <v>3.275</v>
      </c>
      <c r="C12" s="24" t="n">
        <f aca="false">C10+C11</f>
        <v>3.5</v>
      </c>
      <c r="D12" s="24" t="n">
        <f aca="false">D10+D11</f>
        <v>3.5</v>
      </c>
      <c r="E12" s="24" t="n">
        <f aca="false">E10+E11</f>
        <v>4.9</v>
      </c>
      <c r="F12" s="24" t="n">
        <f aca="false">F10+F11</f>
        <v>4.9</v>
      </c>
      <c r="G12" s="24" t="n">
        <f aca="false">SUM(B12:F12)</f>
        <v>20.075</v>
      </c>
      <c r="I12" s="9"/>
    </row>
    <row r="13" customFormat="false" ht="15" hidden="false" customHeight="true" outlineLevel="0" collapsed="false">
      <c r="A13" s="4" t="s">
        <v>105</v>
      </c>
      <c r="B13" s="25" t="n">
        <v>3.28</v>
      </c>
      <c r="C13" s="25" t="n">
        <v>3.5</v>
      </c>
      <c r="D13" s="25" t="n">
        <v>3.5</v>
      </c>
      <c r="E13" s="25" t="n">
        <v>4.9</v>
      </c>
      <c r="F13" s="25" t="n">
        <v>4.9</v>
      </c>
      <c r="I13" s="9"/>
    </row>
    <row r="14" customFormat="false" ht="15" hidden="false" customHeight="true" outlineLevel="0" collapsed="false">
      <c r="A14" s="4" t="s">
        <v>106</v>
      </c>
      <c r="B14" s="26" t="n">
        <f aca="false">ROUND(B12,2)-B13</f>
        <v>0</v>
      </c>
      <c r="C14" s="26" t="n">
        <f aca="false">ROUND(C12,2)-C13</f>
        <v>0</v>
      </c>
      <c r="D14" s="26" t="n">
        <f aca="false">ROUND(D12,2)-D13</f>
        <v>0</v>
      </c>
      <c r="E14" s="26" t="n">
        <f aca="false">ROUND(E12,2)-E13</f>
        <v>0</v>
      </c>
      <c r="F14" s="26" t="n">
        <f aca="false">ROUND(F12,2)-F13</f>
        <v>0</v>
      </c>
      <c r="I14" s="9"/>
    </row>
    <row r="15" customFormat="false" ht="15" hidden="false" customHeight="true" outlineLevel="0" collapsed="false">
      <c r="I15" s="9"/>
    </row>
    <row r="16" customFormat="false" ht="15" hidden="false" customHeight="true" outlineLevel="0" collapsed="false">
      <c r="A16" s="10" t="s">
        <v>107</v>
      </c>
      <c r="B16" s="18" t="n">
        <f aca="false">B6-B12</f>
        <v>3.225</v>
      </c>
      <c r="C16" s="18" t="n">
        <f aca="false">C6-C12</f>
        <v>4</v>
      </c>
      <c r="D16" s="18" t="n">
        <f aca="false">D6-D12</f>
        <v>2.7</v>
      </c>
      <c r="E16" s="18" t="n">
        <f aca="false">E6-E12</f>
        <v>4.1</v>
      </c>
      <c r="F16" s="18" t="n">
        <f aca="false">F6-F12</f>
        <v>5.1</v>
      </c>
      <c r="I16" s="9"/>
    </row>
    <row r="17" customFormat="false" ht="15" hidden="false" customHeight="true" outlineLevel="0" collapsed="false">
      <c r="A17" s="10" t="s">
        <v>108</v>
      </c>
      <c r="B17" s="22" t="n">
        <v>-0.22</v>
      </c>
      <c r="C17" s="22" t="n">
        <v>0</v>
      </c>
      <c r="D17" s="22" t="n">
        <v>0</v>
      </c>
      <c r="E17" s="22" t="n">
        <v>-0.1</v>
      </c>
      <c r="F17" s="22" t="n">
        <v>-0.1</v>
      </c>
      <c r="I17" s="9"/>
    </row>
    <row r="18" customFormat="false" ht="15" hidden="false" customHeight="true" outlineLevel="0" collapsed="false">
      <c r="A18" s="10" t="s">
        <v>109</v>
      </c>
      <c r="B18" s="22" t="n">
        <v>0</v>
      </c>
      <c r="C18" s="22" t="n">
        <v>-0.6</v>
      </c>
      <c r="D18" s="22" t="n">
        <v>-0.6</v>
      </c>
      <c r="E18" s="22" t="n">
        <v>0</v>
      </c>
      <c r="F18" s="22" t="n">
        <v>0</v>
      </c>
      <c r="I18" s="9"/>
    </row>
    <row r="19" customFormat="false" ht="15" hidden="false" customHeight="true" outlineLevel="0" collapsed="false">
      <c r="A19" s="10" t="s">
        <v>110</v>
      </c>
      <c r="B19" s="22" t="n">
        <v>0</v>
      </c>
      <c r="C19" s="22" t="n">
        <v>0</v>
      </c>
      <c r="D19" s="22" t="n">
        <v>-0.9</v>
      </c>
      <c r="E19" s="22" t="n">
        <v>0</v>
      </c>
      <c r="F19" s="22" t="n">
        <v>0</v>
      </c>
      <c r="I19" s="9"/>
    </row>
    <row r="20" customFormat="false" ht="15" hidden="false" customHeight="true" outlineLevel="0" collapsed="false">
      <c r="A20" s="10" t="s">
        <v>111</v>
      </c>
      <c r="B20" s="22" t="n">
        <v>0</v>
      </c>
      <c r="C20" s="22" t="n">
        <v>-0.4</v>
      </c>
      <c r="D20" s="22" t="n">
        <v>0.4</v>
      </c>
      <c r="E20" s="22" t="n">
        <v>0</v>
      </c>
      <c r="F20" s="22" t="n">
        <v>0</v>
      </c>
      <c r="I20" s="9"/>
    </row>
    <row r="21" customFormat="false" ht="15" hidden="false" customHeight="true" outlineLevel="0" collapsed="false">
      <c r="A21" s="23" t="s">
        <v>112</v>
      </c>
      <c r="B21" s="24" t="n">
        <f aca="false">SUM(B16:B20)</f>
        <v>3.005</v>
      </c>
      <c r="C21" s="24" t="n">
        <f aca="false">SUM(C16:C20)</f>
        <v>3</v>
      </c>
      <c r="D21" s="24" t="n">
        <f aca="false">SUM(D16:D20)</f>
        <v>1.6</v>
      </c>
      <c r="E21" s="24" t="n">
        <f aca="false">SUM(E16:E20)</f>
        <v>4</v>
      </c>
      <c r="F21" s="24" t="n">
        <f aca="false">SUM(F16:F20)</f>
        <v>5</v>
      </c>
      <c r="G21" s="24" t="n">
        <f aca="false">SUM(B21:F21)</f>
        <v>16.605</v>
      </c>
      <c r="I21" s="9"/>
    </row>
    <row r="22" customFormat="false" ht="15" hidden="false" customHeight="true" outlineLevel="0" collapsed="false">
      <c r="A22" s="4" t="s">
        <v>105</v>
      </c>
      <c r="B22" s="25" t="n">
        <v>3</v>
      </c>
      <c r="C22" s="25" t="n">
        <v>3</v>
      </c>
      <c r="D22" s="25" t="n">
        <v>1.6</v>
      </c>
      <c r="E22" s="25" t="n">
        <v>4</v>
      </c>
      <c r="F22" s="25" t="n">
        <v>5</v>
      </c>
      <c r="I22" s="9"/>
    </row>
    <row r="23" customFormat="false" ht="15" hidden="false" customHeight="true" outlineLevel="0" collapsed="false">
      <c r="A23" s="4" t="s">
        <v>106</v>
      </c>
      <c r="B23" s="26" t="n">
        <f aca="false">ROUND(B21,2)-B22</f>
        <v>0.00999999999999979</v>
      </c>
      <c r="C23" s="26" t="n">
        <f aca="false">ROUND(C21,2)-C22</f>
        <v>0</v>
      </c>
      <c r="D23" s="26" t="n">
        <f aca="false">ROUND(D21,2)-D22</f>
        <v>0</v>
      </c>
      <c r="E23" s="26" t="n">
        <f aca="false">ROUND(E21,2)-E22</f>
        <v>0</v>
      </c>
      <c r="F23" s="26" t="n">
        <f aca="false">ROUND(F21,2)-F22</f>
        <v>0</v>
      </c>
      <c r="I23" s="9"/>
    </row>
    <row r="24" customFormat="false" ht="15" hidden="false" customHeight="true" outlineLevel="0" collapsed="false">
      <c r="A24" s="23" t="s">
        <v>113</v>
      </c>
      <c r="B24" s="24" t="n">
        <f aca="false">B22</f>
        <v>3</v>
      </c>
      <c r="C24" s="24" t="n">
        <f aca="false">C22</f>
        <v>3</v>
      </c>
      <c r="D24" s="24" t="n">
        <f aca="false">D22</f>
        <v>1.6</v>
      </c>
      <c r="E24" s="24" t="n">
        <f aca="false">E22</f>
        <v>4</v>
      </c>
      <c r="F24" s="24" t="n">
        <f aca="false">F22</f>
        <v>5</v>
      </c>
      <c r="G24" s="24" t="n">
        <f aca="false">SUM(B24:F24)</f>
        <v>16.6</v>
      </c>
      <c r="I24" s="9"/>
    </row>
    <row r="25" customFormat="false" ht="15" hidden="false" customHeight="true" outlineLevel="0" collapsed="false">
      <c r="A25" s="23" t="s">
        <v>114</v>
      </c>
      <c r="B25" s="24" t="n">
        <f aca="false">'Deal terms'!$B$24*'Deal terms'!$B$6+G11</f>
        <v>3.595</v>
      </c>
      <c r="C25" s="21" t="s">
        <v>115</v>
      </c>
      <c r="D25" s="21"/>
      <c r="E25" s="21"/>
      <c r="F25" s="21"/>
      <c r="I25" s="9"/>
    </row>
    <row r="26" customFormat="false" ht="15" hidden="false" customHeight="true" outlineLevel="0" collapsed="false">
      <c r="A26" s="27" t="s">
        <v>116</v>
      </c>
      <c r="B26" s="27"/>
      <c r="C26" s="27"/>
      <c r="D26" s="27"/>
      <c r="E26" s="27"/>
      <c r="F26" s="27"/>
      <c r="G26" s="27"/>
      <c r="I26" s="9"/>
    </row>
    <row r="27" customFormat="false" ht="15" hidden="false" customHeight="true" outlineLevel="0" collapsed="false">
      <c r="A27" s="27"/>
      <c r="B27" s="27"/>
      <c r="C27" s="27"/>
      <c r="D27" s="27"/>
      <c r="E27" s="27"/>
      <c r="F27" s="27"/>
      <c r="G27" s="27"/>
      <c r="I27" s="9"/>
    </row>
    <row r="28" customFormat="false" ht="15" hidden="false" customHeight="true" outlineLevel="0" collapsed="false">
      <c r="A28" s="27" t="s">
        <v>117</v>
      </c>
      <c r="B28" s="27"/>
      <c r="C28" s="27"/>
      <c r="D28" s="27"/>
      <c r="E28" s="27"/>
      <c r="F28" s="27"/>
      <c r="G28" s="27"/>
      <c r="I28" s="9"/>
    </row>
    <row r="29" customFormat="false" ht="15" hidden="false" customHeight="true" outlineLevel="0" collapsed="false">
      <c r="A29" s="27"/>
      <c r="B29" s="27"/>
      <c r="C29" s="27"/>
      <c r="D29" s="27"/>
      <c r="E29" s="27"/>
      <c r="F29" s="27"/>
      <c r="G29" s="27"/>
      <c r="I29" s="9"/>
    </row>
    <row r="30" customFormat="false" ht="15" hidden="false" customHeight="true" outlineLevel="0" collapsed="false">
      <c r="I30" s="9"/>
    </row>
  </sheetData>
  <mergeCells count="4">
    <mergeCell ref="I5:I30"/>
    <mergeCell ref="C25:F25"/>
    <mergeCell ref="A26:G27"/>
    <mergeCell ref="A28:G2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8"/>
    <col collapsed="false" customWidth="true" hidden="false" outlineLevel="0" max="6" min="2" style="1" width="13"/>
    <col collapsed="false" customWidth="true" hidden="false" outlineLevel="0" max="7" min="7" style="1" width="3"/>
    <col collapsed="false" customWidth="true" hidden="false" outlineLevel="0" max="8" min="8" style="1" width="52"/>
  </cols>
  <sheetData>
    <row r="1" customFormat="false" ht="17.25" hidden="false" customHeight="true" outlineLevel="0" collapsed="false">
      <c r="A1" s="8" t="s">
        <v>118</v>
      </c>
    </row>
    <row r="2" customFormat="false" ht="15" hidden="false" customHeight="true" outlineLevel="0" collapsed="false">
      <c r="A2" s="4" t="s">
        <v>119</v>
      </c>
    </row>
    <row r="4" customFormat="false" ht="15" hidden="false" customHeight="true" outlineLevel="0" collapsed="false">
      <c r="H4" s="5" t="s">
        <v>120</v>
      </c>
    </row>
    <row r="5" customFormat="false" ht="27.75" hidden="false" customHeight="true" outlineLevel="0" collapsed="false">
      <c r="A5" s="15"/>
      <c r="B5" s="16" t="s">
        <v>92</v>
      </c>
      <c r="C5" s="16" t="s">
        <v>93</v>
      </c>
      <c r="D5" s="16" t="s">
        <v>94</v>
      </c>
      <c r="E5" s="16" t="s">
        <v>95</v>
      </c>
      <c r="F5" s="16" t="s">
        <v>96</v>
      </c>
      <c r="H5" s="9" t="s">
        <v>121</v>
      </c>
    </row>
    <row r="6" customFormat="false" ht="15" hidden="false" customHeight="true" outlineLevel="0" collapsed="false">
      <c r="A6" s="10" t="s">
        <v>122</v>
      </c>
      <c r="B6" s="17" t="n">
        <f aca="false">'Deal terms'!$B$11</f>
        <v>50</v>
      </c>
      <c r="C6" s="18" t="n">
        <f aca="false">B12</f>
        <v>47</v>
      </c>
      <c r="D6" s="18" t="n">
        <f aca="false">C12</f>
        <v>50</v>
      </c>
      <c r="E6" s="18" t="n">
        <f aca="false">D12</f>
        <v>34</v>
      </c>
      <c r="F6" s="18" t="n">
        <f aca="false">E12</f>
        <v>30</v>
      </c>
      <c r="H6" s="9"/>
    </row>
    <row r="7" customFormat="false" ht="15" hidden="false" customHeight="true" outlineLevel="0" collapsed="false">
      <c r="A7" s="10" t="s">
        <v>123</v>
      </c>
      <c r="B7" s="18" t="n">
        <f aca="false">0</f>
        <v>0</v>
      </c>
      <c r="C7" s="17" t="n">
        <f aca="false">'Deal terms'!$B$31</f>
        <v>6</v>
      </c>
      <c r="D7" s="18" t="n">
        <f aca="false">0</f>
        <v>0</v>
      </c>
      <c r="E7" s="18" t="n">
        <f aca="false">0</f>
        <v>0</v>
      </c>
      <c r="F7" s="18" t="n">
        <f aca="false">0</f>
        <v>0</v>
      </c>
      <c r="H7" s="9"/>
    </row>
    <row r="8" customFormat="false" ht="15" hidden="false" customHeight="true" outlineLevel="0" collapsed="false">
      <c r="A8" s="10" t="s">
        <v>124</v>
      </c>
      <c r="B8" s="18" t="n">
        <f aca="false">0</f>
        <v>0</v>
      </c>
      <c r="C8" s="18" t="n">
        <f aca="false">B13</f>
        <v>4</v>
      </c>
      <c r="D8" s="18" t="n">
        <f aca="false">C13</f>
        <v>8.56</v>
      </c>
      <c r="E8" s="18" t="n">
        <f aca="false">D13</f>
        <v>13.2448</v>
      </c>
      <c r="F8" s="18" t="n">
        <f aca="false">E13</f>
        <v>17.024384</v>
      </c>
      <c r="H8" s="9"/>
    </row>
    <row r="9" customFormat="false" ht="15" hidden="false" customHeight="true" outlineLevel="0" collapsed="false">
      <c r="A9" s="10" t="s">
        <v>125</v>
      </c>
      <c r="B9" s="18" t="n">
        <f aca="false">B6+B7+B8</f>
        <v>50</v>
      </c>
      <c r="C9" s="18" t="n">
        <f aca="false">C6+C7+C8</f>
        <v>57</v>
      </c>
      <c r="D9" s="18" t="n">
        <f aca="false">D6+D7+D8</f>
        <v>58.56</v>
      </c>
      <c r="E9" s="18" t="n">
        <f aca="false">E6+E7+E8</f>
        <v>47.2448</v>
      </c>
      <c r="F9" s="18" t="n">
        <f aca="false">F6+F7+F8</f>
        <v>47.024384</v>
      </c>
      <c r="H9" s="9"/>
    </row>
    <row r="10" customFormat="false" ht="15" hidden="false" customHeight="true" outlineLevel="0" collapsed="false">
      <c r="A10" s="23" t="s">
        <v>126</v>
      </c>
      <c r="B10" s="24" t="n">
        <f aca="false">B9*'Deal terms'!$B$16</f>
        <v>4</v>
      </c>
      <c r="C10" s="24" t="n">
        <f aca="false">C9*'Deal terms'!$B$16</f>
        <v>4.56</v>
      </c>
      <c r="D10" s="24" t="n">
        <f aca="false">D9*'Deal terms'!$B$16</f>
        <v>4.6848</v>
      </c>
      <c r="E10" s="24" t="n">
        <f aca="false">E9*'Deal terms'!$B$16</f>
        <v>3.779584</v>
      </c>
      <c r="F10" s="24" t="n">
        <f aca="false">F9*'Deal terms'!$B$16</f>
        <v>3.76195072</v>
      </c>
      <c r="H10" s="9"/>
    </row>
    <row r="11" customFormat="false" ht="15" hidden="false" customHeight="true" outlineLevel="0" collapsed="false">
      <c r="A11" s="10" t="s">
        <v>127</v>
      </c>
      <c r="B11" s="17" t="n">
        <f aca="false">Operations!B24</f>
        <v>3</v>
      </c>
      <c r="C11" s="17" t="n">
        <f aca="false">Operations!C24</f>
        <v>3</v>
      </c>
      <c r="D11" s="17" t="n">
        <f aca="false">Operations!D24+'Sources and uses'!B28</f>
        <v>16</v>
      </c>
      <c r="E11" s="17" t="n">
        <f aca="false">Operations!E24</f>
        <v>4</v>
      </c>
      <c r="F11" s="17" t="n">
        <f aca="false">'Exit waterfall'!D34</f>
        <v>75.6053822</v>
      </c>
      <c r="H11" s="9"/>
    </row>
    <row r="12" customFormat="false" ht="15" hidden="false" customHeight="true" outlineLevel="0" collapsed="false">
      <c r="A12" s="23" t="s">
        <v>128</v>
      </c>
      <c r="B12" s="24" t="n">
        <f aca="false">MAX(0,B6+B7-B11)</f>
        <v>47</v>
      </c>
      <c r="C12" s="24" t="n">
        <f aca="false">MAX(0,C6+C7-C11)</f>
        <v>50</v>
      </c>
      <c r="D12" s="24" t="n">
        <f aca="false">MAX(0,D6+D7-D11)</f>
        <v>34</v>
      </c>
      <c r="E12" s="24" t="n">
        <f aca="false">MAX(0,E6+E7-E11)</f>
        <v>30</v>
      </c>
      <c r="F12" s="24" t="n">
        <f aca="false">MAX(0,F6+F7-F11)</f>
        <v>0</v>
      </c>
      <c r="H12" s="9"/>
    </row>
    <row r="13" customFormat="false" ht="15" hidden="false" customHeight="true" outlineLevel="0" collapsed="false">
      <c r="A13" s="23" t="s">
        <v>129</v>
      </c>
      <c r="B13" s="24" t="n">
        <f aca="false">B8+B10-MAX(0,MIN(B8+B10,B11-(B6+B7)))</f>
        <v>4</v>
      </c>
      <c r="C13" s="24" t="n">
        <f aca="false">C8+C10-MAX(0,MIN(C8+C10,C11-(C6+C7)))</f>
        <v>8.56</v>
      </c>
      <c r="D13" s="24" t="n">
        <f aca="false">D8+D10-MAX(0,MIN(D8+D10,D11-(D6+D7)))</f>
        <v>13.2448</v>
      </c>
      <c r="E13" s="24" t="n">
        <f aca="false">E8+E10-MAX(0,MIN(E8+E10,E11-(E6+E7)))</f>
        <v>17.024384</v>
      </c>
      <c r="F13" s="24" t="n">
        <f aca="false">F8+F10-MAX(0,MIN(F8+F10,F11-(F6+F7)))</f>
        <v>0</v>
      </c>
      <c r="H13" s="9"/>
    </row>
    <row r="14" customFormat="false" ht="15" hidden="false" customHeight="true" outlineLevel="0" collapsed="false">
      <c r="H14" s="9"/>
    </row>
    <row r="15" customFormat="false" ht="15" hidden="false" customHeight="true" outlineLevel="0" collapsed="false">
      <c r="A15" s="5" t="s">
        <v>130</v>
      </c>
      <c r="H15" s="9"/>
    </row>
    <row r="16" customFormat="false" ht="15" hidden="false" customHeight="true" outlineLevel="0" collapsed="false">
      <c r="A16" s="21" t="s">
        <v>131</v>
      </c>
      <c r="B16" s="21"/>
      <c r="C16" s="21"/>
      <c r="D16" s="21"/>
      <c r="E16" s="21"/>
      <c r="F16" s="21"/>
      <c r="H16" s="9"/>
    </row>
    <row r="17" customFormat="false" ht="15" hidden="false" customHeight="true" outlineLevel="0" collapsed="false">
      <c r="A17" s="10" t="s">
        <v>132</v>
      </c>
      <c r="B17" s="17" t="n">
        <f aca="false">'Deal terms'!$B$32</f>
        <v>126</v>
      </c>
      <c r="H17" s="9"/>
    </row>
    <row r="18" customFormat="false" ht="15" hidden="false" customHeight="true" outlineLevel="0" collapsed="false">
      <c r="A18" s="10" t="s">
        <v>133</v>
      </c>
      <c r="B18" s="17" t="n">
        <f aca="false">-'Deal terms'!$B$32*'Deal terms'!$B$37</f>
        <v>-1.26</v>
      </c>
      <c r="H18" s="9"/>
    </row>
    <row r="19" customFormat="false" ht="15" hidden="false" customHeight="true" outlineLevel="0" collapsed="false">
      <c r="A19" s="10" t="s">
        <v>134</v>
      </c>
      <c r="B19" s="17" t="n">
        <f aca="false">-'Deal terms'!$B$33</f>
        <v>-78</v>
      </c>
      <c r="H19" s="9"/>
    </row>
    <row r="20" customFormat="false" ht="15" hidden="false" customHeight="true" outlineLevel="0" collapsed="false">
      <c r="A20" s="10" t="s">
        <v>135</v>
      </c>
      <c r="B20" s="18" t="n">
        <f aca="false">SUM(B17:B19)</f>
        <v>46.74</v>
      </c>
      <c r="H20" s="9"/>
    </row>
    <row r="21" customFormat="false" ht="15" hidden="false" customHeight="true" outlineLevel="0" collapsed="false">
      <c r="A21" s="10" t="s">
        <v>136</v>
      </c>
      <c r="B21" s="18" t="n">
        <f aca="false">D12</f>
        <v>34</v>
      </c>
      <c r="H21" s="9"/>
    </row>
    <row r="22" customFormat="false" ht="15" hidden="false" customHeight="true" outlineLevel="0" collapsed="false">
      <c r="A22" s="10" t="s">
        <v>137</v>
      </c>
      <c r="B22" s="18" t="n">
        <f aca="false">D13</f>
        <v>13.2448</v>
      </c>
      <c r="H22" s="9"/>
    </row>
    <row r="23" customFormat="false" ht="15" hidden="false" customHeight="true" outlineLevel="0" collapsed="false">
      <c r="A23" s="10" t="s">
        <v>138</v>
      </c>
      <c r="B23" s="18" t="n">
        <f aca="false">B20-B21</f>
        <v>12.74</v>
      </c>
      <c r="H23" s="9"/>
    </row>
    <row r="24" customFormat="false" ht="15" hidden="false" customHeight="true" outlineLevel="0" collapsed="false">
      <c r="A24" s="10" t="s">
        <v>139</v>
      </c>
      <c r="B24" s="10" t="str">
        <f aca="false">IF(B23&gt;=B22,"positive — recompute","nil: the preferred return is not satisfied")</f>
        <v>nil: the preferred return is not satisfied</v>
      </c>
      <c r="H24" s="9"/>
    </row>
    <row r="25" customFormat="false" ht="15" hidden="false" customHeight="true" outlineLevel="0" collapsed="false">
      <c r="H25" s="9"/>
    </row>
    <row r="26" customFormat="false" ht="15" hidden="false" customHeight="true" outlineLevel="0" collapsed="false">
      <c r="A26" s="10" t="s">
        <v>140</v>
      </c>
      <c r="B26" s="18" t="n">
        <f aca="false">B22-B23</f>
        <v>0.5048</v>
      </c>
      <c r="H26" s="9"/>
    </row>
    <row r="27" customFormat="false" ht="15" hidden="false" customHeight="true" outlineLevel="0" collapsed="false">
      <c r="H27" s="9"/>
    </row>
    <row r="28" customFormat="false" ht="15" hidden="false" customHeight="true" outlineLevel="0" collapsed="false">
      <c r="A28" s="7" t="s">
        <v>141</v>
      </c>
      <c r="H28" s="9"/>
    </row>
    <row r="29" customFormat="false" ht="54" hidden="false" customHeight="true" outlineLevel="0" collapsed="false">
      <c r="A29" s="28" t="s">
        <v>142</v>
      </c>
      <c r="B29" s="28"/>
      <c r="C29" s="28"/>
      <c r="D29" s="28"/>
      <c r="E29" s="28"/>
      <c r="F29" s="28"/>
      <c r="H29" s="9"/>
    </row>
    <row r="30" customFormat="false" ht="15" hidden="false" customHeight="true" outlineLevel="0" collapsed="false">
      <c r="A30" s="29" t="s">
        <v>143</v>
      </c>
      <c r="B30" s="30" t="n">
        <f aca="false">D6+D7-(Operations!D24+'Sources and uses'!E28)</f>
        <v>32</v>
      </c>
      <c r="H30" s="9"/>
    </row>
    <row r="31" customFormat="false" ht="15" hidden="false" customHeight="false" outlineLevel="0" collapsed="false">
      <c r="A31" s="29" t="s">
        <v>137</v>
      </c>
      <c r="B31" s="30" t="n">
        <f aca="false">D13</f>
        <v>13.2448</v>
      </c>
    </row>
    <row r="32" customFormat="false" ht="15" hidden="false" customHeight="false" outlineLevel="0" collapsed="false">
      <c r="A32" s="29" t="s">
        <v>144</v>
      </c>
      <c r="B32" s="30" t="n">
        <f aca="false">B20</f>
        <v>46.74</v>
      </c>
    </row>
    <row r="33" customFormat="false" ht="15" hidden="false" customHeight="false" outlineLevel="0" collapsed="false">
      <c r="A33" s="29" t="s">
        <v>138</v>
      </c>
      <c r="B33" s="30" t="n">
        <f aca="false">B32-B30</f>
        <v>14.74</v>
      </c>
    </row>
    <row r="34" customFormat="false" ht="15" hidden="false" customHeight="false" outlineLevel="0" collapsed="false">
      <c r="A34" s="29" t="s">
        <v>145</v>
      </c>
      <c r="B34" s="30" t="n">
        <f aca="false">B33-B31</f>
        <v>1.4952</v>
      </c>
    </row>
    <row r="35" customFormat="false" ht="15" hidden="false" customHeight="false" outlineLevel="0" collapsed="false">
      <c r="A35" s="29" t="s">
        <v>146</v>
      </c>
      <c r="B35" s="30" t="n">
        <f aca="false">'Deal terms'!$B$18*B31/('Deal terms'!$B$17-'Deal terms'!$B$18)</f>
        <v>8.82986666666667</v>
      </c>
    </row>
    <row r="36" customFormat="false" ht="15" hidden="false" customHeight="false" outlineLevel="0" collapsed="false">
      <c r="A36" s="29" t="s">
        <v>147</v>
      </c>
      <c r="B36" s="31" t="n">
        <f aca="false">IF(B34&lt;=0,0,MIN(B34,B35)*'Deal terms'!$B$17+MAX(0,B34-B35)*'Deal terms'!$B$20)</f>
        <v>0.7476</v>
      </c>
      <c r="C36" s="32" t="s">
        <v>148</v>
      </c>
    </row>
    <row r="37" customFormat="false" ht="15" hidden="false" customHeight="false" outlineLevel="0" collapsed="false">
      <c r="A37" s="29" t="s">
        <v>149</v>
      </c>
      <c r="B37" s="30" t="n">
        <f aca="false">'Deal terms'!$B$34</f>
        <v>2</v>
      </c>
    </row>
    <row r="38" customFormat="false" ht="15" hidden="false" customHeight="false" outlineLevel="0" collapsed="false">
      <c r="A38" s="29" t="s">
        <v>150</v>
      </c>
      <c r="B38" s="31" t="n">
        <f aca="false">B37-B36</f>
        <v>1.2524</v>
      </c>
    </row>
  </sheetData>
  <mergeCells count="3">
    <mergeCell ref="H5:H30"/>
    <mergeCell ref="A16:F16"/>
    <mergeCell ref="A29:F2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0"/>
    <col collapsed="false" customWidth="true" hidden="false" outlineLevel="0" max="5" min="2" style="1" width="14"/>
    <col collapsed="false" customWidth="true" hidden="false" outlineLevel="0" max="6" min="6" style="1" width="16"/>
    <col collapsed="false" customWidth="true" hidden="false" outlineLevel="0" max="7" min="7" style="1" width="3"/>
    <col collapsed="false" customWidth="true" hidden="false" outlineLevel="0" max="8" min="8" style="1" width="52"/>
  </cols>
  <sheetData>
    <row r="1" customFormat="false" ht="17.25" hidden="false" customHeight="true" outlineLevel="0" collapsed="false">
      <c r="A1" s="8" t="s">
        <v>151</v>
      </c>
    </row>
    <row r="2" customFormat="false" ht="15" hidden="false" customHeight="true" outlineLevel="0" collapsed="false">
      <c r="A2" s="4" t="s">
        <v>152</v>
      </c>
    </row>
    <row r="4" customFormat="false" ht="15" hidden="false" customHeight="true" outlineLevel="0" collapsed="false">
      <c r="A4" s="5" t="s">
        <v>153</v>
      </c>
      <c r="H4" s="5" t="s">
        <v>154</v>
      </c>
    </row>
    <row r="5" customFormat="false" ht="15" hidden="false" customHeight="true" outlineLevel="0" collapsed="false">
      <c r="A5" s="10" t="s">
        <v>155</v>
      </c>
      <c r="B5" s="17" t="n">
        <f aca="false">'Deal terms'!$B$36</f>
        <v>160</v>
      </c>
      <c r="H5" s="9" t="s">
        <v>156</v>
      </c>
    </row>
    <row r="6" customFormat="false" ht="15" hidden="false" customHeight="true" outlineLevel="0" collapsed="false">
      <c r="A6" s="10" t="s">
        <v>157</v>
      </c>
      <c r="B6" s="17" t="n">
        <f aca="false">-'Deal terms'!$B$36*'Deal terms'!$B$37</f>
        <v>-1.6</v>
      </c>
      <c r="H6" s="9"/>
    </row>
    <row r="7" customFormat="false" ht="15" hidden="false" customHeight="true" outlineLevel="0" collapsed="false">
      <c r="A7" s="10" t="s">
        <v>158</v>
      </c>
      <c r="B7" s="17" t="n">
        <f aca="false">-'Deal terms'!$B$33</f>
        <v>-78</v>
      </c>
      <c r="H7" s="9"/>
    </row>
    <row r="8" customFormat="false" ht="15" hidden="false" customHeight="true" outlineLevel="0" collapsed="false">
      <c r="A8" s="10" t="s">
        <v>159</v>
      </c>
      <c r="B8" s="18" t="n">
        <f aca="false">SUM(B5:B7)</f>
        <v>80.4</v>
      </c>
      <c r="H8" s="9"/>
    </row>
    <row r="9" customFormat="false" ht="15" hidden="false" customHeight="true" outlineLevel="0" collapsed="false">
      <c r="A9" s="10" t="s">
        <v>160</v>
      </c>
      <c r="B9" s="17" t="n">
        <f aca="false">Operations!F24</f>
        <v>5</v>
      </c>
      <c r="H9" s="9"/>
    </row>
    <row r="10" customFormat="false" ht="15" hidden="false" customHeight="true" outlineLevel="0" collapsed="false">
      <c r="A10" s="10" t="s">
        <v>161</v>
      </c>
      <c r="B10" s="18" t="n">
        <f aca="false">B8+B9</f>
        <v>85.4</v>
      </c>
      <c r="H10" s="9"/>
    </row>
    <row r="11" customFormat="false" ht="15" hidden="false" customHeight="true" outlineLevel="0" collapsed="false">
      <c r="A11" s="10" t="s">
        <v>162</v>
      </c>
      <c r="B11" s="17" t="n">
        <f aca="false">'Deal terms'!$B$34*(1+'Deal terms'!$B$35)^2</f>
        <v>2.3328</v>
      </c>
      <c r="H11" s="9"/>
    </row>
    <row r="12" customFormat="false" ht="15" hidden="false" customHeight="true" outlineLevel="0" collapsed="false">
      <c r="A12" s="23" t="s">
        <v>163</v>
      </c>
      <c r="B12" s="24" t="n">
        <f aca="false">B10+B11</f>
        <v>87.7328</v>
      </c>
      <c r="H12" s="9"/>
    </row>
    <row r="13" customFormat="false" ht="15" hidden="false" customHeight="true" outlineLevel="0" collapsed="false">
      <c r="H13" s="9"/>
    </row>
    <row r="14" customFormat="false" ht="15" hidden="false" customHeight="true" outlineLevel="0" collapsed="false">
      <c r="A14" s="5" t="s">
        <v>164</v>
      </c>
      <c r="H14" s="9"/>
    </row>
    <row r="15" customFormat="false" ht="15" hidden="false" customHeight="true" outlineLevel="0" collapsed="false">
      <c r="A15" s="10" t="s">
        <v>165</v>
      </c>
      <c r="B15" s="17" t="n">
        <f aca="false">'Capital account'!F6+'Capital account'!F7</f>
        <v>30</v>
      </c>
      <c r="H15" s="9"/>
    </row>
    <row r="16" customFormat="false" ht="15" hidden="false" customHeight="true" outlineLevel="0" collapsed="false">
      <c r="A16" s="10" t="s">
        <v>166</v>
      </c>
      <c r="B16" s="17" t="n">
        <f aca="false">'Capital account'!F8+'Capital account'!F10</f>
        <v>20.78633472</v>
      </c>
      <c r="H16" s="9"/>
    </row>
    <row r="17" customFormat="false" ht="15" hidden="false" customHeight="true" outlineLevel="0" collapsed="false">
      <c r="A17" s="10" t="s">
        <v>167</v>
      </c>
      <c r="B17" s="18" t="n">
        <f aca="false">'Deal terms'!$B$18*B16/('Deal terms'!$B$17-'Deal terms'!$B$18)</f>
        <v>13.85755648</v>
      </c>
      <c r="H17" s="9"/>
    </row>
    <row r="18" customFormat="false" ht="15" hidden="false" customHeight="true" outlineLevel="0" collapsed="false">
      <c r="H18" s="9"/>
    </row>
    <row r="19" customFormat="false" ht="15" hidden="false" customHeight="true" outlineLevel="0" collapsed="false">
      <c r="A19" s="5" t="s">
        <v>168</v>
      </c>
      <c r="H19" s="9"/>
    </row>
    <row r="20" customFormat="false" ht="15" hidden="false" customHeight="true" outlineLevel="0" collapsed="false">
      <c r="A20" s="21" t="s">
        <v>169</v>
      </c>
      <c r="B20" s="21"/>
      <c r="C20" s="21"/>
      <c r="D20" s="21"/>
      <c r="E20" s="21"/>
      <c r="F20" s="21"/>
      <c r="H20" s="9"/>
    </row>
    <row r="21" customFormat="false" ht="27.75" hidden="false" customHeight="true" outlineLevel="0" collapsed="false">
      <c r="A21" s="15" t="s">
        <v>170</v>
      </c>
      <c r="B21" s="16" t="s">
        <v>171</v>
      </c>
      <c r="C21" s="16" t="s">
        <v>172</v>
      </c>
      <c r="D21" s="16" t="s">
        <v>173</v>
      </c>
      <c r="E21" s="16" t="s">
        <v>174</v>
      </c>
      <c r="F21" s="16" t="s">
        <v>175</v>
      </c>
      <c r="H21" s="9"/>
    </row>
    <row r="22" customFormat="false" ht="15" hidden="false" customHeight="true" outlineLevel="0" collapsed="false">
      <c r="A22" s="10" t="s">
        <v>176</v>
      </c>
      <c r="B22" s="17" t="n">
        <f aca="false">-'Deal terms'!$B$11</f>
        <v>-50</v>
      </c>
      <c r="C22" s="17" t="n">
        <f aca="false">-'Deal terms'!$B$31</f>
        <v>-6</v>
      </c>
      <c r="D22" s="18" t="n">
        <f aca="false">0</f>
        <v>0</v>
      </c>
      <c r="E22" s="18" t="n">
        <f aca="false">0</f>
        <v>0</v>
      </c>
      <c r="F22" s="18" t="n">
        <f aca="false">0</f>
        <v>0</v>
      </c>
      <c r="H22" s="9"/>
    </row>
    <row r="23" customFormat="false" ht="15" hidden="false" customHeight="true" outlineLevel="0" collapsed="false">
      <c r="A23" s="10" t="s">
        <v>177</v>
      </c>
      <c r="B23" s="18" t="n">
        <f aca="false">0</f>
        <v>0</v>
      </c>
      <c r="C23" s="17" t="n">
        <f aca="false">Operations!B24</f>
        <v>3</v>
      </c>
      <c r="D23" s="17" t="n">
        <f aca="false">Operations!C24</f>
        <v>3</v>
      </c>
      <c r="E23" s="17" t="n">
        <f aca="false">Operations!D24+'Sources and uses'!B28</f>
        <v>16</v>
      </c>
      <c r="F23" s="17" t="n">
        <f aca="false">Operations!E24</f>
        <v>4</v>
      </c>
      <c r="H23" s="9"/>
    </row>
    <row r="24" customFormat="false" ht="15" hidden="false" customHeight="true" outlineLevel="0" collapsed="false">
      <c r="A24" s="23" t="s">
        <v>178</v>
      </c>
      <c r="B24" s="24" t="n">
        <f aca="false">B22+B23</f>
        <v>-50</v>
      </c>
      <c r="C24" s="24" t="n">
        <f aca="false">C22+C23</f>
        <v>-3</v>
      </c>
      <c r="D24" s="24" t="n">
        <f aca="false">D22+D23</f>
        <v>3</v>
      </c>
      <c r="E24" s="24" t="n">
        <f aca="false">E22+E23</f>
        <v>16</v>
      </c>
      <c r="F24" s="24" t="n">
        <f aca="false">F22+F23</f>
        <v>4</v>
      </c>
      <c r="H24" s="9"/>
    </row>
    <row r="25" customFormat="false" ht="15" hidden="false" customHeight="true" outlineLevel="0" collapsed="false">
      <c r="A25" s="23" t="s">
        <v>179</v>
      </c>
      <c r="B25" s="24" t="n">
        <f aca="false">-(B24+NPV('Deal terms'!$B$19,C24:F24))*(1+'Deal terms'!$B$19)^5</f>
        <v>71.5393776</v>
      </c>
      <c r="C25" s="4" t="s">
        <v>180</v>
      </c>
      <c r="H25" s="9"/>
    </row>
    <row r="26" customFormat="false" ht="15" hidden="false" customHeight="true" outlineLevel="0" collapsed="false">
      <c r="H26" s="9"/>
    </row>
    <row r="27" customFormat="false" ht="15" hidden="false" customHeight="true" outlineLevel="0" collapsed="false">
      <c r="A27" s="5" t="s">
        <v>31</v>
      </c>
      <c r="H27" s="9"/>
    </row>
    <row r="28" customFormat="false" ht="27.75" hidden="false" customHeight="true" outlineLevel="0" collapsed="false">
      <c r="A28" s="15" t="s">
        <v>181</v>
      </c>
      <c r="B28" s="16" t="s">
        <v>182</v>
      </c>
      <c r="C28" s="16" t="s">
        <v>183</v>
      </c>
      <c r="D28" s="16" t="s">
        <v>184</v>
      </c>
      <c r="E28" s="16" t="s">
        <v>185</v>
      </c>
      <c r="F28" s="16" t="s">
        <v>186</v>
      </c>
      <c r="H28" s="9"/>
    </row>
    <row r="29" customFormat="false" ht="15" hidden="false" customHeight="true" outlineLevel="0" collapsed="false">
      <c r="A29" s="10" t="s">
        <v>187</v>
      </c>
      <c r="B29" s="18" t="n">
        <f aca="false">B12</f>
        <v>87.7328</v>
      </c>
      <c r="C29" s="18" t="n">
        <f aca="false">MIN(B29,$B$15)</f>
        <v>30</v>
      </c>
      <c r="D29" s="18" t="n">
        <f aca="false">C29</f>
        <v>30</v>
      </c>
      <c r="E29" s="18" t="n">
        <f aca="false">0</f>
        <v>0</v>
      </c>
      <c r="F29" s="18" t="n">
        <f aca="false">D29</f>
        <v>30</v>
      </c>
      <c r="H29" s="9"/>
    </row>
    <row r="30" customFormat="false" ht="15" hidden="false" customHeight="true" outlineLevel="0" collapsed="false">
      <c r="A30" s="10" t="s">
        <v>188</v>
      </c>
      <c r="B30" s="18" t="n">
        <f aca="false">B29-C29</f>
        <v>57.7328</v>
      </c>
      <c r="C30" s="18" t="n">
        <f aca="false">MIN(B30,$B$16)</f>
        <v>20.78633472</v>
      </c>
      <c r="D30" s="18" t="n">
        <f aca="false">C30</f>
        <v>20.78633472</v>
      </c>
      <c r="E30" s="18" t="n">
        <f aca="false">0</f>
        <v>0</v>
      </c>
      <c r="F30" s="18" t="n">
        <f aca="false">F29+D30</f>
        <v>50.78633472</v>
      </c>
      <c r="H30" s="9"/>
    </row>
    <row r="31" customFormat="false" ht="15" hidden="false" customHeight="true" outlineLevel="0" collapsed="false">
      <c r="A31" s="10" t="s">
        <v>189</v>
      </c>
      <c r="B31" s="18" t="n">
        <f aca="false">B30-C30</f>
        <v>36.94646528</v>
      </c>
      <c r="C31" s="18" t="n">
        <f aca="false">MIN(B31,$B$17)</f>
        <v>13.85755648</v>
      </c>
      <c r="D31" s="18" t="n">
        <f aca="false">C31*(1-'Deal terms'!$B$17)</f>
        <v>6.92877824</v>
      </c>
      <c r="E31" s="18" t="n">
        <f aca="false">C31*'Deal terms'!$B$17</f>
        <v>6.92877824</v>
      </c>
      <c r="F31" s="18" t="n">
        <f aca="false">F30+D31</f>
        <v>57.71511296</v>
      </c>
      <c r="H31" s="9"/>
    </row>
    <row r="32" customFormat="false" ht="15" hidden="false" customHeight="true" outlineLevel="0" collapsed="false">
      <c r="A32" s="10" t="s">
        <v>190</v>
      </c>
      <c r="B32" s="18" t="n">
        <f aca="false">B31-C31</f>
        <v>23.0889088</v>
      </c>
      <c r="C32" s="18" t="n">
        <f aca="false">MIN(B32,MAX(0,($B$25-F31)/(1-'Deal terms'!$B$20)))</f>
        <v>17.2803308000001</v>
      </c>
      <c r="D32" s="18" t="n">
        <f aca="false">C32*(1-'Deal terms'!$B$20)</f>
        <v>13.82426464</v>
      </c>
      <c r="E32" s="18" t="n">
        <f aca="false">C32*'Deal terms'!$B$20</f>
        <v>3.45606616000001</v>
      </c>
      <c r="F32" s="18" t="n">
        <f aca="false">F31+D32</f>
        <v>71.5393776</v>
      </c>
      <c r="H32" s="9"/>
    </row>
    <row r="33" customFormat="false" ht="15" hidden="false" customHeight="true" outlineLevel="0" collapsed="false">
      <c r="A33" s="10" t="s">
        <v>191</v>
      </c>
      <c r="B33" s="18" t="n">
        <f aca="false">B32-C32</f>
        <v>5.80857799999997</v>
      </c>
      <c r="C33" s="18" t="n">
        <f aca="false">B33</f>
        <v>5.80857799999997</v>
      </c>
      <c r="D33" s="18" t="n">
        <f aca="false">C33*(1-'Deal terms'!$B$21)</f>
        <v>4.06600459999998</v>
      </c>
      <c r="E33" s="18" t="n">
        <f aca="false">C33*'Deal terms'!$B$21</f>
        <v>1.74257339999999</v>
      </c>
      <c r="F33" s="18" t="n">
        <f aca="false">F32+D33</f>
        <v>75.6053822</v>
      </c>
      <c r="H33" s="9"/>
    </row>
    <row r="34" customFormat="false" ht="15" hidden="false" customHeight="true" outlineLevel="0" collapsed="false">
      <c r="A34" s="19" t="s">
        <v>97</v>
      </c>
      <c r="B34" s="20" t="n">
        <f aca="false">B12</f>
        <v>87.7328</v>
      </c>
      <c r="C34" s="20" t="n">
        <f aca="false">SUM(C29:C33)</f>
        <v>87.7328</v>
      </c>
      <c r="D34" s="20" t="n">
        <f aca="false">SUM(D29:D33)</f>
        <v>75.6053822</v>
      </c>
      <c r="E34" s="20" t="n">
        <f aca="false">SUM(E29:E33)</f>
        <v>12.1274178</v>
      </c>
      <c r="F34" s="20" t="n">
        <f aca="false">F33</f>
        <v>75.6053822</v>
      </c>
      <c r="H34" s="9"/>
    </row>
    <row r="35" customFormat="false" ht="15" hidden="false" customHeight="true" outlineLevel="0" collapsed="false">
      <c r="A35" s="4" t="s">
        <v>192</v>
      </c>
      <c r="C35" s="4" t="str">
        <f aca="false">IF(ABS(C34-B12)&lt;0.005,"balances","OUT BY "&amp;TEXT(C34-B12,"0.00"))</f>
        <v>balances</v>
      </c>
    </row>
    <row r="37" customFormat="false" ht="15" hidden="false" customHeight="true" outlineLevel="0" collapsed="false">
      <c r="A37" s="5" t="s">
        <v>193</v>
      </c>
    </row>
    <row r="38" customFormat="false" ht="15" hidden="false" customHeight="true" outlineLevel="0" collapsed="false">
      <c r="A38" s="10" t="s">
        <v>194</v>
      </c>
      <c r="B38" s="18" t="n">
        <f aca="false">E34</f>
        <v>12.1274178</v>
      </c>
    </row>
    <row r="39" customFormat="false" ht="15" hidden="false" customHeight="true" outlineLevel="0" collapsed="false">
      <c r="A39" s="10" t="s">
        <v>195</v>
      </c>
      <c r="B39" s="18" t="n">
        <f aca="false">-'Deal terms'!$B$34</f>
        <v>-2</v>
      </c>
    </row>
    <row r="40" customFormat="false" ht="15" hidden="false" customHeight="true" outlineLevel="0" collapsed="false">
      <c r="A40" s="10" t="s">
        <v>196</v>
      </c>
      <c r="B40" s="18" t="n">
        <f aca="false">-('Deal terms'!$B$34*(1+'Deal terms'!$B$35)^2-'Deal terms'!$B$34)</f>
        <v>-0.3328</v>
      </c>
    </row>
    <row r="41" customFormat="false" ht="15" hidden="false" customHeight="true" outlineLevel="0" collapsed="false">
      <c r="A41" s="23" t="s">
        <v>197</v>
      </c>
      <c r="B41" s="24" t="n">
        <f aca="false">SUM(B38:B40)</f>
        <v>9.7946178</v>
      </c>
    </row>
    <row r="43" customFormat="false" ht="15" hidden="false" customHeight="true" outlineLevel="0" collapsed="false">
      <c r="A43" s="23" t="s">
        <v>198</v>
      </c>
    </row>
    <row r="44" customFormat="false" ht="15" hidden="false" customHeight="true" outlineLevel="0" collapsed="false">
      <c r="A44" s="10" t="s">
        <v>184</v>
      </c>
      <c r="B44" s="18" t="n">
        <f aca="false">D34</f>
        <v>75.6053822</v>
      </c>
    </row>
    <row r="45" customFormat="false" ht="15" hidden="false" customHeight="true" outlineLevel="0" collapsed="false">
      <c r="A45" s="10" t="s">
        <v>199</v>
      </c>
      <c r="B45" s="18" t="n">
        <f aca="false">B41</f>
        <v>9.7946178</v>
      </c>
    </row>
    <row r="46" customFormat="false" ht="15" hidden="false" customHeight="true" outlineLevel="0" collapsed="false">
      <c r="A46" s="10" t="s">
        <v>200</v>
      </c>
      <c r="B46" s="24" t="n">
        <f aca="false">B44+B45</f>
        <v>85.4</v>
      </c>
      <c r="C46" s="4" t="str">
        <f aca="false">IF(ABS(B46-B10)&lt;0.005,"reconciles to "&amp;TEXT(B10,"0.00"),"OUT BY "&amp;TEXT(B46-B10,"0.00"))</f>
        <v>reconciles to 85.40</v>
      </c>
    </row>
    <row r="48" customFormat="false" ht="15" hidden="false" customHeight="false" outlineLevel="0" collapsed="false">
      <c r="A48" s="7" t="s">
        <v>201</v>
      </c>
    </row>
    <row r="49" customFormat="false" ht="42" hidden="false" customHeight="true" outlineLevel="0" collapsed="false">
      <c r="A49" s="28" t="s">
        <v>202</v>
      </c>
      <c r="B49" s="28"/>
      <c r="C49" s="28"/>
      <c r="D49" s="28"/>
      <c r="E49" s="28"/>
      <c r="F49" s="28"/>
    </row>
    <row r="50" customFormat="false" ht="15" hidden="false" customHeight="false" outlineLevel="0" collapsed="false">
      <c r="A50" s="29" t="s">
        <v>203</v>
      </c>
      <c r="B50" s="30" t="n">
        <f aca="false">E34</f>
        <v>12.1274178</v>
      </c>
    </row>
    <row r="51" customFormat="false" ht="15" hidden="false" customHeight="false" outlineLevel="0" collapsed="false">
      <c r="A51" s="29" t="s">
        <v>204</v>
      </c>
      <c r="B51" s="30" t="n">
        <f aca="false">MIN(B31,('Deal terms'!$B$18*B16/(1-'Deal terms'!$B$18)))+'Deal terms'!$B$20*MIN(MAX(0,B31-('Deal terms'!$B$18*B16/(1-'Deal terms'!$B$18))),MAX(0,B25-F30)/(1-'Deal terms'!$B$20))+'Deal terms'!$B$21*MAX(0,B31-('Deal terms'!$B$18*B16/(1-'Deal terms'!$B$18))-MAX(0,B25-F30)/(1-'Deal terms'!$B$20))</f>
        <v>12.1274178</v>
      </c>
    </row>
    <row r="52" customFormat="false" ht="15" hidden="false" customHeight="false" outlineLevel="0" collapsed="false">
      <c r="A52" s="29" t="s">
        <v>205</v>
      </c>
      <c r="B52" s="30" t="n">
        <f aca="false">E31+'Deal terms'!$B$20*(B31-C31)</f>
        <v>11.54656</v>
      </c>
    </row>
    <row r="53" customFormat="false" ht="15" hidden="false" customHeight="false" outlineLevel="0" collapsed="false">
      <c r="A53" s="29" t="s">
        <v>206</v>
      </c>
      <c r="B53" s="30" t="n">
        <f aca="false">MIN(B31,('Deal terms'!$B$18*B16/(1-'Deal terms'!$B$18)))+'Deal terms'!$B$20*MAX(0,B31-('Deal terms'!$B$18*B16/(1-'Deal terms'!$B$18)))</f>
        <v>11.54656</v>
      </c>
    </row>
    <row r="54" customFormat="false" ht="15" hidden="false" customHeight="false" outlineLevel="0" collapsed="false">
      <c r="A54" s="29" t="s">
        <v>207</v>
      </c>
      <c r="B54" s="31" t="n">
        <f aca="false">B51-B50</f>
        <v>0</v>
      </c>
      <c r="C54" s="32" t="s">
        <v>208</v>
      </c>
    </row>
    <row r="55" customFormat="false" ht="15" hidden="false" customHeight="false" outlineLevel="0" collapsed="false">
      <c r="A55" s="29" t="s">
        <v>209</v>
      </c>
      <c r="B55" s="31" t="n">
        <f aca="false">B50-B52</f>
        <v>0.580857799999997</v>
      </c>
    </row>
  </sheetData>
  <mergeCells count="3">
    <mergeCell ref="H5:H34"/>
    <mergeCell ref="A20:F20"/>
    <mergeCell ref="A49:F4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8"/>
    <col collapsed="false" customWidth="true" hidden="false" outlineLevel="0" max="7" min="2" style="1" width="13"/>
    <col collapsed="false" customWidth="true" hidden="false" outlineLevel="0" max="8" min="8" style="1" width="3"/>
    <col collapsed="false" customWidth="true" hidden="false" outlineLevel="0" max="9" min="9" style="1" width="52"/>
  </cols>
  <sheetData>
    <row r="1" customFormat="false" ht="17.25" hidden="false" customHeight="true" outlineLevel="0" collapsed="false">
      <c r="A1" s="8" t="s">
        <v>210</v>
      </c>
    </row>
    <row r="2" customFormat="false" ht="15" hidden="false" customHeight="true" outlineLevel="0" collapsed="false">
      <c r="A2" s="4" t="s">
        <v>211</v>
      </c>
    </row>
    <row r="4" customFormat="false" ht="15" hidden="false" customHeight="true" outlineLevel="0" collapsed="false">
      <c r="I4" s="5" t="s">
        <v>212</v>
      </c>
    </row>
    <row r="5" customFormat="false" ht="27.75" hidden="false" customHeight="true" outlineLevel="0" collapsed="false">
      <c r="A5" s="15" t="s">
        <v>213</v>
      </c>
      <c r="B5" s="16" t="s">
        <v>171</v>
      </c>
      <c r="C5" s="16" t="s">
        <v>172</v>
      </c>
      <c r="D5" s="16" t="s">
        <v>173</v>
      </c>
      <c r="E5" s="16" t="s">
        <v>174</v>
      </c>
      <c r="F5" s="16" t="s">
        <v>175</v>
      </c>
      <c r="G5" s="16" t="s">
        <v>214</v>
      </c>
      <c r="I5" s="9" t="s">
        <v>215</v>
      </c>
    </row>
    <row r="6" customFormat="false" ht="15" hidden="false" customHeight="true" outlineLevel="0" collapsed="false">
      <c r="A6" s="10" t="s">
        <v>216</v>
      </c>
      <c r="B6" s="18" t="n">
        <f aca="false">-'Deal terms'!$B$11*'Deal terms'!$B$12</f>
        <v>-45</v>
      </c>
      <c r="C6" s="18" t="n">
        <f aca="false">(-'Deal terms'!$B$31+Operations!B24)*'Deal terms'!$B$12</f>
        <v>-2.7</v>
      </c>
      <c r="D6" s="18" t="n">
        <f aca="false">Operations!C24*'Deal terms'!$B$12</f>
        <v>2.7</v>
      </c>
      <c r="E6" s="18" t="n">
        <f aca="false">(Operations!D24+'Sources and uses'!B28)*'Deal terms'!$B$12</f>
        <v>14.4</v>
      </c>
      <c r="F6" s="18" t="n">
        <f aca="false">Operations!E24*'Deal terms'!$B$12</f>
        <v>3.6</v>
      </c>
      <c r="G6" s="18" t="n">
        <f aca="false">'Exit waterfall'!D34*'Deal terms'!$B$12</f>
        <v>68.04484398</v>
      </c>
      <c r="I6" s="9"/>
    </row>
    <row r="7" customFormat="false" ht="15" hidden="false" customHeight="true" outlineLevel="0" collapsed="false">
      <c r="A7" s="10" t="s">
        <v>217</v>
      </c>
      <c r="B7" s="18" t="n">
        <f aca="false">-'Deal terms'!$B$11*'Deal terms'!$B$13</f>
        <v>-5</v>
      </c>
      <c r="C7" s="18" t="n">
        <f aca="false">(-'Deal terms'!$B$31+Operations!B24)*'Deal terms'!$B$13</f>
        <v>-0.3</v>
      </c>
      <c r="D7" s="18" t="n">
        <f aca="false">Operations!C24*'Deal terms'!$B$13</f>
        <v>0.3</v>
      </c>
      <c r="E7" s="18" t="n">
        <f aca="false">(Operations!D24+'Sources and uses'!B28)*'Deal terms'!$B$13+'Deal terms'!$B$34</f>
        <v>3.6</v>
      </c>
      <c r="F7" s="18" t="n">
        <f aca="false">Operations!E24*'Deal terms'!$B$13</f>
        <v>0.4</v>
      </c>
      <c r="G7" s="18" t="n">
        <f aca="false">'Exit waterfall'!D34*'Deal terms'!$B$13+'Exit waterfall'!B41</f>
        <v>17.35515602</v>
      </c>
      <c r="I7" s="9"/>
    </row>
    <row r="8" customFormat="false" ht="15" hidden="false" customHeight="true" outlineLevel="0" collapsed="false">
      <c r="A8" s="23" t="s">
        <v>218</v>
      </c>
      <c r="B8" s="24" t="n">
        <f aca="false">B6+B7</f>
        <v>-50</v>
      </c>
      <c r="C8" s="24" t="n">
        <f aca="false">C6+C7</f>
        <v>-3</v>
      </c>
      <c r="D8" s="24" t="n">
        <f aca="false">D6+D7</f>
        <v>3</v>
      </c>
      <c r="E8" s="24" t="n">
        <f aca="false">E6+E7</f>
        <v>18</v>
      </c>
      <c r="F8" s="24" t="n">
        <f aca="false">F6+F7</f>
        <v>4</v>
      </c>
      <c r="G8" s="24" t="n">
        <f aca="false">G6+G7</f>
        <v>85.4</v>
      </c>
      <c r="I8" s="9"/>
    </row>
    <row r="9" customFormat="false" ht="15" hidden="false" customHeight="true" outlineLevel="0" collapsed="false">
      <c r="I9" s="9"/>
    </row>
    <row r="10" customFormat="false" ht="15" hidden="false" customHeight="true" outlineLevel="0" collapsed="false">
      <c r="A10" s="5" t="s">
        <v>219</v>
      </c>
      <c r="I10" s="9"/>
    </row>
    <row r="11" customFormat="false" ht="27.75" hidden="false" customHeight="true" outlineLevel="0" collapsed="false">
      <c r="A11" s="15" t="s">
        <v>220</v>
      </c>
      <c r="B11" s="16" t="s">
        <v>216</v>
      </c>
      <c r="C11" s="16" t="s">
        <v>217</v>
      </c>
      <c r="D11" s="16" t="s">
        <v>218</v>
      </c>
      <c r="I11" s="9"/>
    </row>
    <row r="12" customFormat="false" ht="15" hidden="false" customHeight="true" outlineLevel="0" collapsed="false">
      <c r="A12" s="10" t="s">
        <v>176</v>
      </c>
      <c r="B12" s="18" t="n">
        <f aca="false">'Deal terms'!$B$11*'Deal terms'!$B$12+'Deal terms'!$B$31*'Deal terms'!$B$12</f>
        <v>50.4</v>
      </c>
      <c r="C12" s="18" t="n">
        <f aca="false">'Deal terms'!$B$11*'Deal terms'!$B$13+'Deal terms'!$B$31*'Deal terms'!$B$13</f>
        <v>5.6</v>
      </c>
      <c r="D12" s="18" t="n">
        <f aca="false">B12+C12</f>
        <v>56</v>
      </c>
      <c r="I12" s="9"/>
    </row>
    <row r="13" customFormat="false" ht="15" hidden="false" customHeight="true" outlineLevel="0" collapsed="false">
      <c r="A13" s="10" t="s">
        <v>221</v>
      </c>
      <c r="B13" s="18" t="n">
        <f aca="false">(Operations!G24+'Sources and uses'!B28+'Exit waterfall'!D34-Operations!F24)*'Deal terms'!$B$12</f>
        <v>91.44484398</v>
      </c>
      <c r="C13" s="18" t="n">
        <f aca="false">(Operations!G24+'Sources and uses'!B28+'Exit waterfall'!D34-Operations!F24)*'Deal terms'!$B$13+'Deal terms'!$B$34+'Exit waterfall'!B41</f>
        <v>21.95515602</v>
      </c>
      <c r="D13" s="18" t="n">
        <f aca="false">B13+C13</f>
        <v>113.4</v>
      </c>
      <c r="I13" s="9"/>
    </row>
    <row r="14" customFormat="false" ht="15" hidden="false" customHeight="true" outlineLevel="0" collapsed="false">
      <c r="A14" s="23" t="s">
        <v>222</v>
      </c>
      <c r="B14" s="33" t="n">
        <f aca="false">B13/B12</f>
        <v>1.814381825</v>
      </c>
      <c r="C14" s="33" t="n">
        <f aca="false">C13/C12</f>
        <v>3.920563575</v>
      </c>
      <c r="D14" s="33" t="n">
        <f aca="false">D13/D12</f>
        <v>2.025</v>
      </c>
      <c r="I14" s="9"/>
    </row>
    <row r="15" customFormat="false" ht="15" hidden="false" customHeight="true" outlineLevel="0" collapsed="false">
      <c r="A15" s="23" t="s">
        <v>223</v>
      </c>
      <c r="B15" s="34" t="n">
        <f aca="false">IRR(B6:G6)</f>
        <v>0.150280708696637</v>
      </c>
      <c r="C15" s="34" t="n">
        <f aca="false">IRR(B7:G7)</f>
        <v>0.37306206052699</v>
      </c>
      <c r="D15" s="34" t="n">
        <f aca="false">IRR(B8:G8)</f>
        <v>0.179793533582691</v>
      </c>
      <c r="I15" s="9"/>
    </row>
    <row r="16" customFormat="false" ht="15" hidden="false" customHeight="true" outlineLevel="0" collapsed="false">
      <c r="I16" s="9"/>
    </row>
    <row r="17" customFormat="false" ht="15" hidden="false" customHeight="true" outlineLevel="0" collapsed="false">
      <c r="A17" s="5" t="s">
        <v>224</v>
      </c>
      <c r="I17" s="9"/>
    </row>
    <row r="18" customFormat="false" ht="15" hidden="false" customHeight="true" outlineLevel="0" collapsed="false">
      <c r="A18" s="21" t="s">
        <v>225</v>
      </c>
      <c r="B18" s="21"/>
      <c r="C18" s="21"/>
      <c r="D18" s="21"/>
      <c r="E18" s="21"/>
      <c r="F18" s="21"/>
      <c r="G18" s="21"/>
      <c r="I18" s="9"/>
    </row>
    <row r="19" customFormat="false" ht="27.75" hidden="false" customHeight="true" outlineLevel="0" collapsed="false">
      <c r="A19" s="15"/>
      <c r="B19" s="16" t="s">
        <v>171</v>
      </c>
      <c r="C19" s="16" t="s">
        <v>172</v>
      </c>
      <c r="D19" s="16" t="s">
        <v>173</v>
      </c>
      <c r="E19" s="16" t="s">
        <v>174</v>
      </c>
      <c r="F19" s="16" t="s">
        <v>175</v>
      </c>
      <c r="G19" s="16" t="s">
        <v>214</v>
      </c>
      <c r="I19" s="9"/>
    </row>
    <row r="20" customFormat="false" ht="15" hidden="false" customHeight="true" outlineLevel="0" collapsed="false">
      <c r="A20" s="10" t="s">
        <v>226</v>
      </c>
      <c r="B20" s="18" t="n">
        <f aca="false">B8</f>
        <v>-50</v>
      </c>
      <c r="C20" s="18" t="n">
        <f aca="false">C8</f>
        <v>-3</v>
      </c>
      <c r="D20" s="18" t="n">
        <f aca="false">D8</f>
        <v>3</v>
      </c>
      <c r="E20" s="18" t="n">
        <f aca="false">E8</f>
        <v>18</v>
      </c>
      <c r="F20" s="18" t="n">
        <f aca="false">F8</f>
        <v>4</v>
      </c>
      <c r="G20" s="18" t="n">
        <f aca="false">G8</f>
        <v>85.4</v>
      </c>
      <c r="I20" s="9"/>
    </row>
    <row r="21" customFormat="false" ht="15" hidden="false" customHeight="true" outlineLevel="0" collapsed="false">
      <c r="A21" s="10" t="s">
        <v>227</v>
      </c>
      <c r="B21" s="18" t="n">
        <f aca="false">'Deal terms'!$B$24*'Deal terms'!$B$6</f>
        <v>0.75</v>
      </c>
      <c r="C21" s="17" t="n">
        <f aca="false">Operations!B11</f>
        <v>0.525</v>
      </c>
      <c r="D21" s="17" t="n">
        <f aca="false">Operations!C11</f>
        <v>0.55</v>
      </c>
      <c r="E21" s="17" t="n">
        <f aca="false">Operations!D11</f>
        <v>0.55</v>
      </c>
      <c r="F21" s="17" t="n">
        <f aca="false">Operations!E11</f>
        <v>0.61</v>
      </c>
      <c r="G21" s="17" t="n">
        <f aca="false">Operations!F11</f>
        <v>0.61</v>
      </c>
      <c r="I21" s="9"/>
    </row>
    <row r="22" customFormat="false" ht="15" hidden="false" customHeight="true" outlineLevel="0" collapsed="false">
      <c r="A22" s="23" t="s">
        <v>228</v>
      </c>
      <c r="B22" s="24" t="n">
        <f aca="false">B20+B21</f>
        <v>-49.25</v>
      </c>
      <c r="C22" s="24" t="n">
        <f aca="false">C20+C21</f>
        <v>-2.475</v>
      </c>
      <c r="D22" s="24" t="n">
        <f aca="false">D20+D21</f>
        <v>3.55</v>
      </c>
      <c r="E22" s="24" t="n">
        <f aca="false">E20+E21</f>
        <v>18.55</v>
      </c>
      <c r="F22" s="24" t="n">
        <f aca="false">F20+F21</f>
        <v>4.61</v>
      </c>
      <c r="G22" s="24" t="n">
        <f aca="false">G20+G21</f>
        <v>86.01</v>
      </c>
      <c r="I22" s="9"/>
    </row>
    <row r="23" customFormat="false" ht="15" hidden="false" customHeight="true" outlineLevel="0" collapsed="false">
      <c r="I23" s="9"/>
    </row>
    <row r="24" customFormat="false" ht="15" hidden="false" customHeight="true" outlineLevel="0" collapsed="false">
      <c r="A24" s="10" t="s">
        <v>229</v>
      </c>
      <c r="B24" s="34" t="n">
        <f aca="false">IRR(B22:G22)</f>
        <v>0.192797017573481</v>
      </c>
      <c r="C24" s="33" t="n">
        <f aca="false">SUMIF(B22:G22,"&gt;0")/-SUMIF(B22:G22,"&lt;0")</f>
        <v>2.17921701304978</v>
      </c>
      <c r="D24" s="21" t="s">
        <v>230</v>
      </c>
      <c r="E24" s="21"/>
      <c r="F24" s="21"/>
      <c r="G24" s="21"/>
      <c r="I24" s="9"/>
    </row>
    <row r="25" customFormat="false" ht="15" hidden="false" customHeight="true" outlineLevel="0" collapsed="false">
      <c r="A25" s="10" t="s">
        <v>231</v>
      </c>
      <c r="B25" s="13" t="n">
        <f aca="false">D15</f>
        <v>0.179793533582691</v>
      </c>
      <c r="C25" s="35" t="n">
        <f aca="false">SUMIF(B8:G8,"&gt;0")/-SUMIF(B8:G8,"&lt;0")</f>
        <v>2.08301886792453</v>
      </c>
      <c r="D25" s="21" t="s">
        <v>232</v>
      </c>
      <c r="E25" s="21"/>
      <c r="F25" s="21"/>
      <c r="G25" s="21"/>
      <c r="I25" s="9"/>
    </row>
    <row r="26" customFormat="false" ht="15" hidden="false" customHeight="true" outlineLevel="0" collapsed="false">
      <c r="A26" s="10" t="s">
        <v>233</v>
      </c>
      <c r="B26" s="13" t="n">
        <f aca="false">B15</f>
        <v>0.150280708696637</v>
      </c>
      <c r="C26" s="35" t="n">
        <f aca="false">SUMIF(B6:G6,"&gt;0")/-SUMIF(B6:G6,"&lt;0")</f>
        <v>1.86047890943396</v>
      </c>
      <c r="D26" s="21" t="s">
        <v>234</v>
      </c>
      <c r="E26" s="21"/>
      <c r="F26" s="21"/>
      <c r="G26" s="21"/>
      <c r="I26" s="9"/>
    </row>
    <row r="27" customFormat="false" ht="15" hidden="false" customHeight="true" outlineLevel="0" collapsed="false">
      <c r="I27" s="9"/>
    </row>
    <row r="28" customFormat="false" ht="15" hidden="false" customHeight="true" outlineLevel="0" collapsed="false">
      <c r="A28" s="10" t="s">
        <v>235</v>
      </c>
      <c r="B28" s="36" t="n">
        <f aca="false">B24-B25</f>
        <v>0.0130034839907902</v>
      </c>
      <c r="I28" s="9"/>
    </row>
    <row r="29" customFormat="false" ht="15" hidden="false" customHeight="true" outlineLevel="0" collapsed="false">
      <c r="A29" s="10" t="s">
        <v>236</v>
      </c>
      <c r="B29" s="36" t="n">
        <f aca="false">B25-B26</f>
        <v>0.0295128248860541</v>
      </c>
      <c r="I29" s="9"/>
    </row>
    <row r="30" customFormat="false" ht="15" hidden="false" customHeight="true" outlineLevel="0" collapsed="false">
      <c r="I30" s="9"/>
    </row>
    <row r="31" customFormat="false" ht="15" hidden="false" customHeight="true" outlineLevel="0" collapsed="false">
      <c r="A31" s="10" t="s">
        <v>237</v>
      </c>
      <c r="B31" s="13" t="n">
        <f aca="false">'Exit waterfall'!E34/(D13-D12)</f>
        <v>0.211279055749129</v>
      </c>
      <c r="C31" s="21" t="s">
        <v>238</v>
      </c>
      <c r="D31" s="21"/>
      <c r="E31" s="21"/>
      <c r="F31" s="21"/>
      <c r="G31" s="21"/>
    </row>
  </sheetData>
  <mergeCells count="6">
    <mergeCell ref="I5:I30"/>
    <mergeCell ref="A18:G18"/>
    <mergeCell ref="D24:G24"/>
    <mergeCell ref="D25:G25"/>
    <mergeCell ref="D26:G26"/>
    <mergeCell ref="C31:G3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0"/>
    <col collapsed="false" customWidth="true" hidden="false" outlineLevel="0" max="5" min="2" style="1" width="14"/>
    <col collapsed="false" customWidth="true" hidden="false" outlineLevel="0" max="6" min="6" style="1" width="16"/>
    <col collapsed="false" customWidth="true" hidden="false" outlineLevel="0" max="7" min="7" style="1" width="3"/>
    <col collapsed="false" customWidth="true" hidden="false" outlineLevel="0" max="8" min="8" style="1" width="52"/>
  </cols>
  <sheetData>
    <row r="1" customFormat="false" ht="17.25" hidden="false" customHeight="true" outlineLevel="0" collapsed="false">
      <c r="A1" s="8" t="s">
        <v>239</v>
      </c>
    </row>
    <row r="2" customFormat="false" ht="15" hidden="false" customHeight="true" outlineLevel="0" collapsed="false">
      <c r="A2" s="4" t="s">
        <v>240</v>
      </c>
    </row>
    <row r="4" customFormat="false" ht="15" hidden="false" customHeight="true" outlineLevel="0" collapsed="false">
      <c r="A4" s="10" t="s">
        <v>155</v>
      </c>
      <c r="B4" s="11" t="n">
        <v>118</v>
      </c>
      <c r="H4" s="5" t="s">
        <v>241</v>
      </c>
    </row>
    <row r="5" customFormat="false" ht="15" hidden="false" customHeight="true" outlineLevel="0" collapsed="false">
      <c r="A5" s="10" t="s">
        <v>157</v>
      </c>
      <c r="B5" s="18" t="n">
        <f aca="false">-B4*'Deal terms'!$B$37</f>
        <v>-1.18</v>
      </c>
      <c r="H5" s="9" t="s">
        <v>242</v>
      </c>
    </row>
    <row r="6" customFormat="false" ht="15" hidden="false" customHeight="true" outlineLevel="0" collapsed="false">
      <c r="A6" s="10" t="s">
        <v>158</v>
      </c>
      <c r="B6" s="17" t="n">
        <f aca="false">-'Deal terms'!$B$33</f>
        <v>-78</v>
      </c>
      <c r="H6" s="9"/>
    </row>
    <row r="7" customFormat="false" ht="15" hidden="false" customHeight="true" outlineLevel="0" collapsed="false">
      <c r="A7" s="10" t="s">
        <v>159</v>
      </c>
      <c r="B7" s="18" t="n">
        <f aca="false">SUM(B4:B6)</f>
        <v>38.82</v>
      </c>
      <c r="H7" s="9"/>
    </row>
    <row r="8" customFormat="false" ht="15" hidden="false" customHeight="true" outlineLevel="0" collapsed="false">
      <c r="A8" s="10" t="s">
        <v>160</v>
      </c>
      <c r="B8" s="17" t="n">
        <f aca="false">Operations!F24</f>
        <v>5</v>
      </c>
      <c r="H8" s="9"/>
    </row>
    <row r="9" customFormat="false" ht="15" hidden="false" customHeight="true" outlineLevel="0" collapsed="false">
      <c r="A9" s="10" t="s">
        <v>162</v>
      </c>
      <c r="B9" s="17" t="n">
        <f aca="false">'Exit waterfall'!B11</f>
        <v>2.3328</v>
      </c>
      <c r="H9" s="9"/>
    </row>
    <row r="10" customFormat="false" ht="15" hidden="false" customHeight="true" outlineLevel="0" collapsed="false">
      <c r="A10" s="23" t="s">
        <v>163</v>
      </c>
      <c r="B10" s="24" t="n">
        <f aca="false">B7+B8+B9</f>
        <v>46.1528</v>
      </c>
      <c r="H10" s="9"/>
    </row>
    <row r="11" customFormat="false" ht="15" hidden="false" customHeight="true" outlineLevel="0" collapsed="false">
      <c r="H11" s="9"/>
    </row>
    <row r="12" customFormat="false" ht="15" hidden="false" customHeight="true" outlineLevel="0" collapsed="false">
      <c r="A12" s="10" t="s">
        <v>165</v>
      </c>
      <c r="B12" s="17" t="n">
        <f aca="false">'Exit waterfall'!B15</f>
        <v>30</v>
      </c>
      <c r="H12" s="9"/>
    </row>
    <row r="13" customFormat="false" ht="15" hidden="false" customHeight="true" outlineLevel="0" collapsed="false">
      <c r="A13" s="10" t="s">
        <v>166</v>
      </c>
      <c r="B13" s="17" t="n">
        <f aca="false">'Exit waterfall'!B16</f>
        <v>20.78633472</v>
      </c>
      <c r="H13" s="9"/>
    </row>
    <row r="14" customFormat="false" ht="15" hidden="false" customHeight="true" outlineLevel="0" collapsed="false">
      <c r="A14" s="10" t="s">
        <v>138</v>
      </c>
      <c r="B14" s="18" t="n">
        <f aca="false">MAX(0,B10-B12)</f>
        <v>16.1528</v>
      </c>
      <c r="H14" s="9"/>
    </row>
    <row r="15" customFormat="false" ht="15" hidden="false" customHeight="true" outlineLevel="0" collapsed="false">
      <c r="A15" s="10" t="s">
        <v>140</v>
      </c>
      <c r="B15" s="18" t="n">
        <f aca="false">MAX(0,B13-B14)</f>
        <v>4.63353472</v>
      </c>
      <c r="H15" s="9"/>
    </row>
    <row r="16" customFormat="false" ht="15" hidden="false" customHeight="true" outlineLevel="0" collapsed="false">
      <c r="A16" s="10" t="s">
        <v>243</v>
      </c>
      <c r="B16" s="18" t="n">
        <f aca="false">IF(B14&lt;B13,0,"above the pref — use the Exit waterfall sheet")</f>
        <v>0</v>
      </c>
      <c r="H16" s="9"/>
    </row>
    <row r="17" customFormat="false" ht="15" hidden="false" customHeight="true" outlineLevel="0" collapsed="false">
      <c r="A17" s="10" t="s">
        <v>244</v>
      </c>
      <c r="B17" s="18" t="n">
        <f aca="false">IF(B16=0,B9,0)</f>
        <v>2.3328</v>
      </c>
      <c r="H17" s="9"/>
    </row>
    <row r="18" customFormat="false" ht="15" hidden="false" customHeight="true" outlineLevel="0" collapsed="false">
      <c r="H18" s="9"/>
    </row>
    <row r="19" customFormat="false" ht="15" hidden="false" customHeight="true" outlineLevel="0" collapsed="false">
      <c r="A19" s="5" t="s">
        <v>245</v>
      </c>
      <c r="H19" s="9"/>
    </row>
    <row r="20" customFormat="false" ht="15" hidden="false" customHeight="true" outlineLevel="0" collapsed="false">
      <c r="A20" s="10" t="s">
        <v>246</v>
      </c>
      <c r="B20" s="18" t="n">
        <f aca="false">B12+B13</f>
        <v>50.78633472</v>
      </c>
      <c r="H20" s="9"/>
    </row>
    <row r="21" customFormat="false" ht="15" hidden="false" customHeight="true" outlineLevel="0" collapsed="false">
      <c r="A21" s="10" t="s">
        <v>247</v>
      </c>
      <c r="B21" s="18" t="n">
        <f aca="false">-B8-B9</f>
        <v>-7.3328</v>
      </c>
      <c r="H21" s="9"/>
    </row>
    <row r="22" customFormat="false" ht="15" hidden="false" customHeight="true" outlineLevel="0" collapsed="false">
      <c r="A22" s="10" t="s">
        <v>248</v>
      </c>
      <c r="B22" s="18" t="n">
        <f aca="false">B20+B21</f>
        <v>43.45353472</v>
      </c>
      <c r="H22" s="9"/>
    </row>
    <row r="23" customFormat="false" ht="15" hidden="false" customHeight="true" outlineLevel="0" collapsed="false">
      <c r="A23" s="23" t="s">
        <v>249</v>
      </c>
      <c r="B23" s="24" t="n">
        <f aca="false">(B22+'Deal terms'!$B$33)/(1-'Deal terms'!$B$37)</f>
        <v>122.68033810101</v>
      </c>
      <c r="H23" s="9"/>
    </row>
    <row r="24" customFormat="false" ht="15" hidden="false" customHeight="true" outlineLevel="0" collapsed="false">
      <c r="H24" s="9"/>
    </row>
    <row r="25" customFormat="false" ht="15" hidden="false" customHeight="true" outlineLevel="0" collapsed="false">
      <c r="A25" s="5" t="s">
        <v>250</v>
      </c>
      <c r="H25" s="9"/>
    </row>
    <row r="26" customFormat="false" ht="27.75" hidden="false" customHeight="true" outlineLevel="0" collapsed="false">
      <c r="A26" s="15" t="s">
        <v>251</v>
      </c>
      <c r="B26" s="16" t="s">
        <v>252</v>
      </c>
      <c r="C26" s="16" t="s">
        <v>184</v>
      </c>
      <c r="D26" s="16" t="s">
        <v>253</v>
      </c>
      <c r="E26" s="16" t="s">
        <v>254</v>
      </c>
      <c r="H26" s="9"/>
    </row>
    <row r="27" customFormat="false" ht="15" hidden="false" customHeight="true" outlineLevel="0" collapsed="false">
      <c r="A27" s="22" t="n">
        <v>110</v>
      </c>
      <c r="B27" s="18" t="n">
        <f aca="false">(A27*(1-'Deal terms'!$B$37)-'Deal terms'!$B$33+$B$8+$B$9)</f>
        <v>38.2328</v>
      </c>
      <c r="C27" s="18" t="n">
        <f aca="false">(A27*(1-'Deal terms'!$B$37)-'Deal terms'!$B$33+$B$8+$B$9)-(MIN(MAX(0,(A27*(1-'Deal terms'!$B$37)-'Deal terms'!$B$33+$B$8+$B$9)-$B$12-$B$13),('Deal terms'!$B$18*$B$13/('Deal terms'!$B$17-'Deal terms'!$B$18)))*'Deal terms'!$B$17+MIN(MAX(0,(A27*(1-'Deal terms'!$B$37)-'Deal terms'!$B$33+$B$8+$B$9)-$B$12-$B$13-('Deal terms'!$B$18*$B$13/('Deal terms'!$B$17-'Deal terms'!$B$18))),MAX(0,('Exit waterfall'!$B$25-(MIN((A27*(1-'Deal terms'!$B$37)-'Deal terms'!$B$33+$B$8+$B$9),$B$12)+MIN(MAX(0,(A27*(1-'Deal terms'!$B$37)-'Deal terms'!$B$33+$B$8+$B$9)-$B$12),$B$13)+MIN(MAX(0,(A27*(1-'Deal terms'!$B$37)-'Deal terms'!$B$33+$B$8+$B$9)-$B$12-$B$13),('Deal terms'!$B$18*$B$13/('Deal terms'!$B$17-'Deal terms'!$B$18)))*(1-'Deal terms'!$B$17)))/(1-'Deal terms'!$B$20)))*'Deal terms'!$B$20+MAX(0,(A27*(1-'Deal terms'!$B$37)-'Deal terms'!$B$33+$B$8+$B$9)-$B$12-$B$13-('Deal terms'!$B$18*$B$13/('Deal terms'!$B$17-'Deal terms'!$B$18))-MIN(MAX(0,(A27*(1-'Deal terms'!$B$37)-'Deal terms'!$B$33+$B$8+$B$9)-$B$12-$B$13-('Deal terms'!$B$18*$B$13/('Deal terms'!$B$17-'Deal terms'!$B$18))),MAX(0,('Exit waterfall'!$B$25-(MIN((A27*(1-'Deal terms'!$B$37)-'Deal terms'!$B$33+$B$8+$B$9),$B$12)+MIN(MAX(0,(A27*(1-'Deal terms'!$B$37)-'Deal terms'!$B$33+$B$8+$B$9)-$B$12),$B$13)+MIN(MAX(0,(A27*(1-'Deal terms'!$B$37)-'Deal terms'!$B$33+$B$8+$B$9)-$B$12-$B$13),('Deal terms'!$B$18*$B$13/('Deal terms'!$B$17-'Deal terms'!$B$18)))*(1-'Deal terms'!$B$17)))/(1-'Deal terms'!$B$20))))*'Deal terms'!$B$21)</f>
        <v>38.2328</v>
      </c>
      <c r="D27" s="18" t="n">
        <f aca="false">(MIN(MAX(0,(A27*(1-'Deal terms'!$B$37)-'Deal terms'!$B$33+$B$8+$B$9)-$B$12-$B$13),('Deal terms'!$B$18*$B$13/('Deal terms'!$B$17-'Deal terms'!$B$18)))*'Deal terms'!$B$17+MIN(MAX(0,(A27*(1-'Deal terms'!$B$37)-'Deal terms'!$B$33+$B$8+$B$9)-$B$12-$B$13-('Deal terms'!$B$18*$B$13/('Deal terms'!$B$17-'Deal terms'!$B$18))),MAX(0,('Exit waterfall'!$B$25-(MIN((A27*(1-'Deal terms'!$B$37)-'Deal terms'!$B$33+$B$8+$B$9),$B$12)+MIN(MAX(0,(A27*(1-'Deal terms'!$B$37)-'Deal terms'!$B$33+$B$8+$B$9)-$B$12),$B$13)+MIN(MAX(0,(A27*(1-'Deal terms'!$B$37)-'Deal terms'!$B$33+$B$8+$B$9)-$B$12-$B$13),('Deal terms'!$B$18*$B$13/('Deal terms'!$B$17-'Deal terms'!$B$18)))*(1-'Deal terms'!$B$17)))/(1-'Deal terms'!$B$20)))*'Deal terms'!$B$20+MAX(0,(A27*(1-'Deal terms'!$B$37)-'Deal terms'!$B$33+$B$8+$B$9)-$B$12-$B$13-('Deal terms'!$B$18*$B$13/('Deal terms'!$B$17-'Deal terms'!$B$18))-MIN(MAX(0,(A27*(1-'Deal terms'!$B$37)-'Deal terms'!$B$33+$B$8+$B$9)-$B$12-$B$13-('Deal terms'!$B$18*$B$13/('Deal terms'!$B$17-'Deal terms'!$B$18))),MAX(0,('Exit waterfall'!$B$25-(MIN((A27*(1-'Deal terms'!$B$37)-'Deal terms'!$B$33+$B$8+$B$9),$B$12)+MIN(MAX(0,(A27*(1-'Deal terms'!$B$37)-'Deal terms'!$B$33+$B$8+$B$9)-$B$12),$B$13)+MIN(MAX(0,(A27*(1-'Deal terms'!$B$37)-'Deal terms'!$B$33+$B$8+$B$9)-$B$12-$B$13),('Deal terms'!$B$18*$B$13/('Deal terms'!$B$17-'Deal terms'!$B$18)))*(1-'Deal terms'!$B$17)))/(1-'Deal terms'!$B$20))))*'Deal terms'!$B$21)</f>
        <v>0</v>
      </c>
      <c r="E27" s="35" t="n">
        <f aca="false">((Operations!$G$24+'Sources and uses'!$B$28-Operations!$F$24+((A27*(1-'Deal terms'!$B$37)-'Deal terms'!$B$33+$B$8+$B$9)-(MIN(MAX(0,(A27*(1-'Deal terms'!$B$37)-'Deal terms'!$B$33+$B$8+$B$9)-$B$12-$B$13),('Deal terms'!$B$18*$B$13/('Deal terms'!$B$17-'Deal terms'!$B$18)))*'Deal terms'!$B$17+MIN(MAX(0,(A27*(1-'Deal terms'!$B$37)-'Deal terms'!$B$33+$B$8+$B$9)-$B$12-$B$13-('Deal terms'!$B$18*$B$13/('Deal terms'!$B$17-'Deal terms'!$B$18))),MAX(0,('Exit waterfall'!$B$25-(MIN((A27*(1-'Deal terms'!$B$37)-'Deal terms'!$B$33+$B$8+$B$9),$B$12)+MIN(MAX(0,(A27*(1-'Deal terms'!$B$37)-'Deal terms'!$B$33+$B$8+$B$9)-$B$12),$B$13)+MIN(MAX(0,(A27*(1-'Deal terms'!$B$37)-'Deal terms'!$B$33+$B$8+$B$9)-$B$12-$B$13),('Deal terms'!$B$18*$B$13/('Deal terms'!$B$17-'Deal terms'!$B$18)))*(1-'Deal terms'!$B$17)))/(1-'Deal terms'!$B$20)))*'Deal terms'!$B$20+MAX(0,(A27*(1-'Deal terms'!$B$37)-'Deal terms'!$B$33+$B$8+$B$9)-$B$12-$B$13-('Deal terms'!$B$18*$B$13/('Deal terms'!$B$17-'Deal terms'!$B$18))-MIN(MAX(0,(A27*(1-'Deal terms'!$B$37)-'Deal terms'!$B$33+$B$8+$B$9)-$B$12-$B$13-('Deal terms'!$B$18*$B$13/('Deal terms'!$B$17-'Deal terms'!$B$18))),MAX(0,('Exit waterfall'!$B$25-(MIN((A27*(1-'Deal terms'!$B$37)-'Deal terms'!$B$33+$B$8+$B$9),$B$12)+MIN(MAX(0,(A27*(1-'Deal terms'!$B$37)-'Deal terms'!$B$33+$B$8+$B$9)-$B$12),$B$13)+MIN(MAX(0,(A27*(1-'Deal terms'!$B$37)-'Deal terms'!$B$33+$B$8+$B$9)-$B$12-$B$13),('Deal terms'!$B$18*$B$13/('Deal terms'!$B$17-'Deal terms'!$B$18)))*(1-'Deal terms'!$B$17)))/(1-'Deal terms'!$B$20))))*'Deal terms'!$B$21)))*'Deal terms'!$B$12)/(('Deal terms'!$B$11+'Deal terms'!$B$31)*'Deal terms'!$B$12)</f>
        <v>1.14701428571429</v>
      </c>
      <c r="H27" s="9"/>
    </row>
    <row r="28" customFormat="false" ht="15" hidden="false" customHeight="true" outlineLevel="0" collapsed="false">
      <c r="A28" s="22" t="n">
        <v>118</v>
      </c>
      <c r="B28" s="18" t="n">
        <f aca="false">(A28*(1-'Deal terms'!$B$37)-'Deal terms'!$B$33+$B$8+$B$9)</f>
        <v>46.1528</v>
      </c>
      <c r="C28" s="18" t="n">
        <f aca="false">(A28*(1-'Deal terms'!$B$37)-'Deal terms'!$B$33+$B$8+$B$9)-(MIN(MAX(0,(A28*(1-'Deal terms'!$B$37)-'Deal terms'!$B$33+$B$8+$B$9)-$B$12-$B$13),('Deal terms'!$B$18*$B$13/('Deal terms'!$B$17-'Deal terms'!$B$18)))*'Deal terms'!$B$17+MIN(MAX(0,(A28*(1-'Deal terms'!$B$37)-'Deal terms'!$B$33+$B$8+$B$9)-$B$12-$B$13-('Deal terms'!$B$18*$B$13/('Deal terms'!$B$17-'Deal terms'!$B$18))),MAX(0,('Exit waterfall'!$B$25-(MIN((A28*(1-'Deal terms'!$B$37)-'Deal terms'!$B$33+$B$8+$B$9),$B$12)+MIN(MAX(0,(A28*(1-'Deal terms'!$B$37)-'Deal terms'!$B$33+$B$8+$B$9)-$B$12),$B$13)+MIN(MAX(0,(A28*(1-'Deal terms'!$B$37)-'Deal terms'!$B$33+$B$8+$B$9)-$B$12-$B$13),('Deal terms'!$B$18*$B$13/('Deal terms'!$B$17-'Deal terms'!$B$18)))*(1-'Deal terms'!$B$17)))/(1-'Deal terms'!$B$20)))*'Deal terms'!$B$20+MAX(0,(A28*(1-'Deal terms'!$B$37)-'Deal terms'!$B$33+$B$8+$B$9)-$B$12-$B$13-('Deal terms'!$B$18*$B$13/('Deal terms'!$B$17-'Deal terms'!$B$18))-MIN(MAX(0,(A28*(1-'Deal terms'!$B$37)-'Deal terms'!$B$33+$B$8+$B$9)-$B$12-$B$13-('Deal terms'!$B$18*$B$13/('Deal terms'!$B$17-'Deal terms'!$B$18))),MAX(0,('Exit waterfall'!$B$25-(MIN((A28*(1-'Deal terms'!$B$37)-'Deal terms'!$B$33+$B$8+$B$9),$B$12)+MIN(MAX(0,(A28*(1-'Deal terms'!$B$37)-'Deal terms'!$B$33+$B$8+$B$9)-$B$12),$B$13)+MIN(MAX(0,(A28*(1-'Deal terms'!$B$37)-'Deal terms'!$B$33+$B$8+$B$9)-$B$12-$B$13),('Deal terms'!$B$18*$B$13/('Deal terms'!$B$17-'Deal terms'!$B$18)))*(1-'Deal terms'!$B$17)))/(1-'Deal terms'!$B$20))))*'Deal terms'!$B$21)</f>
        <v>46.1528</v>
      </c>
      <c r="D28" s="18" t="n">
        <f aca="false">(MIN(MAX(0,(A28*(1-'Deal terms'!$B$37)-'Deal terms'!$B$33+$B$8+$B$9)-$B$12-$B$13),('Deal terms'!$B$18*$B$13/('Deal terms'!$B$17-'Deal terms'!$B$18)))*'Deal terms'!$B$17+MIN(MAX(0,(A28*(1-'Deal terms'!$B$37)-'Deal terms'!$B$33+$B$8+$B$9)-$B$12-$B$13-('Deal terms'!$B$18*$B$13/('Deal terms'!$B$17-'Deal terms'!$B$18))),MAX(0,('Exit waterfall'!$B$25-(MIN((A28*(1-'Deal terms'!$B$37)-'Deal terms'!$B$33+$B$8+$B$9),$B$12)+MIN(MAX(0,(A28*(1-'Deal terms'!$B$37)-'Deal terms'!$B$33+$B$8+$B$9)-$B$12),$B$13)+MIN(MAX(0,(A28*(1-'Deal terms'!$B$37)-'Deal terms'!$B$33+$B$8+$B$9)-$B$12-$B$13),('Deal terms'!$B$18*$B$13/('Deal terms'!$B$17-'Deal terms'!$B$18)))*(1-'Deal terms'!$B$17)))/(1-'Deal terms'!$B$20)))*'Deal terms'!$B$20+MAX(0,(A28*(1-'Deal terms'!$B$37)-'Deal terms'!$B$33+$B$8+$B$9)-$B$12-$B$13-('Deal terms'!$B$18*$B$13/('Deal terms'!$B$17-'Deal terms'!$B$18))-MIN(MAX(0,(A28*(1-'Deal terms'!$B$37)-'Deal terms'!$B$33+$B$8+$B$9)-$B$12-$B$13-('Deal terms'!$B$18*$B$13/('Deal terms'!$B$17-'Deal terms'!$B$18))),MAX(0,('Exit waterfall'!$B$25-(MIN((A28*(1-'Deal terms'!$B$37)-'Deal terms'!$B$33+$B$8+$B$9),$B$12)+MIN(MAX(0,(A28*(1-'Deal terms'!$B$37)-'Deal terms'!$B$33+$B$8+$B$9)-$B$12),$B$13)+MIN(MAX(0,(A28*(1-'Deal terms'!$B$37)-'Deal terms'!$B$33+$B$8+$B$9)-$B$12-$B$13),('Deal terms'!$B$18*$B$13/('Deal terms'!$B$17-'Deal terms'!$B$18)))*(1-'Deal terms'!$B$17)))/(1-'Deal terms'!$B$20))))*'Deal terms'!$B$21)</f>
        <v>0</v>
      </c>
      <c r="E28" s="35" t="n">
        <f aca="false">((Operations!$G$24+'Sources and uses'!$B$28-Operations!$F$24+((A28*(1-'Deal terms'!$B$37)-'Deal terms'!$B$33+$B$8+$B$9)-(MIN(MAX(0,(A28*(1-'Deal terms'!$B$37)-'Deal terms'!$B$33+$B$8+$B$9)-$B$12-$B$13),('Deal terms'!$B$18*$B$13/('Deal terms'!$B$17-'Deal terms'!$B$18)))*'Deal terms'!$B$17+MIN(MAX(0,(A28*(1-'Deal terms'!$B$37)-'Deal terms'!$B$33+$B$8+$B$9)-$B$12-$B$13-('Deal terms'!$B$18*$B$13/('Deal terms'!$B$17-'Deal terms'!$B$18))),MAX(0,('Exit waterfall'!$B$25-(MIN((A28*(1-'Deal terms'!$B$37)-'Deal terms'!$B$33+$B$8+$B$9),$B$12)+MIN(MAX(0,(A28*(1-'Deal terms'!$B$37)-'Deal terms'!$B$33+$B$8+$B$9)-$B$12),$B$13)+MIN(MAX(0,(A28*(1-'Deal terms'!$B$37)-'Deal terms'!$B$33+$B$8+$B$9)-$B$12-$B$13),('Deal terms'!$B$18*$B$13/('Deal terms'!$B$17-'Deal terms'!$B$18)))*(1-'Deal terms'!$B$17)))/(1-'Deal terms'!$B$20)))*'Deal terms'!$B$20+MAX(0,(A28*(1-'Deal terms'!$B$37)-'Deal terms'!$B$33+$B$8+$B$9)-$B$12-$B$13-('Deal terms'!$B$18*$B$13/('Deal terms'!$B$17-'Deal terms'!$B$18))-MIN(MAX(0,(A28*(1-'Deal terms'!$B$37)-'Deal terms'!$B$33+$B$8+$B$9)-$B$12-$B$13-('Deal terms'!$B$18*$B$13/('Deal terms'!$B$17-'Deal terms'!$B$18))),MAX(0,('Exit waterfall'!$B$25-(MIN((A28*(1-'Deal terms'!$B$37)-'Deal terms'!$B$33+$B$8+$B$9),$B$12)+MIN(MAX(0,(A28*(1-'Deal terms'!$B$37)-'Deal terms'!$B$33+$B$8+$B$9)-$B$12),$B$13)+MIN(MAX(0,(A28*(1-'Deal terms'!$B$37)-'Deal terms'!$B$33+$B$8+$B$9)-$B$12-$B$13),('Deal terms'!$B$18*$B$13/('Deal terms'!$B$17-'Deal terms'!$B$18)))*(1-'Deal terms'!$B$17)))/(1-'Deal terms'!$B$20))))*'Deal terms'!$B$21)))*'Deal terms'!$B$12)/(('Deal terms'!$B$11+'Deal terms'!$B$31)*'Deal terms'!$B$12)</f>
        <v>1.28844285714286</v>
      </c>
      <c r="H28" s="9"/>
    </row>
    <row r="29" customFormat="false" ht="15" hidden="false" customHeight="true" outlineLevel="0" collapsed="false">
      <c r="A29" s="22" t="n">
        <v>125</v>
      </c>
      <c r="B29" s="18" t="n">
        <f aca="false">(A29*(1-'Deal terms'!$B$37)-'Deal terms'!$B$33+$B$8+$B$9)</f>
        <v>53.0828</v>
      </c>
      <c r="C29" s="18" t="n">
        <f aca="false">(A29*(1-'Deal terms'!$B$37)-'Deal terms'!$B$33+$B$8+$B$9)-(MIN(MAX(0,(A29*(1-'Deal terms'!$B$37)-'Deal terms'!$B$33+$B$8+$B$9)-$B$12-$B$13),('Deal terms'!$B$18*$B$13/('Deal terms'!$B$17-'Deal terms'!$B$18)))*'Deal terms'!$B$17+MIN(MAX(0,(A29*(1-'Deal terms'!$B$37)-'Deal terms'!$B$33+$B$8+$B$9)-$B$12-$B$13-('Deal terms'!$B$18*$B$13/('Deal terms'!$B$17-'Deal terms'!$B$18))),MAX(0,('Exit waterfall'!$B$25-(MIN((A29*(1-'Deal terms'!$B$37)-'Deal terms'!$B$33+$B$8+$B$9),$B$12)+MIN(MAX(0,(A29*(1-'Deal terms'!$B$37)-'Deal terms'!$B$33+$B$8+$B$9)-$B$12),$B$13)+MIN(MAX(0,(A29*(1-'Deal terms'!$B$37)-'Deal terms'!$B$33+$B$8+$B$9)-$B$12-$B$13),('Deal terms'!$B$18*$B$13/('Deal terms'!$B$17-'Deal terms'!$B$18)))*(1-'Deal terms'!$B$17)))/(1-'Deal terms'!$B$20)))*'Deal terms'!$B$20+MAX(0,(A29*(1-'Deal terms'!$B$37)-'Deal terms'!$B$33+$B$8+$B$9)-$B$12-$B$13-('Deal terms'!$B$18*$B$13/('Deal terms'!$B$17-'Deal terms'!$B$18))-MIN(MAX(0,(A29*(1-'Deal terms'!$B$37)-'Deal terms'!$B$33+$B$8+$B$9)-$B$12-$B$13-('Deal terms'!$B$18*$B$13/('Deal terms'!$B$17-'Deal terms'!$B$18))),MAX(0,('Exit waterfall'!$B$25-(MIN((A29*(1-'Deal terms'!$B$37)-'Deal terms'!$B$33+$B$8+$B$9),$B$12)+MIN(MAX(0,(A29*(1-'Deal terms'!$B$37)-'Deal terms'!$B$33+$B$8+$B$9)-$B$12),$B$13)+MIN(MAX(0,(A29*(1-'Deal terms'!$B$37)-'Deal terms'!$B$33+$B$8+$B$9)-$B$12-$B$13),('Deal terms'!$B$18*$B$13/('Deal terms'!$B$17-'Deal terms'!$B$18)))*(1-'Deal terms'!$B$17)))/(1-'Deal terms'!$B$20))))*'Deal terms'!$B$21)</f>
        <v>51.93456736</v>
      </c>
      <c r="D29" s="18" t="n">
        <f aca="false">(MIN(MAX(0,(A29*(1-'Deal terms'!$B$37)-'Deal terms'!$B$33+$B$8+$B$9)-$B$12-$B$13),('Deal terms'!$B$18*$B$13/('Deal terms'!$B$17-'Deal terms'!$B$18)))*'Deal terms'!$B$17+MIN(MAX(0,(A29*(1-'Deal terms'!$B$37)-'Deal terms'!$B$33+$B$8+$B$9)-$B$12-$B$13-('Deal terms'!$B$18*$B$13/('Deal terms'!$B$17-'Deal terms'!$B$18))),MAX(0,('Exit waterfall'!$B$25-(MIN((A29*(1-'Deal terms'!$B$37)-'Deal terms'!$B$33+$B$8+$B$9),$B$12)+MIN(MAX(0,(A29*(1-'Deal terms'!$B$37)-'Deal terms'!$B$33+$B$8+$B$9)-$B$12),$B$13)+MIN(MAX(0,(A29*(1-'Deal terms'!$B$37)-'Deal terms'!$B$33+$B$8+$B$9)-$B$12-$B$13),('Deal terms'!$B$18*$B$13/('Deal terms'!$B$17-'Deal terms'!$B$18)))*(1-'Deal terms'!$B$17)))/(1-'Deal terms'!$B$20)))*'Deal terms'!$B$20+MAX(0,(A29*(1-'Deal terms'!$B$37)-'Deal terms'!$B$33+$B$8+$B$9)-$B$12-$B$13-('Deal terms'!$B$18*$B$13/('Deal terms'!$B$17-'Deal terms'!$B$18))-MIN(MAX(0,(A29*(1-'Deal terms'!$B$37)-'Deal terms'!$B$33+$B$8+$B$9)-$B$12-$B$13-('Deal terms'!$B$18*$B$13/('Deal terms'!$B$17-'Deal terms'!$B$18))),MAX(0,('Exit waterfall'!$B$25-(MIN((A29*(1-'Deal terms'!$B$37)-'Deal terms'!$B$33+$B$8+$B$9),$B$12)+MIN(MAX(0,(A29*(1-'Deal terms'!$B$37)-'Deal terms'!$B$33+$B$8+$B$9)-$B$12),$B$13)+MIN(MAX(0,(A29*(1-'Deal terms'!$B$37)-'Deal terms'!$B$33+$B$8+$B$9)-$B$12-$B$13),('Deal terms'!$B$18*$B$13/('Deal terms'!$B$17-'Deal terms'!$B$18)))*(1-'Deal terms'!$B$17)))/(1-'Deal terms'!$B$20))))*'Deal terms'!$B$21)</f>
        <v>1.14823264</v>
      </c>
      <c r="E29" s="35" t="n">
        <f aca="false">((Operations!$G$24+'Sources and uses'!$B$28-Operations!$F$24+((A29*(1-'Deal terms'!$B$37)-'Deal terms'!$B$33+$B$8+$B$9)-(MIN(MAX(0,(A29*(1-'Deal terms'!$B$37)-'Deal terms'!$B$33+$B$8+$B$9)-$B$12-$B$13),('Deal terms'!$B$18*$B$13/('Deal terms'!$B$17-'Deal terms'!$B$18)))*'Deal terms'!$B$17+MIN(MAX(0,(A29*(1-'Deal terms'!$B$37)-'Deal terms'!$B$33+$B$8+$B$9)-$B$12-$B$13-('Deal terms'!$B$18*$B$13/('Deal terms'!$B$17-'Deal terms'!$B$18))),MAX(0,('Exit waterfall'!$B$25-(MIN((A29*(1-'Deal terms'!$B$37)-'Deal terms'!$B$33+$B$8+$B$9),$B$12)+MIN(MAX(0,(A29*(1-'Deal terms'!$B$37)-'Deal terms'!$B$33+$B$8+$B$9)-$B$12),$B$13)+MIN(MAX(0,(A29*(1-'Deal terms'!$B$37)-'Deal terms'!$B$33+$B$8+$B$9)-$B$12-$B$13),('Deal terms'!$B$18*$B$13/('Deal terms'!$B$17-'Deal terms'!$B$18)))*(1-'Deal terms'!$B$17)))/(1-'Deal terms'!$B$20)))*'Deal terms'!$B$20+MAX(0,(A29*(1-'Deal terms'!$B$37)-'Deal terms'!$B$33+$B$8+$B$9)-$B$12-$B$13-('Deal terms'!$B$18*$B$13/('Deal terms'!$B$17-'Deal terms'!$B$18))-MIN(MAX(0,(A29*(1-'Deal terms'!$B$37)-'Deal terms'!$B$33+$B$8+$B$9)-$B$12-$B$13-('Deal terms'!$B$18*$B$13/('Deal terms'!$B$17-'Deal terms'!$B$18))),MAX(0,('Exit waterfall'!$B$25-(MIN((A29*(1-'Deal terms'!$B$37)-'Deal terms'!$B$33+$B$8+$B$9),$B$12)+MIN(MAX(0,(A29*(1-'Deal terms'!$B$37)-'Deal terms'!$B$33+$B$8+$B$9)-$B$12),$B$13)+MIN(MAX(0,(A29*(1-'Deal terms'!$B$37)-'Deal terms'!$B$33+$B$8+$B$9)-$B$12-$B$13),('Deal terms'!$B$18*$B$13/('Deal terms'!$B$17-'Deal terms'!$B$18)))*(1-'Deal terms'!$B$17)))/(1-'Deal terms'!$B$20))))*'Deal terms'!$B$21)))*'Deal terms'!$B$12)/(('Deal terms'!$B$11+'Deal terms'!$B$31)*'Deal terms'!$B$12)</f>
        <v>1.39168870285714</v>
      </c>
      <c r="H29" s="9"/>
    </row>
    <row r="30" customFormat="false" ht="15" hidden="false" customHeight="true" outlineLevel="0" collapsed="false">
      <c r="A30" s="22" t="n">
        <v>135</v>
      </c>
      <c r="B30" s="18" t="n">
        <f aca="false">(A30*(1-'Deal terms'!$B$37)-'Deal terms'!$B$33+$B$8+$B$9)</f>
        <v>62.9828</v>
      </c>
      <c r="C30" s="18" t="n">
        <f aca="false">(A30*(1-'Deal terms'!$B$37)-'Deal terms'!$B$33+$B$8+$B$9)-(MIN(MAX(0,(A30*(1-'Deal terms'!$B$37)-'Deal terms'!$B$33+$B$8+$B$9)-$B$12-$B$13),('Deal terms'!$B$18*$B$13/('Deal terms'!$B$17-'Deal terms'!$B$18)))*'Deal terms'!$B$17+MIN(MAX(0,(A30*(1-'Deal terms'!$B$37)-'Deal terms'!$B$33+$B$8+$B$9)-$B$12-$B$13-('Deal terms'!$B$18*$B$13/('Deal terms'!$B$17-'Deal terms'!$B$18))),MAX(0,('Exit waterfall'!$B$25-(MIN((A30*(1-'Deal terms'!$B$37)-'Deal terms'!$B$33+$B$8+$B$9),$B$12)+MIN(MAX(0,(A30*(1-'Deal terms'!$B$37)-'Deal terms'!$B$33+$B$8+$B$9)-$B$12),$B$13)+MIN(MAX(0,(A30*(1-'Deal terms'!$B$37)-'Deal terms'!$B$33+$B$8+$B$9)-$B$12-$B$13),('Deal terms'!$B$18*$B$13/('Deal terms'!$B$17-'Deal terms'!$B$18)))*(1-'Deal terms'!$B$17)))/(1-'Deal terms'!$B$20)))*'Deal terms'!$B$20+MAX(0,(A30*(1-'Deal terms'!$B$37)-'Deal terms'!$B$33+$B$8+$B$9)-$B$12-$B$13-('Deal terms'!$B$18*$B$13/('Deal terms'!$B$17-'Deal terms'!$B$18))-MIN(MAX(0,(A30*(1-'Deal terms'!$B$37)-'Deal terms'!$B$33+$B$8+$B$9)-$B$12-$B$13-('Deal terms'!$B$18*$B$13/('Deal terms'!$B$17-'Deal terms'!$B$18))),MAX(0,('Exit waterfall'!$B$25-(MIN((A30*(1-'Deal terms'!$B$37)-'Deal terms'!$B$33+$B$8+$B$9),$B$12)+MIN(MAX(0,(A30*(1-'Deal terms'!$B$37)-'Deal terms'!$B$33+$B$8+$B$9)-$B$12),$B$13)+MIN(MAX(0,(A30*(1-'Deal terms'!$B$37)-'Deal terms'!$B$33+$B$8+$B$9)-$B$12-$B$13),('Deal terms'!$B$18*$B$13/('Deal terms'!$B$17-'Deal terms'!$B$18)))*(1-'Deal terms'!$B$17)))/(1-'Deal terms'!$B$20))))*'Deal terms'!$B$21)</f>
        <v>56.88456736</v>
      </c>
      <c r="D30" s="18" t="n">
        <f aca="false">(MIN(MAX(0,(A30*(1-'Deal terms'!$B$37)-'Deal terms'!$B$33+$B$8+$B$9)-$B$12-$B$13),('Deal terms'!$B$18*$B$13/('Deal terms'!$B$17-'Deal terms'!$B$18)))*'Deal terms'!$B$17+MIN(MAX(0,(A30*(1-'Deal terms'!$B$37)-'Deal terms'!$B$33+$B$8+$B$9)-$B$12-$B$13-('Deal terms'!$B$18*$B$13/('Deal terms'!$B$17-'Deal terms'!$B$18))),MAX(0,('Exit waterfall'!$B$25-(MIN((A30*(1-'Deal terms'!$B$37)-'Deal terms'!$B$33+$B$8+$B$9),$B$12)+MIN(MAX(0,(A30*(1-'Deal terms'!$B$37)-'Deal terms'!$B$33+$B$8+$B$9)-$B$12),$B$13)+MIN(MAX(0,(A30*(1-'Deal terms'!$B$37)-'Deal terms'!$B$33+$B$8+$B$9)-$B$12-$B$13),('Deal terms'!$B$18*$B$13/('Deal terms'!$B$17-'Deal terms'!$B$18)))*(1-'Deal terms'!$B$17)))/(1-'Deal terms'!$B$20)))*'Deal terms'!$B$20+MAX(0,(A30*(1-'Deal terms'!$B$37)-'Deal terms'!$B$33+$B$8+$B$9)-$B$12-$B$13-('Deal terms'!$B$18*$B$13/('Deal terms'!$B$17-'Deal terms'!$B$18))-MIN(MAX(0,(A30*(1-'Deal terms'!$B$37)-'Deal terms'!$B$33+$B$8+$B$9)-$B$12-$B$13-('Deal terms'!$B$18*$B$13/('Deal terms'!$B$17-'Deal terms'!$B$18))),MAX(0,('Exit waterfall'!$B$25-(MIN((A30*(1-'Deal terms'!$B$37)-'Deal terms'!$B$33+$B$8+$B$9),$B$12)+MIN(MAX(0,(A30*(1-'Deal terms'!$B$37)-'Deal terms'!$B$33+$B$8+$B$9)-$B$12),$B$13)+MIN(MAX(0,(A30*(1-'Deal terms'!$B$37)-'Deal terms'!$B$33+$B$8+$B$9)-$B$12-$B$13),('Deal terms'!$B$18*$B$13/('Deal terms'!$B$17-'Deal terms'!$B$18)))*(1-'Deal terms'!$B$17)))/(1-'Deal terms'!$B$20))))*'Deal terms'!$B$21)</f>
        <v>6.09823264000001</v>
      </c>
      <c r="E30" s="35" t="n">
        <f aca="false">((Operations!$G$24+'Sources and uses'!$B$28-Operations!$F$24+((A30*(1-'Deal terms'!$B$37)-'Deal terms'!$B$33+$B$8+$B$9)-(MIN(MAX(0,(A30*(1-'Deal terms'!$B$37)-'Deal terms'!$B$33+$B$8+$B$9)-$B$12-$B$13),('Deal terms'!$B$18*$B$13/('Deal terms'!$B$17-'Deal terms'!$B$18)))*'Deal terms'!$B$17+MIN(MAX(0,(A30*(1-'Deal terms'!$B$37)-'Deal terms'!$B$33+$B$8+$B$9)-$B$12-$B$13-('Deal terms'!$B$18*$B$13/('Deal terms'!$B$17-'Deal terms'!$B$18))),MAX(0,('Exit waterfall'!$B$25-(MIN((A30*(1-'Deal terms'!$B$37)-'Deal terms'!$B$33+$B$8+$B$9),$B$12)+MIN(MAX(0,(A30*(1-'Deal terms'!$B$37)-'Deal terms'!$B$33+$B$8+$B$9)-$B$12),$B$13)+MIN(MAX(0,(A30*(1-'Deal terms'!$B$37)-'Deal terms'!$B$33+$B$8+$B$9)-$B$12-$B$13),('Deal terms'!$B$18*$B$13/('Deal terms'!$B$17-'Deal terms'!$B$18)))*(1-'Deal terms'!$B$17)))/(1-'Deal terms'!$B$20)))*'Deal terms'!$B$20+MAX(0,(A30*(1-'Deal terms'!$B$37)-'Deal terms'!$B$33+$B$8+$B$9)-$B$12-$B$13-('Deal terms'!$B$18*$B$13/('Deal terms'!$B$17-'Deal terms'!$B$18))-MIN(MAX(0,(A30*(1-'Deal terms'!$B$37)-'Deal terms'!$B$33+$B$8+$B$9)-$B$12-$B$13-('Deal terms'!$B$18*$B$13/('Deal terms'!$B$17-'Deal terms'!$B$18))),MAX(0,('Exit waterfall'!$B$25-(MIN((A30*(1-'Deal terms'!$B$37)-'Deal terms'!$B$33+$B$8+$B$9),$B$12)+MIN(MAX(0,(A30*(1-'Deal terms'!$B$37)-'Deal terms'!$B$33+$B$8+$B$9)-$B$12),$B$13)+MIN(MAX(0,(A30*(1-'Deal terms'!$B$37)-'Deal terms'!$B$33+$B$8+$B$9)-$B$12-$B$13),('Deal terms'!$B$18*$B$13/('Deal terms'!$B$17-'Deal terms'!$B$18)))*(1-'Deal terms'!$B$17)))/(1-'Deal terms'!$B$20))))*'Deal terms'!$B$21)))*'Deal terms'!$B$12)/(('Deal terms'!$B$11+'Deal terms'!$B$31)*'Deal terms'!$B$12)</f>
        <v>1.48008156</v>
      </c>
      <c r="H30" s="9"/>
    </row>
    <row r="31" customFormat="false" ht="15" hidden="false" customHeight="true" outlineLevel="0" collapsed="false">
      <c r="A31" s="22" t="n">
        <v>145</v>
      </c>
      <c r="B31" s="18" t="n">
        <f aca="false">(A31*(1-'Deal terms'!$B$37)-'Deal terms'!$B$33+$B$8+$B$9)</f>
        <v>72.8828</v>
      </c>
      <c r="C31" s="18" t="n">
        <f aca="false">(A31*(1-'Deal terms'!$B$37)-'Deal terms'!$B$33+$B$8+$B$9)-(MIN(MAX(0,(A31*(1-'Deal terms'!$B$37)-'Deal terms'!$B$33+$B$8+$B$9)-$B$12-$B$13),('Deal terms'!$B$18*$B$13/('Deal terms'!$B$17-'Deal terms'!$B$18)))*'Deal terms'!$B$17+MIN(MAX(0,(A31*(1-'Deal terms'!$B$37)-'Deal terms'!$B$33+$B$8+$B$9)-$B$12-$B$13-('Deal terms'!$B$18*$B$13/('Deal terms'!$B$17-'Deal terms'!$B$18))),MAX(0,('Exit waterfall'!$B$25-(MIN((A31*(1-'Deal terms'!$B$37)-'Deal terms'!$B$33+$B$8+$B$9),$B$12)+MIN(MAX(0,(A31*(1-'Deal terms'!$B$37)-'Deal terms'!$B$33+$B$8+$B$9)-$B$12),$B$13)+MIN(MAX(0,(A31*(1-'Deal terms'!$B$37)-'Deal terms'!$B$33+$B$8+$B$9)-$B$12-$B$13),('Deal terms'!$B$18*$B$13/('Deal terms'!$B$17-'Deal terms'!$B$18)))*(1-'Deal terms'!$B$17)))/(1-'Deal terms'!$B$20)))*'Deal terms'!$B$20+MAX(0,(A31*(1-'Deal terms'!$B$37)-'Deal terms'!$B$33+$B$8+$B$9)-$B$12-$B$13-('Deal terms'!$B$18*$B$13/('Deal terms'!$B$17-'Deal terms'!$B$18))-MIN(MAX(0,(A31*(1-'Deal terms'!$B$37)-'Deal terms'!$B$33+$B$8+$B$9)-$B$12-$B$13-('Deal terms'!$B$18*$B$13/('Deal terms'!$B$17-'Deal terms'!$B$18))),MAX(0,('Exit waterfall'!$B$25-(MIN((A31*(1-'Deal terms'!$B$37)-'Deal terms'!$B$33+$B$8+$B$9),$B$12)+MIN(MAX(0,(A31*(1-'Deal terms'!$B$37)-'Deal terms'!$B$33+$B$8+$B$9)-$B$12),$B$13)+MIN(MAX(0,(A31*(1-'Deal terms'!$B$37)-'Deal terms'!$B$33+$B$8+$B$9)-$B$12-$B$13),('Deal terms'!$B$18*$B$13/('Deal terms'!$B$17-'Deal terms'!$B$18)))*(1-'Deal terms'!$B$17)))/(1-'Deal terms'!$B$20))))*'Deal terms'!$B$21)</f>
        <v>64.30624</v>
      </c>
      <c r="D31" s="18" t="n">
        <f aca="false">(MIN(MAX(0,(A31*(1-'Deal terms'!$B$37)-'Deal terms'!$B$33+$B$8+$B$9)-$B$12-$B$13),('Deal terms'!$B$18*$B$13/('Deal terms'!$B$17-'Deal terms'!$B$18)))*'Deal terms'!$B$17+MIN(MAX(0,(A31*(1-'Deal terms'!$B$37)-'Deal terms'!$B$33+$B$8+$B$9)-$B$12-$B$13-('Deal terms'!$B$18*$B$13/('Deal terms'!$B$17-'Deal terms'!$B$18))),MAX(0,('Exit waterfall'!$B$25-(MIN((A31*(1-'Deal terms'!$B$37)-'Deal terms'!$B$33+$B$8+$B$9),$B$12)+MIN(MAX(0,(A31*(1-'Deal terms'!$B$37)-'Deal terms'!$B$33+$B$8+$B$9)-$B$12),$B$13)+MIN(MAX(0,(A31*(1-'Deal terms'!$B$37)-'Deal terms'!$B$33+$B$8+$B$9)-$B$12-$B$13),('Deal terms'!$B$18*$B$13/('Deal terms'!$B$17-'Deal terms'!$B$18)))*(1-'Deal terms'!$B$17)))/(1-'Deal terms'!$B$20)))*'Deal terms'!$B$20+MAX(0,(A31*(1-'Deal terms'!$B$37)-'Deal terms'!$B$33+$B$8+$B$9)-$B$12-$B$13-('Deal terms'!$B$18*$B$13/('Deal terms'!$B$17-'Deal terms'!$B$18))-MIN(MAX(0,(A31*(1-'Deal terms'!$B$37)-'Deal terms'!$B$33+$B$8+$B$9)-$B$12-$B$13-('Deal terms'!$B$18*$B$13/('Deal terms'!$B$17-'Deal terms'!$B$18))),MAX(0,('Exit waterfall'!$B$25-(MIN((A31*(1-'Deal terms'!$B$37)-'Deal terms'!$B$33+$B$8+$B$9),$B$12)+MIN(MAX(0,(A31*(1-'Deal terms'!$B$37)-'Deal terms'!$B$33+$B$8+$B$9)-$B$12),$B$13)+MIN(MAX(0,(A31*(1-'Deal terms'!$B$37)-'Deal terms'!$B$33+$B$8+$B$9)-$B$12-$B$13),('Deal terms'!$B$18*$B$13/('Deal terms'!$B$17-'Deal terms'!$B$18)))*(1-'Deal terms'!$B$17)))/(1-'Deal terms'!$B$20))))*'Deal terms'!$B$21)</f>
        <v>8.57656</v>
      </c>
      <c r="E31" s="35" t="n">
        <f aca="false">((Operations!$G$24+'Sources and uses'!$B$28-Operations!$F$24+((A31*(1-'Deal terms'!$B$37)-'Deal terms'!$B$33+$B$8+$B$9)-(MIN(MAX(0,(A31*(1-'Deal terms'!$B$37)-'Deal terms'!$B$33+$B$8+$B$9)-$B$12-$B$13),('Deal terms'!$B$18*$B$13/('Deal terms'!$B$17-'Deal terms'!$B$18)))*'Deal terms'!$B$17+MIN(MAX(0,(A31*(1-'Deal terms'!$B$37)-'Deal terms'!$B$33+$B$8+$B$9)-$B$12-$B$13-('Deal terms'!$B$18*$B$13/('Deal terms'!$B$17-'Deal terms'!$B$18))),MAX(0,('Exit waterfall'!$B$25-(MIN((A31*(1-'Deal terms'!$B$37)-'Deal terms'!$B$33+$B$8+$B$9),$B$12)+MIN(MAX(0,(A31*(1-'Deal terms'!$B$37)-'Deal terms'!$B$33+$B$8+$B$9)-$B$12),$B$13)+MIN(MAX(0,(A31*(1-'Deal terms'!$B$37)-'Deal terms'!$B$33+$B$8+$B$9)-$B$12-$B$13),('Deal terms'!$B$18*$B$13/('Deal terms'!$B$17-'Deal terms'!$B$18)))*(1-'Deal terms'!$B$17)))/(1-'Deal terms'!$B$20)))*'Deal terms'!$B$20+MAX(0,(A31*(1-'Deal terms'!$B$37)-'Deal terms'!$B$33+$B$8+$B$9)-$B$12-$B$13-('Deal terms'!$B$18*$B$13/('Deal terms'!$B$17-'Deal terms'!$B$18))-MIN(MAX(0,(A31*(1-'Deal terms'!$B$37)-'Deal terms'!$B$33+$B$8+$B$9)-$B$12-$B$13-('Deal terms'!$B$18*$B$13/('Deal terms'!$B$17-'Deal terms'!$B$18))),MAX(0,('Exit waterfall'!$B$25-(MIN((A31*(1-'Deal terms'!$B$37)-'Deal terms'!$B$33+$B$8+$B$9),$B$12)+MIN(MAX(0,(A31*(1-'Deal terms'!$B$37)-'Deal terms'!$B$33+$B$8+$B$9)-$B$12),$B$13)+MIN(MAX(0,(A31*(1-'Deal terms'!$B$37)-'Deal terms'!$B$33+$B$8+$B$9)-$B$12-$B$13),('Deal terms'!$B$18*$B$13/('Deal terms'!$B$17-'Deal terms'!$B$18)))*(1-'Deal terms'!$B$17)))/(1-'Deal terms'!$B$20))))*'Deal terms'!$B$21)))*'Deal terms'!$B$12)/(('Deal terms'!$B$11+'Deal terms'!$B$31)*'Deal terms'!$B$12)</f>
        <v>1.61261142857143</v>
      </c>
      <c r="H31" s="9"/>
    </row>
    <row r="32" customFormat="false" ht="15" hidden="false" customHeight="true" outlineLevel="0" collapsed="false">
      <c r="A32" s="22" t="n">
        <v>160</v>
      </c>
      <c r="B32" s="18" t="n">
        <f aca="false">(A32*(1-'Deal terms'!$B$37)-'Deal terms'!$B$33+$B$8+$B$9)</f>
        <v>87.7328</v>
      </c>
      <c r="C32" s="18" t="n">
        <f aca="false">(A32*(1-'Deal terms'!$B$37)-'Deal terms'!$B$33+$B$8+$B$9)-(MIN(MAX(0,(A32*(1-'Deal terms'!$B$37)-'Deal terms'!$B$33+$B$8+$B$9)-$B$12-$B$13),('Deal terms'!$B$18*$B$13/('Deal terms'!$B$17-'Deal terms'!$B$18)))*'Deal terms'!$B$17+MIN(MAX(0,(A32*(1-'Deal terms'!$B$37)-'Deal terms'!$B$33+$B$8+$B$9)-$B$12-$B$13-('Deal terms'!$B$18*$B$13/('Deal terms'!$B$17-'Deal terms'!$B$18))),MAX(0,('Exit waterfall'!$B$25-(MIN((A32*(1-'Deal terms'!$B$37)-'Deal terms'!$B$33+$B$8+$B$9),$B$12)+MIN(MAX(0,(A32*(1-'Deal terms'!$B$37)-'Deal terms'!$B$33+$B$8+$B$9)-$B$12),$B$13)+MIN(MAX(0,(A32*(1-'Deal terms'!$B$37)-'Deal terms'!$B$33+$B$8+$B$9)-$B$12-$B$13),('Deal terms'!$B$18*$B$13/('Deal terms'!$B$17-'Deal terms'!$B$18)))*(1-'Deal terms'!$B$17)))/(1-'Deal terms'!$B$20)))*'Deal terms'!$B$20+MAX(0,(A32*(1-'Deal terms'!$B$37)-'Deal terms'!$B$33+$B$8+$B$9)-$B$12-$B$13-('Deal terms'!$B$18*$B$13/('Deal terms'!$B$17-'Deal terms'!$B$18))-MIN(MAX(0,(A32*(1-'Deal terms'!$B$37)-'Deal terms'!$B$33+$B$8+$B$9)-$B$12-$B$13-('Deal terms'!$B$18*$B$13/('Deal terms'!$B$17-'Deal terms'!$B$18))),MAX(0,('Exit waterfall'!$B$25-(MIN((A32*(1-'Deal terms'!$B$37)-'Deal terms'!$B$33+$B$8+$B$9),$B$12)+MIN(MAX(0,(A32*(1-'Deal terms'!$B$37)-'Deal terms'!$B$33+$B$8+$B$9)-$B$12),$B$13)+MIN(MAX(0,(A32*(1-'Deal terms'!$B$37)-'Deal terms'!$B$33+$B$8+$B$9)-$B$12-$B$13),('Deal terms'!$B$18*$B$13/('Deal terms'!$B$17-'Deal terms'!$B$18)))*(1-'Deal terms'!$B$17)))/(1-'Deal terms'!$B$20))))*'Deal terms'!$B$21)</f>
        <v>75.6053822</v>
      </c>
      <c r="D32" s="18" t="n">
        <f aca="false">(MIN(MAX(0,(A32*(1-'Deal terms'!$B$37)-'Deal terms'!$B$33+$B$8+$B$9)-$B$12-$B$13),('Deal terms'!$B$18*$B$13/('Deal terms'!$B$17-'Deal terms'!$B$18)))*'Deal terms'!$B$17+MIN(MAX(0,(A32*(1-'Deal terms'!$B$37)-'Deal terms'!$B$33+$B$8+$B$9)-$B$12-$B$13-('Deal terms'!$B$18*$B$13/('Deal terms'!$B$17-'Deal terms'!$B$18))),MAX(0,('Exit waterfall'!$B$25-(MIN((A32*(1-'Deal terms'!$B$37)-'Deal terms'!$B$33+$B$8+$B$9),$B$12)+MIN(MAX(0,(A32*(1-'Deal terms'!$B$37)-'Deal terms'!$B$33+$B$8+$B$9)-$B$12),$B$13)+MIN(MAX(0,(A32*(1-'Deal terms'!$B$37)-'Deal terms'!$B$33+$B$8+$B$9)-$B$12-$B$13),('Deal terms'!$B$18*$B$13/('Deal terms'!$B$17-'Deal terms'!$B$18)))*(1-'Deal terms'!$B$17)))/(1-'Deal terms'!$B$20)))*'Deal terms'!$B$20+MAX(0,(A32*(1-'Deal terms'!$B$37)-'Deal terms'!$B$33+$B$8+$B$9)-$B$12-$B$13-('Deal terms'!$B$18*$B$13/('Deal terms'!$B$17-'Deal terms'!$B$18))-MIN(MAX(0,(A32*(1-'Deal terms'!$B$37)-'Deal terms'!$B$33+$B$8+$B$9)-$B$12-$B$13-('Deal terms'!$B$18*$B$13/('Deal terms'!$B$17-'Deal terms'!$B$18))),MAX(0,('Exit waterfall'!$B$25-(MIN((A32*(1-'Deal terms'!$B$37)-'Deal terms'!$B$33+$B$8+$B$9),$B$12)+MIN(MAX(0,(A32*(1-'Deal terms'!$B$37)-'Deal terms'!$B$33+$B$8+$B$9)-$B$12),$B$13)+MIN(MAX(0,(A32*(1-'Deal terms'!$B$37)-'Deal terms'!$B$33+$B$8+$B$9)-$B$12-$B$13),('Deal terms'!$B$18*$B$13/('Deal terms'!$B$17-'Deal terms'!$B$18)))*(1-'Deal terms'!$B$17)))/(1-'Deal terms'!$B$20))))*'Deal terms'!$B$21)</f>
        <v>12.1274178</v>
      </c>
      <c r="E32" s="35" t="n">
        <f aca="false">((Operations!$G$24+'Sources and uses'!$B$28-Operations!$F$24+((A32*(1-'Deal terms'!$B$37)-'Deal terms'!$B$33+$B$8+$B$9)-(MIN(MAX(0,(A32*(1-'Deal terms'!$B$37)-'Deal terms'!$B$33+$B$8+$B$9)-$B$12-$B$13),('Deal terms'!$B$18*$B$13/('Deal terms'!$B$17-'Deal terms'!$B$18)))*'Deal terms'!$B$17+MIN(MAX(0,(A32*(1-'Deal terms'!$B$37)-'Deal terms'!$B$33+$B$8+$B$9)-$B$12-$B$13-('Deal terms'!$B$18*$B$13/('Deal terms'!$B$17-'Deal terms'!$B$18))),MAX(0,('Exit waterfall'!$B$25-(MIN((A32*(1-'Deal terms'!$B$37)-'Deal terms'!$B$33+$B$8+$B$9),$B$12)+MIN(MAX(0,(A32*(1-'Deal terms'!$B$37)-'Deal terms'!$B$33+$B$8+$B$9)-$B$12),$B$13)+MIN(MAX(0,(A32*(1-'Deal terms'!$B$37)-'Deal terms'!$B$33+$B$8+$B$9)-$B$12-$B$13),('Deal terms'!$B$18*$B$13/('Deal terms'!$B$17-'Deal terms'!$B$18)))*(1-'Deal terms'!$B$17)))/(1-'Deal terms'!$B$20)))*'Deal terms'!$B$20+MAX(0,(A32*(1-'Deal terms'!$B$37)-'Deal terms'!$B$33+$B$8+$B$9)-$B$12-$B$13-('Deal terms'!$B$18*$B$13/('Deal terms'!$B$17-'Deal terms'!$B$18))-MIN(MAX(0,(A32*(1-'Deal terms'!$B$37)-'Deal terms'!$B$33+$B$8+$B$9)-$B$12-$B$13-('Deal terms'!$B$18*$B$13/('Deal terms'!$B$17-'Deal terms'!$B$18))),MAX(0,('Exit waterfall'!$B$25-(MIN((A32*(1-'Deal terms'!$B$37)-'Deal terms'!$B$33+$B$8+$B$9),$B$12)+MIN(MAX(0,(A32*(1-'Deal terms'!$B$37)-'Deal terms'!$B$33+$B$8+$B$9)-$B$12),$B$13)+MIN(MAX(0,(A32*(1-'Deal terms'!$B$37)-'Deal terms'!$B$33+$B$8+$B$9)-$B$12-$B$13),('Deal terms'!$B$18*$B$13/('Deal terms'!$B$17-'Deal terms'!$B$18)))*(1-'Deal terms'!$B$17)))/(1-'Deal terms'!$B$20))))*'Deal terms'!$B$21)))*'Deal terms'!$B$12)/(('Deal terms'!$B$11+'Deal terms'!$B$31)*'Deal terms'!$B$12)</f>
        <v>1.814381825</v>
      </c>
      <c r="H32" s="9"/>
    </row>
    <row r="33" customFormat="false" ht="15" hidden="false" customHeight="true" outlineLevel="0" collapsed="false">
      <c r="A33" s="22" t="n">
        <v>175</v>
      </c>
      <c r="B33" s="18" t="n">
        <f aca="false">(A33*(1-'Deal terms'!$B$37)-'Deal terms'!$B$33+$B$8+$B$9)</f>
        <v>102.5828</v>
      </c>
      <c r="C33" s="18" t="n">
        <f aca="false">(A33*(1-'Deal terms'!$B$37)-'Deal terms'!$B$33+$B$8+$B$9)-(MIN(MAX(0,(A33*(1-'Deal terms'!$B$37)-'Deal terms'!$B$33+$B$8+$B$9)-$B$12-$B$13),('Deal terms'!$B$18*$B$13/('Deal terms'!$B$17-'Deal terms'!$B$18)))*'Deal terms'!$B$17+MIN(MAX(0,(A33*(1-'Deal terms'!$B$37)-'Deal terms'!$B$33+$B$8+$B$9)-$B$12-$B$13-('Deal terms'!$B$18*$B$13/('Deal terms'!$B$17-'Deal terms'!$B$18))),MAX(0,('Exit waterfall'!$B$25-(MIN((A33*(1-'Deal terms'!$B$37)-'Deal terms'!$B$33+$B$8+$B$9),$B$12)+MIN(MAX(0,(A33*(1-'Deal terms'!$B$37)-'Deal terms'!$B$33+$B$8+$B$9)-$B$12),$B$13)+MIN(MAX(0,(A33*(1-'Deal terms'!$B$37)-'Deal terms'!$B$33+$B$8+$B$9)-$B$12-$B$13),('Deal terms'!$B$18*$B$13/('Deal terms'!$B$17-'Deal terms'!$B$18)))*(1-'Deal terms'!$B$17)))/(1-'Deal terms'!$B$20)))*'Deal terms'!$B$20+MAX(0,(A33*(1-'Deal terms'!$B$37)-'Deal terms'!$B$33+$B$8+$B$9)-$B$12-$B$13-('Deal terms'!$B$18*$B$13/('Deal terms'!$B$17-'Deal terms'!$B$18))-MIN(MAX(0,(A33*(1-'Deal terms'!$B$37)-'Deal terms'!$B$33+$B$8+$B$9)-$B$12-$B$13-('Deal terms'!$B$18*$B$13/('Deal terms'!$B$17-'Deal terms'!$B$18))),MAX(0,('Exit waterfall'!$B$25-(MIN((A33*(1-'Deal terms'!$B$37)-'Deal terms'!$B$33+$B$8+$B$9),$B$12)+MIN(MAX(0,(A33*(1-'Deal terms'!$B$37)-'Deal terms'!$B$33+$B$8+$B$9)-$B$12),$B$13)+MIN(MAX(0,(A33*(1-'Deal terms'!$B$37)-'Deal terms'!$B$33+$B$8+$B$9)-$B$12-$B$13),('Deal terms'!$B$18*$B$13/('Deal terms'!$B$17-'Deal terms'!$B$18)))*(1-'Deal terms'!$B$17)))/(1-'Deal terms'!$B$20))))*'Deal terms'!$B$21)</f>
        <v>86.0003822</v>
      </c>
      <c r="D33" s="18" t="n">
        <f aca="false">(MIN(MAX(0,(A33*(1-'Deal terms'!$B$37)-'Deal terms'!$B$33+$B$8+$B$9)-$B$12-$B$13),('Deal terms'!$B$18*$B$13/('Deal terms'!$B$17-'Deal terms'!$B$18)))*'Deal terms'!$B$17+MIN(MAX(0,(A33*(1-'Deal terms'!$B$37)-'Deal terms'!$B$33+$B$8+$B$9)-$B$12-$B$13-('Deal terms'!$B$18*$B$13/('Deal terms'!$B$17-'Deal terms'!$B$18))),MAX(0,('Exit waterfall'!$B$25-(MIN((A33*(1-'Deal terms'!$B$37)-'Deal terms'!$B$33+$B$8+$B$9),$B$12)+MIN(MAX(0,(A33*(1-'Deal terms'!$B$37)-'Deal terms'!$B$33+$B$8+$B$9)-$B$12),$B$13)+MIN(MAX(0,(A33*(1-'Deal terms'!$B$37)-'Deal terms'!$B$33+$B$8+$B$9)-$B$12-$B$13),('Deal terms'!$B$18*$B$13/('Deal terms'!$B$17-'Deal terms'!$B$18)))*(1-'Deal terms'!$B$17)))/(1-'Deal terms'!$B$20)))*'Deal terms'!$B$20+MAX(0,(A33*(1-'Deal terms'!$B$37)-'Deal terms'!$B$33+$B$8+$B$9)-$B$12-$B$13-('Deal terms'!$B$18*$B$13/('Deal terms'!$B$17-'Deal terms'!$B$18))-MIN(MAX(0,(A33*(1-'Deal terms'!$B$37)-'Deal terms'!$B$33+$B$8+$B$9)-$B$12-$B$13-('Deal terms'!$B$18*$B$13/('Deal terms'!$B$17-'Deal terms'!$B$18))),MAX(0,('Exit waterfall'!$B$25-(MIN((A33*(1-'Deal terms'!$B$37)-'Deal terms'!$B$33+$B$8+$B$9),$B$12)+MIN(MAX(0,(A33*(1-'Deal terms'!$B$37)-'Deal terms'!$B$33+$B$8+$B$9)-$B$12),$B$13)+MIN(MAX(0,(A33*(1-'Deal terms'!$B$37)-'Deal terms'!$B$33+$B$8+$B$9)-$B$12-$B$13),('Deal terms'!$B$18*$B$13/('Deal terms'!$B$17-'Deal terms'!$B$18)))*(1-'Deal terms'!$B$17)))/(1-'Deal terms'!$B$20))))*'Deal terms'!$B$21)</f>
        <v>16.5824178</v>
      </c>
      <c r="E33" s="35" t="n">
        <f aca="false">((Operations!$G$24+'Sources and uses'!$B$28-Operations!$F$24+((A33*(1-'Deal terms'!$B$37)-'Deal terms'!$B$33+$B$8+$B$9)-(MIN(MAX(0,(A33*(1-'Deal terms'!$B$37)-'Deal terms'!$B$33+$B$8+$B$9)-$B$12-$B$13),('Deal terms'!$B$18*$B$13/('Deal terms'!$B$17-'Deal terms'!$B$18)))*'Deal terms'!$B$17+MIN(MAX(0,(A33*(1-'Deal terms'!$B$37)-'Deal terms'!$B$33+$B$8+$B$9)-$B$12-$B$13-('Deal terms'!$B$18*$B$13/('Deal terms'!$B$17-'Deal terms'!$B$18))),MAX(0,('Exit waterfall'!$B$25-(MIN((A33*(1-'Deal terms'!$B$37)-'Deal terms'!$B$33+$B$8+$B$9),$B$12)+MIN(MAX(0,(A33*(1-'Deal terms'!$B$37)-'Deal terms'!$B$33+$B$8+$B$9)-$B$12),$B$13)+MIN(MAX(0,(A33*(1-'Deal terms'!$B$37)-'Deal terms'!$B$33+$B$8+$B$9)-$B$12-$B$13),('Deal terms'!$B$18*$B$13/('Deal terms'!$B$17-'Deal terms'!$B$18)))*(1-'Deal terms'!$B$17)))/(1-'Deal terms'!$B$20)))*'Deal terms'!$B$20+MAX(0,(A33*(1-'Deal terms'!$B$37)-'Deal terms'!$B$33+$B$8+$B$9)-$B$12-$B$13-('Deal terms'!$B$18*$B$13/('Deal terms'!$B$17-'Deal terms'!$B$18))-MIN(MAX(0,(A33*(1-'Deal terms'!$B$37)-'Deal terms'!$B$33+$B$8+$B$9)-$B$12-$B$13-('Deal terms'!$B$18*$B$13/('Deal terms'!$B$17-'Deal terms'!$B$18))),MAX(0,('Exit waterfall'!$B$25-(MIN((A33*(1-'Deal terms'!$B$37)-'Deal terms'!$B$33+$B$8+$B$9),$B$12)+MIN(MAX(0,(A33*(1-'Deal terms'!$B$37)-'Deal terms'!$B$33+$B$8+$B$9)-$B$12),$B$13)+MIN(MAX(0,(A33*(1-'Deal terms'!$B$37)-'Deal terms'!$B$33+$B$8+$B$9)-$B$12-$B$13),('Deal terms'!$B$18*$B$13/('Deal terms'!$B$17-'Deal terms'!$B$18)))*(1-'Deal terms'!$B$17)))/(1-'Deal terms'!$B$20))))*'Deal terms'!$B$21)))*'Deal terms'!$B$12)/(('Deal terms'!$B$11+'Deal terms'!$B$31)*'Deal terms'!$B$12)</f>
        <v>2.000006825</v>
      </c>
    </row>
  </sheetData>
  <mergeCells count="1">
    <mergeCell ref="H5:H3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9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3"/>
    <col collapsed="false" customWidth="true" hidden="false" outlineLevel="0" max="2" min="2" style="1" width="52"/>
    <col collapsed="false" customWidth="true" hidden="false" outlineLevel="0" max="4" min="3" style="1" width="14"/>
    <col collapsed="false" customWidth="true" hidden="false" outlineLevel="0" max="5" min="5" style="1" width="12"/>
    <col collapsed="false" customWidth="true" hidden="false" outlineLevel="0" max="6" min="6" style="1" width="13"/>
    <col collapsed="false" customWidth="true" hidden="false" outlineLevel="0" max="7" min="7" style="1" width="3"/>
    <col collapsed="false" customWidth="true" hidden="false" outlineLevel="0" max="8" min="8" style="1" width="46"/>
  </cols>
  <sheetData>
    <row r="1" customFormat="false" ht="17.25" hidden="false" customHeight="true" outlineLevel="0" collapsed="false">
      <c r="A1" s="8" t="s">
        <v>255</v>
      </c>
    </row>
    <row r="2" customFormat="false" ht="15" hidden="false" customHeight="true" outlineLevel="0" collapsed="false">
      <c r="A2" s="4" t="s">
        <v>256</v>
      </c>
    </row>
    <row r="4" customFormat="false" ht="27.75" hidden="false" customHeight="true" outlineLevel="0" collapsed="false">
      <c r="A4" s="15" t="s">
        <v>257</v>
      </c>
      <c r="B4" s="16" t="s">
        <v>258</v>
      </c>
      <c r="C4" s="16" t="s">
        <v>259</v>
      </c>
      <c r="D4" s="16" t="s">
        <v>260</v>
      </c>
      <c r="E4" s="16" t="s">
        <v>261</v>
      </c>
      <c r="F4" s="16" t="s">
        <v>262</v>
      </c>
      <c r="H4" s="5" t="s">
        <v>263</v>
      </c>
    </row>
    <row r="5" customFormat="false" ht="15" hidden="false" customHeight="true" outlineLevel="0" collapsed="false">
      <c r="A5" s="37" t="s">
        <v>264</v>
      </c>
      <c r="B5" s="38" t="s">
        <v>265</v>
      </c>
      <c r="C5" s="25" t="n">
        <v>105</v>
      </c>
      <c r="D5" s="39" t="n">
        <f aca="false">'Sources and uses'!B10</f>
        <v>105</v>
      </c>
      <c r="E5" s="26" t="n">
        <f aca="false">D5-C5</f>
        <v>0</v>
      </c>
      <c r="F5" s="40" t="str">
        <f aca="false">IF(ABS(E5)&lt;0.005,"reproduced",IF(ABS(E5)&lt;0.011,"rounding","CHECK"))</f>
        <v>reproduced</v>
      </c>
      <c r="H5" s="9" t="s">
        <v>266</v>
      </c>
    </row>
    <row r="6" customFormat="false" ht="15" hidden="false" customHeight="true" outlineLevel="0" collapsed="false">
      <c r="A6" s="41" t="s">
        <v>264</v>
      </c>
      <c r="B6" s="42" t="s">
        <v>267</v>
      </c>
      <c r="C6" s="43" t="n">
        <v>0.55</v>
      </c>
      <c r="D6" s="44" t="n">
        <f aca="false">'Sources and uses'!B14</f>
        <v>0.55</v>
      </c>
      <c r="E6" s="45" t="n">
        <f aca="false">D6-C6</f>
        <v>0</v>
      </c>
      <c r="F6" s="46" t="str">
        <f aca="false">IF(ABS(E6)&lt;0.005,"reproduced",IF(ABS(E6)&lt;0.011,"rounding","CHECK"))</f>
        <v>reproduced</v>
      </c>
      <c r="H6" s="9"/>
    </row>
    <row r="7" customFormat="false" ht="15" hidden="false" customHeight="true" outlineLevel="0" collapsed="false">
      <c r="A7" s="37" t="s">
        <v>264</v>
      </c>
      <c r="B7" s="38" t="s">
        <v>268</v>
      </c>
      <c r="C7" s="47" t="n">
        <v>0.524</v>
      </c>
      <c r="D7" s="48" t="n">
        <f aca="false">'Sources and uses'!B15</f>
        <v>0.523809523809524</v>
      </c>
      <c r="E7" s="49" t="n">
        <f aca="false">D7-C7</f>
        <v>-0.000190476190476185</v>
      </c>
      <c r="F7" s="40" t="str">
        <f aca="false">IF(ABS(E7)&lt;0.005,"reproduced",IF(ABS(E7)&lt;0.011,"rounding","CHECK"))</f>
        <v>reproduced</v>
      </c>
      <c r="H7" s="9"/>
    </row>
    <row r="8" customFormat="false" ht="15" hidden="false" customHeight="true" outlineLevel="0" collapsed="false">
      <c r="A8" s="41" t="s">
        <v>264</v>
      </c>
      <c r="B8" s="42" t="s">
        <v>269</v>
      </c>
      <c r="C8" s="43" t="n">
        <v>0.065</v>
      </c>
      <c r="D8" s="44" t="n">
        <f aca="false">'Sources and uses'!B16</f>
        <v>0.065</v>
      </c>
      <c r="E8" s="45" t="n">
        <f aca="false">D8-C8</f>
        <v>0</v>
      </c>
      <c r="F8" s="46" t="str">
        <f aca="false">IF(ABS(E8)&lt;0.005,"reproduced",IF(ABS(E8)&lt;0.011,"rounding","CHECK"))</f>
        <v>reproduced</v>
      </c>
      <c r="H8" s="9"/>
    </row>
    <row r="9" customFormat="false" ht="15" hidden="false" customHeight="true" outlineLevel="0" collapsed="false">
      <c r="A9" s="37" t="s">
        <v>270</v>
      </c>
      <c r="B9" s="38" t="s">
        <v>271</v>
      </c>
      <c r="C9" s="25" t="n">
        <v>3.28</v>
      </c>
      <c r="D9" s="39" t="n">
        <f aca="false">Operations!B12</f>
        <v>3.275</v>
      </c>
      <c r="E9" s="26" t="n">
        <f aca="false">D9-C9</f>
        <v>-0.00499999999999989</v>
      </c>
      <c r="F9" s="40" t="str">
        <f aca="false">IF(ABS(E9)&lt;0.005,"reproduced",IF(ABS(E9)&lt;0.011,"rounding","CHECK"))</f>
        <v>reproduced</v>
      </c>
      <c r="H9" s="9"/>
    </row>
    <row r="10" customFormat="false" ht="15" hidden="false" customHeight="true" outlineLevel="0" collapsed="false">
      <c r="A10" s="41" t="s">
        <v>270</v>
      </c>
      <c r="B10" s="42" t="s">
        <v>272</v>
      </c>
      <c r="C10" s="50" t="n">
        <v>3.5</v>
      </c>
      <c r="D10" s="51" t="n">
        <f aca="false">Operations!C12</f>
        <v>3.5</v>
      </c>
      <c r="E10" s="52" t="n">
        <f aca="false">D10-C10</f>
        <v>0</v>
      </c>
      <c r="F10" s="46" t="str">
        <f aca="false">IF(ABS(E10)&lt;0.005,"reproduced",IF(ABS(E10)&lt;0.011,"rounding","CHECK"))</f>
        <v>reproduced</v>
      </c>
      <c r="H10" s="9"/>
    </row>
    <row r="11" customFormat="false" ht="15" hidden="false" customHeight="true" outlineLevel="0" collapsed="false">
      <c r="A11" s="37" t="s">
        <v>270</v>
      </c>
      <c r="B11" s="38" t="s">
        <v>273</v>
      </c>
      <c r="C11" s="25" t="n">
        <v>3.5</v>
      </c>
      <c r="D11" s="39" t="n">
        <f aca="false">Operations!D12</f>
        <v>3.5</v>
      </c>
      <c r="E11" s="26" t="n">
        <f aca="false">D11-C11</f>
        <v>0</v>
      </c>
      <c r="F11" s="40" t="str">
        <f aca="false">IF(ABS(E11)&lt;0.005,"reproduced",IF(ABS(E11)&lt;0.011,"rounding","CHECK"))</f>
        <v>reproduced</v>
      </c>
      <c r="H11" s="9"/>
    </row>
    <row r="12" customFormat="false" ht="15" hidden="false" customHeight="true" outlineLevel="0" collapsed="false">
      <c r="A12" s="41" t="s">
        <v>270</v>
      </c>
      <c r="B12" s="42" t="s">
        <v>274</v>
      </c>
      <c r="C12" s="50" t="n">
        <v>4.9</v>
      </c>
      <c r="D12" s="51" t="n">
        <f aca="false">Operations!E12</f>
        <v>4.9</v>
      </c>
      <c r="E12" s="52" t="n">
        <f aca="false">D12-C12</f>
        <v>0</v>
      </c>
      <c r="F12" s="46" t="str">
        <f aca="false">IF(ABS(E12)&lt;0.005,"reproduced",IF(ABS(E12)&lt;0.011,"rounding","CHECK"))</f>
        <v>reproduced</v>
      </c>
      <c r="H12" s="9"/>
    </row>
    <row r="13" customFormat="false" ht="15" hidden="false" customHeight="true" outlineLevel="0" collapsed="false">
      <c r="A13" s="37" t="s">
        <v>270</v>
      </c>
      <c r="B13" s="38" t="s">
        <v>275</v>
      </c>
      <c r="C13" s="25" t="n">
        <v>4.9</v>
      </c>
      <c r="D13" s="39" t="n">
        <f aca="false">Operations!F12</f>
        <v>4.9</v>
      </c>
      <c r="E13" s="26" t="n">
        <f aca="false">D13-C13</f>
        <v>0</v>
      </c>
      <c r="F13" s="40" t="str">
        <f aca="false">IF(ABS(E13)&lt;0.005,"reproduced",IF(ABS(E13)&lt;0.011,"rounding","CHECK"))</f>
        <v>reproduced</v>
      </c>
      <c r="H13" s="9"/>
    </row>
    <row r="14" customFormat="false" ht="15" hidden="false" customHeight="true" outlineLevel="0" collapsed="false">
      <c r="A14" s="41" t="s">
        <v>270</v>
      </c>
      <c r="B14" s="42" t="s">
        <v>276</v>
      </c>
      <c r="C14" s="50" t="n">
        <v>3.6</v>
      </c>
      <c r="D14" s="51" t="n">
        <f aca="false">Operations!B25</f>
        <v>3.595</v>
      </c>
      <c r="E14" s="52" t="n">
        <f aca="false">D14-C14</f>
        <v>-0.00499999999999989</v>
      </c>
      <c r="F14" s="46" t="str">
        <f aca="false">IF(ABS(E14)&lt;0.005,"reproduced",IF(ABS(E14)&lt;0.011,"rounding","CHECK"))</f>
        <v>reproduced</v>
      </c>
      <c r="H14" s="9"/>
    </row>
    <row r="15" customFormat="false" ht="15" hidden="false" customHeight="true" outlineLevel="0" collapsed="false">
      <c r="A15" s="37" t="s">
        <v>270</v>
      </c>
      <c r="B15" s="38" t="s">
        <v>277</v>
      </c>
      <c r="C15" s="25" t="n">
        <v>3</v>
      </c>
      <c r="D15" s="39" t="n">
        <f aca="false">Operations!B21</f>
        <v>3.005</v>
      </c>
      <c r="E15" s="26" t="n">
        <f aca="false">D15-C15</f>
        <v>0.00499999999999989</v>
      </c>
      <c r="F15" s="40" t="str">
        <f aca="false">IF(ABS(E15)&lt;0.005,"reproduced",IF(ABS(E15)&lt;0.011,"rounding","CHECK"))</f>
        <v>reproduced</v>
      </c>
      <c r="H15" s="9"/>
    </row>
    <row r="16" customFormat="false" ht="15" hidden="false" customHeight="true" outlineLevel="0" collapsed="false">
      <c r="A16" s="41" t="s">
        <v>270</v>
      </c>
      <c r="B16" s="42" t="s">
        <v>278</v>
      </c>
      <c r="C16" s="50" t="n">
        <v>3</v>
      </c>
      <c r="D16" s="51" t="n">
        <f aca="false">Operations!C21</f>
        <v>3</v>
      </c>
      <c r="E16" s="52" t="n">
        <f aca="false">D16-C16</f>
        <v>0</v>
      </c>
      <c r="F16" s="46" t="str">
        <f aca="false">IF(ABS(E16)&lt;0.005,"reproduced",IF(ABS(E16)&lt;0.011,"rounding","CHECK"))</f>
        <v>reproduced</v>
      </c>
      <c r="H16" s="9"/>
    </row>
    <row r="17" customFormat="false" ht="15" hidden="false" customHeight="true" outlineLevel="0" collapsed="false">
      <c r="A17" s="37" t="s">
        <v>270</v>
      </c>
      <c r="B17" s="38" t="s">
        <v>279</v>
      </c>
      <c r="C17" s="25" t="n">
        <v>1.6</v>
      </c>
      <c r="D17" s="39" t="n">
        <f aca="false">Operations!D21</f>
        <v>1.6</v>
      </c>
      <c r="E17" s="26" t="n">
        <f aca="false">D17-C17</f>
        <v>0</v>
      </c>
      <c r="F17" s="40" t="str">
        <f aca="false">IF(ABS(E17)&lt;0.005,"reproduced",IF(ABS(E17)&lt;0.011,"rounding","CHECK"))</f>
        <v>reproduced</v>
      </c>
      <c r="H17" s="9"/>
    </row>
    <row r="18" customFormat="false" ht="15" hidden="false" customHeight="true" outlineLevel="0" collapsed="false">
      <c r="A18" s="41" t="s">
        <v>270</v>
      </c>
      <c r="B18" s="42" t="s">
        <v>280</v>
      </c>
      <c r="C18" s="50" t="n">
        <v>4</v>
      </c>
      <c r="D18" s="51" t="n">
        <f aca="false">Operations!E21</f>
        <v>4</v>
      </c>
      <c r="E18" s="52" t="n">
        <f aca="false">D18-C18</f>
        <v>0</v>
      </c>
      <c r="F18" s="46" t="str">
        <f aca="false">IF(ABS(E18)&lt;0.005,"reproduced",IF(ABS(E18)&lt;0.011,"rounding","CHECK"))</f>
        <v>reproduced</v>
      </c>
      <c r="H18" s="9"/>
    </row>
    <row r="19" customFormat="false" ht="15" hidden="false" customHeight="true" outlineLevel="0" collapsed="false">
      <c r="A19" s="37" t="s">
        <v>270</v>
      </c>
      <c r="B19" s="38" t="s">
        <v>281</v>
      </c>
      <c r="C19" s="25" t="n">
        <v>5</v>
      </c>
      <c r="D19" s="39" t="n">
        <f aca="false">Operations!F21</f>
        <v>5</v>
      </c>
      <c r="E19" s="26" t="n">
        <f aca="false">D19-C19</f>
        <v>0</v>
      </c>
      <c r="F19" s="40" t="str">
        <f aca="false">IF(ABS(E19)&lt;0.005,"reproduced",IF(ABS(E19)&lt;0.011,"rounding","CHECK"))</f>
        <v>reproduced</v>
      </c>
      <c r="H19" s="9"/>
    </row>
    <row r="20" customFormat="false" ht="15" hidden="false" customHeight="true" outlineLevel="0" collapsed="false">
      <c r="A20" s="41" t="s">
        <v>282</v>
      </c>
      <c r="B20" s="42" t="s">
        <v>283</v>
      </c>
      <c r="C20" s="50" t="n">
        <v>4</v>
      </c>
      <c r="D20" s="51" t="n">
        <f aca="false">'Capital account'!B10</f>
        <v>4</v>
      </c>
      <c r="E20" s="52" t="n">
        <f aca="false">D20-C20</f>
        <v>0</v>
      </c>
      <c r="F20" s="46" t="str">
        <f aca="false">IF(ABS(E20)&lt;0.005,"reproduced",IF(ABS(E20)&lt;0.011,"rounding","CHECK"))</f>
        <v>reproduced</v>
      </c>
      <c r="H20" s="9"/>
    </row>
    <row r="21" customFormat="false" ht="15" hidden="false" customHeight="true" outlineLevel="0" collapsed="false">
      <c r="A21" s="37" t="s">
        <v>282</v>
      </c>
      <c r="B21" s="38" t="s">
        <v>284</v>
      </c>
      <c r="C21" s="25" t="n">
        <v>4.56</v>
      </c>
      <c r="D21" s="39" t="n">
        <f aca="false">'Capital account'!C10</f>
        <v>4.56</v>
      </c>
      <c r="E21" s="26" t="n">
        <f aca="false">D21-C21</f>
        <v>0</v>
      </c>
      <c r="F21" s="40" t="str">
        <f aca="false">IF(ABS(E21)&lt;0.005,"reproduced",IF(ABS(E21)&lt;0.011,"rounding","CHECK"))</f>
        <v>reproduced</v>
      </c>
      <c r="H21" s="9"/>
    </row>
    <row r="22" customFormat="false" ht="15" hidden="false" customHeight="true" outlineLevel="0" collapsed="false">
      <c r="A22" s="41" t="s">
        <v>282</v>
      </c>
      <c r="B22" s="42" t="s">
        <v>285</v>
      </c>
      <c r="C22" s="50" t="n">
        <v>4.68</v>
      </c>
      <c r="D22" s="51" t="n">
        <f aca="false">'Capital account'!D10</f>
        <v>4.6848</v>
      </c>
      <c r="E22" s="52" t="n">
        <f aca="false">D22-C22</f>
        <v>0.00480000000000036</v>
      </c>
      <c r="F22" s="46" t="str">
        <f aca="false">IF(ABS(E22)&lt;0.005,"reproduced",IF(ABS(E22)&lt;0.011,"rounding","CHECK"))</f>
        <v>reproduced</v>
      </c>
      <c r="H22" s="9"/>
    </row>
    <row r="23" customFormat="false" ht="15" hidden="false" customHeight="true" outlineLevel="0" collapsed="false">
      <c r="A23" s="37" t="s">
        <v>282</v>
      </c>
      <c r="B23" s="38" t="s">
        <v>286</v>
      </c>
      <c r="C23" s="25" t="n">
        <v>3.78</v>
      </c>
      <c r="D23" s="39" t="n">
        <f aca="false">'Capital account'!E10</f>
        <v>3.779584</v>
      </c>
      <c r="E23" s="26" t="n">
        <f aca="false">D23-C23</f>
        <v>-0.000415999999999972</v>
      </c>
      <c r="F23" s="40" t="str">
        <f aca="false">IF(ABS(E23)&lt;0.005,"reproduced",IF(ABS(E23)&lt;0.011,"rounding","CHECK"))</f>
        <v>reproduced</v>
      </c>
      <c r="H23" s="9"/>
    </row>
    <row r="24" customFormat="false" ht="15" hidden="false" customHeight="true" outlineLevel="0" collapsed="false">
      <c r="A24" s="41" t="s">
        <v>282</v>
      </c>
      <c r="B24" s="42" t="s">
        <v>287</v>
      </c>
      <c r="C24" s="50" t="n">
        <v>3.76</v>
      </c>
      <c r="D24" s="51" t="n">
        <f aca="false">'Capital account'!F10</f>
        <v>3.76195072</v>
      </c>
      <c r="E24" s="52" t="n">
        <f aca="false">D24-C24</f>
        <v>0.00195071999999996</v>
      </c>
      <c r="F24" s="46" t="str">
        <f aca="false">IF(ABS(E24)&lt;0.005,"reproduced",IF(ABS(E24)&lt;0.011,"rounding","CHECK"))</f>
        <v>reproduced</v>
      </c>
      <c r="H24" s="9"/>
    </row>
    <row r="25" customFormat="false" ht="15" hidden="false" customHeight="true" outlineLevel="0" collapsed="false">
      <c r="A25" s="37" t="s">
        <v>282</v>
      </c>
      <c r="B25" s="38" t="s">
        <v>288</v>
      </c>
      <c r="C25" s="25" t="n">
        <v>47</v>
      </c>
      <c r="D25" s="39" t="n">
        <f aca="false">'Capital account'!B12</f>
        <v>47</v>
      </c>
      <c r="E25" s="26" t="n">
        <f aca="false">D25-C25</f>
        <v>0</v>
      </c>
      <c r="F25" s="40" t="str">
        <f aca="false">IF(ABS(E25)&lt;0.005,"reproduced",IF(ABS(E25)&lt;0.011,"rounding","CHECK"))</f>
        <v>reproduced</v>
      </c>
    </row>
    <row r="26" customFormat="false" ht="15" hidden="false" customHeight="true" outlineLevel="0" collapsed="false">
      <c r="A26" s="41" t="s">
        <v>282</v>
      </c>
      <c r="B26" s="42" t="s">
        <v>289</v>
      </c>
      <c r="C26" s="50" t="n">
        <v>50</v>
      </c>
      <c r="D26" s="51" t="n">
        <f aca="false">'Capital account'!C12</f>
        <v>50</v>
      </c>
      <c r="E26" s="52" t="n">
        <f aca="false">D26-C26</f>
        <v>0</v>
      </c>
      <c r="F26" s="46" t="str">
        <f aca="false">IF(ABS(E26)&lt;0.005,"reproduced",IF(ABS(E26)&lt;0.011,"rounding","CHECK"))</f>
        <v>reproduced</v>
      </c>
    </row>
    <row r="27" customFormat="false" ht="15" hidden="false" customHeight="true" outlineLevel="0" collapsed="false">
      <c r="A27" s="37" t="s">
        <v>282</v>
      </c>
      <c r="B27" s="38" t="s">
        <v>290</v>
      </c>
      <c r="C27" s="25" t="n">
        <v>34</v>
      </c>
      <c r="D27" s="39" t="n">
        <f aca="false">'Capital account'!D12</f>
        <v>34</v>
      </c>
      <c r="E27" s="26" t="n">
        <f aca="false">D27-C27</f>
        <v>0</v>
      </c>
      <c r="F27" s="40" t="str">
        <f aca="false">IF(ABS(E27)&lt;0.005,"reproduced",IF(ABS(E27)&lt;0.011,"rounding","CHECK"))</f>
        <v>reproduced</v>
      </c>
    </row>
    <row r="28" customFormat="false" ht="15" hidden="false" customHeight="true" outlineLevel="0" collapsed="false">
      <c r="A28" s="41" t="s">
        <v>282</v>
      </c>
      <c r="B28" s="42" t="s">
        <v>291</v>
      </c>
      <c r="C28" s="50" t="n">
        <v>30</v>
      </c>
      <c r="D28" s="51" t="n">
        <f aca="false">'Capital account'!E12</f>
        <v>30</v>
      </c>
      <c r="E28" s="52" t="n">
        <f aca="false">D28-C28</f>
        <v>0</v>
      </c>
      <c r="F28" s="46" t="str">
        <f aca="false">IF(ABS(E28)&lt;0.005,"reproduced",IF(ABS(E28)&lt;0.011,"rounding","CHECK"))</f>
        <v>reproduced</v>
      </c>
    </row>
    <row r="29" customFormat="false" ht="15" hidden="false" customHeight="true" outlineLevel="0" collapsed="false">
      <c r="A29" s="37" t="s">
        <v>282</v>
      </c>
      <c r="B29" s="38" t="s">
        <v>292</v>
      </c>
      <c r="C29" s="25" t="n">
        <v>4</v>
      </c>
      <c r="D29" s="39" t="n">
        <f aca="false">'Capital account'!B13</f>
        <v>4</v>
      </c>
      <c r="E29" s="26" t="n">
        <f aca="false">D29-C29</f>
        <v>0</v>
      </c>
      <c r="F29" s="40" t="str">
        <f aca="false">IF(ABS(E29)&lt;0.005,"reproduced",IF(ABS(E29)&lt;0.011,"rounding","CHECK"))</f>
        <v>reproduced</v>
      </c>
    </row>
    <row r="30" customFormat="false" ht="15" hidden="false" customHeight="true" outlineLevel="0" collapsed="false">
      <c r="A30" s="41" t="s">
        <v>282</v>
      </c>
      <c r="B30" s="42" t="s">
        <v>293</v>
      </c>
      <c r="C30" s="50" t="n">
        <v>8.56</v>
      </c>
      <c r="D30" s="51" t="n">
        <f aca="false">'Capital account'!C13</f>
        <v>8.56</v>
      </c>
      <c r="E30" s="52" t="n">
        <f aca="false">D30-C30</f>
        <v>0</v>
      </c>
      <c r="F30" s="46" t="str">
        <f aca="false">IF(ABS(E30)&lt;0.005,"reproduced",IF(ABS(E30)&lt;0.011,"rounding","CHECK"))</f>
        <v>reproduced</v>
      </c>
    </row>
    <row r="31" customFormat="false" ht="15" hidden="false" customHeight="true" outlineLevel="0" collapsed="false">
      <c r="A31" s="37" t="s">
        <v>282</v>
      </c>
      <c r="B31" s="38" t="s">
        <v>294</v>
      </c>
      <c r="C31" s="25" t="n">
        <v>13.24</v>
      </c>
      <c r="D31" s="39" t="n">
        <f aca="false">'Capital account'!D13</f>
        <v>13.2448</v>
      </c>
      <c r="E31" s="26" t="n">
        <f aca="false">D31-C31</f>
        <v>0.00480000000000125</v>
      </c>
      <c r="F31" s="40" t="str">
        <f aca="false">IF(ABS(E31)&lt;0.005,"reproduced",IF(ABS(E31)&lt;0.011,"rounding","CHECK"))</f>
        <v>reproduced</v>
      </c>
    </row>
    <row r="32" customFormat="false" ht="15" hidden="false" customHeight="true" outlineLevel="0" collapsed="false">
      <c r="A32" s="41" t="s">
        <v>282</v>
      </c>
      <c r="B32" s="42" t="s">
        <v>295</v>
      </c>
      <c r="C32" s="50" t="n">
        <v>17.02</v>
      </c>
      <c r="D32" s="51" t="n">
        <f aca="false">'Capital account'!E13</f>
        <v>17.024384</v>
      </c>
      <c r="E32" s="52" t="n">
        <f aca="false">D32-C32</f>
        <v>0.00438400000000172</v>
      </c>
      <c r="F32" s="46" t="str">
        <f aca="false">IF(ABS(E32)&lt;0.005,"reproduced",IF(ABS(E32)&lt;0.011,"rounding","CHECK"))</f>
        <v>reproduced</v>
      </c>
    </row>
    <row r="33" customFormat="false" ht="15" hidden="false" customHeight="true" outlineLevel="0" collapsed="false">
      <c r="A33" s="37" t="s">
        <v>296</v>
      </c>
      <c r="B33" s="38" t="s">
        <v>297</v>
      </c>
      <c r="C33" s="25" t="n">
        <v>20.79</v>
      </c>
      <c r="D33" s="39" t="n">
        <f aca="false">'Exit waterfall'!B16</f>
        <v>20.78633472</v>
      </c>
      <c r="E33" s="26" t="n">
        <f aca="false">D33-C33</f>
        <v>-0.00366527999999988</v>
      </c>
      <c r="F33" s="40" t="str">
        <f aca="false">IF(ABS(E33)&lt;0.005,"reproduced",IF(ABS(E33)&lt;0.011,"rounding","CHECK"))</f>
        <v>reproduced</v>
      </c>
    </row>
    <row r="34" customFormat="false" ht="15" hidden="false" customHeight="true" outlineLevel="0" collapsed="false">
      <c r="A34" s="41" t="s">
        <v>298</v>
      </c>
      <c r="B34" s="42" t="s">
        <v>299</v>
      </c>
      <c r="C34" s="50" t="n">
        <v>78.4</v>
      </c>
      <c r="D34" s="51" t="n">
        <f aca="false">'Sources and uses'!B25</f>
        <v>78.4</v>
      </c>
      <c r="E34" s="52" t="n">
        <f aca="false">D34-C34</f>
        <v>0</v>
      </c>
      <c r="F34" s="46" t="str">
        <f aca="false">IF(ABS(E34)&lt;0.005,"reproduced",IF(ABS(E34)&lt;0.011,"rounding","CHECK"))</f>
        <v>reproduced</v>
      </c>
    </row>
    <row r="35" customFormat="false" ht="15" hidden="false" customHeight="true" outlineLevel="0" collapsed="false">
      <c r="A35" s="37" t="s">
        <v>298</v>
      </c>
      <c r="B35" s="38" t="s">
        <v>78</v>
      </c>
      <c r="C35" s="25" t="n">
        <v>59</v>
      </c>
      <c r="D35" s="39" t="n">
        <f aca="false">'Sources and uses'!E22</f>
        <v>59</v>
      </c>
      <c r="E35" s="26" t="n">
        <f aca="false">D35-C35</f>
        <v>0</v>
      </c>
      <c r="F35" s="40" t="str">
        <f aca="false">IF(ABS(E35)&lt;0.005,"reproduced",IF(ABS(E35)&lt;0.011,"rounding","CHECK"))</f>
        <v>reproduced</v>
      </c>
    </row>
    <row r="36" customFormat="false" ht="15" hidden="false" customHeight="true" outlineLevel="0" collapsed="false">
      <c r="A36" s="41" t="s">
        <v>298</v>
      </c>
      <c r="B36" s="42" t="s">
        <v>300</v>
      </c>
      <c r="C36" s="50" t="n">
        <v>16.4</v>
      </c>
      <c r="D36" s="51" t="n">
        <f aca="false">'Sources and uses'!E28</f>
        <v>16.4</v>
      </c>
      <c r="E36" s="52" t="n">
        <f aca="false">D36-C36</f>
        <v>0</v>
      </c>
      <c r="F36" s="46" t="str">
        <f aca="false">IF(ABS(E36)&lt;0.005,"reproduced",IF(ABS(E36)&lt;0.011,"rounding","CHECK"))</f>
        <v>reproduced</v>
      </c>
    </row>
    <row r="37" customFormat="false" ht="15" hidden="false" customHeight="true" outlineLevel="0" collapsed="false">
      <c r="A37" s="37" t="s">
        <v>298</v>
      </c>
      <c r="B37" s="38" t="s">
        <v>301</v>
      </c>
      <c r="C37" s="47" t="n">
        <v>0.62</v>
      </c>
      <c r="D37" s="48" t="n">
        <f aca="false">'Sources and uses'!B27</f>
        <v>0.619047619047619</v>
      </c>
      <c r="E37" s="49" t="n">
        <f aca="false">D37-C37</f>
        <v>-0.000952380952380927</v>
      </c>
      <c r="F37" s="40" t="str">
        <f aca="false">IF(ABS(E37)&lt;0.005,"reproduced",IF(ABS(E37)&lt;0.011,"rounding","CHECK"))</f>
        <v>reproduced</v>
      </c>
    </row>
    <row r="38" customFormat="false" ht="15" hidden="false" customHeight="true" outlineLevel="0" collapsed="false">
      <c r="A38" s="41" t="s">
        <v>298</v>
      </c>
      <c r="B38" s="42" t="s">
        <v>302</v>
      </c>
      <c r="C38" s="50" t="n">
        <v>46.74</v>
      </c>
      <c r="D38" s="51" t="n">
        <f aca="false">'Capital account'!B20</f>
        <v>46.74</v>
      </c>
      <c r="E38" s="52" t="n">
        <f aca="false">D38-C38</f>
        <v>0</v>
      </c>
      <c r="F38" s="46" t="str">
        <f aca="false">IF(ABS(E38)&lt;0.005,"reproduced",IF(ABS(E38)&lt;0.011,"rounding","CHECK"))</f>
        <v>reproduced</v>
      </c>
    </row>
    <row r="39" customFormat="false" ht="15" hidden="false" customHeight="true" outlineLevel="0" collapsed="false">
      <c r="A39" s="37" t="s">
        <v>298</v>
      </c>
      <c r="B39" s="38" t="s">
        <v>303</v>
      </c>
      <c r="C39" s="25" t="n">
        <v>12.74</v>
      </c>
      <c r="D39" s="39" t="n">
        <f aca="false">'Capital account'!B23</f>
        <v>12.74</v>
      </c>
      <c r="E39" s="26" t="n">
        <f aca="false">D39-C39</f>
        <v>0</v>
      </c>
      <c r="F39" s="40" t="str">
        <f aca="false">IF(ABS(E39)&lt;0.005,"reproduced",IF(ABS(E39)&lt;0.011,"rounding","CHECK"))</f>
        <v>reproduced</v>
      </c>
    </row>
    <row r="40" customFormat="false" ht="15" hidden="false" customHeight="true" outlineLevel="0" collapsed="false">
      <c r="A40" s="41" t="s">
        <v>298</v>
      </c>
      <c r="B40" s="42" t="s">
        <v>304</v>
      </c>
      <c r="C40" s="50" t="n">
        <v>13.24</v>
      </c>
      <c r="D40" s="51" t="n">
        <f aca="false">'Capital account'!B22</f>
        <v>13.2448</v>
      </c>
      <c r="E40" s="52" t="n">
        <f aca="false">D40-C40</f>
        <v>0.00480000000000125</v>
      </c>
      <c r="F40" s="46" t="str">
        <f aca="false">IF(ABS(E40)&lt;0.005,"reproduced",IF(ABS(E40)&lt;0.011,"rounding","CHECK"))</f>
        <v>reproduced</v>
      </c>
    </row>
    <row r="41" customFormat="false" ht="15" hidden="false" customHeight="true" outlineLevel="0" collapsed="false">
      <c r="A41" s="37" t="s">
        <v>298</v>
      </c>
      <c r="B41" s="38" t="s">
        <v>305</v>
      </c>
      <c r="C41" s="25" t="n">
        <v>2.33</v>
      </c>
      <c r="D41" s="39" t="n">
        <f aca="false">'Exit waterfall'!B11</f>
        <v>2.3328</v>
      </c>
      <c r="E41" s="26" t="n">
        <f aca="false">D41-C41</f>
        <v>0.00280000000000014</v>
      </c>
      <c r="F41" s="40" t="str">
        <f aca="false">IF(ABS(E41)&lt;0.005,"reproduced",IF(ABS(E41)&lt;0.011,"rounding","CHECK"))</f>
        <v>reproduced</v>
      </c>
    </row>
    <row r="42" customFormat="false" ht="15" hidden="false" customHeight="true" outlineLevel="0" collapsed="false">
      <c r="A42" s="41" t="s">
        <v>296</v>
      </c>
      <c r="B42" s="42" t="s">
        <v>159</v>
      </c>
      <c r="C42" s="50" t="n">
        <v>80.4</v>
      </c>
      <c r="D42" s="51" t="n">
        <f aca="false">'Exit waterfall'!B8</f>
        <v>80.4</v>
      </c>
      <c r="E42" s="52" t="n">
        <f aca="false">D42-C42</f>
        <v>0</v>
      </c>
      <c r="F42" s="46" t="str">
        <f aca="false">IF(ABS(E42)&lt;0.005,"reproduced",IF(ABS(E42)&lt;0.011,"rounding","CHECK"))</f>
        <v>reproduced</v>
      </c>
    </row>
    <row r="43" customFormat="false" ht="15" hidden="false" customHeight="true" outlineLevel="0" collapsed="false">
      <c r="A43" s="37" t="s">
        <v>296</v>
      </c>
      <c r="B43" s="38" t="s">
        <v>161</v>
      </c>
      <c r="C43" s="25" t="n">
        <v>85.4</v>
      </c>
      <c r="D43" s="39" t="n">
        <f aca="false">'Exit waterfall'!B10</f>
        <v>85.4</v>
      </c>
      <c r="E43" s="26" t="n">
        <f aca="false">D43-C43</f>
        <v>0</v>
      </c>
      <c r="F43" s="40" t="str">
        <f aca="false">IF(ABS(E43)&lt;0.005,"reproduced",IF(ABS(E43)&lt;0.011,"rounding","CHECK"))</f>
        <v>reproduced</v>
      </c>
    </row>
    <row r="44" customFormat="false" ht="15" hidden="false" customHeight="true" outlineLevel="0" collapsed="false">
      <c r="A44" s="41" t="s">
        <v>296</v>
      </c>
      <c r="B44" s="42" t="s">
        <v>163</v>
      </c>
      <c r="C44" s="50" t="n">
        <v>87.73</v>
      </c>
      <c r="D44" s="51" t="n">
        <f aca="false">'Exit waterfall'!B12</f>
        <v>87.7328</v>
      </c>
      <c r="E44" s="52" t="n">
        <f aca="false">D44-C44</f>
        <v>0.00280000000000769</v>
      </c>
      <c r="F44" s="46" t="str">
        <f aca="false">IF(ABS(E44)&lt;0.005,"reproduced",IF(ABS(E44)&lt;0.011,"rounding","CHECK"))</f>
        <v>reproduced</v>
      </c>
    </row>
    <row r="45" customFormat="false" ht="15" hidden="false" customHeight="true" outlineLevel="0" collapsed="false">
      <c r="A45" s="37" t="s">
        <v>296</v>
      </c>
      <c r="B45" s="38" t="s">
        <v>306</v>
      </c>
      <c r="C45" s="25" t="n">
        <v>71.54</v>
      </c>
      <c r="D45" s="39" t="n">
        <f aca="false">'Exit waterfall'!B25</f>
        <v>71.5393776</v>
      </c>
      <c r="E45" s="26" t="n">
        <f aca="false">D45-C45</f>
        <v>-0.000622399999969048</v>
      </c>
      <c r="F45" s="40" t="str">
        <f aca="false">IF(ABS(E45)&lt;0.005,"reproduced",IF(ABS(E45)&lt;0.011,"rounding","CHECK"))</f>
        <v>reproduced</v>
      </c>
    </row>
    <row r="46" customFormat="false" ht="15" hidden="false" customHeight="true" outlineLevel="0" collapsed="false">
      <c r="A46" s="41" t="s">
        <v>296</v>
      </c>
      <c r="B46" s="42" t="s">
        <v>307</v>
      </c>
      <c r="C46" s="50" t="n">
        <v>30</v>
      </c>
      <c r="D46" s="51" t="n">
        <f aca="false">'Exit waterfall'!C29</f>
        <v>30</v>
      </c>
      <c r="E46" s="52" t="n">
        <f aca="false">D46-C46</f>
        <v>0</v>
      </c>
      <c r="F46" s="46" t="str">
        <f aca="false">IF(ABS(E46)&lt;0.005,"reproduced",IF(ABS(E46)&lt;0.011,"rounding","CHECK"))</f>
        <v>reproduced</v>
      </c>
    </row>
    <row r="47" customFormat="false" ht="15" hidden="false" customHeight="true" outlineLevel="0" collapsed="false">
      <c r="A47" s="37" t="s">
        <v>296</v>
      </c>
      <c r="B47" s="38" t="s">
        <v>308</v>
      </c>
      <c r="C47" s="25" t="n">
        <v>20.79</v>
      </c>
      <c r="D47" s="39" t="n">
        <f aca="false">'Exit waterfall'!C30</f>
        <v>20.78633472</v>
      </c>
      <c r="E47" s="26" t="n">
        <f aca="false">D47-C47</f>
        <v>-0.00366527999999988</v>
      </c>
      <c r="F47" s="40" t="str">
        <f aca="false">IF(ABS(E47)&lt;0.005,"reproduced",IF(ABS(E47)&lt;0.011,"rounding","CHECK"))</f>
        <v>reproduced</v>
      </c>
    </row>
    <row r="48" customFormat="false" ht="15" hidden="false" customHeight="true" outlineLevel="0" collapsed="false">
      <c r="A48" s="41" t="s">
        <v>296</v>
      </c>
      <c r="B48" s="42" t="s">
        <v>309</v>
      </c>
      <c r="C48" s="50" t="n">
        <v>13.86</v>
      </c>
      <c r="D48" s="51" t="n">
        <f aca="false">'Exit waterfall'!C31</f>
        <v>13.85755648</v>
      </c>
      <c r="E48" s="52" t="n">
        <f aca="false">D48-C48</f>
        <v>-0.00244351999999992</v>
      </c>
      <c r="F48" s="46" t="str">
        <f aca="false">IF(ABS(E48)&lt;0.005,"reproduced",IF(ABS(E48)&lt;0.011,"rounding","CHECK"))</f>
        <v>reproduced</v>
      </c>
    </row>
    <row r="49" customFormat="false" ht="15" hidden="false" customHeight="true" outlineLevel="0" collapsed="false">
      <c r="A49" s="37" t="s">
        <v>296</v>
      </c>
      <c r="B49" s="38" t="s">
        <v>310</v>
      </c>
      <c r="C49" s="25" t="n">
        <v>6.93</v>
      </c>
      <c r="D49" s="39" t="n">
        <f aca="false">'Exit waterfall'!E31</f>
        <v>6.92877824</v>
      </c>
      <c r="E49" s="26" t="n">
        <f aca="false">D49-C49</f>
        <v>-0.00122175999999996</v>
      </c>
      <c r="F49" s="40" t="str">
        <f aca="false">IF(ABS(E49)&lt;0.005,"reproduced",IF(ABS(E49)&lt;0.011,"rounding","CHECK"))</f>
        <v>reproduced</v>
      </c>
    </row>
    <row r="50" customFormat="false" ht="15" hidden="false" customHeight="true" outlineLevel="0" collapsed="false">
      <c r="A50" s="41" t="s">
        <v>296</v>
      </c>
      <c r="B50" s="42" t="s">
        <v>311</v>
      </c>
      <c r="C50" s="50" t="n">
        <v>17.28</v>
      </c>
      <c r="D50" s="51" t="n">
        <f aca="false">'Exit waterfall'!C32</f>
        <v>17.2803308000001</v>
      </c>
      <c r="E50" s="52" t="n">
        <f aca="false">D50-C50</f>
        <v>0.000330800000053699</v>
      </c>
      <c r="F50" s="46" t="str">
        <f aca="false">IF(ABS(E50)&lt;0.005,"reproduced",IF(ABS(E50)&lt;0.011,"rounding","CHECK"))</f>
        <v>reproduced</v>
      </c>
    </row>
    <row r="51" customFormat="false" ht="15" hidden="false" customHeight="true" outlineLevel="0" collapsed="false">
      <c r="A51" s="37" t="s">
        <v>296</v>
      </c>
      <c r="B51" s="38" t="s">
        <v>312</v>
      </c>
      <c r="C51" s="25" t="n">
        <v>13.82</v>
      </c>
      <c r="D51" s="39" t="n">
        <f aca="false">'Exit waterfall'!D32</f>
        <v>13.82426464</v>
      </c>
      <c r="E51" s="26" t="n">
        <f aca="false">D51-C51</f>
        <v>0.00426464000004501</v>
      </c>
      <c r="F51" s="40" t="str">
        <f aca="false">IF(ABS(E51)&lt;0.005,"reproduced",IF(ABS(E51)&lt;0.011,"rounding","CHECK"))</f>
        <v>reproduced</v>
      </c>
    </row>
    <row r="52" customFormat="false" ht="15" hidden="false" customHeight="true" outlineLevel="0" collapsed="false">
      <c r="A52" s="41" t="s">
        <v>296</v>
      </c>
      <c r="B52" s="42" t="s">
        <v>313</v>
      </c>
      <c r="C52" s="50" t="n">
        <v>3.46</v>
      </c>
      <c r="D52" s="51" t="n">
        <f aca="false">'Exit waterfall'!E32</f>
        <v>3.45606616000001</v>
      </c>
      <c r="E52" s="52" t="n">
        <f aca="false">D52-C52</f>
        <v>-0.00393383999998864</v>
      </c>
      <c r="F52" s="46" t="str">
        <f aca="false">IF(ABS(E52)&lt;0.005,"reproduced",IF(ABS(E52)&lt;0.011,"rounding","CHECK"))</f>
        <v>reproduced</v>
      </c>
    </row>
    <row r="53" customFormat="false" ht="15" hidden="false" customHeight="true" outlineLevel="0" collapsed="false">
      <c r="A53" s="37" t="s">
        <v>296</v>
      </c>
      <c r="B53" s="38" t="s">
        <v>314</v>
      </c>
      <c r="C53" s="25" t="n">
        <v>5.8</v>
      </c>
      <c r="D53" s="39" t="n">
        <f aca="false">'Exit waterfall'!C33</f>
        <v>5.80857799999997</v>
      </c>
      <c r="E53" s="26" t="n">
        <f aca="false">D53-C53</f>
        <v>0.00857799999996534</v>
      </c>
      <c r="F53" s="40" t="str">
        <f aca="false">IF(ABS(E53)&lt;0.005,"reproduced",IF(ABS(E53)&lt;0.011,"rounding","CHECK"))</f>
        <v>rounding</v>
      </c>
    </row>
    <row r="54" customFormat="false" ht="15" hidden="false" customHeight="true" outlineLevel="0" collapsed="false">
      <c r="A54" s="41" t="s">
        <v>296</v>
      </c>
      <c r="B54" s="42" t="s">
        <v>315</v>
      </c>
      <c r="C54" s="50" t="n">
        <v>1.74</v>
      </c>
      <c r="D54" s="51" t="n">
        <f aca="false">'Exit waterfall'!E33</f>
        <v>1.74257339999999</v>
      </c>
      <c r="E54" s="52" t="n">
        <f aca="false">D54-C54</f>
        <v>0.00257339999998951</v>
      </c>
      <c r="F54" s="46" t="str">
        <f aca="false">IF(ABS(E54)&lt;0.005,"reproduced",IF(ABS(E54)&lt;0.011,"rounding","CHECK"))</f>
        <v>reproduced</v>
      </c>
    </row>
    <row r="55" customFormat="false" ht="15" hidden="false" customHeight="true" outlineLevel="0" collapsed="false">
      <c r="A55" s="37" t="s">
        <v>296</v>
      </c>
      <c r="B55" s="38" t="s">
        <v>316</v>
      </c>
      <c r="C55" s="25" t="n">
        <v>75.6</v>
      </c>
      <c r="D55" s="39" t="n">
        <f aca="false">'Exit waterfall'!D34</f>
        <v>75.6053822</v>
      </c>
      <c r="E55" s="26" t="n">
        <f aca="false">D55-C55</f>
        <v>0.00538220000001388</v>
      </c>
      <c r="F55" s="40" t="str">
        <f aca="false">IF(ABS(E55)&lt;0.005,"reproduced",IF(ABS(E55)&lt;0.011,"rounding","CHECK"))</f>
        <v>rounding</v>
      </c>
    </row>
    <row r="56" customFormat="false" ht="15" hidden="false" customHeight="true" outlineLevel="0" collapsed="false">
      <c r="A56" s="41" t="s">
        <v>296</v>
      </c>
      <c r="B56" s="42" t="s">
        <v>317</v>
      </c>
      <c r="C56" s="50" t="n">
        <v>12.13</v>
      </c>
      <c r="D56" s="51" t="n">
        <f aca="false">'Exit waterfall'!E34</f>
        <v>12.1274178</v>
      </c>
      <c r="E56" s="52" t="n">
        <f aca="false">D56-C56</f>
        <v>-0.00258220000000087</v>
      </c>
      <c r="F56" s="46" t="str">
        <f aca="false">IF(ABS(E56)&lt;0.005,"reproduced",IF(ABS(E56)&lt;0.011,"rounding","CHECK"))</f>
        <v>reproduced</v>
      </c>
    </row>
    <row r="57" customFormat="false" ht="15" hidden="false" customHeight="true" outlineLevel="0" collapsed="false">
      <c r="A57" s="37" t="s">
        <v>296</v>
      </c>
      <c r="B57" s="38" t="s">
        <v>318</v>
      </c>
      <c r="C57" s="25" t="n">
        <v>9.8</v>
      </c>
      <c r="D57" s="39" t="n">
        <f aca="false">'Exit waterfall'!B41</f>
        <v>9.7946178</v>
      </c>
      <c r="E57" s="26" t="n">
        <f aca="false">D57-C57</f>
        <v>-0.00538220000000145</v>
      </c>
      <c r="F57" s="40" t="str">
        <f aca="false">IF(ABS(E57)&lt;0.005,"reproduced",IF(ABS(E57)&lt;0.011,"rounding","CHECK"))</f>
        <v>rounding</v>
      </c>
    </row>
    <row r="58" customFormat="false" ht="15" hidden="false" customHeight="true" outlineLevel="0" collapsed="false">
      <c r="A58" s="41" t="s">
        <v>319</v>
      </c>
      <c r="B58" s="42" t="s">
        <v>320</v>
      </c>
      <c r="C58" s="50" t="n">
        <v>50.4</v>
      </c>
      <c r="D58" s="51" t="n">
        <f aca="false">Returns!B12</f>
        <v>50.4</v>
      </c>
      <c r="E58" s="52" t="n">
        <f aca="false">D58-C58</f>
        <v>0</v>
      </c>
      <c r="F58" s="46" t="str">
        <f aca="false">IF(ABS(E58)&lt;0.005,"reproduced",IF(ABS(E58)&lt;0.011,"rounding","CHECK"))</f>
        <v>reproduced</v>
      </c>
    </row>
    <row r="59" customFormat="false" ht="15" hidden="false" customHeight="true" outlineLevel="0" collapsed="false">
      <c r="A59" s="37" t="s">
        <v>319</v>
      </c>
      <c r="B59" s="38" t="s">
        <v>321</v>
      </c>
      <c r="C59" s="25" t="n">
        <v>5.6</v>
      </c>
      <c r="D59" s="39" t="n">
        <f aca="false">Returns!C12</f>
        <v>5.6</v>
      </c>
      <c r="E59" s="26" t="n">
        <f aca="false">D59-C59</f>
        <v>0</v>
      </c>
      <c r="F59" s="40" t="str">
        <f aca="false">IF(ABS(E59)&lt;0.005,"reproduced",IF(ABS(E59)&lt;0.011,"rounding","CHECK"))</f>
        <v>reproduced</v>
      </c>
    </row>
    <row r="60" customFormat="false" ht="15" hidden="false" customHeight="true" outlineLevel="0" collapsed="false">
      <c r="A60" s="41" t="s">
        <v>319</v>
      </c>
      <c r="B60" s="42" t="s">
        <v>322</v>
      </c>
      <c r="C60" s="50" t="n">
        <v>91.44</v>
      </c>
      <c r="D60" s="51" t="n">
        <f aca="false">Returns!B13</f>
        <v>91.44484398</v>
      </c>
      <c r="E60" s="52" t="n">
        <f aca="false">D60-C60</f>
        <v>0.00484398000001818</v>
      </c>
      <c r="F60" s="46" t="str">
        <f aca="false">IF(ABS(E60)&lt;0.005,"reproduced",IF(ABS(E60)&lt;0.011,"rounding","CHECK"))</f>
        <v>reproduced</v>
      </c>
    </row>
    <row r="61" customFormat="false" ht="15" hidden="false" customHeight="true" outlineLevel="0" collapsed="false">
      <c r="A61" s="37" t="s">
        <v>319</v>
      </c>
      <c r="B61" s="38" t="s">
        <v>323</v>
      </c>
      <c r="C61" s="25" t="n">
        <v>21.96</v>
      </c>
      <c r="D61" s="39" t="n">
        <f aca="false">Returns!C13</f>
        <v>21.95515602</v>
      </c>
      <c r="E61" s="26" t="n">
        <f aca="false">D61-C61</f>
        <v>-0.00484398000000397</v>
      </c>
      <c r="F61" s="40" t="str">
        <f aca="false">IF(ABS(E61)&lt;0.005,"reproduced",IF(ABS(E61)&lt;0.011,"rounding","CHECK"))</f>
        <v>reproduced</v>
      </c>
    </row>
    <row r="62" customFormat="false" ht="15" hidden="false" customHeight="true" outlineLevel="0" collapsed="false">
      <c r="A62" s="41" t="s">
        <v>319</v>
      </c>
      <c r="B62" s="42" t="s">
        <v>324</v>
      </c>
      <c r="C62" s="50" t="n">
        <v>113.4</v>
      </c>
      <c r="D62" s="51" t="n">
        <f aca="false">Returns!D13</f>
        <v>113.4</v>
      </c>
      <c r="E62" s="52" t="n">
        <f aca="false">D62-C62</f>
        <v>0</v>
      </c>
      <c r="F62" s="46" t="str">
        <f aca="false">IF(ABS(E62)&lt;0.005,"reproduced",IF(ABS(E62)&lt;0.011,"rounding","CHECK"))</f>
        <v>reproduced</v>
      </c>
    </row>
    <row r="63" customFormat="false" ht="15" hidden="false" customHeight="true" outlineLevel="0" collapsed="false">
      <c r="A63" s="37" t="s">
        <v>319</v>
      </c>
      <c r="B63" s="38" t="s">
        <v>325</v>
      </c>
      <c r="C63" s="53" t="n">
        <v>1.81</v>
      </c>
      <c r="D63" s="54" t="n">
        <f aca="false">Returns!B14</f>
        <v>1.814381825</v>
      </c>
      <c r="E63" s="55" t="n">
        <f aca="false">D63-C63</f>
        <v>0.00438182500000028</v>
      </c>
      <c r="F63" s="40" t="str">
        <f aca="false">IF(ABS(E63)&lt;0.005,"reproduced",IF(ABS(E63)&lt;0.011,"rounding","CHECK"))</f>
        <v>reproduced</v>
      </c>
    </row>
    <row r="64" customFormat="false" ht="15" hidden="false" customHeight="true" outlineLevel="0" collapsed="false">
      <c r="A64" s="41" t="s">
        <v>319</v>
      </c>
      <c r="B64" s="42" t="s">
        <v>326</v>
      </c>
      <c r="C64" s="56" t="n">
        <v>3.92</v>
      </c>
      <c r="D64" s="57" t="n">
        <f aca="false">Returns!C14</f>
        <v>3.920563575</v>
      </c>
      <c r="E64" s="58" t="n">
        <f aca="false">D64-C64</f>
        <v>0.000563575000000594</v>
      </c>
      <c r="F64" s="46" t="str">
        <f aca="false">IF(ABS(E64)&lt;0.005,"reproduced",IF(ABS(E64)&lt;0.011,"rounding","CHECK"))</f>
        <v>reproduced</v>
      </c>
    </row>
    <row r="65" customFormat="false" ht="15" hidden="false" customHeight="true" outlineLevel="0" collapsed="false">
      <c r="A65" s="37" t="s">
        <v>319</v>
      </c>
      <c r="B65" s="38" t="s">
        <v>327</v>
      </c>
      <c r="C65" s="53" t="n">
        <v>2.03</v>
      </c>
      <c r="D65" s="54" t="n">
        <f aca="false">Returns!D14</f>
        <v>2.025</v>
      </c>
      <c r="E65" s="55" t="n">
        <f aca="false">D65-C65</f>
        <v>-0.00499999999999989</v>
      </c>
      <c r="F65" s="40" t="str">
        <f aca="false">IF(ABS(E65)&lt;0.005,"reproduced",IF(ABS(E65)&lt;0.011,"rounding","CHECK"))</f>
        <v>reproduced</v>
      </c>
    </row>
    <row r="66" customFormat="false" ht="15" hidden="false" customHeight="true" outlineLevel="0" collapsed="false">
      <c r="A66" s="41" t="s">
        <v>319</v>
      </c>
      <c r="B66" s="42" t="s">
        <v>328</v>
      </c>
      <c r="C66" s="43" t="n">
        <v>0.15</v>
      </c>
      <c r="D66" s="44" t="n">
        <f aca="false">Returns!B15</f>
        <v>0.150280708696637</v>
      </c>
      <c r="E66" s="45" t="n">
        <f aca="false">D66-C66</f>
        <v>0.000280708696636628</v>
      </c>
      <c r="F66" s="46" t="str">
        <f aca="false">IF(ABS(E66)&lt;0.005,"reproduced",IF(ABS(E66)&lt;0.011,"rounding","CHECK"))</f>
        <v>reproduced</v>
      </c>
    </row>
    <row r="67" customFormat="false" ht="15" hidden="false" customHeight="true" outlineLevel="0" collapsed="false">
      <c r="A67" s="37" t="s">
        <v>319</v>
      </c>
      <c r="B67" s="38" t="s">
        <v>329</v>
      </c>
      <c r="C67" s="47" t="n">
        <v>0.373</v>
      </c>
      <c r="D67" s="48" t="n">
        <f aca="false">Returns!C15</f>
        <v>0.37306206052699</v>
      </c>
      <c r="E67" s="49" t="n">
        <f aca="false">D67-C67</f>
        <v>6.2060526989538E-005</v>
      </c>
      <c r="F67" s="40" t="str">
        <f aca="false">IF(ABS(E67)&lt;0.005,"reproduced",IF(ABS(E67)&lt;0.011,"rounding","CHECK"))</f>
        <v>reproduced</v>
      </c>
    </row>
    <row r="68" customFormat="false" ht="15" hidden="false" customHeight="true" outlineLevel="0" collapsed="false">
      <c r="A68" s="41" t="s">
        <v>319</v>
      </c>
      <c r="B68" s="42" t="s">
        <v>330</v>
      </c>
      <c r="C68" s="43" t="n">
        <v>0.18</v>
      </c>
      <c r="D68" s="44" t="n">
        <f aca="false">Returns!D15</f>
        <v>0.179793533582691</v>
      </c>
      <c r="E68" s="45" t="n">
        <f aca="false">D68-C68</f>
        <v>-0.000206466417309314</v>
      </c>
      <c r="F68" s="46" t="str">
        <f aca="false">IF(ABS(E68)&lt;0.005,"reproduced",IF(ABS(E68)&lt;0.011,"rounding","CHECK"))</f>
        <v>reproduced</v>
      </c>
    </row>
    <row r="69" customFormat="false" ht="15" hidden="false" customHeight="true" outlineLevel="0" collapsed="false">
      <c r="A69" s="37" t="s">
        <v>319</v>
      </c>
      <c r="B69" s="38" t="s">
        <v>331</v>
      </c>
      <c r="C69" s="47" t="n">
        <v>0.193</v>
      </c>
      <c r="D69" s="48" t="n">
        <f aca="false">Returns!B24</f>
        <v>0.192797017573481</v>
      </c>
      <c r="E69" s="49" t="n">
        <f aca="false">D69-C69</f>
        <v>-0.000202982426519144</v>
      </c>
      <c r="F69" s="40" t="str">
        <f aca="false">IF(ABS(E69)&lt;0.005,"reproduced",IF(ABS(E69)&lt;0.011,"rounding","CHECK"))</f>
        <v>reproduced</v>
      </c>
    </row>
    <row r="70" customFormat="false" ht="15" hidden="false" customHeight="true" outlineLevel="0" collapsed="false">
      <c r="A70" s="41" t="s">
        <v>319</v>
      </c>
      <c r="B70" s="42" t="s">
        <v>332</v>
      </c>
      <c r="C70" s="56" t="n">
        <v>2.18</v>
      </c>
      <c r="D70" s="57" t="n">
        <f aca="false">Returns!C24</f>
        <v>2.17921701304978</v>
      </c>
      <c r="E70" s="58" t="n">
        <f aca="false">D70-C70</f>
        <v>-0.000782986950217612</v>
      </c>
      <c r="F70" s="46" t="str">
        <f aca="false">IF(ABS(E70)&lt;0.005,"reproduced",IF(ABS(E70)&lt;0.011,"rounding","CHECK"))</f>
        <v>reproduced</v>
      </c>
    </row>
    <row r="71" customFormat="false" ht="15" hidden="false" customHeight="true" outlineLevel="0" collapsed="false">
      <c r="A71" s="37" t="s">
        <v>319</v>
      </c>
      <c r="B71" s="38" t="s">
        <v>235</v>
      </c>
      <c r="C71" s="47" t="n">
        <v>0.013</v>
      </c>
      <c r="D71" s="48" t="n">
        <f aca="false">Returns!B28</f>
        <v>0.0130034839907902</v>
      </c>
      <c r="E71" s="49" t="n">
        <f aca="false">D71-C71</f>
        <v>3.48399079018284E-006</v>
      </c>
      <c r="F71" s="40" t="str">
        <f aca="false">IF(ABS(E71)&lt;0.005,"reproduced",IF(ABS(E71)&lt;0.011,"rounding","CHECK"))</f>
        <v>reproduced</v>
      </c>
    </row>
    <row r="72" customFormat="false" ht="15" hidden="false" customHeight="true" outlineLevel="0" collapsed="false">
      <c r="A72" s="41" t="s">
        <v>319</v>
      </c>
      <c r="B72" s="42" t="s">
        <v>236</v>
      </c>
      <c r="C72" s="43" t="n">
        <v>0.03</v>
      </c>
      <c r="D72" s="44" t="n">
        <f aca="false">Returns!B29</f>
        <v>0.0295128248860541</v>
      </c>
      <c r="E72" s="45" t="n">
        <f aca="false">D72-C72</f>
        <v>-0.000487175113945942</v>
      </c>
      <c r="F72" s="46" t="str">
        <f aca="false">IF(ABS(E72)&lt;0.005,"reproduced",IF(ABS(E72)&lt;0.011,"rounding","CHECK"))</f>
        <v>reproduced</v>
      </c>
    </row>
    <row r="73" customFormat="false" ht="15" hidden="false" customHeight="true" outlineLevel="0" collapsed="false">
      <c r="A73" s="37" t="s">
        <v>319</v>
      </c>
      <c r="B73" s="38" t="s">
        <v>333</v>
      </c>
      <c r="C73" s="47" t="n">
        <v>0.211</v>
      </c>
      <c r="D73" s="48" t="n">
        <f aca="false">Returns!B31</f>
        <v>0.211279055749129</v>
      </c>
      <c r="E73" s="49" t="n">
        <f aca="false">D73-C73</f>
        <v>0.000279055749128898</v>
      </c>
      <c r="F73" s="40" t="str">
        <f aca="false">IF(ABS(E73)&lt;0.005,"reproduced",IF(ABS(E73)&lt;0.011,"rounding","CHECK"))</f>
        <v>reproduced</v>
      </c>
    </row>
    <row r="74" customFormat="false" ht="15" hidden="false" customHeight="true" outlineLevel="0" collapsed="false">
      <c r="A74" s="41" t="s">
        <v>334</v>
      </c>
      <c r="B74" s="42" t="s">
        <v>335</v>
      </c>
      <c r="C74" s="50" t="n">
        <v>38.82</v>
      </c>
      <c r="D74" s="51" t="n">
        <f aca="false">Downside!B7</f>
        <v>38.82</v>
      </c>
      <c r="E74" s="52" t="n">
        <f aca="false">D74-C74</f>
        <v>0</v>
      </c>
      <c r="F74" s="46" t="str">
        <f aca="false">IF(ABS(E74)&lt;0.005,"reproduced",IF(ABS(E74)&lt;0.011,"rounding","CHECK"))</f>
        <v>reproduced</v>
      </c>
    </row>
    <row r="75" customFormat="false" ht="15" hidden="false" customHeight="true" outlineLevel="0" collapsed="false">
      <c r="A75" s="37" t="s">
        <v>334</v>
      </c>
      <c r="B75" s="38" t="s">
        <v>163</v>
      </c>
      <c r="C75" s="25" t="n">
        <v>46.15</v>
      </c>
      <c r="D75" s="39" t="n">
        <f aca="false">Downside!B10</f>
        <v>46.1528</v>
      </c>
      <c r="E75" s="26" t="n">
        <f aca="false">D75-C75</f>
        <v>0.00279999999999347</v>
      </c>
      <c r="F75" s="40" t="str">
        <f aca="false">IF(ABS(E75)&lt;0.005,"reproduced",IF(ABS(E75)&lt;0.011,"rounding","CHECK"))</f>
        <v>reproduced</v>
      </c>
    </row>
    <row r="76" customFormat="false" ht="15" hidden="false" customHeight="true" outlineLevel="0" collapsed="false">
      <c r="A76" s="41" t="s">
        <v>334</v>
      </c>
      <c r="B76" s="42" t="s">
        <v>138</v>
      </c>
      <c r="C76" s="50" t="n">
        <v>16.15</v>
      </c>
      <c r="D76" s="51" t="n">
        <f aca="false">Downside!B14</f>
        <v>16.1528</v>
      </c>
      <c r="E76" s="52" t="n">
        <f aca="false">D76-C76</f>
        <v>0.00280000000000058</v>
      </c>
      <c r="F76" s="46" t="str">
        <f aca="false">IF(ABS(E76)&lt;0.005,"reproduced",IF(ABS(E76)&lt;0.011,"rounding","CHECK"))</f>
        <v>reproduced</v>
      </c>
    </row>
    <row r="77" customFormat="false" ht="15" hidden="false" customHeight="true" outlineLevel="0" collapsed="false">
      <c r="A77" s="37" t="s">
        <v>334</v>
      </c>
      <c r="B77" s="38" t="s">
        <v>243</v>
      </c>
      <c r="C77" s="25" t="n">
        <v>0</v>
      </c>
      <c r="D77" s="39" t="n">
        <f aca="false">Downside!B16</f>
        <v>0</v>
      </c>
      <c r="E77" s="26" t="n">
        <f aca="false">D77-C77</f>
        <v>0</v>
      </c>
      <c r="F77" s="40" t="str">
        <f aca="false">IF(ABS(E77)&lt;0.005,"reproduced",IF(ABS(E77)&lt;0.011,"rounding","CHECK"))</f>
        <v>reproduced</v>
      </c>
    </row>
    <row r="78" customFormat="false" ht="15" hidden="false" customHeight="true" outlineLevel="0" collapsed="false">
      <c r="A78" s="41" t="s">
        <v>334</v>
      </c>
      <c r="B78" s="42" t="s">
        <v>336</v>
      </c>
      <c r="C78" s="50" t="n">
        <v>2.33</v>
      </c>
      <c r="D78" s="51" t="n">
        <f aca="false">Downside!B17</f>
        <v>2.3328</v>
      </c>
      <c r="E78" s="52" t="n">
        <f aca="false">D78-C78</f>
        <v>0.00280000000000014</v>
      </c>
      <c r="F78" s="46" t="str">
        <f aca="false">IF(ABS(E78)&lt;0.005,"reproduced",IF(ABS(E78)&lt;0.011,"rounding","CHECK"))</f>
        <v>reproduced</v>
      </c>
    </row>
    <row r="79" customFormat="false" ht="15" hidden="false" customHeight="false" outlineLevel="0" collapsed="false">
      <c r="A79" s="59" t="s">
        <v>298</v>
      </c>
      <c r="B79" s="60" t="s">
        <v>337</v>
      </c>
      <c r="C79" s="61" t="n">
        <v>1.5</v>
      </c>
      <c r="D79" s="62" t="n">
        <f aca="false">'Capital account'!B34</f>
        <v>1.4952</v>
      </c>
      <c r="E79" s="62" t="n">
        <f aca="false">D79-C79</f>
        <v>-0.00479999999999947</v>
      </c>
      <c r="F79" s="63" t="str">
        <f aca="false">IF(ABS(E79)&lt;0.005,"revised","CHECK")</f>
        <v>revised</v>
      </c>
      <c r="H79" s="64" t="s">
        <v>338</v>
      </c>
    </row>
    <row r="80" customFormat="false" ht="15" hidden="false" customHeight="true" outlineLevel="0" collapsed="false">
      <c r="A80" s="41" t="s">
        <v>298</v>
      </c>
      <c r="B80" s="65" t="s">
        <v>339</v>
      </c>
      <c r="C80" s="50" t="n">
        <v>0.75</v>
      </c>
      <c r="D80" s="66" t="n">
        <f aca="false">'Capital account'!B36</f>
        <v>0.7476</v>
      </c>
      <c r="E80" s="66" t="n">
        <f aca="false">D80-C80</f>
        <v>-0.00239999999999974</v>
      </c>
      <c r="F80" s="67" t="str">
        <f aca="false">IF(ABS(E80)&lt;0.005,"revised","CHECK")</f>
        <v>revised</v>
      </c>
      <c r="H80" s="64" t="s">
        <v>340</v>
      </c>
    </row>
    <row r="81" customFormat="false" ht="15" hidden="false" customHeight="true" outlineLevel="0" collapsed="false">
      <c r="A81" s="37" t="s">
        <v>298</v>
      </c>
      <c r="B81" s="60" t="s">
        <v>341</v>
      </c>
      <c r="C81" s="25" t="n">
        <v>1.25</v>
      </c>
      <c r="D81" s="62" t="n">
        <f aca="false">'Capital account'!B38</f>
        <v>1.2524</v>
      </c>
      <c r="E81" s="62" t="n">
        <f aca="false">D81-C81</f>
        <v>0.00239999999999974</v>
      </c>
      <c r="F81" s="63" t="str">
        <f aca="false">IF(ABS(E81)&lt;0.005,"revised","CHECK")</f>
        <v>revised</v>
      </c>
    </row>
    <row r="82" customFormat="false" ht="15" hidden="false" customHeight="true" outlineLevel="0" collapsed="false">
      <c r="A82" s="41" t="s">
        <v>296</v>
      </c>
      <c r="B82" s="65" t="s">
        <v>342</v>
      </c>
      <c r="C82" s="50" t="n">
        <v>0</v>
      </c>
      <c r="D82" s="66" t="n">
        <f aca="false">'Exit waterfall'!B54</f>
        <v>0</v>
      </c>
      <c r="E82" s="66" t="n">
        <f aca="false">D82-C82</f>
        <v>0</v>
      </c>
      <c r="F82" s="67" t="str">
        <f aca="false">IF(ABS(E82)&lt;0.005,"revised","CHECK")</f>
        <v>revised</v>
      </c>
      <c r="H82" s="64" t="s">
        <v>343</v>
      </c>
    </row>
    <row r="83" customFormat="false" ht="15" hidden="false" customHeight="false" outlineLevel="0" collapsed="false">
      <c r="A83" s="59" t="s">
        <v>296</v>
      </c>
      <c r="B83" s="60" t="s">
        <v>344</v>
      </c>
      <c r="C83" s="61" t="n">
        <v>0.58</v>
      </c>
      <c r="D83" s="62" t="n">
        <f aca="false">'Exit waterfall'!B55</f>
        <v>0.580857799999997</v>
      </c>
      <c r="E83" s="62" t="n">
        <f aca="false">D83-C83</f>
        <v>0.000857799999996911</v>
      </c>
      <c r="F83" s="63" t="str">
        <f aca="false">IF(ABS(E83)&lt;0.005,"revised","CHECK")</f>
        <v>revised</v>
      </c>
    </row>
    <row r="84" customFormat="false" ht="15" hidden="false" customHeight="false" outlineLevel="0" collapsed="false">
      <c r="A84" s="68" t="s">
        <v>296</v>
      </c>
      <c r="B84" s="65" t="s">
        <v>345</v>
      </c>
      <c r="C84" s="69" t="n">
        <v>11.55</v>
      </c>
      <c r="D84" s="66" t="n">
        <f aca="false">'Exit waterfall'!B53</f>
        <v>11.54656</v>
      </c>
      <c r="E84" s="66" t="n">
        <f aca="false">D84-C84</f>
        <v>-0.00343999999999767</v>
      </c>
      <c r="F84" s="67" t="str">
        <f aca="false">IF(ABS(E84)&lt;0.005,"revised","CHECK")</f>
        <v>revised</v>
      </c>
      <c r="H84" s="64" t="s">
        <v>346</v>
      </c>
    </row>
    <row r="86" customFormat="false" ht="15" hidden="false" customHeight="false" outlineLevel="0" collapsed="false">
      <c r="A86" s="29" t="s">
        <v>347</v>
      </c>
      <c r="C86" s="70" t="n">
        <f aca="false">COUNTIF(F5:F84,"reproduced")</f>
        <v>71</v>
      </c>
    </row>
    <row r="87" customFormat="false" ht="15" hidden="false" customHeight="false" outlineLevel="0" collapsed="false">
      <c r="A87" s="29" t="s">
        <v>348</v>
      </c>
      <c r="C87" s="70" t="n">
        <f aca="false">COUNTIF(F5:F84,"rounding")</f>
        <v>3</v>
      </c>
    </row>
    <row r="88" customFormat="false" ht="15" hidden="false" customHeight="false" outlineLevel="0" collapsed="false">
      <c r="A88" s="29" t="s">
        <v>349</v>
      </c>
      <c r="C88" s="70" t="n">
        <f aca="false">COUNTIF(F5:F84,"revised")</f>
        <v>6</v>
      </c>
    </row>
    <row r="89" customFormat="false" ht="15" hidden="false" customHeight="false" outlineLevel="0" collapsed="false">
      <c r="A89" s="29" t="s">
        <v>350</v>
      </c>
      <c r="C89" s="70" t="n">
        <f aca="false">COUNTIF(F5:F84,"CHECK")</f>
        <v>0</v>
      </c>
    </row>
    <row r="91" customFormat="false" ht="15" hidden="false" customHeight="false" outlineLevel="0" collapsed="false">
      <c r="A91" s="71" t="s">
        <v>351</v>
      </c>
      <c r="C91" s="71" t="str">
        <f aca="false">IF(COUNTIF(F5:F84,"CHECK")=0,"ALL OK","SOME FAIL")</f>
        <v>ALL OK</v>
      </c>
    </row>
  </sheetData>
  <mergeCells count="1">
    <mergeCell ref="H5:H2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2026-08-20T03:00:36Z</dcterms:created>
  <dc:creator>openpyxl</dc:creator>
  <dc:description/>
  <dc:language>en-US</dc:language>
  <cp:lastModifiedBy/>
  <dcterms:modified xsi:type="dcterms:W3CDTF">2026-09-23T22:15:24Z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