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 Inputs" sheetId="1" state="visible" r:id="rId3"/>
    <sheet name="2 The rent roll" sheetId="2" state="visible" r:id="rId4"/>
    <sheet name="3 The over-market" sheetId="3" state="visible" r:id="rId5"/>
    <sheet name="4 Time-weighted" sheetId="4" state="visible" r:id="rId6"/>
    <sheet name="5 Net of cost" sheetId="5" state="visible" r:id="rId7"/>
    <sheet name="6 The four numbers" sheetId="6" state="visible" r:id="rId8"/>
    <sheet name="7 The one page" sheetId="7" state="visible" r:id="rId9"/>
    <sheet name="8 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<sst xmlns="http://schemas.openxmlformats.org/spreadsheetml/2006/main" count="229" uniqueCount="217">
  <si>
    <t xml:space="preserve">The mark-to-market, made usable — inputs</t>
  </si>
  <si>
    <t xml:space="preserve">Every amber cell is an input, and every one of them is a figure the book states.</t>
  </si>
  <si>
    <t xml:space="preserve">THE RENT ROLL — chapter 19</t>
  </si>
  <si>
    <t xml:space="preserve">Tenant</t>
  </si>
  <si>
    <t xml:space="preserve">Area, sf</t>
  </si>
  <si>
    <t xml:space="preserve">In-place</t>
  </si>
  <si>
    <t xml:space="preserve">Market</t>
  </si>
  <si>
    <t xml:space="preserve">Years left</t>
  </si>
  <si>
    <t xml:space="preserve">Anchor law firm</t>
  </si>
  <si>
    <t xml:space="preserve">Technology tenant</t>
  </si>
  <si>
    <t xml:space="preserve">Insurance broker</t>
  </si>
  <si>
    <t xml:space="preserve">Regional bank</t>
  </si>
  <si>
    <t xml:space="preserve">Coworking operator</t>
  </si>
  <si>
    <t xml:space="preserve">Ground-floor retail</t>
  </si>
  <si>
    <t xml:space="preserve">THE RATES AND COSTS</t>
  </si>
  <si>
    <t xml:space="preserve">Capitalisation rate</t>
  </si>
  <si>
    <t xml:space="preserve">ch.19</t>
  </si>
  <si>
    <t xml:space="preserve">Renewal: improvement allowance</t>
  </si>
  <si>
    <t xml:space="preserve">ch.18, 25.00/sf on 25,000 sf</t>
  </si>
  <si>
    <t xml:space="preserve">Renewal: leasing commission</t>
  </si>
  <si>
    <t xml:space="preserve">ch.18, 3 per cent</t>
  </si>
  <si>
    <t xml:space="preserve">New tenant: downtime</t>
  </si>
  <si>
    <t xml:space="preserve">ch.18, nine months</t>
  </si>
  <si>
    <t xml:space="preserve">New tenant: improvement allowance</t>
  </si>
  <si>
    <t xml:space="preserve">ch.18, 75.00/sf</t>
  </si>
  <si>
    <t xml:space="preserve">New tenant: leasing commission</t>
  </si>
  <si>
    <t xml:space="preserve">ch.18, 5 per cent</t>
  </si>
  <si>
    <t xml:space="preserve">Reference area for those costs</t>
  </si>
  <si>
    <t xml:space="preserve">ch.18, the anchor law firm</t>
  </si>
  <si>
    <t xml:space="preserve">Renewal probability assumed</t>
  </si>
  <si>
    <t xml:space="preserve">ADDED — the only added input; sheet 5 inverts it</t>
  </si>
  <si>
    <t xml:space="preserve">THE ANCHOR'S RENEWAL OPTION — chapter 10</t>
  </si>
  <si>
    <t xml:space="preserve">Renewal rent, as a share of market</t>
  </si>
  <si>
    <t xml:space="preserve">ch.10, 95 per cent of fair market rent</t>
  </si>
  <si>
    <t xml:space="preserve">Renewal term, years</t>
  </si>
  <si>
    <t xml:space="preserve">ch.10, a five-year renewal</t>
  </si>
  <si>
    <t xml:space="preserve">The rent roll, reproduced</t>
  </si>
  <si>
    <t xml:space="preserve">Nothing new. It exists so that everything after it argues with the same numbers.</t>
  </si>
  <si>
    <t xml:space="preserve">Area</t>
  </si>
  <si>
    <t xml:space="preserve">Gap / sf</t>
  </si>
  <si>
    <t xml:space="preserve">Gap / year</t>
  </si>
  <si>
    <t xml:space="preserve">Total / weighted</t>
  </si>
  <si>
    <t xml:space="preserve">In-place rent</t>
  </si>
  <si>
    <t xml:space="preserve">book: 3,510,250</t>
  </si>
  <si>
    <t xml:space="preserve">Rent at market</t>
  </si>
  <si>
    <t xml:space="preserve">book: 3,872,000</t>
  </si>
  <si>
    <t xml:space="preserve">Aggregate mark-to-market</t>
  </si>
  <si>
    <t xml:space="preserve">book: +361,750</t>
  </si>
  <si>
    <t xml:space="preserve">as a share of in-place</t>
  </si>
  <si>
    <t xml:space="preserve">book: +10.3 per cent</t>
  </si>
  <si>
    <t xml:space="preserve">Capitalised</t>
  </si>
  <si>
    <t xml:space="preserve">book: 5,788,000</t>
  </si>
  <si>
    <t xml:space="preserve">In-place capitalised</t>
  </si>
  <si>
    <t xml:space="preserve">book: 'roughly fifty-six million'</t>
  </si>
  <si>
    <t xml:space="preserve">as a share of the asset</t>
  </si>
  <si>
    <t xml:space="preserve">book: 'ten percent'</t>
  </si>
  <si>
    <t xml:space="preserve">Weighted average lease term by area</t>
  </si>
  <si>
    <t xml:space="preserve">book: 4.36</t>
  </si>
  <si>
    <t xml:space="preserve">by rent</t>
  </si>
  <si>
    <t xml:space="preserve">book: 4.17</t>
  </si>
  <si>
    <t xml:space="preserve">Refinement three first, because it is inside the headline</t>
  </si>
  <si>
    <t xml:space="preserve">Chapter 19 warns against capitalising a four-year over-market stream in perpetuity. Its own headline number does exactly that.</t>
  </si>
  <si>
    <t xml:space="preserve">The over-market stream, a year</t>
  </si>
  <si>
    <t xml:space="preserve">ch.19: 54,000</t>
  </si>
  <si>
    <t xml:space="preserve">Capitalised in perpetuity</t>
  </si>
  <si>
    <t xml:space="preserve">ch.19: 864,000</t>
  </si>
  <si>
    <t xml:space="preserve">Present value of four years of it</t>
  </si>
  <si>
    <t xml:space="preserve">every over-market tenancy, each over its own years left</t>
  </si>
  <si>
    <t xml:space="preserve">THE PERPETUITY OVERSTATES IT BY</t>
  </si>
  <si>
    <t xml:space="preserve">as a multiple</t>
  </si>
  <si>
    <t xml:space="preserve">Below-market gaps only</t>
  </si>
  <si>
    <t xml:space="preserve">capitalised</t>
  </si>
  <si>
    <t xml:space="preserve">less the over-market stream at present value</t>
  </si>
  <si>
    <t xml:space="preserve">MARK-TO-MARKET, corrected on this point alone</t>
  </si>
  <si>
    <t xml:space="preserve">The chapter prints</t>
  </si>
  <si>
    <t xml:space="preserve">THE CORRECTION, UPWARD</t>
  </si>
  <si>
    <t xml:space="preserve">the naive netting over-penalises a four-year stream</t>
  </si>
  <si>
    <t xml:space="preserve">The warning is right and the headline two paragraphs earlier ignores it. The aggregate of +361,750 nets a</t>
  </si>
  <si>
    <t xml:space="preserve">stream with a known expiry date against perpetual gaps, at a perpetual basis, which is the thing the</t>
  </si>
  <si>
    <t xml:space="preserve">chapter says a buyer must not do. Correcting it runs upward, because the naive netting takes too much off.</t>
  </si>
  <si>
    <t xml:space="preserve">Refinement one: weight it by time</t>
  </si>
  <si>
    <t xml:space="preserve">A below-market gap is an uplift that begins at expiry. Value it as a perpetuity starting then, discounted at the same rate.</t>
  </si>
  <si>
    <t xml:space="preserve">Years</t>
  </si>
  <si>
    <t xml:space="preserve">Perpetuity</t>
  </si>
  <si>
    <t xml:space="preserve">Discount</t>
  </si>
  <si>
    <t xml:space="preserve">Present value</t>
  </si>
  <si>
    <t xml:space="preserve">% of raw</t>
  </si>
  <si>
    <t xml:space="preserve">Below-market total</t>
  </si>
  <si>
    <t xml:space="preserve">Time-weighting alone removes</t>
  </si>
  <si>
    <t xml:space="preserve">as a share of the gross gap</t>
  </si>
  <si>
    <t xml:space="preserve">Refinement two: net it for the cost of realising it</t>
  </si>
  <si>
    <t xml:space="preserve">Chapter 18 priced the difference between a renewal and a re-letting on 25,000 square feet. Apply it at every expiry.</t>
  </si>
  <si>
    <t xml:space="preserve">Renewal leakage</t>
  </si>
  <si>
    <t xml:space="preserve">allowance plus commission, no downtime</t>
  </si>
  <si>
    <t xml:space="preserve">New-tenant leakage</t>
  </si>
  <si>
    <t xml:space="preserve">downtime plus allowance plus commission</t>
  </si>
  <si>
    <t xml:space="preserve">Renewal leakage per sf</t>
  </si>
  <si>
    <t xml:space="preserve">ch.18: 32.01</t>
  </si>
  <si>
    <t xml:space="preserve">New-tenant leakage per sf</t>
  </si>
  <si>
    <t xml:space="preserve">ch.18: 119.68</t>
  </si>
  <si>
    <t xml:space="preserve">Renewal probability</t>
  </si>
  <si>
    <t xml:space="preserve">Leakage per sf</t>
  </si>
  <si>
    <t xml:space="preserve">Total leakage, PV</t>
  </si>
  <si>
    <t xml:space="preserve">NET mark-to-market</t>
  </si>
  <si>
    <t xml:space="preserve">% of the printed figure</t>
  </si>
  <si>
    <t xml:space="preserve">At the assumed renewal probability</t>
  </si>
  <si>
    <t xml:space="preserve">leakage per sf</t>
  </si>
  <si>
    <t xml:space="preserve">NET MARK-TO-MARKET</t>
  </si>
  <si>
    <t xml:space="preserve">THE RENEWAL PROBABILITY AT WHICH IT IS WORTH NOTHING</t>
  </si>
  <si>
    <t xml:space="preserve">On this rent roll, at this cap rate, with chapter 18's own leasing costs, a buyer who assumes fewer</t>
  </si>
  <si>
    <t xml:space="preserve">renewals than the break-even above is paying for a mark-to-market that does not exist. The chapter says</t>
  </si>
  <si>
    <t xml:space="preserve">the gross figure overstates what a buyer receives. It overstates it by everything.</t>
  </si>
  <si>
    <t xml:space="preserve">And this arithmetic is GENEROUS to the mark-to-market: the uplift is valued as a perpetuity while the</t>
  </si>
  <si>
    <t xml:space="preserve">leasing cost is charged once. A perpetuity of market rent implies a re-letting at every future expiry,</t>
  </si>
  <si>
    <t xml:space="preserve">and each one costs again. The break-even renewal rate above is therefore an understatement.</t>
  </si>
  <si>
    <t xml:space="preserve">The three refinements, applied in order</t>
  </si>
  <si>
    <t xml:space="preserve">What the chapter prints, and what each refinement does to it.</t>
  </si>
  <si>
    <t xml:space="preserve">As the chapter prints it</t>
  </si>
  <si>
    <t xml:space="preserve">Over-market stream treated honestly (refinement 3)</t>
  </si>
  <si>
    <t xml:space="preserve">and time-weighted (refinement 1)</t>
  </si>
  <si>
    <t xml:space="preserve">and net of the cost of realising it (refinement 2)</t>
  </si>
  <si>
    <t xml:space="preserve">at the stated renewal probability</t>
  </si>
  <si>
    <t xml:space="preserve">THE CORRECTION</t>
  </si>
  <si>
    <t xml:space="preserve">as a share of the printed figure</t>
  </si>
  <si>
    <t xml:space="preserve">The chapter's clause-by-clause value bridge</t>
  </si>
  <si>
    <t xml:space="preserve">ch.19 prints -1,752,400 (C29); restated, row 26 valued over five years</t>
  </si>
  <si>
    <t xml:space="preserve">ch.19 prints 3.1 per cent (C30)</t>
  </si>
  <si>
    <t xml:space="preserve">THE MARK-TO-MARKET CORRECTION IS</t>
  </si>
  <si>
    <t xml:space="preserve">times larger</t>
  </si>
  <si>
    <t xml:space="preserve">against the bridge as printed</t>
  </si>
  <si>
    <t xml:space="preserve">times: the first edition's 2.8</t>
  </si>
  <si>
    <t xml:space="preserve">The chapter itemises the small number to the dollar across five chapters, and leaves the large one as</t>
  </si>
  <si>
    <t xml:space="preserve">three sentences beginning 'three refinements make the number usable rather than decorative'.</t>
  </si>
  <si>
    <t xml:space="preserve">Both belong in the same paper, and only one of them is in it.</t>
  </si>
  <si>
    <t xml:space="preserve">THE CLAUSE BRIDGE — chapter 19, as printed and restated</t>
  </si>
  <si>
    <t xml:space="preserve">Clause</t>
  </si>
  <si>
    <t xml:space="preserve">Annual effect</t>
  </si>
  <si>
    <t xml:space="preserve">Value as printed</t>
  </si>
  <si>
    <t xml:space="preserve">Value restated</t>
  </si>
  <si>
    <t xml:space="preserve">Gross-up absent from the base year (ch.7-8)</t>
  </si>
  <si>
    <t xml:space="preserve">Expense cap, 3% cumulative on controllable costs (ch.8)</t>
  </si>
  <si>
    <t xml:space="preserve">Renewal option at 95% of market (ch.10)</t>
  </si>
  <si>
    <t xml:space="preserve">Percentage rent on the retail unit at trend sales (ch.3)</t>
  </si>
  <si>
    <t xml:space="preserve">Tax reassessment protection given to a major tenant (ch.9)</t>
  </si>
  <si>
    <t xml:space="preserve">Total</t>
  </si>
  <si>
    <t xml:space="preserve">Row 26: a five-year gap of 55,000 is worth at most 275,000 undiscounted; its perpetuity, 880,000, is 3.2 times that.</t>
  </si>
  <si>
    <t xml:space="preserve">The seven items chapter 19 specifies</t>
  </si>
  <si>
    <t xml:space="preserve">It lists seven and prints two. This is all seven.</t>
  </si>
  <si>
    <t xml:space="preserve">1. In-place rent</t>
  </si>
  <si>
    <t xml:space="preserve">   Market rent</t>
  </si>
  <si>
    <t xml:space="preserve">   Time-weighted MTM net of realisation cost</t>
  </si>
  <si>
    <t xml:space="preserve">2. Weighted average lease term by area</t>
  </si>
  <si>
    <t xml:space="preserve">   by rent</t>
  </si>
  <si>
    <t xml:space="preserve">   to break</t>
  </si>
  <si>
    <t xml:space="preserve">see the lease</t>
  </si>
  <si>
    <t xml:space="preserve">3. Expiry profile, with capital committed to each expiry</t>
  </si>
  <si>
    <t xml:space="preserve">Year</t>
  </si>
  <si>
    <t xml:space="preserve">Capital committed</t>
  </si>
  <si>
    <t xml:space="preserve">Total capital committed</t>
  </si>
  <si>
    <t xml:space="preserve">4. Over-market income, a year</t>
  </si>
  <si>
    <t xml:space="preserve">on the book's rent roll, expiring in four years</t>
  </si>
  <si>
    <t xml:space="preserve">   present value</t>
  </si>
  <si>
    <t xml:space="preserve">NOT the perpetuity</t>
  </si>
  <si>
    <t xml:space="preserve">   the perpetuity a naive buyer would pay</t>
  </si>
  <si>
    <t xml:space="preserve">5. The value of options held by tenants</t>
  </si>
  <si>
    <t xml:space="preserve">ch.10 prints -880,000: a perpetuity of a gap that lasts five years. Valued over the five, at the start of the renewal</t>
  </si>
  <si>
    <t xml:space="preserve">6. The clause-driven value bridge</t>
  </si>
  <si>
    <t xml:space="preserve">ch.19 prints -1,752,400; restated on sheet 6, rows 22 to 30</t>
  </si>
  <si>
    <t xml:space="preserve">7. Contractual-only: every renewal probability at zero</t>
  </si>
  <si>
    <t xml:space="preserve">the zero row on sheet 5</t>
  </si>
  <si>
    <t xml:space="preserve">   the same, discounted to the valuation date</t>
  </si>
  <si>
    <t xml:space="preserve">at the rent roll's years left for the anchor</t>
  </si>
  <si>
    <t xml:space="preserve">Item seven is the one the chapter names last and the one that changes a negotiation. On this building the</t>
  </si>
  <si>
    <t xml:space="preserve">contractual-only mark-to-market is negative: with no renewals assumed, capturing the gap costs more than</t>
  </si>
  <si>
    <t xml:space="preserve">the gap is worth.</t>
  </si>
  <si>
    <t xml:space="preserve">Controls</t>
  </si>
  <si>
    <t xml:space="preserve">Each row tests something the chapter asserts or the model must satisfy.</t>
  </si>
  <si>
    <t xml:space="preserve">Control</t>
  </si>
  <si>
    <t xml:space="preserve">Value</t>
  </si>
  <si>
    <t xml:space="preserve">Expected</t>
  </si>
  <si>
    <t xml:space="preserve">Result</t>
  </si>
  <si>
    <t xml:space="preserve">1. Rent roll: total area is 85,000 square feet</t>
  </si>
  <si>
    <t xml:space="preserve">2. Rent roll: in-place rent reproduces the book's 3,510,250</t>
  </si>
  <si>
    <t xml:space="preserve">3. Rent roll: market rent reproduces the book's 3,872,000</t>
  </si>
  <si>
    <t xml:space="preserve">4. Rent roll: the aggregate gap reproduces the book's 361,750</t>
  </si>
  <si>
    <t xml:space="preserve">5. Rent roll: that is 10.3 per cent of in-place</t>
  </si>
  <si>
    <t xml:space="preserve">6. Rent roll: capitalised it reproduces the book's 5,788,000</t>
  </si>
  <si>
    <t xml:space="preserve">7. Rent roll: in-place capitalises to roughly 56 million</t>
  </si>
  <si>
    <t xml:space="preserve">8. Rent roll: WALT by area reproduces the book's 4.36 years</t>
  </si>
  <si>
    <t xml:space="preserve">9. Rent roll: WALT by rent reproduces the book's 4.17 years</t>
  </si>
  <si>
    <t xml:space="preserve">10. Rent roll: WALT by rent is the lower of the two</t>
  </si>
  <si>
    <t xml:space="preserve">11. Over-market: the stream is 54,000 a year</t>
  </si>
  <si>
    <t xml:space="preserve">12. Over-market: the perpetuity reproduces the book's 864,000</t>
  </si>
  <si>
    <t xml:space="preserve">13. Over-market: four years of it is worth far less</t>
  </si>
  <si>
    <t xml:space="preserve">14. Over-market: the perpetuity overstates it 4.6 times</t>
  </si>
  <si>
    <t xml:space="preserve">15. Over-market: correcting it runs upward</t>
  </si>
  <si>
    <t xml:space="preserve">16. Time: no below-market gap is worth its full face value</t>
  </si>
  <si>
    <t xml:space="preserve">17. Time: the one-year expiry keeps 94 per cent of face</t>
  </si>
  <si>
    <t xml:space="preserve">18. Time: the 8.5-year expiry keeps 60 per cent</t>
  </si>
  <si>
    <t xml:space="preserve">19. Time: time-weighting removes about 28 per cent of the gross gap</t>
  </si>
  <si>
    <t xml:space="preserve">20. Time: the largest gap in percentage terms (coworking) is not the largest present value</t>
  </si>
  <si>
    <t xml:space="preserve">21. Cost: renewal leakage per square foot is 32.01</t>
  </si>
  <si>
    <t xml:space="preserve">22. Cost: new-tenant leakage per square foot is 119.68</t>
  </si>
  <si>
    <t xml:space="preserve">23. Cost: at a 100 per cent renewal rate the net is still positive</t>
  </si>
  <si>
    <t xml:space="preserve">24. Cost: at a 0 per cent renewal rate the net is negative</t>
  </si>
  <si>
    <t xml:space="preserve">25. Cost: the break-even renewal rate is between 40 and 50 per cent</t>
  </si>
  <si>
    <t xml:space="preserve">26. Cost: the solved break-even matches the table's sign change</t>
  </si>
  <si>
    <t xml:space="preserve">27. Four numbers: the correction is larger than the clause bridge</t>
  </si>
  <si>
    <t xml:space="preserve">28. Four numbers: the correction exceeds five per cent of the asset</t>
  </si>
  <si>
    <t xml:space="preserve">29. One page: capital committed at expiries is positive</t>
  </si>
  <si>
    <t xml:space="preserve">30. One page: the contractual-only figure is negative</t>
  </si>
  <si>
    <t xml:space="preserve">31. Option: the gap reproduces the book's 55,000 a year</t>
  </si>
  <si>
    <t xml:space="preserve">32. Option: capitalised in perpetuity it reproduces the book's 880,000</t>
  </si>
  <si>
    <t xml:space="preserve">33. Option: valued over its term it cannot exceed its undiscounted total</t>
  </si>
  <si>
    <t xml:space="preserve">34. Bridge: the five clauses as printed reproduce the book's -1,752,400</t>
  </si>
  <si>
    <t xml:space="preserve">35. Bridge: their annual effects reproduce the book's -109,525</t>
  </si>
  <si>
    <t xml:space="preserve">CONTROLS PASSING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</si>
</sst>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"/>
    <numFmt numFmtId="166" formatCode="#,##0.00"/>
    <numFmt numFmtId="167" formatCode="0.0"/>
    <numFmt numFmtId="168" formatCode="0.00%"/>
    <numFmt numFmtId="169" formatCode="0%"/>
    <numFmt numFmtId="170" formatCode="0"/>
    <numFmt numFmtId="171" formatCode="0.0%"/>
    <numFmt numFmtId="172" formatCode="0.00"/>
    <numFmt numFmtId="173" formatCode="0.0\x"/>
    <numFmt numFmtId="174" formatCode="0.000"/>
    <numFmt numFmtId="175" formatCode="#,##0;\-#,##0"/>
    <numFmt numFmtId="176" formatCode="@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i val="true"/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2CC"/>
      </patternFill>
    </fill>
    <fill>
      <patternFill patternType="solid">
        <fgColor rgb="FF1B1F27"/>
        <bgColor rgb="FF333300"/>
      </patternFill>
    </fill>
    <fill>
      <patternFill patternType="solid">
        <fgColor rgb="FFFFF2CC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F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5" min="2" style="0" width="12"/>
    <col collapsed="false" customWidth="true" hidden="false" outlineLevel="0" max="6" min="6" style="0" width="5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customFormat="false" ht="15" hidden="false" customHeight="false" outlineLevel="0" collapsed="false">
      <c r="A6" s="0" t="s">
        <v>8</v>
      </c>
      <c r="B6" s="6" t="n">
        <v>25000</v>
      </c>
      <c r="C6" s="7" t="n">
        <v>41.75</v>
      </c>
      <c r="D6" s="7" t="n">
        <v>44</v>
      </c>
      <c r="E6" s="8" t="n">
        <v>2.5</v>
      </c>
    </row>
    <row r="7" customFormat="false" ht="15" hidden="false" customHeight="false" outlineLevel="0" collapsed="false">
      <c r="A7" s="0" t="s">
        <v>9</v>
      </c>
      <c r="B7" s="6" t="n">
        <v>18500</v>
      </c>
      <c r="C7" s="7" t="n">
        <v>36</v>
      </c>
      <c r="D7" s="7" t="n">
        <v>44</v>
      </c>
      <c r="E7" s="8" t="n">
        <v>6</v>
      </c>
    </row>
    <row r="8" customFormat="false" ht="15" hidden="false" customHeight="false" outlineLevel="0" collapsed="false">
      <c r="A8" s="0" t="s">
        <v>10</v>
      </c>
      <c r="B8" s="6" t="n">
        <v>12000</v>
      </c>
      <c r="C8" s="7" t="n">
        <v>48.5</v>
      </c>
      <c r="D8" s="7" t="n">
        <v>44</v>
      </c>
      <c r="E8" s="8" t="n">
        <v>4</v>
      </c>
    </row>
    <row r="9" customFormat="false" ht="15" hidden="false" customHeight="false" outlineLevel="0" collapsed="false">
      <c r="A9" s="0" t="s">
        <v>11</v>
      </c>
      <c r="B9" s="6" t="n">
        <v>9500</v>
      </c>
      <c r="C9" s="7" t="n">
        <v>39</v>
      </c>
      <c r="D9" s="7" t="n">
        <v>44</v>
      </c>
      <c r="E9" s="8" t="n">
        <v>1</v>
      </c>
    </row>
    <row r="10" customFormat="false" ht="15" hidden="false" customHeight="false" outlineLevel="0" collapsed="false">
      <c r="A10" s="0" t="s">
        <v>12</v>
      </c>
      <c r="B10" s="6" t="n">
        <v>14000</v>
      </c>
      <c r="C10" s="7" t="n">
        <v>34</v>
      </c>
      <c r="D10" s="7" t="n">
        <v>44</v>
      </c>
      <c r="E10" s="8" t="n">
        <v>8.5</v>
      </c>
    </row>
    <row r="11" customFormat="false" ht="15" hidden="false" customHeight="false" outlineLevel="0" collapsed="false">
      <c r="A11" s="0" t="s">
        <v>13</v>
      </c>
      <c r="B11" s="6" t="n">
        <v>6000</v>
      </c>
      <c r="C11" s="7" t="n">
        <v>62</v>
      </c>
      <c r="D11" s="7" t="n">
        <v>66</v>
      </c>
      <c r="E11" s="8" t="n">
        <v>3.5</v>
      </c>
    </row>
    <row r="13" customFormat="false" ht="15" hidden="false" customHeight="false" outlineLevel="0" collapsed="false">
      <c r="A13" s="3" t="s">
        <v>14</v>
      </c>
      <c r="B13" s="4"/>
      <c r="C13" s="4"/>
      <c r="D13" s="4"/>
      <c r="E13" s="4"/>
      <c r="F13" s="4"/>
    </row>
    <row r="14" customFormat="false" ht="15" hidden="false" customHeight="false" outlineLevel="0" collapsed="false">
      <c r="A14" s="0" t="s">
        <v>15</v>
      </c>
      <c r="B14" s="9" t="n">
        <v>0.0625</v>
      </c>
      <c r="F14" s="2" t="s">
        <v>16</v>
      </c>
    </row>
    <row r="15" customFormat="false" ht="15" hidden="false" customHeight="false" outlineLevel="0" collapsed="false">
      <c r="A15" s="0" t="s">
        <v>17</v>
      </c>
      <c r="B15" s="6" t="n">
        <v>625000</v>
      </c>
      <c r="F15" s="2" t="s">
        <v>18</v>
      </c>
    </row>
    <row r="16" customFormat="false" ht="15" hidden="false" customHeight="false" outlineLevel="0" collapsed="false">
      <c r="A16" s="0" t="s">
        <v>19</v>
      </c>
      <c r="B16" s="6" t="n">
        <v>175201</v>
      </c>
      <c r="F16" s="2" t="s">
        <v>20</v>
      </c>
    </row>
    <row r="17" customFormat="false" ht="15" hidden="false" customHeight="false" outlineLevel="0" collapsed="false">
      <c r="A17" s="0" t="s">
        <v>21</v>
      </c>
      <c r="B17" s="6" t="n">
        <v>825000</v>
      </c>
      <c r="F17" s="2" t="s">
        <v>22</v>
      </c>
    </row>
    <row r="18" customFormat="false" ht="15" hidden="false" customHeight="false" outlineLevel="0" collapsed="false">
      <c r="A18" s="0" t="s">
        <v>23</v>
      </c>
      <c r="B18" s="6" t="n">
        <v>1875000</v>
      </c>
      <c r="F18" s="2" t="s">
        <v>24</v>
      </c>
    </row>
    <row r="19" customFormat="false" ht="15" hidden="false" customHeight="false" outlineLevel="0" collapsed="false">
      <c r="A19" s="0" t="s">
        <v>25</v>
      </c>
      <c r="B19" s="6" t="n">
        <v>292002</v>
      </c>
      <c r="F19" s="2" t="s">
        <v>26</v>
      </c>
    </row>
    <row r="20" customFormat="false" ht="15" hidden="false" customHeight="false" outlineLevel="0" collapsed="false">
      <c r="A20" s="0" t="s">
        <v>27</v>
      </c>
      <c r="B20" s="6" t="n">
        <v>25000</v>
      </c>
      <c r="F20" s="2" t="s">
        <v>28</v>
      </c>
    </row>
    <row r="21" customFormat="false" ht="15" hidden="false" customHeight="false" outlineLevel="0" collapsed="false">
      <c r="A21" s="0" t="s">
        <v>29</v>
      </c>
      <c r="B21" s="10" t="n">
        <v>0.6</v>
      </c>
      <c r="F21" s="2" t="s">
        <v>30</v>
      </c>
    </row>
    <row r="23" customFormat="false" ht="15" hidden="false" customHeight="false" outlineLevel="0" collapsed="false">
      <c r="A23" s="3" t="s">
        <v>31</v>
      </c>
    </row>
    <row r="24" customFormat="false" ht="15" hidden="false" customHeight="false" outlineLevel="0" collapsed="false">
      <c r="A24" s="0" t="s">
        <v>32</v>
      </c>
      <c r="B24" s="10" t="n">
        <v>0.95</v>
      </c>
      <c r="F24" s="2" t="s">
        <v>33</v>
      </c>
    </row>
    <row r="25" customFormat="false" ht="15" hidden="false" customHeight="false" outlineLevel="0" collapsed="false">
      <c r="A25" s="0" t="s">
        <v>34</v>
      </c>
      <c r="B25" s="11" t="n">
        <v>5</v>
      </c>
      <c r="F25" s="2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5" min="2" style="0" width="11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40"/>
  </cols>
  <sheetData>
    <row r="1" customFormat="false" ht="16.15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4" customFormat="false" ht="15" hidden="false" customHeight="false" outlineLevel="0" collapsed="false">
      <c r="A4" s="5" t="s">
        <v>3</v>
      </c>
      <c r="B4" s="5" t="s">
        <v>38</v>
      </c>
      <c r="C4" s="5" t="s">
        <v>5</v>
      </c>
      <c r="D4" s="5" t="s">
        <v>6</v>
      </c>
      <c r="E4" s="5" t="s">
        <v>39</v>
      </c>
      <c r="F4" s="5" t="s">
        <v>40</v>
      </c>
      <c r="G4" s="5" t="s">
        <v>7</v>
      </c>
    </row>
    <row r="5" customFormat="false" ht="15" hidden="false" customHeight="false" outlineLevel="0" collapsed="false">
      <c r="A5" s="0" t="str">
        <f aca="false">'1 Inputs'!A6</f>
        <v>Anchor law firm</v>
      </c>
      <c r="B5" s="12" t="n">
        <f aca="false">'1 Inputs'!B6</f>
        <v>25000</v>
      </c>
      <c r="C5" s="13" t="n">
        <f aca="false">'1 Inputs'!C6</f>
        <v>41.75</v>
      </c>
      <c r="D5" s="13" t="n">
        <f aca="false">'1 Inputs'!D6</f>
        <v>44</v>
      </c>
      <c r="E5" s="13" t="n">
        <f aca="false">D5-C5</f>
        <v>2.25</v>
      </c>
      <c r="F5" s="12" t="n">
        <f aca="false">E5*B5</f>
        <v>56250</v>
      </c>
      <c r="G5" s="14" t="n">
        <f aca="false">'1 Inputs'!E6</f>
        <v>2.5</v>
      </c>
    </row>
    <row r="6" customFormat="false" ht="15" hidden="false" customHeight="false" outlineLevel="0" collapsed="false">
      <c r="A6" s="0" t="str">
        <f aca="false">'1 Inputs'!A7</f>
        <v>Technology tenant</v>
      </c>
      <c r="B6" s="12" t="n">
        <f aca="false">'1 Inputs'!B7</f>
        <v>18500</v>
      </c>
      <c r="C6" s="13" t="n">
        <f aca="false">'1 Inputs'!C7</f>
        <v>36</v>
      </c>
      <c r="D6" s="13" t="n">
        <f aca="false">'1 Inputs'!D7</f>
        <v>44</v>
      </c>
      <c r="E6" s="13" t="n">
        <f aca="false">D6-C6</f>
        <v>8</v>
      </c>
      <c r="F6" s="12" t="n">
        <f aca="false">E6*B6</f>
        <v>148000</v>
      </c>
      <c r="G6" s="14" t="n">
        <f aca="false">'1 Inputs'!E7</f>
        <v>6</v>
      </c>
    </row>
    <row r="7" customFormat="false" ht="15" hidden="false" customHeight="false" outlineLevel="0" collapsed="false">
      <c r="A7" s="0" t="str">
        <f aca="false">'1 Inputs'!A8</f>
        <v>Insurance broker</v>
      </c>
      <c r="B7" s="12" t="n">
        <f aca="false">'1 Inputs'!B8</f>
        <v>12000</v>
      </c>
      <c r="C7" s="13" t="n">
        <f aca="false">'1 Inputs'!C8</f>
        <v>48.5</v>
      </c>
      <c r="D7" s="13" t="n">
        <f aca="false">'1 Inputs'!D8</f>
        <v>44</v>
      </c>
      <c r="E7" s="13" t="n">
        <f aca="false">D7-C7</f>
        <v>-4.5</v>
      </c>
      <c r="F7" s="12" t="n">
        <f aca="false">E7*B7</f>
        <v>-54000</v>
      </c>
      <c r="G7" s="14" t="n">
        <f aca="false">'1 Inputs'!E8</f>
        <v>4</v>
      </c>
    </row>
    <row r="8" customFormat="false" ht="15" hidden="false" customHeight="false" outlineLevel="0" collapsed="false">
      <c r="A8" s="0" t="str">
        <f aca="false">'1 Inputs'!A9</f>
        <v>Regional bank</v>
      </c>
      <c r="B8" s="12" t="n">
        <f aca="false">'1 Inputs'!B9</f>
        <v>9500</v>
      </c>
      <c r="C8" s="13" t="n">
        <f aca="false">'1 Inputs'!C9</f>
        <v>39</v>
      </c>
      <c r="D8" s="13" t="n">
        <f aca="false">'1 Inputs'!D9</f>
        <v>44</v>
      </c>
      <c r="E8" s="13" t="n">
        <f aca="false">D8-C8</f>
        <v>5</v>
      </c>
      <c r="F8" s="12" t="n">
        <f aca="false">E8*B8</f>
        <v>47500</v>
      </c>
      <c r="G8" s="14" t="n">
        <f aca="false">'1 Inputs'!E9</f>
        <v>1</v>
      </c>
    </row>
    <row r="9" customFormat="false" ht="15" hidden="false" customHeight="false" outlineLevel="0" collapsed="false">
      <c r="A9" s="0" t="str">
        <f aca="false">'1 Inputs'!A10</f>
        <v>Coworking operator</v>
      </c>
      <c r="B9" s="12" t="n">
        <f aca="false">'1 Inputs'!B10</f>
        <v>14000</v>
      </c>
      <c r="C9" s="13" t="n">
        <f aca="false">'1 Inputs'!C10</f>
        <v>34</v>
      </c>
      <c r="D9" s="13" t="n">
        <f aca="false">'1 Inputs'!D10</f>
        <v>44</v>
      </c>
      <c r="E9" s="13" t="n">
        <f aca="false">D9-C9</f>
        <v>10</v>
      </c>
      <c r="F9" s="12" t="n">
        <f aca="false">E9*B9</f>
        <v>140000</v>
      </c>
      <c r="G9" s="14" t="n">
        <f aca="false">'1 Inputs'!E10</f>
        <v>8.5</v>
      </c>
    </row>
    <row r="10" customFormat="false" ht="15" hidden="false" customHeight="false" outlineLevel="0" collapsed="false">
      <c r="A10" s="0" t="str">
        <f aca="false">'1 Inputs'!A11</f>
        <v>Ground-floor retail</v>
      </c>
      <c r="B10" s="12" t="n">
        <f aca="false">'1 Inputs'!B11</f>
        <v>6000</v>
      </c>
      <c r="C10" s="13" t="n">
        <f aca="false">'1 Inputs'!C11</f>
        <v>62</v>
      </c>
      <c r="D10" s="13" t="n">
        <f aca="false">'1 Inputs'!D11</f>
        <v>66</v>
      </c>
      <c r="E10" s="13" t="n">
        <f aca="false">D10-C10</f>
        <v>4</v>
      </c>
      <c r="F10" s="12" t="n">
        <f aca="false">E10*B10</f>
        <v>24000</v>
      </c>
      <c r="G10" s="14" t="n">
        <f aca="false">'1 Inputs'!E11</f>
        <v>3.5</v>
      </c>
    </row>
    <row r="11" customFormat="false" ht="15" hidden="false" customHeight="false" outlineLevel="0" collapsed="false">
      <c r="A11" s="15" t="s">
        <v>41</v>
      </c>
      <c r="B11" s="12" t="n">
        <f aca="false">SUM(B5:B10)</f>
        <v>85000</v>
      </c>
      <c r="C11" s="13" t="n">
        <f aca="false">SUMPRODUCT(C5:C10,B5:B10)/B11</f>
        <v>41.2970588235294</v>
      </c>
      <c r="D11" s="13" t="n">
        <f aca="false">SUMPRODUCT(D5:D10,B5:B10)/B11</f>
        <v>45.5529411764706</v>
      </c>
      <c r="F11" s="12" t="n">
        <f aca="false">SUM(F5:F10)</f>
        <v>361750</v>
      </c>
    </row>
    <row r="13" customFormat="false" ht="15" hidden="false" customHeight="false" outlineLevel="0" collapsed="false">
      <c r="A13" s="0" t="s">
        <v>42</v>
      </c>
      <c r="B13" s="12" t="n">
        <f aca="false">SUMPRODUCT(C5:C10,B5:B10)</f>
        <v>3510250</v>
      </c>
      <c r="H13" s="2" t="s">
        <v>43</v>
      </c>
    </row>
    <row r="14" customFormat="false" ht="15" hidden="false" customHeight="false" outlineLevel="0" collapsed="false">
      <c r="A14" s="0" t="s">
        <v>44</v>
      </c>
      <c r="B14" s="12" t="n">
        <f aca="false">SUMPRODUCT(D5:D10,B5:B10)</f>
        <v>3872000</v>
      </c>
      <c r="H14" s="2" t="s">
        <v>45</v>
      </c>
    </row>
    <row r="15" customFormat="false" ht="15" hidden="false" customHeight="false" outlineLevel="0" collapsed="false">
      <c r="A15" s="0" t="s">
        <v>46</v>
      </c>
      <c r="B15" s="12" t="n">
        <f aca="false">F11</f>
        <v>361750</v>
      </c>
      <c r="H15" s="2" t="s">
        <v>47</v>
      </c>
    </row>
    <row r="16" customFormat="false" ht="15" hidden="false" customHeight="false" outlineLevel="0" collapsed="false">
      <c r="A16" s="0" t="s">
        <v>48</v>
      </c>
      <c r="B16" s="16" t="n">
        <f aca="false">B15/B13</f>
        <v>0.103055337938893</v>
      </c>
      <c r="H16" s="2" t="s">
        <v>49</v>
      </c>
    </row>
    <row r="17" customFormat="false" ht="15" hidden="false" customHeight="false" outlineLevel="0" collapsed="false">
      <c r="A17" s="0" t="s">
        <v>50</v>
      </c>
      <c r="B17" s="12" t="n">
        <f aca="false">B15/'1 Inputs'!$B$14</f>
        <v>5788000</v>
      </c>
      <c r="H17" s="2" t="s">
        <v>51</v>
      </c>
    </row>
    <row r="18" customFormat="false" ht="15" hidden="false" customHeight="false" outlineLevel="0" collapsed="false">
      <c r="A18" s="0" t="s">
        <v>52</v>
      </c>
      <c r="B18" s="12" t="n">
        <f aca="false">B13/'1 Inputs'!$B$14</f>
        <v>56164000</v>
      </c>
      <c r="H18" s="2" t="s">
        <v>53</v>
      </c>
    </row>
    <row r="19" customFormat="false" ht="15" hidden="false" customHeight="false" outlineLevel="0" collapsed="false">
      <c r="A19" s="0" t="s">
        <v>54</v>
      </c>
      <c r="B19" s="16" t="n">
        <f aca="false">B17/B18</f>
        <v>0.103055337938893</v>
      </c>
      <c r="H19" s="2" t="s">
        <v>55</v>
      </c>
    </row>
    <row r="20" customFormat="false" ht="15" hidden="false" customHeight="false" outlineLevel="0" collapsed="false">
      <c r="A20" s="0" t="s">
        <v>56</v>
      </c>
      <c r="B20" s="17" t="n">
        <f aca="false">SUMPRODUCT(G5:G10,B5:B10)/B11</f>
        <v>4.36470588235294</v>
      </c>
      <c r="H20" s="2" t="s">
        <v>57</v>
      </c>
    </row>
    <row r="21" customFormat="false" ht="15" hidden="false" customHeight="false" outlineLevel="0" collapsed="false">
      <c r="A21" s="0" t="s">
        <v>58</v>
      </c>
      <c r="B21" s="17" t="n">
        <f aca="false">SUMPRODUCT(G5:G10,C5:C10,B5:B10)/B13</f>
        <v>4.17402606651948</v>
      </c>
      <c r="H21" s="2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44"/>
  </cols>
  <sheetData>
    <row r="1" customFormat="false" ht="16.15" hidden="false" customHeight="false" outlineLevel="0" collapsed="false">
      <c r="A1" s="1" t="s">
        <v>60</v>
      </c>
    </row>
    <row r="2" customFormat="false" ht="15" hidden="false" customHeight="false" outlineLevel="0" collapsed="false">
      <c r="A2" s="2" t="s">
        <v>61</v>
      </c>
    </row>
    <row r="5" customFormat="false" ht="15" hidden="false" customHeight="false" outlineLevel="0" collapsed="false">
      <c r="A5" s="18" t="s">
        <v>62</v>
      </c>
      <c r="B5" s="12" t="n">
        <f aca="false">-SUMIF('2 The rent roll'!F5:F10,"&lt;0")</f>
        <v>54000</v>
      </c>
      <c r="E5" s="2" t="s">
        <v>63</v>
      </c>
    </row>
    <row r="6" customFormat="false" ht="15" hidden="false" customHeight="false" outlineLevel="0" collapsed="false">
      <c r="A6" s="18" t="s">
        <v>64</v>
      </c>
      <c r="B6" s="12" t="n">
        <f aca="false">B5/'1 Inputs'!$B$14</f>
        <v>864000</v>
      </c>
      <c r="E6" s="2" t="s">
        <v>65</v>
      </c>
    </row>
    <row r="7" customFormat="false" ht="15" hidden="false" customHeight="false" outlineLevel="0" collapsed="false">
      <c r="A7" s="18" t="s">
        <v>66</v>
      </c>
      <c r="B7" s="12" t="n">
        <f aca="false">SUMPRODUCT(('2 The rent roll'!F5:F10&lt;0)*(-'2 The rent roll'!F5:F10)*(1-(1+'1 Inputs'!$B$14)^(-'2 The rent roll'!G5:G10)))/'1 Inputs'!$B$14</f>
        <v>186049.496533806</v>
      </c>
      <c r="E7" s="2" t="s">
        <v>67</v>
      </c>
    </row>
    <row r="8" customFormat="false" ht="15" hidden="false" customHeight="false" outlineLevel="0" collapsed="false">
      <c r="A8" s="15" t="s">
        <v>68</v>
      </c>
      <c r="B8" s="12" t="n">
        <f aca="false">B6-B7</f>
        <v>677950.503466194</v>
      </c>
      <c r="E8" s="2"/>
    </row>
    <row r="9" customFormat="false" ht="15" hidden="false" customHeight="false" outlineLevel="0" collapsed="false">
      <c r="A9" s="18" t="s">
        <v>69</v>
      </c>
      <c r="B9" s="19" t="n">
        <f aca="false">B6/B7</f>
        <v>4.64392549346678</v>
      </c>
      <c r="E9" s="2"/>
    </row>
    <row r="11" customFormat="false" ht="15" hidden="false" customHeight="false" outlineLevel="0" collapsed="false">
      <c r="A11" s="18" t="s">
        <v>70</v>
      </c>
      <c r="B11" s="12" t="n">
        <f aca="false">'2 The rent roll'!F11+B5</f>
        <v>415750</v>
      </c>
      <c r="E11" s="2"/>
    </row>
    <row r="12" customFormat="false" ht="15" hidden="false" customHeight="false" outlineLevel="0" collapsed="false">
      <c r="A12" s="18" t="s">
        <v>71</v>
      </c>
      <c r="B12" s="12" t="n">
        <f aca="false">B11/'1 Inputs'!$B$14</f>
        <v>6652000</v>
      </c>
      <c r="E12" s="2"/>
    </row>
    <row r="13" customFormat="false" ht="15" hidden="false" customHeight="false" outlineLevel="0" collapsed="false">
      <c r="A13" s="18" t="s">
        <v>72</v>
      </c>
      <c r="B13" s="12" t="n">
        <f aca="false">-B7</f>
        <v>-186049.496533806</v>
      </c>
      <c r="E13" s="2"/>
    </row>
    <row r="14" customFormat="false" ht="15" hidden="false" customHeight="false" outlineLevel="0" collapsed="false">
      <c r="A14" s="18" t="s">
        <v>73</v>
      </c>
      <c r="B14" s="12" t="n">
        <f aca="false">B12+B13</f>
        <v>6465950.50346619</v>
      </c>
      <c r="E14" s="2"/>
    </row>
    <row r="15" customFormat="false" ht="15" hidden="false" customHeight="false" outlineLevel="0" collapsed="false">
      <c r="A15" s="18" t="s">
        <v>74</v>
      </c>
      <c r="B15" s="12" t="n">
        <f aca="false">'2 The rent roll'!B17</f>
        <v>5788000</v>
      </c>
      <c r="E15" s="2"/>
    </row>
    <row r="16" customFormat="false" ht="15" hidden="false" customHeight="false" outlineLevel="0" collapsed="false">
      <c r="A16" s="15" t="s">
        <v>75</v>
      </c>
      <c r="B16" s="12" t="n">
        <f aca="false">B14-B15</f>
        <v>677950.503466195</v>
      </c>
      <c r="E16" s="2" t="s">
        <v>76</v>
      </c>
    </row>
    <row r="19" customFormat="false" ht="15" hidden="false" customHeight="false" outlineLevel="0" collapsed="false">
      <c r="A19" s="2" t="s">
        <v>77</v>
      </c>
    </row>
    <row r="20" customFormat="false" ht="15" hidden="false" customHeight="false" outlineLevel="0" collapsed="false">
      <c r="A20" s="2" t="s">
        <v>78</v>
      </c>
    </row>
    <row r="21" customFormat="false" ht="15" hidden="false" customHeight="false" outlineLevel="0" collapsed="false">
      <c r="A21" s="2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3" min="3" style="0" width="9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2"/>
  </cols>
  <sheetData>
    <row r="1" customFormat="false" ht="16.15" hidden="false" customHeight="fals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4" customFormat="false" ht="15" hidden="false" customHeight="false" outlineLevel="0" collapsed="false">
      <c r="A4" s="5" t="s">
        <v>3</v>
      </c>
      <c r="B4" s="5" t="s">
        <v>40</v>
      </c>
      <c r="C4" s="5" t="s">
        <v>82</v>
      </c>
      <c r="D4" s="5" t="s">
        <v>83</v>
      </c>
      <c r="E4" s="5" t="s">
        <v>84</v>
      </c>
      <c r="F4" s="5" t="s">
        <v>85</v>
      </c>
      <c r="G4" s="5" t="s">
        <v>86</v>
      </c>
    </row>
    <row r="5" customFormat="false" ht="15" hidden="false" customHeight="false" outlineLevel="0" collapsed="false">
      <c r="A5" s="0" t="str">
        <f aca="false">'2 The rent roll'!A5</f>
        <v>Anchor law firm</v>
      </c>
      <c r="B5" s="12" t="n">
        <f aca="false">'2 The rent roll'!F5</f>
        <v>56250</v>
      </c>
      <c r="C5" s="14" t="n">
        <f aca="false">'2 The rent roll'!G5</f>
        <v>2.5</v>
      </c>
      <c r="D5" s="12" t="n">
        <f aca="false">IF(B5&lt;=0,0,B5/'1 Inputs'!$B$14)</f>
        <v>900000</v>
      </c>
      <c r="E5" s="20" t="n">
        <f aca="false">(1+'1 Inputs'!$B$14)^-C5</f>
        <v>0.859364982827699</v>
      </c>
      <c r="F5" s="12" t="n">
        <f aca="false">D5*E5</f>
        <v>773428.484544929</v>
      </c>
      <c r="G5" s="21" t="n">
        <f aca="false">IF(D5=0,"",F5/D5)</f>
        <v>0.859364982827699</v>
      </c>
    </row>
    <row r="6" customFormat="false" ht="15" hidden="false" customHeight="false" outlineLevel="0" collapsed="false">
      <c r="A6" s="0" t="str">
        <f aca="false">'2 The rent roll'!A6</f>
        <v>Technology tenant</v>
      </c>
      <c r="B6" s="12" t="n">
        <f aca="false">'2 The rent roll'!F6</f>
        <v>148000</v>
      </c>
      <c r="C6" s="14" t="n">
        <f aca="false">'2 The rent roll'!G6</f>
        <v>6</v>
      </c>
      <c r="D6" s="12" t="n">
        <f aca="false">IF(B6&lt;=0,0,B6/'1 Inputs'!$B$14)</f>
        <v>2368000</v>
      </c>
      <c r="E6" s="20" t="n">
        <f aca="false">(1+'1 Inputs'!$B$14)^-C6</f>
        <v>0.695066516433366</v>
      </c>
      <c r="F6" s="12" t="n">
        <f aca="false">D6*E6</f>
        <v>1645917.51091421</v>
      </c>
      <c r="G6" s="21" t="n">
        <f aca="false">IF(D6=0,"",F6/D6)</f>
        <v>0.695066516433366</v>
      </c>
    </row>
    <row r="7" customFormat="false" ht="15" hidden="false" customHeight="false" outlineLevel="0" collapsed="false">
      <c r="A7" s="0" t="str">
        <f aca="false">'2 The rent roll'!A7</f>
        <v>Insurance broker</v>
      </c>
      <c r="B7" s="12" t="n">
        <f aca="false">'2 The rent roll'!F7</f>
        <v>-54000</v>
      </c>
      <c r="C7" s="14" t="n">
        <f aca="false">'2 The rent roll'!G7</f>
        <v>4</v>
      </c>
      <c r="D7" s="12" t="n">
        <f aca="false">IF(B7&lt;=0,0,B7/'1 Inputs'!$B$14)</f>
        <v>0</v>
      </c>
      <c r="E7" s="20" t="n">
        <f aca="false">(1+'1 Inputs'!$B$14)^-C7</f>
        <v>0.784664934567354</v>
      </c>
      <c r="F7" s="12" t="n">
        <f aca="false">D7*E7</f>
        <v>0</v>
      </c>
      <c r="G7" s="21" t="str">
        <f aca="false">IF(D7=0,"",F7/D7)</f>
        <v/>
      </c>
    </row>
    <row r="8" customFormat="false" ht="15" hidden="false" customHeight="false" outlineLevel="0" collapsed="false">
      <c r="A8" s="0" t="str">
        <f aca="false">'2 The rent roll'!A8</f>
        <v>Regional bank</v>
      </c>
      <c r="B8" s="12" t="n">
        <f aca="false">'2 The rent roll'!F8</f>
        <v>47500</v>
      </c>
      <c r="C8" s="14" t="n">
        <f aca="false">'2 The rent roll'!G8</f>
        <v>1</v>
      </c>
      <c r="D8" s="12" t="n">
        <f aca="false">IF(B8&lt;=0,0,B8/'1 Inputs'!$B$14)</f>
        <v>760000</v>
      </c>
      <c r="E8" s="20" t="n">
        <f aca="false">(1+'1 Inputs'!$B$14)^-C8</f>
        <v>0.941176470588235</v>
      </c>
      <c r="F8" s="12" t="n">
        <f aca="false">D8*E8</f>
        <v>715294.117647059</v>
      </c>
      <c r="G8" s="21" t="n">
        <f aca="false">IF(D8=0,"",F8/D8)</f>
        <v>0.941176470588235</v>
      </c>
    </row>
    <row r="9" customFormat="false" ht="15" hidden="false" customHeight="false" outlineLevel="0" collapsed="false">
      <c r="A9" s="0" t="str">
        <f aca="false">'2 The rent roll'!A9</f>
        <v>Coworking operator</v>
      </c>
      <c r="B9" s="12" t="n">
        <f aca="false">'2 The rent roll'!F9</f>
        <v>140000</v>
      </c>
      <c r="C9" s="14" t="n">
        <f aca="false">'2 The rent roll'!G9</f>
        <v>8.5</v>
      </c>
      <c r="D9" s="12" t="n">
        <f aca="false">IF(B9&lt;=0,0,B9/'1 Inputs'!$B$14)</f>
        <v>2240000</v>
      </c>
      <c r="E9" s="20" t="n">
        <f aca="false">(1+'1 Inputs'!$B$14)^-C9</f>
        <v>0.597315824958868</v>
      </c>
      <c r="F9" s="12" t="n">
        <f aca="false">D9*E9</f>
        <v>1337987.44790786</v>
      </c>
      <c r="G9" s="21" t="n">
        <f aca="false">IF(D9=0,"",F9/D9)</f>
        <v>0.597315824958868</v>
      </c>
    </row>
    <row r="10" customFormat="false" ht="15" hidden="false" customHeight="false" outlineLevel="0" collapsed="false">
      <c r="A10" s="0" t="str">
        <f aca="false">'2 The rent roll'!A10</f>
        <v>Ground-floor retail</v>
      </c>
      <c r="B10" s="12" t="n">
        <f aca="false">'2 The rent roll'!F10</f>
        <v>24000</v>
      </c>
      <c r="C10" s="14" t="n">
        <f aca="false">'2 The rent roll'!G10</f>
        <v>3.5</v>
      </c>
      <c r="D10" s="12" t="n">
        <f aca="false">IF(B10&lt;=0,0,B10/'1 Inputs'!$B$14)</f>
        <v>384000</v>
      </c>
      <c r="E10" s="20" t="n">
        <f aca="false">(1+'1 Inputs'!$B$14)^-C10</f>
        <v>0.808814101484893</v>
      </c>
      <c r="F10" s="12" t="n">
        <f aca="false">D10*E10</f>
        <v>310584.614970199</v>
      </c>
      <c r="G10" s="21" t="n">
        <f aca="false">IF(D10=0,"",F10/D10)</f>
        <v>0.808814101484893</v>
      </c>
    </row>
    <row r="11" customFormat="false" ht="15" hidden="false" customHeight="false" outlineLevel="0" collapsed="false">
      <c r="A11" s="15" t="s">
        <v>87</v>
      </c>
      <c r="D11" s="12" t="n">
        <f aca="false">SUM(D5:D10)</f>
        <v>6652000</v>
      </c>
      <c r="F11" s="12" t="n">
        <f aca="false">SUM(F5:F10)</f>
        <v>4783212.17598426</v>
      </c>
      <c r="G11" s="21" t="n">
        <f aca="false">F11/D11</f>
        <v>0.719063766684345</v>
      </c>
    </row>
    <row r="13" customFormat="false" ht="15" hidden="false" customHeight="false" outlineLevel="0" collapsed="false">
      <c r="A13" s="15" t="s">
        <v>88</v>
      </c>
      <c r="B13" s="12" t="n">
        <f aca="false">D11-F11</f>
        <v>1868787.82401574</v>
      </c>
    </row>
    <row r="14" customFormat="false" ht="15" hidden="false" customHeight="false" outlineLevel="0" collapsed="false">
      <c r="A14" s="15" t="s">
        <v>89</v>
      </c>
      <c r="B14" s="21" t="n">
        <f aca="false">1-F11/D11</f>
        <v>0.280936233315655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7" min="4" style="0" width="20"/>
  </cols>
  <sheetData>
    <row r="1" customFormat="false" ht="16.15" hidden="false" customHeight="fals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5" customFormat="false" ht="15" hidden="false" customHeight="false" outlineLevel="0" collapsed="false">
      <c r="A5" s="0" t="s">
        <v>92</v>
      </c>
      <c r="B5" s="12" t="n">
        <f aca="false">'1 Inputs'!$B$15+'1 Inputs'!$B$16</f>
        <v>800201</v>
      </c>
      <c r="E5" s="2" t="s">
        <v>93</v>
      </c>
    </row>
    <row r="6" customFormat="false" ht="15" hidden="false" customHeight="false" outlineLevel="0" collapsed="false">
      <c r="A6" s="0" t="s">
        <v>94</v>
      </c>
      <c r="B6" s="12" t="n">
        <f aca="false">'1 Inputs'!$B$17+'1 Inputs'!$B$18+'1 Inputs'!$B$19</f>
        <v>2992002</v>
      </c>
      <c r="E6" s="2" t="s">
        <v>95</v>
      </c>
    </row>
    <row r="7" customFormat="false" ht="15" hidden="false" customHeight="false" outlineLevel="0" collapsed="false">
      <c r="A7" s="0" t="s">
        <v>96</v>
      </c>
      <c r="B7" s="13" t="n">
        <f aca="false">B5/'1 Inputs'!$B$20</f>
        <v>32.00804</v>
      </c>
      <c r="E7" s="2" t="s">
        <v>97</v>
      </c>
    </row>
    <row r="8" customFormat="false" ht="15" hidden="false" customHeight="false" outlineLevel="0" collapsed="false">
      <c r="A8" s="0" t="s">
        <v>98</v>
      </c>
      <c r="B8" s="13" t="n">
        <f aca="false">B6/'1 Inputs'!$B$20</f>
        <v>119.68008</v>
      </c>
      <c r="E8" s="2" t="s">
        <v>99</v>
      </c>
    </row>
    <row r="11" customFormat="false" ht="28.35" hidden="false" customHeight="false" outlineLevel="0" collapsed="false">
      <c r="A11" s="5" t="s">
        <v>100</v>
      </c>
      <c r="B11" s="5" t="s">
        <v>101</v>
      </c>
      <c r="C11" s="5" t="s">
        <v>102</v>
      </c>
      <c r="D11" s="5" t="s">
        <v>103</v>
      </c>
      <c r="E11" s="5" t="s">
        <v>104</v>
      </c>
    </row>
    <row r="12" customFormat="false" ht="15" hidden="false" customHeight="false" outlineLevel="0" collapsed="false">
      <c r="A12" s="21" t="n">
        <v>1</v>
      </c>
      <c r="B12" s="13" t="n">
        <f aca="false">A12*$B$7+(1-A12)*$B$8</f>
        <v>32.00804</v>
      </c>
      <c r="C12" s="12" t="n">
        <f aca="false">IF('2 The rent roll'!F5&gt;0,'2 The rent roll'!B5*$B12*(1+'1 Inputs'!$B$14)^-'2 The rent roll'!G5,0)+IF('2 The rent roll'!F6&gt;0,'2 The rent roll'!B6*$B12*(1+'1 Inputs'!$B$14)^-'2 The rent roll'!G6,0)+IF('2 The rent roll'!F7&gt;0,'2 The rent roll'!B7*$B12*(1+'1 Inputs'!$B$14)^-'2 The rent roll'!G7,0)+IF('2 The rent roll'!F8&gt;0,'2 The rent roll'!B8*$B12*(1+'1 Inputs'!$B$14)^-'2 The rent roll'!G8,0)+IF('2 The rent roll'!F9&gt;0,'2 The rent roll'!B9*$B12*(1+'1 Inputs'!$B$14)^-'2 The rent roll'!G9,0)+IF('2 The rent roll'!F10&gt;0,'2 The rent roll'!B10*$B12*(1+'1 Inputs'!$B$14)^-'2 The rent roll'!G10,0)</f>
        <v>1808433.06279175</v>
      </c>
      <c r="D12" s="12" t="n">
        <f aca="false">'4 Time-weighted'!F11-C12-'3 The over-market'!B7</f>
        <v>2788729.61665871</v>
      </c>
      <c r="E12" s="21" t="n">
        <f aca="false">D12/'2 The rent roll'!B17</f>
        <v>0.481812304191207</v>
      </c>
    </row>
    <row r="13" customFormat="false" ht="15" hidden="false" customHeight="false" outlineLevel="0" collapsed="false">
      <c r="A13" s="21" t="n">
        <v>0.75</v>
      </c>
      <c r="B13" s="13" t="n">
        <f aca="false">A13*$B$7+(1-A13)*$B$8</f>
        <v>53.92605</v>
      </c>
      <c r="C13" s="12" t="n">
        <f aca="false">IF('2 The rent roll'!F5&gt;0,'2 The rent roll'!B5*$B13*(1+'1 Inputs'!$B$14)^-'2 The rent roll'!G5,0)+IF('2 The rent roll'!F6&gt;0,'2 The rent roll'!B6*$B13*(1+'1 Inputs'!$B$14)^-'2 The rent roll'!G6,0)+IF('2 The rent roll'!F7&gt;0,'2 The rent roll'!B7*$B13*(1+'1 Inputs'!$B$14)^-'2 The rent roll'!G7,0)+IF('2 The rent roll'!F8&gt;0,'2 The rent roll'!B8*$B13*(1+'1 Inputs'!$B$14)^-'2 The rent roll'!G8,0)+IF('2 The rent roll'!F9&gt;0,'2 The rent roll'!B9*$B13*(1+'1 Inputs'!$B$14)^-'2 The rent roll'!G9,0)+IF('2 The rent roll'!F10&gt;0,'2 The rent roll'!B10*$B13*(1+'1 Inputs'!$B$14)^-'2 The rent roll'!G10,0)</f>
        <v>3046786.11266922</v>
      </c>
      <c r="D13" s="12" t="n">
        <f aca="false">'4 Time-weighted'!F11-C13-'3 The over-market'!B7</f>
        <v>1550376.56678124</v>
      </c>
      <c r="E13" s="21" t="n">
        <f aca="false">D13/'2 The rent roll'!B17</f>
        <v>0.267860498752805</v>
      </c>
    </row>
    <row r="14" customFormat="false" ht="15" hidden="false" customHeight="false" outlineLevel="0" collapsed="false">
      <c r="A14" s="21" t="n">
        <v>0.6</v>
      </c>
      <c r="B14" s="13" t="n">
        <f aca="false">A14*$B$7+(1-A14)*$B$8</f>
        <v>67.076856</v>
      </c>
      <c r="C14" s="12" t="n">
        <f aca="false">IF('2 The rent roll'!F5&gt;0,'2 The rent roll'!B5*$B14*(1+'1 Inputs'!$B$14)^-'2 The rent roll'!G5,0)+IF('2 The rent roll'!F6&gt;0,'2 The rent roll'!B6*$B14*(1+'1 Inputs'!$B$14)^-'2 The rent roll'!G6,0)+IF('2 The rent roll'!F7&gt;0,'2 The rent roll'!B7*$B14*(1+'1 Inputs'!$B$14)^-'2 The rent roll'!G7,0)+IF('2 The rent roll'!F8&gt;0,'2 The rent roll'!B8*$B14*(1+'1 Inputs'!$B$14)^-'2 The rent roll'!G8,0)+IF('2 The rent roll'!F9&gt;0,'2 The rent roll'!B9*$B14*(1+'1 Inputs'!$B$14)^-'2 The rent roll'!G9,0)+IF('2 The rent roll'!F10&gt;0,'2 The rent roll'!B10*$B14*(1+'1 Inputs'!$B$14)^-'2 The rent roll'!G10,0)</f>
        <v>3789797.9425957</v>
      </c>
      <c r="D14" s="12" t="n">
        <f aca="false">'4 Time-weighted'!F11-C14-'3 The over-market'!B7</f>
        <v>807364.736854752</v>
      </c>
      <c r="E14" s="21" t="n">
        <f aca="false">D14/'2 The rent roll'!B17</f>
        <v>0.139489415489764</v>
      </c>
    </row>
    <row r="15" customFormat="false" ht="15" hidden="false" customHeight="false" outlineLevel="0" collapsed="false">
      <c r="A15" s="21" t="n">
        <v>0.5</v>
      </c>
      <c r="B15" s="13" t="n">
        <f aca="false">A15*$B$7+(1-A15)*$B$8</f>
        <v>75.84406</v>
      </c>
      <c r="C15" s="12" t="n">
        <f aca="false">IF('2 The rent roll'!F5&gt;0,'2 The rent roll'!B5*$B15*(1+'1 Inputs'!$B$14)^-'2 The rent roll'!G5,0)+IF('2 The rent roll'!F6&gt;0,'2 The rent roll'!B6*$B15*(1+'1 Inputs'!$B$14)^-'2 The rent roll'!G6,0)+IF('2 The rent roll'!F7&gt;0,'2 The rent roll'!B7*$B15*(1+'1 Inputs'!$B$14)^-'2 The rent roll'!G7,0)+IF('2 The rent roll'!F8&gt;0,'2 The rent roll'!B8*$B15*(1+'1 Inputs'!$B$14)^-'2 The rent roll'!G8,0)+IF('2 The rent roll'!F9&gt;0,'2 The rent roll'!B9*$B15*(1+'1 Inputs'!$B$14)^-'2 The rent roll'!G9,0)+IF('2 The rent roll'!F10&gt;0,'2 The rent roll'!B10*$B15*(1+'1 Inputs'!$B$14)^-'2 The rent roll'!G10,0)</f>
        <v>4285139.16254669</v>
      </c>
      <c r="D15" s="12" t="n">
        <f aca="false">'4 Time-weighted'!F11-C15-'3 The over-market'!B7</f>
        <v>312023.516903763</v>
      </c>
      <c r="E15" s="21" t="n">
        <f aca="false">D15/'2 The rent roll'!B17</f>
        <v>0.0539086933144028</v>
      </c>
    </row>
    <row r="16" customFormat="false" ht="15" hidden="false" customHeight="false" outlineLevel="0" collapsed="false">
      <c r="A16" s="21" t="n">
        <v>0.25</v>
      </c>
      <c r="B16" s="13" t="n">
        <f aca="false">A16*$B$7+(1-A16)*$B$8</f>
        <v>97.76207</v>
      </c>
      <c r="C16" s="12" t="n">
        <f aca="false">IF('2 The rent roll'!F5&gt;0,'2 The rent roll'!B5*$B16*(1+'1 Inputs'!$B$14)^-'2 The rent roll'!G5,0)+IF('2 The rent roll'!F6&gt;0,'2 The rent roll'!B6*$B16*(1+'1 Inputs'!$B$14)^-'2 The rent roll'!G6,0)+IF('2 The rent roll'!F7&gt;0,'2 The rent roll'!B7*$B16*(1+'1 Inputs'!$B$14)^-'2 The rent roll'!G7,0)+IF('2 The rent roll'!F8&gt;0,'2 The rent roll'!B8*$B16*(1+'1 Inputs'!$B$14)^-'2 The rent roll'!G8,0)+IF('2 The rent roll'!F9&gt;0,'2 The rent roll'!B9*$B16*(1+'1 Inputs'!$B$14)^-'2 The rent roll'!G9,0)+IF('2 The rent roll'!F10&gt;0,'2 The rent roll'!B10*$B16*(1+'1 Inputs'!$B$14)^-'2 The rent roll'!G10,0)</f>
        <v>5523492.21242417</v>
      </c>
      <c r="D16" s="12" t="n">
        <f aca="false">'4 Time-weighted'!F11-C16-'3 The over-market'!B7</f>
        <v>-926329.53297371</v>
      </c>
      <c r="E16" s="21" t="n">
        <f aca="false">D16/'2 The rent roll'!B17</f>
        <v>-0.160043112124</v>
      </c>
    </row>
    <row r="17" customFormat="false" ht="15" hidden="false" customHeight="false" outlineLevel="0" collapsed="false">
      <c r="A17" s="21" t="n">
        <v>0</v>
      </c>
      <c r="B17" s="13" t="n">
        <f aca="false">A17*$B$7+(1-A17)*$B$8</f>
        <v>119.68008</v>
      </c>
      <c r="C17" s="12" t="n">
        <f aca="false">IF('2 The rent roll'!F5&gt;0,'2 The rent roll'!B5*$B17*(1+'1 Inputs'!$B$14)^-'2 The rent roll'!G5,0)+IF('2 The rent roll'!F6&gt;0,'2 The rent roll'!B6*$B17*(1+'1 Inputs'!$B$14)^-'2 The rent roll'!G6,0)+IF('2 The rent roll'!F7&gt;0,'2 The rent roll'!B7*$B17*(1+'1 Inputs'!$B$14)^-'2 The rent roll'!G7,0)+IF('2 The rent roll'!F8&gt;0,'2 The rent roll'!B8*$B17*(1+'1 Inputs'!$B$14)^-'2 The rent roll'!G8,0)+IF('2 The rent roll'!F9&gt;0,'2 The rent roll'!B9*$B17*(1+'1 Inputs'!$B$14)^-'2 The rent roll'!G9,0)+IF('2 The rent roll'!F10&gt;0,'2 The rent roll'!B10*$B17*(1+'1 Inputs'!$B$14)^-'2 The rent roll'!G10,0)</f>
        <v>6761845.26230164</v>
      </c>
      <c r="D17" s="12" t="n">
        <f aca="false">'4 Time-weighted'!F11-C17-'3 The over-market'!B7</f>
        <v>-2164682.58285118</v>
      </c>
      <c r="E17" s="21" t="n">
        <f aca="false">D17/'2 The rent roll'!B17</f>
        <v>-0.373994917562402</v>
      </c>
    </row>
    <row r="19" customFormat="false" ht="15" hidden="false" customHeight="false" outlineLevel="0" collapsed="false">
      <c r="A19" s="18" t="s">
        <v>105</v>
      </c>
      <c r="B19" s="21" t="n">
        <f aca="false">'1 Inputs'!$B$21</f>
        <v>0.6</v>
      </c>
    </row>
    <row r="20" customFormat="false" ht="15" hidden="false" customHeight="false" outlineLevel="0" collapsed="false">
      <c r="A20" s="18" t="s">
        <v>106</v>
      </c>
      <c r="B20" s="13" t="n">
        <f aca="false">'1 Inputs'!$B$21*B7+(1-'1 Inputs'!$B$21)*B8</f>
        <v>67.076856</v>
      </c>
    </row>
    <row r="21" customFormat="false" ht="15" hidden="false" customHeight="false" outlineLevel="0" collapsed="false">
      <c r="A21" s="15" t="s">
        <v>107</v>
      </c>
      <c r="B21" s="12" t="n">
        <f aca="false">'4 Time-weighted'!F11-(IF('2 The rent roll'!F5&gt;0,'2 The rent roll'!B5*$B$20*(1+'1 Inputs'!$B$14)^-'2 The rent roll'!G5,0)+IF('2 The rent roll'!F6&gt;0,'2 The rent roll'!B6*$B$20*(1+'1 Inputs'!$B$14)^-'2 The rent roll'!G6,0)+IF('2 The rent roll'!F7&gt;0,'2 The rent roll'!B7*$B$20*(1+'1 Inputs'!$B$14)^-'2 The rent roll'!G7,0)+IF('2 The rent roll'!F8&gt;0,'2 The rent roll'!B8*$B$20*(1+'1 Inputs'!$B$14)^-'2 The rent roll'!G8,0)+IF('2 The rent roll'!F9&gt;0,'2 The rent roll'!B9*$B$20*(1+'1 Inputs'!$B$14)^-'2 The rent roll'!G9,0)+IF('2 The rent roll'!F10&gt;0,'2 The rent roll'!B10*$B$20*(1+'1 Inputs'!$B$14)^-'2 The rent roll'!G10,0))-'3 The over-market'!B7</f>
        <v>807364.736854752</v>
      </c>
    </row>
    <row r="22" customFormat="false" ht="15" hidden="false" customHeight="false" outlineLevel="0" collapsed="false">
      <c r="A22" s="15" t="s">
        <v>108</v>
      </c>
      <c r="B22" s="16" t="n">
        <f aca="false">('4 Time-weighted'!F11-'3 The over-market'!B7-(IF('2 The rent roll'!F5&gt;0,'2 The rent roll'!B5*(1+'1 Inputs'!$B$14)^-'2 The rent roll'!G5,0)+IF('2 The rent roll'!F6&gt;0,'2 The rent roll'!B6*(1+'1 Inputs'!$B$14)^-'2 The rent roll'!G6,0)+IF('2 The rent roll'!F7&gt;0,'2 The rent roll'!B7*(1+'1 Inputs'!$B$14)^-'2 The rent roll'!G7,0)+IF('2 The rent roll'!F8&gt;0,'2 The rent roll'!B8*(1+'1 Inputs'!$B$14)^-'2 The rent roll'!G8,0)+IF('2 The rent roll'!F9&gt;0,'2 The rent roll'!B9*(1+'1 Inputs'!$B$14)^-'2 The rent roll'!G9,0)+IF('2 The rent roll'!F10&gt;0,'2 The rent roll'!B10*(1+'1 Inputs'!$B$14)^-'2 The rent roll'!G10,0))*$B$8)/((IF('2 The rent roll'!F5&gt;0,'2 The rent roll'!B5*(1+'1 Inputs'!$B$14)^-'2 The rent roll'!G5,0)+IF('2 The rent roll'!F6&gt;0,'2 The rent roll'!B6*(1+'1 Inputs'!$B$14)^-'2 The rent roll'!G6,0)+IF('2 The rent roll'!F7&gt;0,'2 The rent roll'!B7*(1+'1 Inputs'!$B$14)^-'2 The rent roll'!G7,0)+IF('2 The rent roll'!F8&gt;0,'2 The rent roll'!B8*(1+'1 Inputs'!$B$14)^-'2 The rent roll'!G8,0)+IF('2 The rent roll'!F9&gt;0,'2 The rent roll'!B9*(1+'1 Inputs'!$B$14)^-'2 The rent roll'!G9,0)+IF('2 The rent roll'!F10&gt;0,'2 The rent roll'!B10*(1+'1 Inputs'!$B$14)^-'2 The rent roll'!G10,0))*($B$7-$B$8))</f>
        <v>0.437008368305259</v>
      </c>
    </row>
    <row r="24" customFormat="false" ht="15" hidden="false" customHeight="false" outlineLevel="0" collapsed="false">
      <c r="A24" s="2" t="s">
        <v>109</v>
      </c>
    </row>
    <row r="25" customFormat="false" ht="15" hidden="false" customHeight="false" outlineLevel="0" collapsed="false">
      <c r="A25" s="2" t="s">
        <v>110</v>
      </c>
    </row>
    <row r="26" customFormat="false" ht="15" hidden="false" customHeight="false" outlineLevel="0" collapsed="false">
      <c r="A26" s="2" t="s">
        <v>111</v>
      </c>
    </row>
    <row r="27" customFormat="false" ht="15" hidden="false" customHeight="false" outlineLevel="0" collapsed="false">
      <c r="A27" s="2" t="s">
        <v>112</v>
      </c>
    </row>
    <row r="28" customFormat="false" ht="15" hidden="false" customHeight="false" outlineLevel="0" collapsed="false">
      <c r="A28" s="2" t="s">
        <v>113</v>
      </c>
    </row>
    <row r="29" customFormat="false" ht="15" hidden="false" customHeight="false" outlineLevel="0" collapsed="false">
      <c r="A29" s="2" t="s">
        <v>114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18"/>
    <col collapsed="false" customWidth="true" hidden="false" outlineLevel="0" max="4" min="4" style="0" width="50"/>
  </cols>
  <sheetData>
    <row r="1" customFormat="false" ht="16.15" hidden="false" customHeight="false" outlineLevel="0" collapsed="false">
      <c r="A1" s="1" t="s">
        <v>115</v>
      </c>
    </row>
    <row r="2" customFormat="false" ht="15" hidden="false" customHeight="false" outlineLevel="0" collapsed="false">
      <c r="A2" s="2" t="s">
        <v>116</v>
      </c>
    </row>
    <row r="5" customFormat="false" ht="15" hidden="false" customHeight="false" outlineLevel="0" collapsed="false">
      <c r="A5" s="18" t="s">
        <v>117</v>
      </c>
      <c r="B5" s="12" t="n">
        <f aca="false">'2 The rent roll'!B17</f>
        <v>5788000</v>
      </c>
      <c r="D5" s="2"/>
    </row>
    <row r="6" customFormat="false" ht="15" hidden="false" customHeight="false" outlineLevel="0" collapsed="false">
      <c r="A6" s="18" t="s">
        <v>118</v>
      </c>
      <c r="B6" s="12" t="n">
        <f aca="false">'3 The over-market'!B14</f>
        <v>6465950.50346619</v>
      </c>
      <c r="D6" s="2"/>
    </row>
    <row r="7" customFormat="false" ht="15" hidden="false" customHeight="false" outlineLevel="0" collapsed="false">
      <c r="A7" s="18" t="s">
        <v>119</v>
      </c>
      <c r="B7" s="12" t="n">
        <f aca="false">'4 Time-weighted'!F11-'3 The over-market'!B7</f>
        <v>4597162.67945046</v>
      </c>
      <c r="D7" s="2"/>
    </row>
    <row r="8" customFormat="false" ht="15" hidden="false" customHeight="false" outlineLevel="0" collapsed="false">
      <c r="A8" s="18" t="s">
        <v>120</v>
      </c>
      <c r="B8" s="12" t="n">
        <f aca="false">'5 Net of cost'!B21</f>
        <v>807364.736854752</v>
      </c>
      <c r="D8" s="2" t="s">
        <v>121</v>
      </c>
    </row>
    <row r="9" customFormat="false" ht="15" hidden="false" customHeight="false" outlineLevel="0" collapsed="false">
      <c r="A9" s="15" t="s">
        <v>122</v>
      </c>
      <c r="B9" s="12" t="n">
        <f aca="false">B8-B5</f>
        <v>-4980635.26314525</v>
      </c>
      <c r="D9" s="2"/>
    </row>
    <row r="10" customFormat="false" ht="15" hidden="false" customHeight="false" outlineLevel="0" collapsed="false">
      <c r="A10" s="18" t="s">
        <v>123</v>
      </c>
      <c r="B10" s="21" t="n">
        <f aca="false">B9/B5</f>
        <v>-0.860510584510236</v>
      </c>
      <c r="D10" s="2"/>
    </row>
    <row r="11" customFormat="false" ht="15" hidden="false" customHeight="false" outlineLevel="0" collapsed="false">
      <c r="A11" s="18" t="s">
        <v>54</v>
      </c>
      <c r="B11" s="16" t="n">
        <f aca="false">B9/'2 The rent roll'!B18</f>
        <v>-0.088680209086697</v>
      </c>
      <c r="D11" s="2"/>
    </row>
    <row r="13" customFormat="false" ht="15" hidden="false" customHeight="false" outlineLevel="0" collapsed="false">
      <c r="A13" s="18" t="s">
        <v>124</v>
      </c>
      <c r="B13" s="12" t="n">
        <f aca="false">D29</f>
        <v>-1102512.8071348</v>
      </c>
      <c r="D13" s="2" t="s">
        <v>125</v>
      </c>
    </row>
    <row r="14" customFormat="false" ht="15" hidden="false" customHeight="false" outlineLevel="0" collapsed="false">
      <c r="A14" s="18" t="s">
        <v>54</v>
      </c>
      <c r="B14" s="16" t="n">
        <f aca="false">B13/'2 The rent roll'!B18</f>
        <v>-0.0196302401384304</v>
      </c>
      <c r="D14" s="2" t="s">
        <v>126</v>
      </c>
    </row>
    <row r="15" customFormat="false" ht="15" hidden="false" customHeight="false" outlineLevel="0" collapsed="false">
      <c r="A15" s="15" t="s">
        <v>127</v>
      </c>
      <c r="B15" s="19" t="n">
        <f aca="false">ABS(B9)/ABS(B13)</f>
        <v>4.51753052745833</v>
      </c>
      <c r="D15" s="2" t="s">
        <v>128</v>
      </c>
    </row>
    <row r="16" customFormat="false" ht="15" hidden="false" customHeight="false" outlineLevel="0" collapsed="false">
      <c r="A16" s="18" t="s">
        <v>129</v>
      </c>
      <c r="B16" s="19" t="n">
        <f aca="false">ABS(B9)/ABS(C29)</f>
        <v>2.84217944712694</v>
      </c>
      <c r="D16" s="2" t="s">
        <v>130</v>
      </c>
    </row>
    <row r="18" customFormat="false" ht="15" hidden="false" customHeight="false" outlineLevel="0" collapsed="false">
      <c r="A18" s="2" t="s">
        <v>131</v>
      </c>
    </row>
    <row r="19" customFormat="false" ht="15" hidden="false" customHeight="false" outlineLevel="0" collapsed="false">
      <c r="A19" s="2" t="s">
        <v>132</v>
      </c>
    </row>
    <row r="20" customFormat="false" ht="15" hidden="false" customHeight="false" outlineLevel="0" collapsed="false">
      <c r="A20" s="2" t="s">
        <v>133</v>
      </c>
    </row>
    <row r="22" customFormat="false" ht="15" hidden="false" customHeight="false" outlineLevel="0" collapsed="false">
      <c r="A22" s="15" t="s">
        <v>134</v>
      </c>
    </row>
    <row r="23" customFormat="false" ht="15" hidden="false" customHeight="false" outlineLevel="0" collapsed="false">
      <c r="A23" s="22" t="s">
        <v>135</v>
      </c>
      <c r="B23" s="22" t="s">
        <v>136</v>
      </c>
      <c r="C23" s="22" t="s">
        <v>137</v>
      </c>
      <c r="D23" s="22" t="s">
        <v>138</v>
      </c>
    </row>
    <row r="24" customFormat="false" ht="15" hidden="false" customHeight="false" outlineLevel="0" collapsed="false">
      <c r="A24" s="18" t="s">
        <v>139</v>
      </c>
      <c r="B24" s="23" t="n">
        <v>-33125</v>
      </c>
      <c r="C24" s="23" t="n">
        <v>-530000</v>
      </c>
      <c r="D24" s="24" t="n">
        <f aca="false">C24</f>
        <v>-530000</v>
      </c>
    </row>
    <row r="25" customFormat="false" ht="15" hidden="false" customHeight="false" outlineLevel="0" collapsed="false">
      <c r="A25" s="18" t="s">
        <v>140</v>
      </c>
      <c r="B25" s="23" t="n">
        <v>-18400</v>
      </c>
      <c r="C25" s="23" t="n">
        <v>-294400</v>
      </c>
      <c r="D25" s="24" t="n">
        <f aca="false">C25</f>
        <v>-294400</v>
      </c>
    </row>
    <row r="26" customFormat="false" ht="15" hidden="false" customHeight="false" outlineLevel="0" collapsed="false">
      <c r="A26" s="18" t="s">
        <v>141</v>
      </c>
      <c r="B26" s="23" t="n">
        <v>-55000</v>
      </c>
      <c r="C26" s="23" t="n">
        <v>-880000</v>
      </c>
      <c r="D26" s="24" t="n">
        <f aca="false">'7 The one page'!B24</f>
        <v>-230112.807134803</v>
      </c>
    </row>
    <row r="27" customFormat="false" ht="15" hidden="false" customHeight="false" outlineLevel="0" collapsed="false">
      <c r="A27" s="18" t="s">
        <v>142</v>
      </c>
      <c r="B27" s="23" t="n">
        <v>39000</v>
      </c>
      <c r="C27" s="23" t="n">
        <v>624000</v>
      </c>
      <c r="D27" s="24" t="n">
        <f aca="false">C27</f>
        <v>624000</v>
      </c>
    </row>
    <row r="28" customFormat="false" ht="15" hidden="false" customHeight="false" outlineLevel="0" collapsed="false">
      <c r="A28" s="18" t="s">
        <v>143</v>
      </c>
      <c r="B28" s="23" t="n">
        <v>-42000</v>
      </c>
      <c r="C28" s="23" t="n">
        <v>-672000</v>
      </c>
      <c r="D28" s="24" t="n">
        <f aca="false">C28</f>
        <v>-672000</v>
      </c>
    </row>
    <row r="29" customFormat="false" ht="15" hidden="false" customHeight="false" outlineLevel="0" collapsed="false">
      <c r="A29" s="15" t="s">
        <v>144</v>
      </c>
      <c r="B29" s="24" t="n">
        <f aca="false">SUM(B24:B28)</f>
        <v>-109525</v>
      </c>
      <c r="C29" s="24" t="n">
        <f aca="false">SUM(C24:C28)</f>
        <v>-1752400</v>
      </c>
      <c r="D29" s="24" t="n">
        <f aca="false">SUM(D24:D28)</f>
        <v>-1102512.8071348</v>
      </c>
    </row>
    <row r="30" customFormat="false" ht="15" hidden="false" customHeight="false" outlineLevel="0" collapsed="false">
      <c r="A30" s="18" t="s">
        <v>54</v>
      </c>
      <c r="C30" s="16" t="n">
        <f aca="false">C29/'2 The rent roll'!$B$18</f>
        <v>-0.0312014813759704</v>
      </c>
      <c r="D30" s="16" t="n">
        <f aca="false">D29/'2 The rent roll'!$B$18</f>
        <v>-0.0196302401384304</v>
      </c>
    </row>
    <row r="31" customFormat="false" ht="15" hidden="false" customHeight="false" outlineLevel="0" collapsed="false">
      <c r="A31" s="2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4" min="3" style="0" width="18"/>
    <col collapsed="false" customWidth="true" hidden="false" outlineLevel="0" max="5" min="5" style="0" width="44"/>
  </cols>
  <sheetData>
    <row r="1" customFormat="false" ht="16.15" hidden="false" customHeight="false" outlineLevel="0" collapsed="false">
      <c r="A1" s="1" t="s">
        <v>146</v>
      </c>
    </row>
    <row r="2" customFormat="false" ht="15" hidden="false" customHeight="false" outlineLevel="0" collapsed="false">
      <c r="A2" s="2" t="s">
        <v>147</v>
      </c>
    </row>
    <row r="5" customFormat="false" ht="15" hidden="false" customHeight="false" outlineLevel="0" collapsed="false">
      <c r="A5" s="0" t="s">
        <v>148</v>
      </c>
      <c r="B5" s="12" t="n">
        <f aca="false">'2 The rent roll'!B13</f>
        <v>3510250</v>
      </c>
    </row>
    <row r="6" customFormat="false" ht="15" hidden="false" customHeight="false" outlineLevel="0" collapsed="false">
      <c r="A6" s="0" t="s">
        <v>149</v>
      </c>
      <c r="B6" s="12" t="n">
        <f aca="false">'2 The rent roll'!B14</f>
        <v>3872000</v>
      </c>
    </row>
    <row r="7" customFormat="false" ht="15" hidden="false" customHeight="false" outlineLevel="0" collapsed="false">
      <c r="A7" s="0" t="s">
        <v>150</v>
      </c>
      <c r="B7" s="12" t="n">
        <f aca="false">'5 Net of cost'!B21</f>
        <v>807364.736854752</v>
      </c>
    </row>
    <row r="8" customFormat="false" ht="15" hidden="false" customHeight="false" outlineLevel="0" collapsed="false">
      <c r="A8" s="0" t="s">
        <v>151</v>
      </c>
      <c r="B8" s="17" t="n">
        <f aca="false">'2 The rent roll'!B20</f>
        <v>4.36470588235294</v>
      </c>
    </row>
    <row r="9" customFormat="false" ht="15" hidden="false" customHeight="false" outlineLevel="0" collapsed="false">
      <c r="A9" s="0" t="s">
        <v>152</v>
      </c>
      <c r="B9" s="17" t="n">
        <f aca="false">'2 The rent roll'!B21</f>
        <v>4.17402606651948</v>
      </c>
    </row>
    <row r="10" customFormat="false" ht="15" hidden="false" customHeight="false" outlineLevel="0" collapsed="false">
      <c r="A10" s="0" t="s">
        <v>153</v>
      </c>
      <c r="B10" s="25" t="s">
        <v>154</v>
      </c>
    </row>
    <row r="11" customFormat="false" ht="15" hidden="false" customHeight="false" outlineLevel="0" collapsed="false">
      <c r="A11" s="15" t="s">
        <v>155</v>
      </c>
    </row>
    <row r="12" customFormat="false" ht="15" hidden="false" customHeight="false" outlineLevel="0" collapsed="false">
      <c r="A12" s="5" t="s">
        <v>156</v>
      </c>
      <c r="B12" s="5" t="s">
        <v>3</v>
      </c>
      <c r="C12" s="5" t="s">
        <v>38</v>
      </c>
      <c r="D12" s="5" t="s">
        <v>157</v>
      </c>
    </row>
    <row r="13" customFormat="false" ht="15" hidden="false" customHeight="false" outlineLevel="0" collapsed="false">
      <c r="A13" s="14" t="n">
        <f aca="false">'2 The rent roll'!G5</f>
        <v>2.5</v>
      </c>
      <c r="B13" s="0" t="str">
        <f aca="false">'2 The rent roll'!A5</f>
        <v>Anchor law firm</v>
      </c>
      <c r="C13" s="12" t="n">
        <f aca="false">'2 The rent roll'!B5</f>
        <v>25000</v>
      </c>
      <c r="D13" s="12" t="n">
        <f aca="false">'2 The rent roll'!B5*('1 Inputs'!$B$21*'5 Net of cost'!B7+(1-'1 Inputs'!$B$21)*'5 Net of cost'!B8)</f>
        <v>1676921.4</v>
      </c>
    </row>
    <row r="14" customFormat="false" ht="15" hidden="false" customHeight="false" outlineLevel="0" collapsed="false">
      <c r="A14" s="14" t="n">
        <f aca="false">'2 The rent roll'!G6</f>
        <v>6</v>
      </c>
      <c r="B14" s="0" t="str">
        <f aca="false">'2 The rent roll'!A6</f>
        <v>Technology tenant</v>
      </c>
      <c r="C14" s="12" t="n">
        <f aca="false">'2 The rent roll'!B6</f>
        <v>18500</v>
      </c>
      <c r="D14" s="12" t="n">
        <f aca="false">'2 The rent roll'!B6*('1 Inputs'!$B$21*'5 Net of cost'!B7+(1-'1 Inputs'!$B$21)*'5 Net of cost'!B8)</f>
        <v>1240921.836</v>
      </c>
    </row>
    <row r="15" customFormat="false" ht="15" hidden="false" customHeight="false" outlineLevel="0" collapsed="false">
      <c r="A15" s="14" t="n">
        <f aca="false">'2 The rent roll'!G7</f>
        <v>4</v>
      </c>
      <c r="B15" s="0" t="str">
        <f aca="false">'2 The rent roll'!A7</f>
        <v>Insurance broker</v>
      </c>
      <c r="C15" s="12" t="n">
        <f aca="false">'2 The rent roll'!B7</f>
        <v>12000</v>
      </c>
      <c r="D15" s="12" t="n">
        <f aca="false">'2 The rent roll'!B7*('1 Inputs'!$B$21*'5 Net of cost'!B7+(1-'1 Inputs'!$B$21)*'5 Net of cost'!B8)</f>
        <v>804922.272</v>
      </c>
    </row>
    <row r="16" customFormat="false" ht="15" hidden="false" customHeight="false" outlineLevel="0" collapsed="false">
      <c r="A16" s="14" t="n">
        <f aca="false">'2 The rent roll'!G8</f>
        <v>1</v>
      </c>
      <c r="B16" s="0" t="str">
        <f aca="false">'2 The rent roll'!A8</f>
        <v>Regional bank</v>
      </c>
      <c r="C16" s="12" t="n">
        <f aca="false">'2 The rent roll'!B8</f>
        <v>9500</v>
      </c>
      <c r="D16" s="12" t="n">
        <f aca="false">'2 The rent roll'!B8*('1 Inputs'!$B$21*'5 Net of cost'!B7+(1-'1 Inputs'!$B$21)*'5 Net of cost'!B8)</f>
        <v>637230.132</v>
      </c>
    </row>
    <row r="17" customFormat="false" ht="15" hidden="false" customHeight="false" outlineLevel="0" collapsed="false">
      <c r="A17" s="14" t="n">
        <f aca="false">'2 The rent roll'!G9</f>
        <v>8.5</v>
      </c>
      <c r="B17" s="0" t="str">
        <f aca="false">'2 The rent roll'!A9</f>
        <v>Coworking operator</v>
      </c>
      <c r="C17" s="12" t="n">
        <f aca="false">'2 The rent roll'!B9</f>
        <v>14000</v>
      </c>
      <c r="D17" s="12" t="n">
        <f aca="false">'2 The rent roll'!B9*('1 Inputs'!$B$21*'5 Net of cost'!B7+(1-'1 Inputs'!$B$21)*'5 Net of cost'!B8)</f>
        <v>939075.984</v>
      </c>
    </row>
    <row r="18" customFormat="false" ht="15" hidden="false" customHeight="false" outlineLevel="0" collapsed="false">
      <c r="A18" s="14" t="n">
        <f aca="false">'2 The rent roll'!G10</f>
        <v>3.5</v>
      </c>
      <c r="B18" s="0" t="str">
        <f aca="false">'2 The rent roll'!A10</f>
        <v>Ground-floor retail</v>
      </c>
      <c r="C18" s="12" t="n">
        <f aca="false">'2 The rent roll'!B10</f>
        <v>6000</v>
      </c>
      <c r="D18" s="12" t="n">
        <f aca="false">'2 The rent roll'!B10*('1 Inputs'!$B$21*'5 Net of cost'!B7+(1-'1 Inputs'!$B$21)*'5 Net of cost'!B8)</f>
        <v>402461.136</v>
      </c>
    </row>
    <row r="19" customFormat="false" ht="15" hidden="false" customHeight="false" outlineLevel="0" collapsed="false">
      <c r="A19" s="15" t="s">
        <v>158</v>
      </c>
      <c r="D19" s="12" t="n">
        <f aca="false">SUM(D13:D18)</f>
        <v>5701532.76</v>
      </c>
    </row>
    <row r="21" customFormat="false" ht="15" hidden="false" customHeight="false" outlineLevel="0" collapsed="false">
      <c r="A21" s="15" t="s">
        <v>159</v>
      </c>
      <c r="B21" s="12" t="n">
        <f aca="false">'3 The over-market'!B5</f>
        <v>54000</v>
      </c>
      <c r="E21" s="2" t="s">
        <v>160</v>
      </c>
    </row>
    <row r="22" customFormat="false" ht="15" hidden="false" customHeight="false" outlineLevel="0" collapsed="false">
      <c r="A22" s="18" t="s">
        <v>161</v>
      </c>
      <c r="B22" s="12" t="n">
        <f aca="false">'3 The over-market'!B7</f>
        <v>186049.496533806</v>
      </c>
      <c r="E22" s="2" t="s">
        <v>162</v>
      </c>
    </row>
    <row r="23" customFormat="false" ht="15" hidden="false" customHeight="false" outlineLevel="0" collapsed="false">
      <c r="A23" s="18" t="s">
        <v>163</v>
      </c>
      <c r="B23" s="12" t="n">
        <f aca="false">'3 The over-market'!B6</f>
        <v>864000</v>
      </c>
      <c r="E23" s="2" t="s">
        <v>65</v>
      </c>
    </row>
    <row r="24" customFormat="false" ht="15" hidden="false" customHeight="false" outlineLevel="0" collapsed="false">
      <c r="A24" s="15" t="s">
        <v>164</v>
      </c>
      <c r="B24" s="12" t="n">
        <f aca="false">-'1 Inputs'!D6*(1-'1 Inputs'!B24)*'1 Inputs'!B6*(1-(1+'1 Inputs'!$B$14)^-'1 Inputs'!B25)/'1 Inputs'!$B$14</f>
        <v>-230112.807134803</v>
      </c>
      <c r="E24" s="2" t="s">
        <v>165</v>
      </c>
    </row>
    <row r="25" customFormat="false" ht="15" hidden="false" customHeight="false" outlineLevel="0" collapsed="false">
      <c r="A25" s="15" t="s">
        <v>166</v>
      </c>
      <c r="B25" s="12" t="n">
        <f aca="false">'6 The four numbers'!D29</f>
        <v>-1102512.8071348</v>
      </c>
      <c r="E25" s="2" t="s">
        <v>167</v>
      </c>
    </row>
    <row r="26" customFormat="false" ht="15" hidden="false" customHeight="false" outlineLevel="0" collapsed="false">
      <c r="A26" s="15" t="s">
        <v>168</v>
      </c>
      <c r="B26" s="12" t="n">
        <f aca="false">'5 Net of cost'!D17</f>
        <v>-2164682.58285118</v>
      </c>
      <c r="E26" s="2" t="s">
        <v>169</v>
      </c>
    </row>
    <row r="27" customFormat="false" ht="15" hidden="false" customHeight="false" outlineLevel="0" collapsed="false">
      <c r="A27" s="18" t="s">
        <v>170</v>
      </c>
      <c r="B27" s="12" t="n">
        <f aca="false">B24*(1+'1 Inputs'!$B$14)^-'1 Inputs'!E6</f>
        <v>-197750.888551834</v>
      </c>
      <c r="E27" s="2" t="s">
        <v>171</v>
      </c>
    </row>
    <row r="29" customFormat="false" ht="15" hidden="false" customHeight="false" outlineLevel="0" collapsed="false">
      <c r="A29" s="2" t="s">
        <v>172</v>
      </c>
    </row>
    <row r="30" customFormat="false" ht="15" hidden="false" customHeight="false" outlineLevel="0" collapsed="false">
      <c r="A30" s="2" t="s">
        <v>173</v>
      </c>
    </row>
    <row r="31" customFormat="false" ht="15" hidden="false" customHeight="false" outlineLevel="0" collapsed="false">
      <c r="A31" s="2" t="s">
        <v>174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1" t="s">
        <v>175</v>
      </c>
    </row>
    <row r="2" customFormat="false" ht="15" hidden="false" customHeight="false" outlineLevel="0" collapsed="false">
      <c r="A2" s="2" t="s">
        <v>176</v>
      </c>
    </row>
    <row r="4" customFormat="false" ht="15" hidden="false" customHeight="false" outlineLevel="0" collapsed="false">
      <c r="A4" s="5" t="s">
        <v>177</v>
      </c>
      <c r="B4" s="5" t="s">
        <v>178</v>
      </c>
      <c r="C4" s="5" t="s">
        <v>179</v>
      </c>
      <c r="D4" s="5" t="s">
        <v>180</v>
      </c>
    </row>
    <row r="5" customFormat="false" ht="15" hidden="false" customHeight="false" outlineLevel="0" collapsed="false">
      <c r="A5" s="0" t="s">
        <v>181</v>
      </c>
      <c r="B5" s="12" t="n">
        <f aca="false">'2 The rent roll'!B11</f>
        <v>85000</v>
      </c>
      <c r="C5" s="12" t="n">
        <v>85000</v>
      </c>
      <c r="D5" s="15" t="str">
        <f aca="false">IF(ABS(B5-C5)&lt;=MAX(0.005,ABS(C5)*0.0005),"PASS","FAIL")</f>
        <v>PASS</v>
      </c>
    </row>
    <row r="6" customFormat="false" ht="15" hidden="false" customHeight="false" outlineLevel="0" collapsed="false">
      <c r="A6" s="0" t="s">
        <v>182</v>
      </c>
      <c r="B6" s="12" t="n">
        <f aca="false">'2 The rent roll'!B13</f>
        <v>3510250</v>
      </c>
      <c r="C6" s="12" t="n">
        <v>3510250</v>
      </c>
      <c r="D6" s="15" t="str">
        <f aca="false">IF(ABS(B6-C6)&lt;=MAX(0.005,ABS(C6)*0.0005),"PASS","FAIL")</f>
        <v>PASS</v>
      </c>
    </row>
    <row r="7" customFormat="false" ht="15" hidden="false" customHeight="false" outlineLevel="0" collapsed="false">
      <c r="A7" s="0" t="s">
        <v>183</v>
      </c>
      <c r="B7" s="12" t="n">
        <f aca="false">'2 The rent roll'!B14</f>
        <v>3872000</v>
      </c>
      <c r="C7" s="12" t="n">
        <v>3872000</v>
      </c>
      <c r="D7" s="15" t="str">
        <f aca="false">IF(ABS(B7-C7)&lt;=MAX(0.005,ABS(C7)*0.0005),"PASS","FAIL")</f>
        <v>PASS</v>
      </c>
    </row>
    <row r="8" customFormat="false" ht="15" hidden="false" customHeight="false" outlineLevel="0" collapsed="false">
      <c r="A8" s="0" t="s">
        <v>184</v>
      </c>
      <c r="B8" s="12" t="n">
        <f aca="false">'2 The rent roll'!B15</f>
        <v>361750</v>
      </c>
      <c r="C8" s="12" t="n">
        <v>361750</v>
      </c>
      <c r="D8" s="15" t="str">
        <f aca="false">IF(ABS(B8-C8)&lt;=MAX(0.005,ABS(C8)*0.0005),"PASS","FAIL")</f>
        <v>PASS</v>
      </c>
    </row>
    <row r="9" customFormat="false" ht="15" hidden="false" customHeight="false" outlineLevel="0" collapsed="false">
      <c r="A9" s="0" t="s">
        <v>185</v>
      </c>
      <c r="B9" s="16" t="n">
        <f aca="false">ROUND('2 The rent roll'!B16,3)</f>
        <v>0.103</v>
      </c>
      <c r="C9" s="16" t="n">
        <v>0.103</v>
      </c>
      <c r="D9" s="15" t="str">
        <f aca="false">IF(ABS(B9-C9)&lt;=MAX(0.005,ABS(C9)*0.0005),"PASS","FAIL")</f>
        <v>PASS</v>
      </c>
    </row>
    <row r="10" customFormat="false" ht="15" hidden="false" customHeight="false" outlineLevel="0" collapsed="false">
      <c r="A10" s="0" t="s">
        <v>186</v>
      </c>
      <c r="B10" s="12" t="n">
        <f aca="false">'2 The rent roll'!B17</f>
        <v>5788000</v>
      </c>
      <c r="C10" s="12" t="n">
        <v>5788000</v>
      </c>
      <c r="D10" s="15" t="str">
        <f aca="false">IF(ABS(B10-C10)&lt;=MAX(0.005,ABS(C10)*0.0005),"PASS","FAIL")</f>
        <v>PASS</v>
      </c>
    </row>
    <row r="11" customFormat="false" ht="15" hidden="false" customHeight="false" outlineLevel="0" collapsed="false">
      <c r="A11" s="0" t="s">
        <v>187</v>
      </c>
      <c r="B11" s="12" t="n">
        <f aca="false">ROUND('2 The rent roll'!B18,-3)</f>
        <v>56164000</v>
      </c>
      <c r="C11" s="12" t="n">
        <v>56164000</v>
      </c>
      <c r="D11" s="15" t="str">
        <f aca="false">IF(ABS(B11-C11)&lt;=MAX(0.005,ABS(C11)*0.0005),"PASS","FAIL")</f>
        <v>PASS</v>
      </c>
    </row>
    <row r="12" customFormat="false" ht="15" hidden="false" customHeight="false" outlineLevel="0" collapsed="false">
      <c r="A12" s="0" t="s">
        <v>188</v>
      </c>
      <c r="B12" s="17" t="n">
        <f aca="false">ROUND('2 The rent roll'!B20,2)</f>
        <v>4.36</v>
      </c>
      <c r="C12" s="17" t="n">
        <v>4.36</v>
      </c>
      <c r="D12" s="15" t="str">
        <f aca="false">IF(ABS(B12-C12)&lt;=MAX(0.005,ABS(C12)*0.0005),"PASS","FAIL")</f>
        <v>PASS</v>
      </c>
    </row>
    <row r="13" customFormat="false" ht="15" hidden="false" customHeight="false" outlineLevel="0" collapsed="false">
      <c r="A13" s="0" t="s">
        <v>189</v>
      </c>
      <c r="B13" s="17" t="n">
        <f aca="false">ROUND('2 The rent roll'!B21,2)</f>
        <v>4.17</v>
      </c>
      <c r="C13" s="17" t="n">
        <v>4.17</v>
      </c>
      <c r="D13" s="15" t="str">
        <f aca="false">IF(ABS(B13-C13)&lt;=MAX(0.005,ABS(C13)*0.0005),"PASS","FAIL")</f>
        <v>PASS</v>
      </c>
    </row>
    <row r="14" customFormat="false" ht="15" hidden="false" customHeight="false" outlineLevel="0" collapsed="false">
      <c r="A14" s="0" t="s">
        <v>190</v>
      </c>
      <c r="B14" s="26" t="n">
        <f aca="false">IF('2 The rent roll'!B21&lt;'2 The rent roll'!B20,1,0)</f>
        <v>1</v>
      </c>
      <c r="C14" s="26" t="n">
        <v>1</v>
      </c>
      <c r="D14" s="15" t="str">
        <f aca="false">IF(ABS(B14-C14)&lt;=MAX(0.005,ABS(C14)*0.0005),"PASS","FAIL")</f>
        <v>PASS</v>
      </c>
    </row>
    <row r="15" customFormat="false" ht="15" hidden="false" customHeight="false" outlineLevel="0" collapsed="false">
      <c r="A15" s="0" t="s">
        <v>191</v>
      </c>
      <c r="B15" s="12" t="n">
        <f aca="false">'3 The over-market'!B5</f>
        <v>54000</v>
      </c>
      <c r="C15" s="12" t="n">
        <v>54000</v>
      </c>
      <c r="D15" s="15" t="str">
        <f aca="false">IF(ABS(B15-C15)&lt;=MAX(0.005,ABS(C15)*0.0005),"PASS","FAIL")</f>
        <v>PASS</v>
      </c>
    </row>
    <row r="16" customFormat="false" ht="15" hidden="false" customHeight="false" outlineLevel="0" collapsed="false">
      <c r="A16" s="0" t="s">
        <v>192</v>
      </c>
      <c r="B16" s="12" t="n">
        <f aca="false">'3 The over-market'!B6</f>
        <v>864000</v>
      </c>
      <c r="C16" s="12" t="n">
        <v>864000</v>
      </c>
      <c r="D16" s="15" t="str">
        <f aca="false">IF(ABS(B16-C16)&lt;=MAX(0.005,ABS(C16)*0.0005),"PASS","FAIL")</f>
        <v>PASS</v>
      </c>
    </row>
    <row r="17" customFormat="false" ht="15" hidden="false" customHeight="false" outlineLevel="0" collapsed="false">
      <c r="A17" s="0" t="s">
        <v>193</v>
      </c>
      <c r="B17" s="26" t="n">
        <f aca="false">IF('3 The over-market'!B7&lt;'3 The over-market'!B6/3,1,0)</f>
        <v>1</v>
      </c>
      <c r="C17" s="26" t="n">
        <v>1</v>
      </c>
      <c r="D17" s="15" t="str">
        <f aca="false">IF(ABS(B17-C17)&lt;=MAX(0.005,ABS(C17)*0.0005),"PASS","FAIL")</f>
        <v>PASS</v>
      </c>
    </row>
    <row r="18" customFormat="false" ht="15" hidden="false" customHeight="false" outlineLevel="0" collapsed="false">
      <c r="A18" s="0" t="s">
        <v>194</v>
      </c>
      <c r="B18" s="19" t="n">
        <f aca="false">ROUND('3 The over-market'!B9,1)</f>
        <v>4.6</v>
      </c>
      <c r="C18" s="19" t="n">
        <v>4.6</v>
      </c>
      <c r="D18" s="15" t="str">
        <f aca="false">IF(ABS(B18-C18)&lt;=MAX(0.005,ABS(C18)*0.0005),"PASS","FAIL")</f>
        <v>PASS</v>
      </c>
    </row>
    <row r="19" customFormat="false" ht="15" hidden="false" customHeight="false" outlineLevel="0" collapsed="false">
      <c r="A19" s="0" t="s">
        <v>195</v>
      </c>
      <c r="B19" s="26" t="n">
        <f aca="false">IF('3 The over-market'!B16&gt;0,1,0)</f>
        <v>1</v>
      </c>
      <c r="C19" s="26" t="n">
        <v>1</v>
      </c>
      <c r="D19" s="15" t="str">
        <f aca="false">IF(ABS(B19-C19)&lt;=MAX(0.005,ABS(C19)*0.0005),"PASS","FAIL")</f>
        <v>PASS</v>
      </c>
    </row>
    <row r="20" customFormat="false" ht="15" hidden="false" customHeight="false" outlineLevel="0" collapsed="false">
      <c r="A20" s="0" t="s">
        <v>196</v>
      </c>
      <c r="B20" s="26" t="n">
        <f aca="false">SUMPRODUCT(('4 Time-weighted'!$G$5:$G$10&lt;&gt;"")*(N('4 Time-weighted'!$G$5:$G$10)&gt;=1))</f>
        <v>0</v>
      </c>
      <c r="C20" s="26" t="n">
        <v>0</v>
      </c>
      <c r="D20" s="15" t="str">
        <f aca="false">IF(ABS(B20-C20)&lt;=MAX(0.005,ABS(C20)*0.0005),"PASS","FAIL")</f>
        <v>PASS</v>
      </c>
    </row>
    <row r="21" customFormat="false" ht="15" hidden="false" customHeight="false" outlineLevel="0" collapsed="false">
      <c r="A21" s="0" t="s">
        <v>197</v>
      </c>
      <c r="B21" s="21" t="n">
        <f aca="false">ROUND('4 Time-weighted'!G8,2)</f>
        <v>0.94</v>
      </c>
      <c r="C21" s="21" t="n">
        <v>0.94</v>
      </c>
      <c r="D21" s="15" t="str">
        <f aca="false">IF(ABS(B21-C21)&lt;=MAX(0.005,ABS(C21)*0.0005),"PASS","FAIL")</f>
        <v>PASS</v>
      </c>
    </row>
    <row r="22" customFormat="false" ht="15" hidden="false" customHeight="false" outlineLevel="0" collapsed="false">
      <c r="A22" s="0" t="s">
        <v>198</v>
      </c>
      <c r="B22" s="21" t="n">
        <f aca="false">ROUND('4 Time-weighted'!G9,2)</f>
        <v>0.6</v>
      </c>
      <c r="C22" s="21" t="n">
        <v>0.6</v>
      </c>
      <c r="D22" s="15" t="str">
        <f aca="false">IF(ABS(B22-C22)&lt;=MAX(0.005,ABS(C22)*0.0005),"PASS","FAIL")</f>
        <v>PASS</v>
      </c>
    </row>
    <row r="23" customFormat="false" ht="15" hidden="false" customHeight="false" outlineLevel="0" collapsed="false">
      <c r="A23" s="0" t="s">
        <v>199</v>
      </c>
      <c r="B23" s="21" t="n">
        <f aca="false">ROUND('4 Time-weighted'!B14,2)</f>
        <v>0.28</v>
      </c>
      <c r="C23" s="21" t="n">
        <v>0.28</v>
      </c>
      <c r="D23" s="15" t="str">
        <f aca="false">IF(ABS(B23-C23)&lt;=MAX(0.005,ABS(C23)*0.0005),"PASS","FAIL")</f>
        <v>PASS</v>
      </c>
    </row>
    <row r="24" customFormat="false" ht="15" hidden="false" customHeight="false" outlineLevel="0" collapsed="false">
      <c r="A24" s="0" t="s">
        <v>200</v>
      </c>
      <c r="B24" s="26" t="n">
        <f aca="false">IF('4 Time-weighted'!F6&gt;'4 Time-weighted'!F9,1,0)</f>
        <v>1</v>
      </c>
      <c r="C24" s="26" t="n">
        <v>1</v>
      </c>
      <c r="D24" s="15" t="str">
        <f aca="false">IF(ABS(B24-C24)&lt;=MAX(0.005,ABS(C24)*0.0005),"PASS","FAIL")</f>
        <v>PASS</v>
      </c>
    </row>
    <row r="25" customFormat="false" ht="15" hidden="false" customHeight="false" outlineLevel="0" collapsed="false">
      <c r="A25" s="0" t="s">
        <v>201</v>
      </c>
      <c r="B25" s="13" t="n">
        <f aca="false">ROUND('5 Net of cost'!B7,2)</f>
        <v>32.01</v>
      </c>
      <c r="C25" s="13" t="n">
        <v>32.01</v>
      </c>
      <c r="D25" s="15" t="str">
        <f aca="false">IF(ABS(B25-C25)&lt;=MAX(0.005,ABS(C25)*0.0005),"PASS","FAIL")</f>
        <v>PASS</v>
      </c>
    </row>
    <row r="26" customFormat="false" ht="15" hidden="false" customHeight="false" outlineLevel="0" collapsed="false">
      <c r="A26" s="0" t="s">
        <v>202</v>
      </c>
      <c r="B26" s="13" t="n">
        <f aca="false">ROUND('5 Net of cost'!B8,2)</f>
        <v>119.68</v>
      </c>
      <c r="C26" s="13" t="n">
        <v>119.68</v>
      </c>
      <c r="D26" s="15" t="str">
        <f aca="false">IF(ABS(B26-C26)&lt;=MAX(0.005,ABS(C26)*0.0005),"PASS","FAIL")</f>
        <v>PASS</v>
      </c>
    </row>
    <row r="27" customFormat="false" ht="15" hidden="false" customHeight="false" outlineLevel="0" collapsed="false">
      <c r="A27" s="0" t="s">
        <v>203</v>
      </c>
      <c r="B27" s="26" t="n">
        <f aca="false">IF('5 Net of cost'!D12&gt;0,1,0)</f>
        <v>1</v>
      </c>
      <c r="C27" s="26" t="n">
        <v>1</v>
      </c>
      <c r="D27" s="15" t="str">
        <f aca="false">IF(ABS(B27-C27)&lt;=MAX(0.005,ABS(C27)*0.0005),"PASS","FAIL")</f>
        <v>PASS</v>
      </c>
    </row>
    <row r="28" customFormat="false" ht="15" hidden="false" customHeight="false" outlineLevel="0" collapsed="false">
      <c r="A28" s="0" t="s">
        <v>204</v>
      </c>
      <c r="B28" s="26" t="n">
        <f aca="false">IF('5 Net of cost'!D17&lt;0,1,0)</f>
        <v>1</v>
      </c>
      <c r="C28" s="26" t="n">
        <v>1</v>
      </c>
      <c r="D28" s="15" t="str">
        <f aca="false">IF(ABS(B28-C28)&lt;=MAX(0.005,ABS(C28)*0.0005),"PASS","FAIL")</f>
        <v>PASS</v>
      </c>
    </row>
    <row r="29" customFormat="false" ht="15" hidden="false" customHeight="false" outlineLevel="0" collapsed="false">
      <c r="A29" s="0" t="s">
        <v>205</v>
      </c>
      <c r="B29" s="26" t="n">
        <f aca="false">IF(AND('5 Net of cost'!B22&gt;0.4,'5 Net of cost'!B22&lt;0.5),1,0)</f>
        <v>1</v>
      </c>
      <c r="C29" s="26" t="n">
        <v>1</v>
      </c>
      <c r="D29" s="15" t="str">
        <f aca="false">IF(ABS(B29-C29)&lt;=MAX(0.005,ABS(C29)*0.0005),"PASS","FAIL")</f>
        <v>PASS</v>
      </c>
    </row>
    <row r="30" customFormat="false" ht="15" hidden="false" customHeight="false" outlineLevel="0" collapsed="false">
      <c r="A30" s="0" t="s">
        <v>206</v>
      </c>
      <c r="B30" s="26" t="n">
        <f aca="false">IF(AND('5 Net of cost'!D14&gt;0,'5 Net of cost'!D16&lt;0),1,0)</f>
        <v>1</v>
      </c>
      <c r="C30" s="26" t="n">
        <v>1</v>
      </c>
      <c r="D30" s="15" t="str">
        <f aca="false">IF(ABS(B30-C30)&lt;=MAX(0.005,ABS(C30)*0.0005),"PASS","FAIL")</f>
        <v>PASS</v>
      </c>
    </row>
    <row r="31" customFormat="false" ht="15" hidden="false" customHeight="false" outlineLevel="0" collapsed="false">
      <c r="A31" s="0" t="s">
        <v>207</v>
      </c>
      <c r="B31" s="26" t="n">
        <f aca="false">IF('6 The four numbers'!B15&gt;1,1,0)</f>
        <v>1</v>
      </c>
      <c r="C31" s="26" t="n">
        <v>1</v>
      </c>
      <c r="D31" s="15" t="str">
        <f aca="false">IF(ABS(B31-C31)&lt;=MAX(0.005,ABS(C31)*0.0005),"PASS","FAIL")</f>
        <v>PASS</v>
      </c>
    </row>
    <row r="32" customFormat="false" ht="15" hidden="false" customHeight="false" outlineLevel="0" collapsed="false">
      <c r="A32" s="0" t="s">
        <v>208</v>
      </c>
      <c r="B32" s="26" t="n">
        <f aca="false">IF(ABS('6 The four numbers'!B11)&gt;0.05,1,0)</f>
        <v>1</v>
      </c>
      <c r="C32" s="26" t="n">
        <v>1</v>
      </c>
      <c r="D32" s="15" t="str">
        <f aca="false">IF(ABS(B32-C32)&lt;=MAX(0.005,ABS(C32)*0.0005),"PASS","FAIL")</f>
        <v>PASS</v>
      </c>
    </row>
    <row r="33" customFormat="false" ht="15" hidden="false" customHeight="false" outlineLevel="0" collapsed="false">
      <c r="A33" s="0" t="s">
        <v>209</v>
      </c>
      <c r="B33" s="26" t="n">
        <f aca="false">IF('7 The one page'!D19&gt;0,1,0)</f>
        <v>1</v>
      </c>
      <c r="C33" s="26" t="n">
        <v>1</v>
      </c>
      <c r="D33" s="15" t="str">
        <f aca="false">IF(ABS(B33-C33)&lt;=MAX(0.005,ABS(C33)*0.0005),"PASS","FAIL")</f>
        <v>PASS</v>
      </c>
    </row>
    <row r="34" customFormat="false" ht="15" hidden="false" customHeight="false" outlineLevel="0" collapsed="false">
      <c r="A34" s="0" t="s">
        <v>210</v>
      </c>
      <c r="B34" s="26" t="n">
        <f aca="false">IF('7 The one page'!B26&lt;0,1,0)</f>
        <v>1</v>
      </c>
      <c r="C34" s="26" t="n">
        <v>1</v>
      </c>
      <c r="D34" s="15" t="str">
        <f aca="false">IF(ABS(B34-C34)&lt;=MAX(0.005,ABS(C34)*0.0005),"PASS","FAIL")</f>
        <v>PASS</v>
      </c>
    </row>
    <row r="35" customFormat="false" ht="15" hidden="false" customHeight="false" outlineLevel="0" collapsed="false">
      <c r="A35" s="0" t="s">
        <v>211</v>
      </c>
      <c r="B35" s="24" t="n">
        <f aca="false">'1 Inputs'!D6*(1-'1 Inputs'!B24)*'1 Inputs'!B6</f>
        <v>55000.0000000001</v>
      </c>
      <c r="C35" s="24" t="n">
        <v>55000</v>
      </c>
      <c r="D35" s="15" t="str">
        <f aca="false">IF(ABS(B35-C35)&lt;=MAX(0.005,ABS(C35)*0.0005),"PASS","FAIL")</f>
        <v>PASS</v>
      </c>
    </row>
    <row r="36" customFormat="false" ht="15" hidden="false" customHeight="false" outlineLevel="0" collapsed="false">
      <c r="A36" s="0" t="s">
        <v>212</v>
      </c>
      <c r="B36" s="24" t="n">
        <f aca="false">'1 Inputs'!D6*(1-'1 Inputs'!B24)*'1 Inputs'!B6/'1 Inputs'!$B$14</f>
        <v>880000.000000001</v>
      </c>
      <c r="C36" s="24" t="n">
        <v>880000</v>
      </c>
      <c r="D36" s="15" t="str">
        <f aca="false">IF(ABS(B36-C36)&lt;=MAX(0.005,ABS(C36)*0.0005),"PASS","FAIL")</f>
        <v>PASS</v>
      </c>
    </row>
    <row r="37" customFormat="false" ht="15" hidden="false" customHeight="false" outlineLevel="0" collapsed="false">
      <c r="A37" s="0" t="s">
        <v>213</v>
      </c>
      <c r="B37" s="24" t="n">
        <f aca="false">IF(-'7 The one page'!B24&lt;='1 Inputs'!D6*(1-'1 Inputs'!B24)*'1 Inputs'!B6*'1 Inputs'!B25,1,0)</f>
        <v>1</v>
      </c>
      <c r="C37" s="24" t="n">
        <v>1</v>
      </c>
      <c r="D37" s="15" t="str">
        <f aca="false">IF(ABS(B37-C37)&lt;=MAX(0.005,ABS(C37)*0.0005),"PASS","FAIL")</f>
        <v>PASS</v>
      </c>
    </row>
    <row r="38" customFormat="false" ht="15" hidden="false" customHeight="false" outlineLevel="0" collapsed="false">
      <c r="A38" s="0" t="s">
        <v>214</v>
      </c>
      <c r="B38" s="24" t="n">
        <f aca="false">'6 The four numbers'!C29</f>
        <v>-1752400</v>
      </c>
      <c r="C38" s="24" t="n">
        <v>-1752400</v>
      </c>
      <c r="D38" s="15" t="str">
        <f aca="false">IF(ABS(B38-C38)&lt;=MAX(0.005,ABS(C38)*0.0005),"PASS","FAIL")</f>
        <v>PASS</v>
      </c>
    </row>
    <row r="39" customFormat="false" ht="15" hidden="false" customHeight="false" outlineLevel="0" collapsed="false">
      <c r="A39" s="0" t="s">
        <v>215</v>
      </c>
      <c r="B39" s="24" t="n">
        <f aca="false">'6 The four numbers'!B29</f>
        <v>-109525</v>
      </c>
      <c r="C39" s="24" t="n">
        <v>-109525</v>
      </c>
      <c r="D39" s="15" t="str">
        <f aca="false">IF(ABS(B39-C39)&lt;=MAX(0.005,ABS(C39)*0.0005),"PASS","FAIL")</f>
        <v>PASS</v>
      </c>
    </row>
    <row r="41" customFormat="false" ht="15" hidden="false" customHeight="false" outlineLevel="0" collapsed="false">
      <c r="A41" s="15" t="s">
        <v>216</v>
      </c>
      <c r="B41" s="15" t="n">
        <f aca="false">COUNTIF(D5:D39,"PASS")</f>
        <v>35</v>
      </c>
      <c r="C41" s="15" t="n">
        <v>35</v>
      </c>
      <c r="D41" s="15" t="str">
        <f aca="false">IF(B41=C41,"ALL PASS","SOMETHING FAILS")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2026-08-22T16:45:16Z</dcterms:created>
  <dc:creator>openpyxl</dc:creator>
  <dc:description/>
  <dc:language>en-US</dc:language>
  <cp:lastModifiedBy/>
  <dcterms:modified xsi:type="dcterms:W3CDTF">2026-09-23T21:55:50Z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