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 Inputs" sheetId="1" state="visible" r:id="rId3"/>
    <sheet name="2 The loan" sheetId="2" state="visible" r:id="rId4"/>
    <sheet name="3 The 11.2x ratio" sheetId="3" state="visible" r:id="rId5"/>
    <sheet name="4 The window" sheetId="4" state="visible" r:id="rId6"/>
    <sheet name="5 The wrong threshold" sheetId="5" state="visible" r:id="rId7"/>
    <sheet name="6 The extension" sheetId="6" state="visible" r:id="rId8"/>
    <sheet name="7 The maturity page" sheetId="7" state="visible" r:id="rId9"/>
    <sheet name="8 Checks" sheetId="8" state="visible" r:id="rId10"/>
    <sheet name="9 Other chapter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<sst xmlns="http://schemas.openxmlformats.org/spreadsheetml/2006/main" count="355" uniqueCount="324">
  <si>
    <t xml:space="preserve">What a cure is worth — inputs</t>
  </si>
  <si>
    <t xml:space="preserve">Every amber cell is an input, and every one of them is a figure the book states.</t>
  </si>
  <si>
    <t xml:space="preserve">THE LOAN — chapters 2 and 3</t>
  </si>
  <si>
    <t xml:space="preserve">Appraised value</t>
  </si>
  <si>
    <t xml:space="preserve">ch.2</t>
  </si>
  <si>
    <t xml:space="preserve">Net operating income</t>
  </si>
  <si>
    <t xml:space="preserve">Loan amount</t>
  </si>
  <si>
    <t xml:space="preserve">ch.2, the loan-to-value test binds at 60 %</t>
  </si>
  <si>
    <t xml:space="preserve">Interest rate</t>
  </si>
  <si>
    <t xml:space="preserve">ch.3</t>
  </si>
  <si>
    <t xml:space="preserve">Amortisation, years</t>
  </si>
  <si>
    <t xml:space="preserve">Balance at the extension date (year 3)</t>
  </si>
  <si>
    <t xml:space="preserve">computed from the loan, the rate and the amortisation (the first edition typed 35,830,965 in)</t>
  </si>
  <si>
    <t xml:space="preserve">Balance at year 5</t>
  </si>
  <si>
    <t xml:space="preserve">computed from the loan, the rate and the amortisation (the first edition typed 34,762,591 in)</t>
  </si>
  <si>
    <t xml:space="preserve">Balance at maturity (year 10)</t>
  </si>
  <si>
    <t xml:space="preserve">computed from the loan, the rate and the amortisation (the first edition typed 31,417,151 in)</t>
  </si>
  <si>
    <t xml:space="preserve">THE COVENANTS — chapter 6</t>
  </si>
  <si>
    <t xml:space="preserve">Coverage — cash trap</t>
  </si>
  <si>
    <t xml:space="preserve">ch.6 ladder</t>
  </si>
  <si>
    <t xml:space="preserve">Coverage — cash sweep</t>
  </si>
  <si>
    <t xml:space="preserve">Coverage — event of default</t>
  </si>
  <si>
    <t xml:space="preserve">Debt yield — cash trap</t>
  </si>
  <si>
    <t xml:space="preserve">Debt yield — ORIGINATION sizing test</t>
  </si>
  <si>
    <t xml:space="preserve">ch.2 — NOT the covenant. See sheet 4</t>
  </si>
  <si>
    <t xml:space="preserve">Coverage — ORIGINATION sizing test</t>
  </si>
  <si>
    <t xml:space="preserve">ch.2 — used on sheet 9 only</t>
  </si>
  <si>
    <t xml:space="preserve">THE EXTENSION — chapter 13</t>
  </si>
  <si>
    <t xml:space="preserve">Extension condition: debt yield</t>
  </si>
  <si>
    <t xml:space="preserve">ch.13</t>
  </si>
  <si>
    <t xml:space="preserve">Extension condition: coverage</t>
  </si>
  <si>
    <t xml:space="preserve">Extension fee, basis points</t>
  </si>
  <si>
    <t xml:space="preserve">ch.13, "commonly 15 to 50 basis points"</t>
  </si>
  <si>
    <t xml:space="preserve">THE REFINANCING — chapter 13</t>
  </si>
  <si>
    <t xml:space="preserve">New lender: loan to value</t>
  </si>
  <si>
    <t xml:space="preserve">New lender: coverage</t>
  </si>
  <si>
    <t xml:space="preserve">New lender: debt yield</t>
  </si>
  <si>
    <t xml:space="preserve">New lender: amortisation, years</t>
  </si>
  <si>
    <t xml:space="preserve">The loan and its covenant ladder, reproduced</t>
  </si>
  <si>
    <t xml:space="preserve">Nothing here is new. It exists so that everything after it argues with the same numbers.</t>
  </si>
  <si>
    <t xml:space="preserve">Mortgage constant</t>
  </si>
  <si>
    <t xml:space="preserve">book: 7.467 per cent</t>
  </si>
  <si>
    <t xml:space="preserve">Annual debt service</t>
  </si>
  <si>
    <t xml:space="preserve">book: 2,777,660</t>
  </si>
  <si>
    <t xml:space="preserve">Coverage today</t>
  </si>
  <si>
    <t xml:space="preserve">book: 1.395x</t>
  </si>
  <si>
    <t xml:space="preserve">Debt yield today</t>
  </si>
  <si>
    <t xml:space="preserve">Trigger</t>
  </si>
  <si>
    <t xml:space="preserve">NOI required</t>
  </si>
  <si>
    <t xml:space="preserve">Decline from today</t>
  </si>
  <si>
    <t xml:space="preserve">The book prints</t>
  </si>
  <si>
    <t xml:space="preserve">Coverage 1.20x — cash trap</t>
  </si>
  <si>
    <t xml:space="preserve">-14.0%</t>
  </si>
  <si>
    <t xml:space="preserve">Debt yield 8.50% — cash trap</t>
  </si>
  <si>
    <t xml:space="preserve">-18.4%</t>
  </si>
  <si>
    <t xml:space="preserve">Coverage 1.10x — cash sweep</t>
  </si>
  <si>
    <t xml:space="preserve">-21.2%</t>
  </si>
  <si>
    <t xml:space="preserve">Coverage 1.05x — default</t>
  </si>
  <si>
    <t xml:space="preserve">-24.7%</t>
  </si>
  <si>
    <t xml:space="preserve">The cure ratio in closed form</t>
  </si>
  <si>
    <t xml:space="preserve">Chapter 11: 'That ratio is not specific to this deal.' Half right — and the half that is wrong is the half a borrower negotiates.</t>
  </si>
  <si>
    <t xml:space="preserve">Income at a 20 % decline</t>
  </si>
  <si>
    <t xml:space="preserve">Deposit cure = k x DS  less  income</t>
  </si>
  <si>
    <t xml:space="preserve">book: 233,192</t>
  </si>
  <si>
    <t xml:space="preserve">Prepayment cure = L  less  I/(k x c)</t>
  </si>
  <si>
    <t xml:space="preserve">book: 2,602,535</t>
  </si>
  <si>
    <t xml:space="preserve">RATIO</t>
  </si>
  <si>
    <t xml:space="preserve">book: 11.2 times</t>
  </si>
  <si>
    <t xml:space="preserve">The closed form: 1/(k x c)</t>
  </si>
  <si>
    <t xml:space="preserve">identical — and independent of the decline</t>
  </si>
  <si>
    <t xml:space="preserve">The ratio at other declines — it does not move</t>
  </si>
  <si>
    <t xml:space="preserve">Income decline</t>
  </si>
  <si>
    <t xml:space="preserve">Deposit cure</t>
  </si>
  <si>
    <t xml:space="preserve">Prepayment cure</t>
  </si>
  <si>
    <t xml:space="preserve">Ratio</t>
  </si>
  <si>
    <t xml:space="preserve">But it depends entirely on the amortisation schedule and the covenant level</t>
  </si>
  <si>
    <t xml:space="preserve">Amortisation</t>
  </si>
  <si>
    <t xml:space="preserve">Constant</t>
  </si>
  <si>
    <t xml:space="preserve">k = 1.15</t>
  </si>
  <si>
    <t xml:space="preserve">k = 1.20</t>
  </si>
  <si>
    <t xml:space="preserve">k = 1.25</t>
  </si>
  <si>
    <t xml:space="preserve">k = 1.30</t>
  </si>
  <si>
    <t xml:space="preserve">Interest only</t>
  </si>
  <si>
    <t xml:space="preserve">30 years</t>
  </si>
  <si>
    <t xml:space="preserve">25 years</t>
  </si>
  <si>
    <t xml:space="preserve">20 years</t>
  </si>
  <si>
    <t xml:space="preserve">Write it out and the ratio is 1/(k x c), where k is the coverage covenant and c the mortgage constant.</t>
  </si>
  <si>
    <t xml:space="preserve">Two things follow, and the chapter states neither. The ratio does NOT depend on how deep the decline is —</t>
  </si>
  <si>
    <t xml:space="preserve">that is what its instinct was reaching for, and on that axis it is right. But it depends ENTIRELY on the</t>
  </si>
  <si>
    <t xml:space="preserve">covenant level and the amortisation schedule, which are the two things a borrower negotiates at closing.</t>
  </si>
  <si>
    <t xml:space="preserve">From 8.7 times to 13.7 times across the grid above. A borrower who concedes ten years of amortisation</t>
  </si>
  <si>
    <t xml:space="preserve">(thirty to twenty) — the trade chapter 3 warns about — has also cut the value of its deposit cure by about a</t>
  </si>
  <si>
    <t xml:space="preserve">sixth (11.2 to 9.4 at 1.20), and by more than a quarter if the loan was interest-only (13.1 to 9.4).</t>
  </si>
  <si>
    <t xml:space="preserve">The decline at which the deposit cure stops working</t>
  </si>
  <si>
    <t xml:space="preserve">Chapter 11 calls the deposit cure one of the most valuable provisions a borrower can negotiate, and never asks when the second test arrives.</t>
  </si>
  <si>
    <t xml:space="preserve">Coverage trap fires at an income decline of</t>
  </si>
  <si>
    <t xml:space="preserve">Debt yield trap fires at an income decline of</t>
  </si>
  <si>
    <t xml:space="preserve">THE WINDOW, IN POINTS OF INCOME DECLINE</t>
  </si>
  <si>
    <t xml:space="preserve">inside it a deposit cures; outside it only a prepayment does</t>
  </si>
  <si>
    <t xml:space="preserve">The most a deposit cure can be worth</t>
  </si>
  <si>
    <t xml:space="preserve">the prepayment it avoids at the moment the debt yield trap fires</t>
  </si>
  <si>
    <t xml:space="preserve">Every point of debt yield covenant conceded moves the second trigger</t>
  </si>
  <si>
    <t xml:space="preserve">Debt yield covenant</t>
  </si>
  <si>
    <t xml:space="preserve">Fires at a decline of</t>
  </si>
  <si>
    <t xml:space="preserve">Window, points</t>
  </si>
  <si>
    <t xml:space="preserve">Which is the shape chapter 13 identifies about something else entirely. Of the extension option it says:</t>
  </si>
  <si>
    <t xml:space="preserve">'optionality that expires exactly when it acquires value.' The deposit cure has the same shape, and the</t>
  </si>
  <si>
    <t xml:space="preserve">book does not say so. It is cheap while the decline is shallow enough that the sponsor could probably</t>
  </si>
  <si>
    <t xml:space="preserve">have funded the shortfall anyway, and it is unavailable once the decline is deep enough to hurt.</t>
  </si>
  <si>
    <t xml:space="preserve">That does not make it worthless. A four-point window is real and most income declines are shallow. It</t>
  </si>
  <si>
    <t xml:space="preserve">makes it a provision whose value is BOUNDED, and the bound is computable on the day the loan closes.</t>
  </si>
  <si>
    <t xml:space="preserve">A debt yield covenant at 8.00 per cent instead of 8.50 more than doubles the range over which the cheap</t>
  </si>
  <si>
    <t xml:space="preserve">cure works. That is the negotiation the chapter's own sentence points at — 'a debt yield covenant is the</t>
  </si>
  <si>
    <t xml:space="preserve">one to negotiate hardest' — and this is the number that makes the case.</t>
  </si>
  <si>
    <t xml:space="preserve">The cure chapter 11 sizes to a threshold the loan does not impose</t>
  </si>
  <si>
    <t xml:space="preserve">Chapter 11 restores 9.00 per cent. Chapter 6's ladder puts the trap at 8.50. Nine is the origination sizing test, not the covenant.</t>
  </si>
  <si>
    <t xml:space="preserve">NOI</t>
  </si>
  <si>
    <t xml:space="preserve">Cure to 9.00 %</t>
  </si>
  <si>
    <t xml:space="preserve">Cure to 8.50 %</t>
  </si>
  <si>
    <t xml:space="preserve">Overshoot</t>
  </si>
  <si>
    <t xml:space="preserve">1,894,444</t>
  </si>
  <si>
    <t xml:space="preserve">2,755,556</t>
  </si>
  <si>
    <t xml:space="preserve">Debt yield at an 18 % decline</t>
  </si>
  <si>
    <t xml:space="preserve">above the 8.50 % trap — nothing to cure</t>
  </si>
  <si>
    <t xml:space="preserve">The covenant requires, at a 20 % decline</t>
  </si>
  <si>
    <t xml:space="preserve">The chapter's worked cure at the same decline</t>
  </si>
  <si>
    <t xml:space="preserve">OVERSHOOT</t>
  </si>
  <si>
    <t xml:space="preserve">Read the first row again. At an eighteen per cent decline the debt yield is above the 8.50 per cent trap.</t>
  </si>
  <si>
    <t xml:space="preserve">There is no breach to cure, and the chapter's worked example prepays 1,894,444 dollars to fix it.</t>
  </si>
  <si>
    <t xml:space="preserve">This is not a criticism of the arithmetic, which is right for the question it asks. It is that the</t>
  </si>
  <si>
    <t xml:space="preserve">question changed between chapter 6 and chapter 11 and the reader is not told. The overshoot is largest</t>
  </si>
  <si>
    <t xml:space="preserve">at the shallow end, which is where a sponsor is most likely to be curing and least likely to have the</t>
  </si>
  <si>
    <t xml:space="preserve">cash. Cure to the covenant. Read the covenant.</t>
  </si>
  <si>
    <t xml:space="preserve">The paydown that buys the extension, priced</t>
  </si>
  <si>
    <t xml:space="preserve">Chapter 13 offers two million dollars as an illustration and never computes it.</t>
  </si>
  <si>
    <t xml:space="preserve">Debt service at the extension date</t>
  </si>
  <si>
    <t xml:space="preserve">UNCHANGED — a fixed-payment amortising loan keeps its payment; only the balance falls</t>
  </si>
  <si>
    <t xml:space="preserve">Constant on the remaining 27-year term</t>
  </si>
  <si>
    <t xml:space="preserve">a paydown re-amortises over what is left</t>
  </si>
  <si>
    <t xml:space="preserve">Debt yield</t>
  </si>
  <si>
    <t xml:space="preserve">DSCR</t>
  </si>
  <si>
    <t xml:space="preserve">Binding test</t>
  </si>
  <si>
    <t xml:space="preserve">Paydown to extend</t>
  </si>
  <si>
    <t xml:space="preserve">Extension fee at 25 basis points</t>
  </si>
  <si>
    <t xml:space="preserve">book: 89,577</t>
  </si>
  <si>
    <t xml:space="preserve">Paydown needed at the decline that denies the extension</t>
  </si>
  <si>
    <t xml:space="preserve">Chapter 13's illustration</t>
  </si>
  <si>
    <t xml:space="preserve">"prepaying two million dollars"</t>
  </si>
  <si>
    <t xml:space="preserve">The refinancing gap it avoids, at 8 % and minus 15 %</t>
  </si>
  <si>
    <t xml:space="preserve">Appendix C, case 3: computed now (it was typed in)</t>
  </si>
  <si>
    <t xml:space="preserve">THE PAYDOWN IS WORTH</t>
  </si>
  <si>
    <t xml:space="preserve">times its own size</t>
  </si>
  <si>
    <t xml:space="preserve">The rows reproduce the chapter's own table: 10.81 per cent and 1.395 times at flat income, 9.19 and 1.186</t>
  </si>
  <si>
    <t xml:space="preserve">at minus fifteen, where the chapter says the extension is denied on coverage while debt yield still passes.</t>
  </si>
  <si>
    <t xml:space="preserve">So two million dollars is generous. At the exact decline that denies the extension the paydown that buys</t>
  </si>
  <si>
    <t xml:space="preserve">it is a quarter of that, and two million covers a decline of about nineteen per cent. The right a sponsor</t>
  </si>
  <si>
    <t xml:space="preserve">should ask for is smaller than the chapter suggests, which makes it easier to get.</t>
  </si>
  <si>
    <t xml:space="preserve">And the chapter computes the alternative on the next page without ever joining it to this one. The paydown</t>
  </si>
  <si>
    <t xml:space="preserve">avoids an equity call more than ten times its own size, on a day when the sponsor still has a performing</t>
  </si>
  <si>
    <t xml:space="preserve">asset rather than a maturity default. It costs the lender nothing at origination to grant, which is</t>
  </si>
  <si>
    <t xml:space="preserve">exactly why it is worth asking for then.</t>
  </si>
  <si>
    <t xml:space="preserve">The six lines chapter 13 specifies</t>
  </si>
  <si>
    <t xml:space="preserve">It lists six and builds four. This is all six, and every cell is a formula.</t>
  </si>
  <si>
    <t xml:space="preserve">Balance at each anniversary</t>
  </si>
  <si>
    <t xml:space="preserve">% of original</t>
  </si>
  <si>
    <t xml:space="preserve">amortised</t>
  </si>
  <si>
    <t xml:space="preserve">Year 3 — extension date</t>
  </si>
  <si>
    <t xml:space="preserve">Year 5</t>
  </si>
  <si>
    <t xml:space="preserve">Year 10 — maturity</t>
  </si>
  <si>
    <t xml:space="preserve">Income and value flat</t>
  </si>
  <si>
    <t xml:space="preserve">5.50 %</t>
  </si>
  <si>
    <t xml:space="preserve">6.35 %</t>
  </si>
  <si>
    <t xml:space="preserve">7.25 %</t>
  </si>
  <si>
    <t xml:space="preserve">8.00 %</t>
  </si>
  <si>
    <t xml:space="preserve">Coverage supports</t>
  </si>
  <si>
    <t xml:space="preserve">Debt yield supports</t>
  </si>
  <si>
    <t xml:space="preserve">65 % LTV supports</t>
  </si>
  <si>
    <t xml:space="preserve">PROCEEDS</t>
  </si>
  <si>
    <t xml:space="preserve">vs the year-5 balance</t>
  </si>
  <si>
    <t xml:space="preserve">Income and value minus 15 %</t>
  </si>
  <si>
    <t xml:space="preserve">In the stressed case loan to value binds at 5.50 and 6.35 per cent and coverage at 7.25 and 8.00 (row 26).</t>
  </si>
  <si>
    <t xml:space="preserve">Chapter 13 and Appendix F say "coverage binds throughout" in the stressed case: it does only from 7.25.</t>
  </si>
  <si>
    <t xml:space="preserve">Every extension condition, with the income level that fails it</t>
  </si>
  <si>
    <t xml:space="preserve">sheet 6, column E — the binding test at each decline</t>
  </si>
  <si>
    <t xml:space="preserve">The date twelve months before maturity, in the diary</t>
  </si>
  <si>
    <t xml:space="preserve">the only line on the page that costs nothing, and the chapter calls it the cheapest risk mitigation available</t>
  </si>
  <si>
    <t xml:space="preserve">Chapter 13 prints the two proceeds tables and says these six lines 'are the difference between a</t>
  </si>
  <si>
    <t xml:space="preserve">refinancing and a workout'. The four it prints reproduce here to the dollar. The two it does not are the</t>
  </si>
  <si>
    <t xml:space="preserve">two that require the sponsor to do something rather than know something.</t>
  </si>
  <si>
    <t xml:space="preserve">Controls</t>
  </si>
  <si>
    <t xml:space="preserve">Each row tests something the book asserts or the model must satisfy. Tolerance: 0.05 per cent of the expected value (revised 23 September 2026: it was 0.5 in absolute terms, which no ratio could fail).</t>
  </si>
  <si>
    <t xml:space="preserve">Control</t>
  </si>
  <si>
    <t xml:space="preserve">Value</t>
  </si>
  <si>
    <t xml:space="preserve">Expected</t>
  </si>
  <si>
    <t xml:space="preserve">Result</t>
  </si>
  <si>
    <t xml:space="preserve">1. Loan: the mortgage constant reproduces the book's 7.467 per cent</t>
  </si>
  <si>
    <t xml:space="preserve">2. Loan: debt service reproduces the book's 2,777,660</t>
  </si>
  <si>
    <t xml:space="preserve">3. Loan: coverage today reproduces the book's 1.395x</t>
  </si>
  <si>
    <t xml:space="preserve">4. Ladder: the cash trap fires at a 14.0 per cent decline</t>
  </si>
  <si>
    <t xml:space="preserve">5. Ladder: the debt yield trap fires at an 18.4 per cent decline</t>
  </si>
  <si>
    <t xml:space="preserve">6. Ladder: the cash sweep fires at a 21.2 per cent decline</t>
  </si>
  <si>
    <t xml:space="preserve">7. Ladder: default fires at a 24.7 per cent decline</t>
  </si>
  <si>
    <t xml:space="preserve">8. Cure: the deposit cure reproduces the book's 233,192</t>
  </si>
  <si>
    <t xml:space="preserve">9. Cure: the prepayment cure reproduces the book's 2,602,535</t>
  </si>
  <si>
    <t xml:space="preserve">10. Cure: the ratio reproduces the book's 11.2 times</t>
  </si>
  <si>
    <t xml:space="preserve">11. Cure: the closed form 1/(k.c) equals the computed ratio</t>
  </si>
  <si>
    <t xml:space="preserve">12. Cure: the ratio is the same at every income decline</t>
  </si>
  <si>
    <t xml:space="preserve">13. Cure: interest-only gives a higher ratio than 20-year amortisation</t>
  </si>
  <si>
    <t xml:space="preserve">14. Cure: a tighter covenant gives a lower ratio</t>
  </si>
  <si>
    <t xml:space="preserve">15. Window: the coverage trap precedes the debt yield trap</t>
  </si>
  <si>
    <t xml:space="preserve">16. Window: it is 4.4 points of income decline wide</t>
  </si>
  <si>
    <t xml:space="preserve">17. Window: a debt yield covenant at 8.00 more than doubles it</t>
  </si>
  <si>
    <t xml:space="preserve">18. Window: at a 9.00 covenant the window closes entirely</t>
  </si>
  <si>
    <t xml:space="preserve">19. Threshold: the book's 18 per cent cure reproduces at 1,894,444</t>
  </si>
  <si>
    <t xml:space="preserve">20. Threshold: the book's 20 per cent cure reproduces at 2,755,556</t>
  </si>
  <si>
    <t xml:space="preserve">21. Threshold: at an 18 per cent decline there is no covenant breach</t>
  </si>
  <si>
    <t xml:space="preserve">22. Threshold: the covenant requires 729,412 at a 20 per cent decline</t>
  </si>
  <si>
    <t xml:space="preserve">23. Threshold: the chapter's cure overshoots by 3.8 times</t>
  </si>
  <si>
    <t xml:space="preserve">24. Extension: debt service is unchanged from the original payment</t>
  </si>
  <si>
    <t xml:space="preserve">25. Extension: flat income gives 10.81 per cent and 1.395x</t>
  </si>
  <si>
    <t xml:space="preserve">26. Extension: a 15 per cent decline gives 9.19 per cent</t>
  </si>
  <si>
    <t xml:space="preserve">27. Extension: a 15 per cent decline gives 1.186x</t>
  </si>
  <si>
    <t xml:space="preserve">28. Extension: coverage is the binding test at a 15 per cent decline</t>
  </si>
  <si>
    <t xml:space="preserve">29. Extension: the extension fee reproduces the book's 89,577</t>
  </si>
  <si>
    <t xml:space="preserve">30. Extension: no paydown is needed while both tests pass</t>
  </si>
  <si>
    <t xml:space="preserve">31. Extension: the paydown is far smaller than the two million illustrated</t>
  </si>
  <si>
    <t xml:space="preserve">32. Maturity page: flat, 5.50 per cent, proceeds are 40,300,000</t>
  </si>
  <si>
    <t xml:space="preserve">33. Maturity page: flat, 8.00 per cent, surplus is 443,978</t>
  </si>
  <si>
    <t xml:space="preserve">34. Maturity page: minus 15, 5.50 per cent, shortfall is 507,591</t>
  </si>
  <si>
    <t xml:space="preserve">35. Maturity page: minus 15, 8.00 per cent, shortfall is 4,837,007</t>
  </si>
  <si>
    <t xml:space="preserve">36. Maturity page: loan to value binds in the flat low-rate case</t>
  </si>
  <si>
    <t xml:space="preserve">37. Maturity page: coverage binds in the flat high-rate case</t>
  </si>
  <si>
    <t xml:space="preserve">38. Maturity page: the year-10 balance is 84.5 per cent of the original</t>
  </si>
  <si>
    <t xml:space="preserve">39. Sheet 1: the year-3 balance, now computed, reproduces 35,830,965</t>
  </si>
  <si>
    <t xml:space="preserve">40. Sheet 1: the year-5 balance reproduces 34,762,591</t>
  </si>
  <si>
    <t xml:space="preserve">41. Sheet 1: the year-10 balance reproduces 31,417,151</t>
  </si>
  <si>
    <t xml:space="preserve">42. Window: the bound on the deposit cure is 1,910,586 (first edition: 1,911,397)</t>
  </si>
  <si>
    <t xml:space="preserve">43. Maturity page: minus 15, loan to value binds at 5.50 and 6.35 (the book: coverage)</t>
  </si>
  <si>
    <t xml:space="preserve">44. Maturity page: minus 15, coverage binds at 7.25 and 8.00</t>
  </si>
  <si>
    <t xml:space="preserve">45. Extension: the paydown at minus 15 reproduces 423,994</t>
  </si>
  <si>
    <t xml:space="preserve">46. Extension: the refinancing gap at 8.00 and minus 15, now computed, reproduces 5,905,381</t>
  </si>
  <si>
    <t xml:space="preserve">47. Chapter 2: coverage sizes the same loan at 7.430 per cent (+108 bp, not 165)</t>
  </si>
  <si>
    <t xml:space="preserve">48. Chapter 5: all-in cost reproduces the book's 6.59 per cent</t>
  </si>
  <si>
    <t xml:space="preserve">49. Chapter 5: with the recording tax, 6.74 per cent</t>
  </si>
  <si>
    <t xml:space="preserve">50. Chapter 5: the 6.50 loan with the same costs is 6.60 per cent (book: "roughly 6.54")</t>
  </si>
  <si>
    <t xml:space="preserve">51. Chapter 6: at 70 per cent, cash flow after debt service reproduces 634,396</t>
  </si>
  <si>
    <t xml:space="preserve">52. Chapter 6: at 70 per cent, debt service is 3,240,604 (book: 3,240,270)</t>
  </si>
  <si>
    <t xml:space="preserve">53. Chapter 6: at 70 per cent, coverage reproduces 1.196x</t>
  </si>
  <si>
    <t xml:space="preserve">54. Chapter 8: the lender loses nothing down to a 42.8 per cent decline (ch.19: "fifty")</t>
  </si>
  <si>
    <t xml:space="preserve">55. Chapter 8: at 70 per cent the loss starts at a 33.3 per cent decline (book: "forty")</t>
  </si>
  <si>
    <t xml:space="preserve">56. Chapter 12: the step-down reproduces 1,074,929</t>
  </si>
  <si>
    <t xml:space="preserve">57. Chapter 12: yield maintenance at 4.10 reproduces 4,821,005</t>
  </si>
  <si>
    <t xml:space="preserve">58. Chapter 12: yield maintenance at 5.60 reproduces 1,521,731</t>
  </si>
  <si>
    <t xml:space="preserve">59. Chapter 12: defeasance at 4.10 costs 40,467,882 (book: 40,387,556)</t>
  </si>
  <si>
    <t xml:space="preserve">60. Chapter 12: defeasance at 5.60 costs 37,302,914 (book: 37,204,217)</t>
  </si>
  <si>
    <t xml:space="preserve">61. Chapter 12: the step-down is 3,746,076 cheaper than yield maintenance</t>
  </si>
  <si>
    <t xml:space="preserve">CONTROLS PASSING</t>
  </si>
  <si>
    <t xml:space="preserve">The figures of the other chapters, recomputed</t>
  </si>
  <si>
    <t xml:space="preserve">Chapters 2, 5, 6, 8 and 12. Amber cells are figures the book states in those chapters; everything else is a formula.</t>
  </si>
  <si>
    <t xml:space="preserve">CHAPTER 2 — the rate at which coverage takes over</t>
  </si>
  <si>
    <t xml:space="preserve">Rate at which the 1.25x coverage test sizes exactly the loan</t>
  </si>
  <si>
    <t xml:space="preserve">the loan-to-value loan, 37,200,000</t>
  </si>
  <si>
    <t xml:space="preserve">  above today's rate, basis points</t>
  </si>
  <si>
    <t xml:space="preserve">the introduction says 165: coverage binds from here, 108</t>
  </si>
  <si>
    <t xml:space="preserve">CHAPTER 5 — the all-in cost of the loan</t>
  </si>
  <si>
    <t xml:space="preserve">Origination fee</t>
  </si>
  <si>
    <t xml:space="preserve">ch.5</t>
  </si>
  <si>
    <t xml:space="preserve">Third-party and legal costs</t>
  </si>
  <si>
    <t xml:space="preserve">Mortgage recording tax</t>
  </si>
  <si>
    <t xml:space="preserve">Rate of the loan with no fee</t>
  </si>
  <si>
    <t xml:space="preserve">Net proceeds</t>
  </si>
  <si>
    <t xml:space="preserve">book: 36,578,000</t>
  </si>
  <si>
    <t xml:space="preserve">All-in cost, fee and costs</t>
  </si>
  <si>
    <t xml:space="preserve">book: 6.59 per cent</t>
  </si>
  <si>
    <t xml:space="preserve">All-in cost, with the recording tax</t>
  </si>
  <si>
    <t xml:space="preserve">book: 6.74 per cent</t>
  </si>
  <si>
    <t xml:space="preserve">Loan with no fee: monthly payment</t>
  </si>
  <si>
    <t xml:space="preserve">  its balance at year 10</t>
  </si>
  <si>
    <t xml:space="preserve">  all-in cost, carrying the same third-party costs</t>
  </si>
  <si>
    <t xml:space="preserve">book: "roughly 6.54": a tie with row 14, not cheaper</t>
  </si>
  <si>
    <t xml:space="preserve">  all-in cost with no cost at all</t>
  </si>
  <si>
    <t xml:space="preserve">the only basis on which the higher coupon wins</t>
  </si>
  <si>
    <t xml:space="preserve">CHAPTER 6 — the same loan at 70 per cent</t>
  </si>
  <si>
    <t xml:space="preserve">Loan at 70 per cent of value</t>
  </si>
  <si>
    <t xml:space="preserve">Debt service</t>
  </si>
  <si>
    <t xml:space="preserve">book: 3,240,270, a typing slip: its own 634,396 needs 3,240,604</t>
  </si>
  <si>
    <t xml:space="preserve">book: 1.196x</t>
  </si>
  <si>
    <t xml:space="preserve">Cash flow after debt service</t>
  </si>
  <si>
    <t xml:space="preserve">book: 634,396</t>
  </si>
  <si>
    <t xml:space="preserve">Decline to the trap (positive: already breached)</t>
  </si>
  <si>
    <t xml:space="preserve">book: +0.4%</t>
  </si>
  <si>
    <t xml:space="preserve">Decline to default</t>
  </si>
  <si>
    <t xml:space="preserve">book: -12.2%</t>
  </si>
  <si>
    <t xml:space="preserve">CHAPTERS 8 AND 19 — where the lender starts to lose</t>
  </si>
  <si>
    <t xml:space="preserve">Sale costs on an enforced sale</t>
  </si>
  <si>
    <t xml:space="preserve">ch.8</t>
  </si>
  <si>
    <t xml:space="preserve">Value decline at which the year-5 balance is just repaid</t>
  </si>
  <si>
    <t xml:space="preserve">chapter 19: "nothing until value falls fifty percent"</t>
  </si>
  <si>
    <t xml:space="preserve">The same for the 70 per cent loan</t>
  </si>
  <si>
    <t xml:space="preserve">chapter 8: "at a forty percent decline"</t>
  </si>
  <si>
    <t xml:space="preserve">CHAPTER 12 — the price of leaving in year three</t>
  </si>
  <si>
    <t xml:space="preserve">Step-down premium in year three</t>
  </si>
  <si>
    <t xml:space="preserve">ch.12</t>
  </si>
  <si>
    <t xml:space="preserve">Treasury yield, rates fallen</t>
  </si>
  <si>
    <t xml:space="preserve">Treasury yield, rates risen</t>
  </si>
  <si>
    <t xml:space="preserve">Rates fallen</t>
  </si>
  <si>
    <t xml:space="preserve">Rates risen</t>
  </si>
  <si>
    <t xml:space="preserve">Note</t>
  </si>
  <si>
    <t xml:space="preserve">Step-down</t>
  </si>
  <si>
    <t xml:space="preserve">book: 1,074,929</t>
  </si>
  <si>
    <t xml:space="preserve">Yield maintenance, the chapter's method (year-3 balance, annual)</t>
  </si>
  <si>
    <t xml:space="preserve">book: 4,821,005 and 1,521,731</t>
  </si>
  <si>
    <t xml:space="preserve">Defeasance: the securities that replicate the 84 payments and the balloon</t>
  </si>
  <si>
    <t xml:space="preserve">book: 40,387,556 and 37,204,217</t>
  </si>
  <si>
    <t xml:space="preserve">  premium over the balance</t>
  </si>
  <si>
    <t xml:space="preserve">book: 4,556,591 and 1,373,252</t>
  </si>
  <si>
    <t xml:space="preserve">  as a share of the balance</t>
  </si>
  <si>
    <t xml:space="preserve">book: 12.72% and 3.83%</t>
  </si>
  <si>
    <t xml:space="preserve">Step-down cheaper than yield maintenance, rates fallen</t>
  </si>
  <si>
    <t xml:space="preserve">book: 3,746,076</t>
  </si>
  <si>
    <t xml:space="preserve">Two corrections and a precision. The rate at which coverage takes over from loan to value is 7.43 per cent, 108 basis points up, not 165.</t>
  </si>
  <si>
    <t xml:space="preserve">With the same 250,000 of costs, the 6.50 per cent loan costs 6.60 per cent all-in against 6.59: a tie. The printed defeasance costs do not reproduce under any</t>
  </si>
  <si>
    <t xml:space="preserve">convention tried (monthly, annual, semi-annual, continuous); replicating the loan's own monthly payments gives row 41. Yield maintenance computed on those</t>
  </si>
  <si>
    <t xml:space="preserve">same payments equals the defeasance premium, 4,636,918 at 4.10 per cent; the chapter's shortcut on the year-three balance is its stated method and is kept.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</si>
</sst>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"/>
    <numFmt numFmtId="166" formatCode="0.00%"/>
    <numFmt numFmtId="167" formatCode="0.000\x"/>
    <numFmt numFmtId="168" formatCode="0.00\x"/>
    <numFmt numFmtId="169" formatCode="0.000%"/>
    <numFmt numFmtId="170" formatCode="0.0%"/>
    <numFmt numFmtId="171" formatCode="0.0\x"/>
    <numFmt numFmtId="172" formatCode="0.0"/>
    <numFmt numFmtId="173" formatCode="@"/>
    <numFmt numFmtId="174" formatCode="0"/>
    <numFmt numFmtId="175" formatCode="0.0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Cambria"/>
      <family val="0"/>
      <charset val="1"/>
    </font>
    <font>
      <i val="true"/>
      <sz val="9"/>
      <color rgb="FF666666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DEDED"/>
        <bgColor rgb="FFFFF2CC"/>
      </patternFill>
    </fill>
    <fill>
      <patternFill patternType="solid">
        <fgColor rgb="FFFFF2CC"/>
        <bgColor rgb="FFEDEDED"/>
      </patternFill>
    </fill>
    <fill>
      <patternFill patternType="solid">
        <fgColor rgb="FF1B1F2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1F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5"/>
    <col collapsed="false" customWidth="true" hidden="false" outlineLevel="0" max="3" min="3" style="0" width="6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15" hidden="false" customHeight="false" outlineLevel="0" collapsed="false">
      <c r="A5" s="0" t="s">
        <v>3</v>
      </c>
      <c r="B5" s="5" t="n">
        <v>62000000</v>
      </c>
      <c r="C5" s="2" t="s">
        <v>4</v>
      </c>
    </row>
    <row r="6" customFormat="false" ht="15" hidden="false" customHeight="false" outlineLevel="0" collapsed="false">
      <c r="A6" s="0" t="s">
        <v>5</v>
      </c>
      <c r="B6" s="5" t="n">
        <v>3875000</v>
      </c>
      <c r="C6" s="2" t="s">
        <v>4</v>
      </c>
    </row>
    <row r="7" customFormat="false" ht="15" hidden="false" customHeight="false" outlineLevel="0" collapsed="false">
      <c r="A7" s="0" t="s">
        <v>6</v>
      </c>
      <c r="B7" s="5" t="n">
        <v>37200000</v>
      </c>
      <c r="C7" s="2" t="s">
        <v>7</v>
      </c>
    </row>
    <row r="8" customFormat="false" ht="15" hidden="false" customHeight="false" outlineLevel="0" collapsed="false">
      <c r="A8" s="0" t="s">
        <v>8</v>
      </c>
      <c r="B8" s="6" t="n">
        <v>0.0635</v>
      </c>
      <c r="C8" s="2" t="s">
        <v>9</v>
      </c>
    </row>
    <row r="9" customFormat="false" ht="15" hidden="false" customHeight="false" outlineLevel="0" collapsed="false">
      <c r="A9" s="0" t="s">
        <v>10</v>
      </c>
      <c r="B9" s="7" t="n">
        <v>30</v>
      </c>
      <c r="C9" s="2" t="s">
        <v>9</v>
      </c>
    </row>
    <row r="10" customFormat="false" ht="15" hidden="false" customHeight="false" outlineLevel="0" collapsed="false">
      <c r="A10" s="0" t="s">
        <v>11</v>
      </c>
      <c r="B10" s="8" t="n">
        <f aca="false">('1 Inputs'!$B$7*(1+'1 Inputs'!$B$8/12)^(3*12)-'1 Inputs'!$B$7*'2 The loan'!$B$5/12*((1+'1 Inputs'!$B$8/12)^(3*12)-1)/('1 Inputs'!$B$8/12))</f>
        <v>35830964.694072</v>
      </c>
      <c r="C10" s="2" t="s">
        <v>12</v>
      </c>
    </row>
    <row r="11" customFormat="false" ht="15" hidden="false" customHeight="false" outlineLevel="0" collapsed="false">
      <c r="A11" s="0" t="s">
        <v>13</v>
      </c>
      <c r="B11" s="8" t="n">
        <f aca="false">('1 Inputs'!$B$7*(1+'1 Inputs'!$B$8/12)^(5*12)-'1 Inputs'!$B$7*'2 The loan'!$B$5/12*((1+'1 Inputs'!$B$8/12)^(5*12)-1)/('1 Inputs'!$B$8/12))</f>
        <v>34762591.1797568</v>
      </c>
      <c r="C11" s="2" t="s">
        <v>14</v>
      </c>
    </row>
    <row r="12" customFormat="false" ht="15" hidden="false" customHeight="false" outlineLevel="0" collapsed="false">
      <c r="A12" s="0" t="s">
        <v>15</v>
      </c>
      <c r="B12" s="8" t="n">
        <f aca="false">('1 Inputs'!$B$7*(1+'1 Inputs'!$B$8/12)^(10*12)-'1 Inputs'!$B$7*'2 The loan'!$B$5/12*((1+'1 Inputs'!$B$8/12)^(10*12)-1)/('1 Inputs'!$B$8/12))</f>
        <v>31417150.539803</v>
      </c>
      <c r="C12" s="2" t="s">
        <v>16</v>
      </c>
    </row>
    <row r="14" customFormat="false" ht="15" hidden="false" customHeight="false" outlineLevel="0" collapsed="false">
      <c r="A14" s="3" t="s">
        <v>17</v>
      </c>
      <c r="B14" s="4"/>
      <c r="C14" s="4"/>
    </row>
    <row r="15" customFormat="false" ht="15" hidden="false" customHeight="false" outlineLevel="0" collapsed="false">
      <c r="A15" s="0" t="s">
        <v>18</v>
      </c>
      <c r="B15" s="9" t="n">
        <v>1.2</v>
      </c>
      <c r="C15" s="2" t="s">
        <v>19</v>
      </c>
    </row>
    <row r="16" customFormat="false" ht="15" hidden="false" customHeight="false" outlineLevel="0" collapsed="false">
      <c r="A16" s="0" t="s">
        <v>20</v>
      </c>
      <c r="B16" s="9" t="n">
        <v>1.1</v>
      </c>
      <c r="C16" s="2" t="s">
        <v>19</v>
      </c>
    </row>
    <row r="17" customFormat="false" ht="15" hidden="false" customHeight="false" outlineLevel="0" collapsed="false">
      <c r="A17" s="0" t="s">
        <v>21</v>
      </c>
      <c r="B17" s="9" t="n">
        <v>1.05</v>
      </c>
      <c r="C17" s="2" t="s">
        <v>19</v>
      </c>
    </row>
    <row r="18" customFormat="false" ht="15" hidden="false" customHeight="false" outlineLevel="0" collapsed="false">
      <c r="A18" s="0" t="s">
        <v>22</v>
      </c>
      <c r="B18" s="6" t="n">
        <v>0.085</v>
      </c>
      <c r="C18" s="2" t="s">
        <v>19</v>
      </c>
    </row>
    <row r="19" customFormat="false" ht="15" hidden="false" customHeight="false" outlineLevel="0" collapsed="false">
      <c r="A19" s="0" t="s">
        <v>23</v>
      </c>
      <c r="B19" s="6" t="n">
        <v>0.09</v>
      </c>
      <c r="C19" s="2" t="s">
        <v>24</v>
      </c>
    </row>
    <row r="20" customFormat="false" ht="15" hidden="false" customHeight="false" outlineLevel="0" collapsed="false">
      <c r="A20" s="0" t="s">
        <v>25</v>
      </c>
      <c r="B20" s="10" t="n">
        <v>1.25</v>
      </c>
      <c r="C20" s="2" t="s">
        <v>26</v>
      </c>
    </row>
    <row r="21" customFormat="false" ht="15" hidden="false" customHeight="false" outlineLevel="0" collapsed="false">
      <c r="A21" s="3" t="s">
        <v>27</v>
      </c>
      <c r="B21" s="4"/>
      <c r="C21" s="4"/>
    </row>
    <row r="22" customFormat="false" ht="15" hidden="false" customHeight="false" outlineLevel="0" collapsed="false">
      <c r="A22" s="0" t="s">
        <v>28</v>
      </c>
      <c r="B22" s="6" t="n">
        <v>0.09</v>
      </c>
      <c r="C22" s="2" t="s">
        <v>29</v>
      </c>
    </row>
    <row r="23" customFormat="false" ht="15" hidden="false" customHeight="false" outlineLevel="0" collapsed="false">
      <c r="A23" s="0" t="s">
        <v>30</v>
      </c>
      <c r="B23" s="9" t="n">
        <v>1.2</v>
      </c>
      <c r="C23" s="2" t="s">
        <v>29</v>
      </c>
    </row>
    <row r="24" customFormat="false" ht="15" hidden="false" customHeight="false" outlineLevel="0" collapsed="false">
      <c r="A24" s="0" t="s">
        <v>31</v>
      </c>
      <c r="B24" s="6" t="n">
        <v>0.0025</v>
      </c>
      <c r="C24" s="2" t="s">
        <v>32</v>
      </c>
    </row>
    <row r="26" customFormat="false" ht="15" hidden="false" customHeight="false" outlineLevel="0" collapsed="false">
      <c r="A26" s="3" t="s">
        <v>33</v>
      </c>
      <c r="B26" s="4"/>
      <c r="C26" s="4"/>
    </row>
    <row r="27" customFormat="false" ht="15" hidden="false" customHeight="false" outlineLevel="0" collapsed="false">
      <c r="A27" s="0" t="s">
        <v>34</v>
      </c>
      <c r="B27" s="6" t="n">
        <v>0.65</v>
      </c>
      <c r="C27" s="2" t="s">
        <v>29</v>
      </c>
    </row>
    <row r="28" customFormat="false" ht="15" hidden="false" customHeight="false" outlineLevel="0" collapsed="false">
      <c r="A28" s="0" t="s">
        <v>35</v>
      </c>
      <c r="B28" s="9" t="n">
        <v>1.25</v>
      </c>
      <c r="C28" s="2" t="s">
        <v>29</v>
      </c>
    </row>
    <row r="29" customFormat="false" ht="15" hidden="false" customHeight="false" outlineLevel="0" collapsed="false">
      <c r="A29" s="0" t="s">
        <v>36</v>
      </c>
      <c r="B29" s="6" t="n">
        <v>0.09</v>
      </c>
      <c r="C29" s="2" t="s">
        <v>29</v>
      </c>
    </row>
    <row r="30" customFormat="false" ht="15" hidden="false" customHeight="false" outlineLevel="0" collapsed="false">
      <c r="A30" s="0" t="s">
        <v>37</v>
      </c>
      <c r="B30" s="7" t="n">
        <v>30</v>
      </c>
      <c r="C30" s="2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3" min="2" style="0" width="18"/>
    <col collapsed="false" customWidth="true" hidden="false" outlineLevel="0" max="4" min="4" style="0" width="20"/>
    <col collapsed="false" customWidth="true" hidden="false" outlineLevel="0" max="5" min="5" style="0" width="42"/>
  </cols>
  <sheetData>
    <row r="1" customFormat="false" ht="16.15" hidden="false" customHeight="false" outlineLevel="0" collapsed="false">
      <c r="A1" s="1" t="s">
        <v>38</v>
      </c>
    </row>
    <row r="2" customFormat="false" ht="15" hidden="false" customHeight="false" outlineLevel="0" collapsed="false">
      <c r="A2" s="2" t="s">
        <v>39</v>
      </c>
    </row>
    <row r="5" customFormat="false" ht="15" hidden="false" customHeight="false" outlineLevel="0" collapsed="false">
      <c r="A5" s="0" t="s">
        <v>40</v>
      </c>
      <c r="B5" s="11" t="n">
        <f aca="false">(('1 Inputs'!$B$8/12)*(1+'1 Inputs'!$B$8/12)^('1 Inputs'!$B$9*12)/((1+'1 Inputs'!$B$8/12)^('1 Inputs'!$B$9*12)-1)*12)</f>
        <v>0.0746682846545181</v>
      </c>
      <c r="E5" s="2" t="s">
        <v>41</v>
      </c>
    </row>
    <row r="6" customFormat="false" ht="15" hidden="false" customHeight="false" outlineLevel="0" collapsed="false">
      <c r="A6" s="0" t="s">
        <v>42</v>
      </c>
      <c r="B6" s="8" t="n">
        <f aca="false">'1 Inputs'!$B$7*B5</f>
        <v>2777660.18914807</v>
      </c>
      <c r="E6" s="2" t="s">
        <v>43</v>
      </c>
    </row>
    <row r="7" customFormat="false" ht="15" hidden="false" customHeight="false" outlineLevel="0" collapsed="false">
      <c r="A7" s="0" t="s">
        <v>44</v>
      </c>
      <c r="B7" s="12" t="n">
        <f aca="false">'1 Inputs'!$B$6/B6</f>
        <v>1.39505905550977</v>
      </c>
      <c r="E7" s="2" t="s">
        <v>45</v>
      </c>
    </row>
    <row r="8" customFormat="false" ht="15" hidden="false" customHeight="false" outlineLevel="0" collapsed="false">
      <c r="A8" s="0" t="s">
        <v>46</v>
      </c>
      <c r="B8" s="13" t="n">
        <f aca="false">'1 Inputs'!$B$6/'1 Inputs'!$B$7</f>
        <v>0.104166666666667</v>
      </c>
      <c r="E8" s="2"/>
    </row>
    <row r="11" customFormat="false" ht="28.35" hidden="false" customHeight="false" outlineLevel="0" collapsed="false">
      <c r="A11" s="14" t="s">
        <v>47</v>
      </c>
      <c r="B11" s="14" t="s">
        <v>48</v>
      </c>
      <c r="C11" s="14" t="s">
        <v>49</v>
      </c>
      <c r="D11" s="14" t="s">
        <v>50</v>
      </c>
    </row>
    <row r="12" customFormat="false" ht="15" hidden="false" customHeight="false" outlineLevel="0" collapsed="false">
      <c r="A12" s="0" t="s">
        <v>51</v>
      </c>
      <c r="B12" s="8" t="n">
        <f aca="false">'1 Inputs'!$B$15*B6</f>
        <v>3333192.22697769</v>
      </c>
      <c r="C12" s="15" t="n">
        <f aca="false">B12/'1 Inputs'!$B$6-1</f>
        <v>-0.139821360779951</v>
      </c>
      <c r="D12" s="2" t="s">
        <v>52</v>
      </c>
    </row>
    <row r="13" customFormat="false" ht="15" hidden="false" customHeight="false" outlineLevel="0" collapsed="false">
      <c r="A13" s="0" t="s">
        <v>53</v>
      </c>
      <c r="B13" s="8" t="n">
        <f aca="false">'1 Inputs'!$B$18*'1 Inputs'!$B$7</f>
        <v>3162000</v>
      </c>
      <c r="C13" s="15" t="n">
        <f aca="false">B13/'1 Inputs'!$B$6-1</f>
        <v>-0.184</v>
      </c>
      <c r="D13" s="2" t="s">
        <v>54</v>
      </c>
    </row>
    <row r="14" customFormat="false" ht="15" hidden="false" customHeight="false" outlineLevel="0" collapsed="false">
      <c r="A14" s="0" t="s">
        <v>55</v>
      </c>
      <c r="B14" s="8" t="n">
        <f aca="false">'1 Inputs'!$B$16*B6</f>
        <v>3055426.20806288</v>
      </c>
      <c r="C14" s="15" t="n">
        <f aca="false">B14/'1 Inputs'!$B$6-1</f>
        <v>-0.211502914048289</v>
      </c>
      <c r="D14" s="2" t="s">
        <v>56</v>
      </c>
    </row>
    <row r="15" customFormat="false" ht="15" hidden="false" customHeight="false" outlineLevel="0" collapsed="false">
      <c r="A15" s="0" t="s">
        <v>57</v>
      </c>
      <c r="B15" s="8" t="n">
        <f aca="false">'1 Inputs'!$B$17*B6</f>
        <v>2916543.19860548</v>
      </c>
      <c r="C15" s="15" t="n">
        <f aca="false">B15/'1 Inputs'!$B$6-1</f>
        <v>-0.247343690682457</v>
      </c>
      <c r="D15" s="2" t="s">
        <v>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7" min="2" style="0" width="17"/>
  </cols>
  <sheetData>
    <row r="1" customFormat="false" ht="16.15" hidden="false" customHeight="false" outlineLevel="0" collapsed="false">
      <c r="A1" s="1" t="s">
        <v>59</v>
      </c>
    </row>
    <row r="2" customFormat="false" ht="15" hidden="false" customHeight="false" outlineLevel="0" collapsed="false">
      <c r="A2" s="2" t="s">
        <v>60</v>
      </c>
    </row>
    <row r="5" customFormat="false" ht="15" hidden="false" customHeight="false" outlineLevel="0" collapsed="false">
      <c r="A5" s="0" t="s">
        <v>61</v>
      </c>
      <c r="B5" s="8" t="n">
        <f aca="false">'1 Inputs'!$B$6*0.8</f>
        <v>3100000</v>
      </c>
      <c r="C5" s="2"/>
    </row>
    <row r="6" customFormat="false" ht="15" hidden="false" customHeight="false" outlineLevel="0" collapsed="false">
      <c r="A6" s="0" t="s">
        <v>62</v>
      </c>
      <c r="B6" s="8" t="n">
        <f aca="false">'1 Inputs'!$B$15*'2 The loan'!B6-B5</f>
        <v>233192.226977688</v>
      </c>
      <c r="C6" s="2" t="s">
        <v>63</v>
      </c>
    </row>
    <row r="7" customFormat="false" ht="15" hidden="false" customHeight="false" outlineLevel="0" collapsed="false">
      <c r="A7" s="0" t="s">
        <v>64</v>
      </c>
      <c r="B7" s="8" t="n">
        <f aca="false">'1 Inputs'!$B$7-B5/('1 Inputs'!$B$15*'2 The loan'!B5)</f>
        <v>2602535.42335771</v>
      </c>
      <c r="C7" s="2" t="s">
        <v>65</v>
      </c>
    </row>
    <row r="8" customFormat="false" ht="15" hidden="false" customHeight="false" outlineLevel="0" collapsed="false">
      <c r="A8" s="0" t="s">
        <v>66</v>
      </c>
      <c r="B8" s="16" t="n">
        <f aca="false">B7/B6</f>
        <v>11.1604724440782</v>
      </c>
      <c r="C8" s="2" t="s">
        <v>67</v>
      </c>
    </row>
    <row r="9" customFormat="false" ht="15" hidden="false" customHeight="false" outlineLevel="0" collapsed="false">
      <c r="A9" s="0" t="s">
        <v>68</v>
      </c>
      <c r="B9" s="16" t="n">
        <f aca="false">1/('1 Inputs'!$B$15*'2 The loan'!B5)</f>
        <v>11.1604724440782</v>
      </c>
      <c r="C9" s="2" t="s">
        <v>69</v>
      </c>
    </row>
    <row r="11" customFormat="false" ht="15" hidden="false" customHeight="false" outlineLevel="0" collapsed="false">
      <c r="A11" s="17" t="s">
        <v>70</v>
      </c>
    </row>
    <row r="12" customFormat="false" ht="15" hidden="false" customHeight="false" outlineLevel="0" collapsed="false">
      <c r="A12" s="14" t="s">
        <v>71</v>
      </c>
      <c r="B12" s="14" t="s">
        <v>72</v>
      </c>
      <c r="C12" s="14" t="s">
        <v>73</v>
      </c>
      <c r="D12" s="14" t="s">
        <v>74</v>
      </c>
    </row>
    <row r="13" customFormat="false" ht="15" hidden="false" customHeight="false" outlineLevel="0" collapsed="false">
      <c r="A13" s="15" t="n">
        <v>-0.15</v>
      </c>
      <c r="B13" s="8" t="n">
        <f aca="false">MAX(0,'1 Inputs'!$B$15*'2 The loan'!B6-'1 Inputs'!$B$6*(1+A13))</f>
        <v>39442.2269776883</v>
      </c>
      <c r="C13" s="8" t="n">
        <f aca="false">MAX(0,'1 Inputs'!$B$7-'1 Inputs'!$B$6*(1+A13)/('1 Inputs'!$B$15*'2 The loan'!B5))</f>
        <v>440193.887317568</v>
      </c>
      <c r="D13" s="16" t="n">
        <f aca="false">IF(B13=0,"",C13/B13)</f>
        <v>11.1604724440782</v>
      </c>
    </row>
    <row r="14" customFormat="false" ht="15" hidden="false" customHeight="false" outlineLevel="0" collapsed="false">
      <c r="A14" s="15" t="n">
        <v>-0.18</v>
      </c>
      <c r="B14" s="8" t="n">
        <f aca="false">MAX(0,'1 Inputs'!$B$15*'2 The loan'!B6-'1 Inputs'!$B$6*(1+A14))</f>
        <v>155692.226977688</v>
      </c>
      <c r="C14" s="8" t="n">
        <f aca="false">MAX(0,'1 Inputs'!$B$7-'1 Inputs'!$B$6*(1+A14)/('1 Inputs'!$B$15*'2 The loan'!B5))</f>
        <v>1737598.80894165</v>
      </c>
      <c r="D14" s="16" t="n">
        <f aca="false">IF(B14=0,"",C14/B14)</f>
        <v>11.1604724440782</v>
      </c>
    </row>
    <row r="15" customFormat="false" ht="15" hidden="false" customHeight="false" outlineLevel="0" collapsed="false">
      <c r="A15" s="15" t="n">
        <v>-0.2</v>
      </c>
      <c r="B15" s="8" t="n">
        <f aca="false">MAX(0,'1 Inputs'!$B$15*'2 The loan'!B6-'1 Inputs'!$B$6*(1+A15))</f>
        <v>233192.226977688</v>
      </c>
      <c r="C15" s="8" t="n">
        <f aca="false">MAX(0,'1 Inputs'!$B$7-'1 Inputs'!$B$6*(1+A15)/('1 Inputs'!$B$15*'2 The loan'!B5))</f>
        <v>2602535.42335771</v>
      </c>
      <c r="D15" s="16" t="n">
        <f aca="false">IF(B15=0,"",C15/B15)</f>
        <v>11.1604724440782</v>
      </c>
    </row>
    <row r="16" customFormat="false" ht="15" hidden="false" customHeight="false" outlineLevel="0" collapsed="false">
      <c r="A16" s="15" t="n">
        <v>-0.25</v>
      </c>
      <c r="B16" s="8" t="n">
        <f aca="false">MAX(0,'1 Inputs'!$B$15*'2 The loan'!B6-'1 Inputs'!$B$6*(1+A16))</f>
        <v>426942.226977688</v>
      </c>
      <c r="C16" s="8" t="n">
        <f aca="false">MAX(0,'1 Inputs'!$B$7-'1 Inputs'!$B$6*(1+A16)/('1 Inputs'!$B$15*'2 The loan'!B5))</f>
        <v>4764876.95939785</v>
      </c>
      <c r="D16" s="16" t="n">
        <f aca="false">IF(B16=0,"",C16/B16)</f>
        <v>11.1604724440782</v>
      </c>
    </row>
    <row r="17" customFormat="false" ht="15" hidden="false" customHeight="false" outlineLevel="0" collapsed="false">
      <c r="A17" s="15" t="n">
        <v>-0.3</v>
      </c>
      <c r="B17" s="8" t="n">
        <f aca="false">MAX(0,'1 Inputs'!$B$15*'2 The loan'!B6-'1 Inputs'!$B$6*(1+A17))</f>
        <v>620692.226977688</v>
      </c>
      <c r="C17" s="8" t="n">
        <f aca="false">MAX(0,'1 Inputs'!$B$7-'1 Inputs'!$B$6*(1+A17)/('1 Inputs'!$B$15*'2 The loan'!B5))</f>
        <v>6927218.495438</v>
      </c>
      <c r="D17" s="16" t="n">
        <f aca="false">IF(B17=0,"",C17/B17)</f>
        <v>11.1604724440782</v>
      </c>
    </row>
    <row r="19" customFormat="false" ht="15" hidden="false" customHeight="false" outlineLevel="0" collapsed="false">
      <c r="A19" s="17" t="s">
        <v>75</v>
      </c>
    </row>
    <row r="20" customFormat="false" ht="15" hidden="false" customHeight="false" outlineLevel="0" collapsed="false">
      <c r="A20" s="14" t="s">
        <v>76</v>
      </c>
      <c r="B20" s="14" t="s">
        <v>77</v>
      </c>
      <c r="C20" s="14" t="s">
        <v>78</v>
      </c>
      <c r="D20" s="14" t="s">
        <v>79</v>
      </c>
      <c r="E20" s="14" t="s">
        <v>80</v>
      </c>
      <c r="F20" s="14" t="s">
        <v>81</v>
      </c>
    </row>
    <row r="21" customFormat="false" ht="15" hidden="false" customHeight="false" outlineLevel="0" collapsed="false">
      <c r="A21" s="0" t="s">
        <v>82</v>
      </c>
      <c r="B21" s="11" t="n">
        <f aca="false">'1 Inputs'!$B$8</f>
        <v>0.0635</v>
      </c>
      <c r="C21" s="16" t="n">
        <f aca="false">1/(1.15*$B21)</f>
        <v>13.6939404313591</v>
      </c>
      <c r="D21" s="16" t="n">
        <f aca="false">1/(1.2*$B21)</f>
        <v>13.1233595800525</v>
      </c>
      <c r="E21" s="16" t="n">
        <f aca="false">1/(1.25*$B21)</f>
        <v>12.5984251968504</v>
      </c>
      <c r="F21" s="16" t="n">
        <f aca="false">1/(1.3*$B21)</f>
        <v>12.1138703815869</v>
      </c>
    </row>
    <row r="22" customFormat="false" ht="15" hidden="false" customHeight="false" outlineLevel="0" collapsed="false">
      <c r="A22" s="0" t="s">
        <v>83</v>
      </c>
      <c r="B22" s="11" t="n">
        <f aca="false">(('1 Inputs'!$B$8/12)*(1+'1 Inputs'!$B$8/12)^(30*12)/((1+'1 Inputs'!$B$8/12)^(30*12)-1)*12)</f>
        <v>0.0746682846545181</v>
      </c>
      <c r="C22" s="16" t="n">
        <f aca="false">1/(1.15*$B22)</f>
        <v>11.6457103764294</v>
      </c>
      <c r="D22" s="16" t="n">
        <f aca="false">1/(1.2*$B22)</f>
        <v>11.1604724440782</v>
      </c>
      <c r="E22" s="16" t="n">
        <f aca="false">1/(1.25*$B22)</f>
        <v>10.714053546315</v>
      </c>
      <c r="F22" s="16" t="n">
        <f aca="false">1/(1.3*$B22)</f>
        <v>10.3019745637645</v>
      </c>
    </row>
    <row r="23" customFormat="false" ht="15" hidden="false" customHeight="false" outlineLevel="0" collapsed="false">
      <c r="A23" s="0" t="s">
        <v>84</v>
      </c>
      <c r="B23" s="11" t="n">
        <f aca="false">(('1 Inputs'!$B$8/12)*(1+'1 Inputs'!$B$8/12)^(25*12)/((1+'1 Inputs'!$B$8/12)^(25*12)-1)*12)</f>
        <v>0.0799037153123838</v>
      </c>
      <c r="C23" s="16" t="n">
        <f aca="false">1/(1.15*$B23)</f>
        <v>10.8826631401523</v>
      </c>
      <c r="D23" s="16" t="n">
        <f aca="false">1/(1.2*$B23)</f>
        <v>10.429218842646</v>
      </c>
      <c r="E23" s="16" t="n">
        <f aca="false">1/(1.25*$B23)</f>
        <v>10.0120500889401</v>
      </c>
      <c r="F23" s="16" t="n">
        <f aca="false">1/(1.3*$B23)</f>
        <v>9.62697123936552</v>
      </c>
    </row>
    <row r="24" customFormat="false" ht="15" hidden="false" customHeight="false" outlineLevel="0" collapsed="false">
      <c r="A24" s="0" t="s">
        <v>85</v>
      </c>
      <c r="B24" s="11" t="n">
        <f aca="false">(('1 Inputs'!$B$8/12)*(1+'1 Inputs'!$B$8/12)^(20*12)/((1+'1 Inputs'!$B$8/12)^(20*12)-1)*12)</f>
        <v>0.088412225215301</v>
      </c>
      <c r="C24" s="16" t="n">
        <f aca="false">1/(1.15*$B24)</f>
        <v>9.83535043116203</v>
      </c>
      <c r="D24" s="16" t="n">
        <f aca="false">1/(1.2*$B24)</f>
        <v>9.42554416319694</v>
      </c>
      <c r="E24" s="16" t="n">
        <f aca="false">1/(1.25*$B24)</f>
        <v>9.04852239666906</v>
      </c>
      <c r="F24" s="16" t="n">
        <f aca="false">1/(1.3*$B24)</f>
        <v>8.70050230448948</v>
      </c>
    </row>
    <row r="26" customFormat="false" ht="15" hidden="false" customHeight="false" outlineLevel="0" collapsed="false">
      <c r="A26" s="2" t="s">
        <v>86</v>
      </c>
    </row>
    <row r="27" customFormat="false" ht="15" hidden="false" customHeight="false" outlineLevel="0" collapsed="false">
      <c r="A27" s="2" t="s">
        <v>87</v>
      </c>
    </row>
    <row r="28" customFormat="false" ht="15" hidden="false" customHeight="false" outlineLevel="0" collapsed="false">
      <c r="A28" s="2" t="s">
        <v>88</v>
      </c>
    </row>
    <row r="29" customFormat="false" ht="15" hidden="false" customHeight="false" outlineLevel="0" collapsed="false">
      <c r="A29" s="2" t="s">
        <v>89</v>
      </c>
    </row>
    <row r="30" customFormat="false" ht="15" hidden="false" customHeight="false" outlineLevel="0" collapsed="false">
      <c r="A30" s="2" t="s">
        <v>90</v>
      </c>
    </row>
    <row r="31" customFormat="false" ht="15" hidden="false" customHeight="false" outlineLevel="0" collapsed="false">
      <c r="A31" s="2" t="s">
        <v>91</v>
      </c>
    </row>
    <row r="32" customFormat="false" ht="15" hidden="false" customHeight="false" outlineLevel="0" collapsed="false">
      <c r="A32" s="2" t="s">
        <v>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20"/>
    <col collapsed="false" customWidth="true" hidden="false" outlineLevel="0" max="5" min="5" style="0" width="40"/>
  </cols>
  <sheetData>
    <row r="1" customFormat="false" ht="16.15" hidden="false" customHeight="false" outlineLevel="0" collapsed="false">
      <c r="A1" s="1" t="s">
        <v>93</v>
      </c>
    </row>
    <row r="2" customFormat="false" ht="15" hidden="false" customHeight="false" outlineLevel="0" collapsed="false">
      <c r="A2" s="2" t="s">
        <v>94</v>
      </c>
    </row>
    <row r="5" customFormat="false" ht="15" hidden="false" customHeight="false" outlineLevel="0" collapsed="false">
      <c r="A5" s="18" t="s">
        <v>95</v>
      </c>
      <c r="B5" s="15" t="n">
        <f aca="false">'1 Inputs'!$B$15*'2 The loan'!B6/'1 Inputs'!$B$6-1</f>
        <v>-0.139821360779951</v>
      </c>
      <c r="D5" s="2"/>
    </row>
    <row r="6" customFormat="false" ht="15" hidden="false" customHeight="false" outlineLevel="0" collapsed="false">
      <c r="A6" s="18" t="s">
        <v>96</v>
      </c>
      <c r="B6" s="15" t="n">
        <f aca="false">'1 Inputs'!$B$18*'1 Inputs'!$B$7/'1 Inputs'!$B$6-1</f>
        <v>-0.184</v>
      </c>
      <c r="D6" s="2"/>
    </row>
    <row r="7" customFormat="false" ht="15" hidden="false" customHeight="false" outlineLevel="0" collapsed="false">
      <c r="A7" s="17" t="s">
        <v>97</v>
      </c>
      <c r="B7" s="19" t="n">
        <f aca="false">(B5-B6)*100</f>
        <v>4.41786392200486</v>
      </c>
      <c r="D7" s="2" t="s">
        <v>98</v>
      </c>
    </row>
    <row r="8" customFormat="false" ht="15" hidden="false" customHeight="false" outlineLevel="0" collapsed="false">
      <c r="A8" s="18" t="s">
        <v>99</v>
      </c>
      <c r="B8" s="8" t="n">
        <f aca="false">'1 Inputs'!$B$7-'1 Inputs'!$B$18*'1 Inputs'!$B$7/('1 Inputs'!$B$15*'2 The loan'!B5)</f>
        <v>1910586.13182487</v>
      </c>
      <c r="D8" s="2" t="s">
        <v>100</v>
      </c>
    </row>
    <row r="11" customFormat="false" ht="15" hidden="false" customHeight="false" outlineLevel="0" collapsed="false">
      <c r="A11" s="17" t="s">
        <v>101</v>
      </c>
    </row>
    <row r="12" customFormat="false" ht="28.35" hidden="false" customHeight="false" outlineLevel="0" collapsed="false">
      <c r="A12" s="14" t="s">
        <v>102</v>
      </c>
      <c r="B12" s="14" t="s">
        <v>103</v>
      </c>
      <c r="C12" s="14" t="s">
        <v>104</v>
      </c>
    </row>
    <row r="13" customFormat="false" ht="15" hidden="false" customHeight="false" outlineLevel="0" collapsed="false">
      <c r="A13" s="13" t="n">
        <v>0.08</v>
      </c>
      <c r="B13" s="15" t="n">
        <f aca="false">A13*'1 Inputs'!$B$7/'1 Inputs'!$B$6-1</f>
        <v>-0.232</v>
      </c>
      <c r="C13" s="19" t="n">
        <f aca="false">($B$5-B13)*100</f>
        <v>9.21786392200485</v>
      </c>
    </row>
    <row r="14" customFormat="false" ht="15" hidden="false" customHeight="false" outlineLevel="0" collapsed="false">
      <c r="A14" s="13" t="n">
        <v>0.0825</v>
      </c>
      <c r="B14" s="15" t="n">
        <f aca="false">A14*'1 Inputs'!$B$7/'1 Inputs'!$B$6-1</f>
        <v>-0.208</v>
      </c>
      <c r="C14" s="19" t="n">
        <f aca="false">($B$5-B14)*100</f>
        <v>6.81786392200485</v>
      </c>
    </row>
    <row r="15" customFormat="false" ht="15" hidden="false" customHeight="false" outlineLevel="0" collapsed="false">
      <c r="A15" s="13" t="n">
        <v>0.085</v>
      </c>
      <c r="B15" s="15" t="n">
        <f aca="false">A15*'1 Inputs'!$B$7/'1 Inputs'!$B$6-1</f>
        <v>-0.184</v>
      </c>
      <c r="C15" s="19" t="n">
        <f aca="false">($B$5-B15)*100</f>
        <v>4.41786392200486</v>
      </c>
    </row>
    <row r="16" customFormat="false" ht="15" hidden="false" customHeight="false" outlineLevel="0" collapsed="false">
      <c r="A16" s="13" t="n">
        <v>0.0875</v>
      </c>
      <c r="B16" s="15" t="n">
        <f aca="false">A16*'1 Inputs'!$B$7/'1 Inputs'!$B$6-1</f>
        <v>-0.16</v>
      </c>
      <c r="C16" s="19" t="n">
        <f aca="false">($B$5-B16)*100</f>
        <v>2.01786392200486</v>
      </c>
    </row>
    <row r="17" customFormat="false" ht="15" hidden="false" customHeight="false" outlineLevel="0" collapsed="false">
      <c r="A17" s="13" t="n">
        <v>0.09</v>
      </c>
      <c r="B17" s="15" t="n">
        <f aca="false">A17*'1 Inputs'!$B$7/'1 Inputs'!$B$6-1</f>
        <v>-0.136</v>
      </c>
      <c r="C17" s="19" t="n">
        <f aca="false">($B$5-B17)*100</f>
        <v>-0.382136077995143</v>
      </c>
    </row>
    <row r="19" customFormat="false" ht="15" hidden="false" customHeight="false" outlineLevel="0" collapsed="false">
      <c r="A19" s="2" t="s">
        <v>105</v>
      </c>
    </row>
    <row r="20" customFormat="false" ht="15" hidden="false" customHeight="false" outlineLevel="0" collapsed="false">
      <c r="A20" s="2" t="s">
        <v>106</v>
      </c>
    </row>
    <row r="21" customFormat="false" ht="15" hidden="false" customHeight="false" outlineLevel="0" collapsed="false">
      <c r="A21" s="2" t="s">
        <v>107</v>
      </c>
    </row>
    <row r="22" customFormat="false" ht="15" hidden="false" customHeight="false" outlineLevel="0" collapsed="false">
      <c r="A22" s="2" t="s">
        <v>108</v>
      </c>
    </row>
    <row r="23" customFormat="false" ht="15" hidden="false" customHeight="false" outlineLevel="0" collapsed="false">
      <c r="A23" s="2" t="s">
        <v>109</v>
      </c>
    </row>
    <row r="24" customFormat="false" ht="15" hidden="false" customHeight="false" outlineLevel="0" collapsed="false">
      <c r="A24" s="2" t="s">
        <v>110</v>
      </c>
    </row>
    <row r="25" customFormat="false" ht="15" hidden="false" customHeight="false" outlineLevel="0" collapsed="false">
      <c r="A25" s="2" t="s">
        <v>111</v>
      </c>
    </row>
    <row r="26" customFormat="false" ht="15" hidden="false" customHeight="false" outlineLevel="0" collapsed="false">
      <c r="A26" s="2" t="s">
        <v>112</v>
      </c>
    </row>
    <row r="27" customFormat="false" ht="15" hidden="false" customHeight="false" outlineLevel="0" collapsed="false">
      <c r="A27" s="2" t="s">
        <v>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6"/>
    <col collapsed="false" customWidth="true" hidden="false" outlineLevel="0" max="4" min="3" style="0" width="18"/>
    <col collapsed="false" customWidth="true" hidden="false" outlineLevel="0" max="5" min="5" style="0" width="14"/>
    <col collapsed="false" customWidth="true" hidden="false" outlineLevel="0" max="6" min="6" style="0" width="44"/>
  </cols>
  <sheetData>
    <row r="1" customFormat="false" ht="16.15" hidden="false" customHeight="false" outlineLevel="0" collapsed="false">
      <c r="A1" s="1" t="s">
        <v>114</v>
      </c>
    </row>
    <row r="2" customFormat="false" ht="15" hidden="false" customHeight="false" outlineLevel="0" collapsed="false">
      <c r="A2" s="2" t="s">
        <v>115</v>
      </c>
    </row>
    <row r="5" customFormat="false" ht="15" hidden="false" customHeight="false" outlineLevel="0" collapsed="false">
      <c r="A5" s="14" t="s">
        <v>71</v>
      </c>
      <c r="B5" s="14" t="s">
        <v>116</v>
      </c>
      <c r="C5" s="14" t="s">
        <v>117</v>
      </c>
      <c r="D5" s="14" t="s">
        <v>118</v>
      </c>
      <c r="E5" s="14" t="s">
        <v>119</v>
      </c>
      <c r="F5" s="14" t="s">
        <v>50</v>
      </c>
    </row>
    <row r="6" customFormat="false" ht="15" hidden="false" customHeight="false" outlineLevel="0" collapsed="false">
      <c r="A6" s="15" t="n">
        <v>-0.18</v>
      </c>
      <c r="B6" s="8" t="n">
        <f aca="false">'1 Inputs'!$B$6*(1+A6)</f>
        <v>3177500</v>
      </c>
      <c r="C6" s="8" t="n">
        <f aca="false">MAX(0,'1 Inputs'!$B$7-B6/'1 Inputs'!$B$19)</f>
        <v>1894444.44444444</v>
      </c>
      <c r="D6" s="8" t="n">
        <f aca="false">MAX(0,'1 Inputs'!$B$7-B6/'1 Inputs'!$B$18)</f>
        <v>0</v>
      </c>
      <c r="E6" s="16" t="str">
        <f aca="false">IF(D6=0,"no breach",C6/D6)</f>
        <v>no breach</v>
      </c>
      <c r="F6" s="2" t="s">
        <v>120</v>
      </c>
    </row>
    <row r="7" customFormat="false" ht="15" hidden="false" customHeight="false" outlineLevel="0" collapsed="false">
      <c r="A7" s="15" t="n">
        <v>-0.2</v>
      </c>
      <c r="B7" s="8" t="n">
        <f aca="false">'1 Inputs'!$B$6*(1+A7)</f>
        <v>3100000</v>
      </c>
      <c r="C7" s="8" t="n">
        <f aca="false">MAX(0,'1 Inputs'!$B$7-B7/'1 Inputs'!$B$19)</f>
        <v>2755555.55555555</v>
      </c>
      <c r="D7" s="8" t="n">
        <f aca="false">MAX(0,'1 Inputs'!$B$7-B7/'1 Inputs'!$B$18)</f>
        <v>729411.764705882</v>
      </c>
      <c r="E7" s="16" t="n">
        <f aca="false">IF(D7=0,"no breach",C7/D7)</f>
        <v>3.77777777777778</v>
      </c>
      <c r="F7" s="2" t="s">
        <v>121</v>
      </c>
    </row>
    <row r="8" customFormat="false" ht="15" hidden="false" customHeight="false" outlineLevel="0" collapsed="false">
      <c r="A8" s="15" t="n">
        <v>-0.22</v>
      </c>
      <c r="B8" s="8" t="n">
        <f aca="false">'1 Inputs'!$B$6*(1+A8)</f>
        <v>3022500</v>
      </c>
      <c r="C8" s="8" t="n">
        <f aca="false">MAX(0,'1 Inputs'!$B$7-B8/'1 Inputs'!$B$19)</f>
        <v>3616666.66666666</v>
      </c>
      <c r="D8" s="8" t="n">
        <f aca="false">MAX(0,'1 Inputs'!$B$7-B8/'1 Inputs'!$B$18)</f>
        <v>1641176.47058824</v>
      </c>
      <c r="E8" s="16" t="n">
        <f aca="false">IF(D8=0,"no breach",C8/D8)</f>
        <v>2.2037037037037</v>
      </c>
      <c r="F8" s="2"/>
    </row>
    <row r="9" customFormat="false" ht="15" hidden="false" customHeight="false" outlineLevel="0" collapsed="false">
      <c r="A9" s="15" t="n">
        <v>-0.25</v>
      </c>
      <c r="B9" s="8" t="n">
        <f aca="false">'1 Inputs'!$B$6*(1+A9)</f>
        <v>2906250</v>
      </c>
      <c r="C9" s="8" t="n">
        <f aca="false">MAX(0,'1 Inputs'!$B$7-B9/'1 Inputs'!$B$19)</f>
        <v>4908333.33333333</v>
      </c>
      <c r="D9" s="8" t="n">
        <f aca="false">MAX(0,'1 Inputs'!$B$7-B9/'1 Inputs'!$B$18)</f>
        <v>3008823.52941177</v>
      </c>
      <c r="E9" s="16" t="n">
        <f aca="false">IF(D9=0,"no breach",C9/D9)</f>
        <v>1.63131313131313</v>
      </c>
      <c r="F9" s="2"/>
    </row>
    <row r="10" customFormat="false" ht="15" hidden="false" customHeight="false" outlineLevel="0" collapsed="false">
      <c r="A10" s="15" t="n">
        <v>-0.3</v>
      </c>
      <c r="B10" s="8" t="n">
        <f aca="false">'1 Inputs'!$B$6*(1+A10)</f>
        <v>2712500</v>
      </c>
      <c r="C10" s="8" t="n">
        <f aca="false">MAX(0,'1 Inputs'!$B$7-B10/'1 Inputs'!$B$19)</f>
        <v>7061111.11111111</v>
      </c>
      <c r="D10" s="8" t="n">
        <f aca="false">MAX(0,'1 Inputs'!$B$7-B10/'1 Inputs'!$B$18)</f>
        <v>5288235.29411765</v>
      </c>
      <c r="E10" s="16" t="n">
        <f aca="false">IF(D10=0,"no breach",C10/D10)</f>
        <v>1.33524904214559</v>
      </c>
      <c r="F10" s="2"/>
    </row>
    <row r="12" customFormat="false" ht="15" hidden="false" customHeight="false" outlineLevel="0" collapsed="false">
      <c r="A12" s="18" t="s">
        <v>122</v>
      </c>
      <c r="C12" s="13" t="n">
        <f aca="false">'1 Inputs'!$B$6*0.82/'1 Inputs'!$B$7</f>
        <v>0.0854166666666667</v>
      </c>
      <c r="F12" s="2" t="s">
        <v>123</v>
      </c>
    </row>
    <row r="13" customFormat="false" ht="15" hidden="false" customHeight="false" outlineLevel="0" collapsed="false">
      <c r="A13" s="18" t="s">
        <v>124</v>
      </c>
      <c r="C13" s="8" t="n">
        <f aca="false">D7</f>
        <v>729411.764705882</v>
      </c>
      <c r="F13" s="2"/>
    </row>
    <row r="14" customFormat="false" ht="15" hidden="false" customHeight="false" outlineLevel="0" collapsed="false">
      <c r="A14" s="18" t="s">
        <v>125</v>
      </c>
      <c r="C14" s="8" t="n">
        <f aca="false">C7</f>
        <v>2755555.55555555</v>
      </c>
      <c r="F14" s="2"/>
    </row>
    <row r="15" customFormat="false" ht="15" hidden="false" customHeight="false" outlineLevel="0" collapsed="false">
      <c r="A15" s="17" t="s">
        <v>126</v>
      </c>
      <c r="C15" s="16" t="n">
        <f aca="false">C14/C13</f>
        <v>3.77777777777778</v>
      </c>
      <c r="F15" s="2"/>
    </row>
    <row r="18" customFormat="false" ht="15" hidden="false" customHeight="false" outlineLevel="0" collapsed="false">
      <c r="A18" s="2" t="s">
        <v>127</v>
      </c>
    </row>
    <row r="19" customFormat="false" ht="15" hidden="false" customHeight="false" outlineLevel="0" collapsed="false">
      <c r="A19" s="2" t="s">
        <v>128</v>
      </c>
    </row>
    <row r="20" customFormat="false" ht="15" hidden="false" customHeight="false" outlineLevel="0" collapsed="false">
      <c r="A20" s="2" t="s">
        <v>129</v>
      </c>
    </row>
    <row r="21" customFormat="false" ht="15" hidden="false" customHeight="false" outlineLevel="0" collapsed="false">
      <c r="A21" s="2" t="s">
        <v>130</v>
      </c>
    </row>
    <row r="22" customFormat="false" ht="15" hidden="false" customHeight="false" outlineLevel="0" collapsed="false">
      <c r="A22" s="2" t="s">
        <v>131</v>
      </c>
    </row>
    <row r="23" customFormat="false" ht="15" hidden="false" customHeight="false" outlineLevel="0" collapsed="false">
      <c r="A23" s="2" t="s">
        <v>132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20"/>
    <col collapsed="false" customWidth="true" hidden="false" outlineLevel="0" max="7" min="7" style="0" width="42"/>
  </cols>
  <sheetData>
    <row r="1" customFormat="false" ht="16.15" hidden="false" customHeight="false" outlineLevel="0" collapsed="false">
      <c r="A1" s="1" t="s">
        <v>133</v>
      </c>
    </row>
    <row r="2" customFormat="false" ht="15" hidden="false" customHeight="false" outlineLevel="0" collapsed="false">
      <c r="A2" s="2" t="s">
        <v>134</v>
      </c>
    </row>
    <row r="4" customFormat="false" ht="15" hidden="false" customHeight="false" outlineLevel="0" collapsed="false">
      <c r="A4" s="17" t="s">
        <v>135</v>
      </c>
      <c r="B4" s="8" t="n">
        <f aca="false">'2 The loan'!B6</f>
        <v>2777660.18914807</v>
      </c>
      <c r="D4" s="2" t="s">
        <v>136</v>
      </c>
    </row>
    <row r="5" customFormat="false" ht="15" hidden="false" customHeight="false" outlineLevel="0" collapsed="false">
      <c r="A5" s="17" t="s">
        <v>137</v>
      </c>
      <c r="B5" s="11" t="n">
        <f aca="false">(('1 Inputs'!$B$8/12)*(1+'1 Inputs'!$B$8/12)^(('1 Inputs'!$B$9-3)*12)/((1+'1 Inputs'!$B$8/12)^(('1 Inputs'!$B$9-3)*12)-1)*12)</f>
        <v>0.0775212225756127</v>
      </c>
      <c r="D5" s="2" t="s">
        <v>138</v>
      </c>
    </row>
    <row r="7" customFormat="false" ht="15" hidden="false" customHeight="false" outlineLevel="0" collapsed="false">
      <c r="A7" s="14" t="s">
        <v>71</v>
      </c>
      <c r="B7" s="14" t="s">
        <v>116</v>
      </c>
      <c r="C7" s="14" t="s">
        <v>139</v>
      </c>
      <c r="D7" s="14" t="s">
        <v>140</v>
      </c>
      <c r="E7" s="14" t="s">
        <v>141</v>
      </c>
      <c r="F7" s="14" t="s">
        <v>142</v>
      </c>
    </row>
    <row r="8" customFormat="false" ht="15" hidden="false" customHeight="false" outlineLevel="0" collapsed="false">
      <c r="A8" s="15" t="n">
        <v>0</v>
      </c>
      <c r="B8" s="8" t="n">
        <f aca="false">'1 Inputs'!$B$6*(1+A8)</f>
        <v>3875000</v>
      </c>
      <c r="C8" s="13" t="n">
        <f aca="false">B8/'1 Inputs'!$B$10</f>
        <v>0.108146683548297</v>
      </c>
      <c r="D8" s="12" t="n">
        <f aca="false">B8/$B$4</f>
        <v>1.39505905550977</v>
      </c>
      <c r="E8" s="0" t="str">
        <f aca="false">IF(F8=0,"both pass",IF(MAX(0,'1 Inputs'!$B$10-B8/('1 Inputs'!$B$23*$B$5))&gt;=MAX(0,'1 Inputs'!$B$10-B8/'1 Inputs'!$B$22),"coverage","debt yield"))</f>
        <v>both pass</v>
      </c>
      <c r="F8" s="8" t="n">
        <f aca="false">MAX(0,'1 Inputs'!$B$10-B8/'1 Inputs'!$B$22,'1 Inputs'!$B$10-B8/('1 Inputs'!$B$23*$B$5))</f>
        <v>0</v>
      </c>
    </row>
    <row r="9" customFormat="false" ht="15" hidden="false" customHeight="false" outlineLevel="0" collapsed="false">
      <c r="A9" s="15" t="n">
        <v>-0.05</v>
      </c>
      <c r="B9" s="8" t="n">
        <f aca="false">'1 Inputs'!$B$6*(1+A9)</f>
        <v>3681250</v>
      </c>
      <c r="C9" s="13" t="n">
        <f aca="false">B9/'1 Inputs'!$B$10</f>
        <v>0.102739349370882</v>
      </c>
      <c r="D9" s="12" t="n">
        <f aca="false">B9/$B$4</f>
        <v>1.32530610273428</v>
      </c>
      <c r="E9" s="0" t="str">
        <f aca="false">IF(F9=0,"both pass",IF(MAX(0,'1 Inputs'!$B$10-B9/('1 Inputs'!$B$23*$B$5))&gt;=MAX(0,'1 Inputs'!$B$10-B9/'1 Inputs'!$B$22),"coverage","debt yield"))</f>
        <v>both pass</v>
      </c>
      <c r="F9" s="8" t="n">
        <f aca="false">MAX(0,'1 Inputs'!$B$10-B9/'1 Inputs'!$B$22,'1 Inputs'!$B$10-B9/('1 Inputs'!$B$23*$B$5))</f>
        <v>0</v>
      </c>
    </row>
    <row r="10" customFormat="false" ht="15" hidden="false" customHeight="false" outlineLevel="0" collapsed="false">
      <c r="A10" s="15" t="n">
        <v>-0.1</v>
      </c>
      <c r="B10" s="8" t="n">
        <f aca="false">'1 Inputs'!$B$6*(1+A10)</f>
        <v>3487500</v>
      </c>
      <c r="C10" s="13" t="n">
        <f aca="false">B10/'1 Inputs'!$B$10</f>
        <v>0.0973320151934672</v>
      </c>
      <c r="D10" s="12" t="n">
        <f aca="false">B10/$B$4</f>
        <v>1.25555314995879</v>
      </c>
      <c r="E10" s="0" t="str">
        <f aca="false">IF(F10=0,"both pass",IF(MAX(0,'1 Inputs'!$B$10-B10/('1 Inputs'!$B$23*$B$5))&gt;=MAX(0,'1 Inputs'!$B$10-B10/'1 Inputs'!$B$22),"coverage","debt yield"))</f>
        <v>both pass</v>
      </c>
      <c r="F10" s="8" t="n">
        <f aca="false">MAX(0,'1 Inputs'!$B$10-B10/'1 Inputs'!$B$22,'1 Inputs'!$B$10-B10/('1 Inputs'!$B$23*$B$5))</f>
        <v>0</v>
      </c>
    </row>
    <row r="11" customFormat="false" ht="15" hidden="false" customHeight="false" outlineLevel="0" collapsed="false">
      <c r="A11" s="15" t="n">
        <v>-0.15</v>
      </c>
      <c r="B11" s="8" t="n">
        <f aca="false">'1 Inputs'!$B$6*(1+A11)</f>
        <v>3293750</v>
      </c>
      <c r="C11" s="13" t="n">
        <f aca="false">B11/'1 Inputs'!$B$10</f>
        <v>0.0919246810160523</v>
      </c>
      <c r="D11" s="12" t="n">
        <f aca="false">B11/$B$4</f>
        <v>1.1858001971833</v>
      </c>
      <c r="E11" s="0" t="str">
        <f aca="false">IF(F11=0,"both pass",IF(MAX(0,'1 Inputs'!$B$10-B11/('1 Inputs'!$B$23*$B$5))&gt;=MAX(0,'1 Inputs'!$B$10-B11/'1 Inputs'!$B$22),"coverage","debt yield"))</f>
        <v>coverage</v>
      </c>
      <c r="F11" s="8" t="n">
        <f aca="false">MAX(0,'1 Inputs'!$B$10-B11/'1 Inputs'!$B$22,'1 Inputs'!$B$10-B11/('1 Inputs'!$B$23*$B$5))</f>
        <v>423993.861156501</v>
      </c>
    </row>
    <row r="12" customFormat="false" ht="15" hidden="false" customHeight="false" outlineLevel="0" collapsed="false">
      <c r="A12" s="15" t="n">
        <v>-0.2</v>
      </c>
      <c r="B12" s="8" t="n">
        <f aca="false">'1 Inputs'!$B$6*(1+A12)</f>
        <v>3100000</v>
      </c>
      <c r="C12" s="13" t="n">
        <f aca="false">B12/'1 Inputs'!$B$10</f>
        <v>0.0865173468386375</v>
      </c>
      <c r="D12" s="12" t="n">
        <f aca="false">B12/$B$4</f>
        <v>1.11604724440782</v>
      </c>
      <c r="E12" s="0" t="str">
        <f aca="false">IF(F12=0,"both pass",IF(MAX(0,'1 Inputs'!$B$10-B12/('1 Inputs'!$B$23*$B$5))&gt;=MAX(0,'1 Inputs'!$B$10-B12/'1 Inputs'!$B$22),"coverage","debt yield"))</f>
        <v>coverage</v>
      </c>
      <c r="F12" s="8" t="n">
        <f aca="false">MAX(0,'1 Inputs'!$B$10-B12/'1 Inputs'!$B$22,'1 Inputs'!$B$10-B12/('1 Inputs'!$B$23*$B$5))</f>
        <v>2506756.851328</v>
      </c>
    </row>
    <row r="13" customFormat="false" ht="15" hidden="false" customHeight="false" outlineLevel="0" collapsed="false">
      <c r="A13" s="15" t="n">
        <v>-0.25</v>
      </c>
      <c r="B13" s="8" t="n">
        <f aca="false">'1 Inputs'!$B$6*(1+A13)</f>
        <v>2906250</v>
      </c>
      <c r="C13" s="13" t="n">
        <f aca="false">B13/'1 Inputs'!$B$10</f>
        <v>0.0811100126612227</v>
      </c>
      <c r="D13" s="12" t="n">
        <f aca="false">B13/$B$4</f>
        <v>1.04629429163233</v>
      </c>
      <c r="E13" s="0" t="str">
        <f aca="false">IF(F13=0,"both pass",IF(MAX(0,'1 Inputs'!$B$10-B13/('1 Inputs'!$B$23*$B$5))&gt;=MAX(0,'1 Inputs'!$B$10-B13/'1 Inputs'!$B$22),"coverage","debt yield"))</f>
        <v>coverage</v>
      </c>
      <c r="F13" s="8" t="n">
        <f aca="false">MAX(0,'1 Inputs'!$B$10-B13/'1 Inputs'!$B$22,'1 Inputs'!$B$10-B13/('1 Inputs'!$B$23*$B$5))</f>
        <v>4589519.8414995</v>
      </c>
    </row>
    <row r="15" customFormat="false" ht="15" hidden="false" customHeight="false" outlineLevel="0" collapsed="false">
      <c r="A15" s="18" t="s">
        <v>143</v>
      </c>
      <c r="C15" s="8" t="n">
        <f aca="false">'1 Inputs'!$B$24*'1 Inputs'!$B$10</f>
        <v>89577.41173518</v>
      </c>
      <c r="F15" s="2" t="s">
        <v>144</v>
      </c>
    </row>
    <row r="16" customFormat="false" ht="15" hidden="false" customHeight="false" outlineLevel="0" collapsed="false">
      <c r="A16" s="18" t="s">
        <v>145</v>
      </c>
      <c r="C16" s="8" t="n">
        <f aca="false">F11</f>
        <v>423993.861156501</v>
      </c>
      <c r="F16" s="2"/>
    </row>
    <row r="17" customFormat="false" ht="15" hidden="false" customHeight="false" outlineLevel="0" collapsed="false">
      <c r="A17" s="18" t="s">
        <v>146</v>
      </c>
      <c r="C17" s="8" t="n">
        <v>2000000</v>
      </c>
      <c r="F17" s="2" t="s">
        <v>147</v>
      </c>
    </row>
    <row r="18" customFormat="false" ht="15" hidden="false" customHeight="false" outlineLevel="0" collapsed="false">
      <c r="A18" s="18" t="s">
        <v>148</v>
      </c>
      <c r="C18" s="8" t="n">
        <f aca="false">'1 Inputs'!$B$10-MIN('1 Inputs'!$B$6*0.85/('1 Inputs'!$B$28*((0.08/12)*(1+0.08/12)^('1 Inputs'!$B$30*12)/((1+0.08/12)^('1 Inputs'!$B$30*12)-1)*12)),'1 Inputs'!$B$6*0.85/'1 Inputs'!$B$29,'1 Inputs'!$B$27*'1 Inputs'!$B$5*0.85)</f>
        <v>5905380.77382262</v>
      </c>
      <c r="F18" s="2" t="s">
        <v>149</v>
      </c>
    </row>
    <row r="19" customFormat="false" ht="15" hidden="false" customHeight="false" outlineLevel="0" collapsed="false">
      <c r="A19" s="17" t="s">
        <v>150</v>
      </c>
      <c r="C19" s="16" t="n">
        <f aca="false">C18/C16</f>
        <v>13.9279864989434</v>
      </c>
      <c r="F19" s="2" t="s">
        <v>151</v>
      </c>
    </row>
    <row r="21" customFormat="false" ht="15" hidden="false" customHeight="false" outlineLevel="0" collapsed="false">
      <c r="A21" s="2" t="s">
        <v>152</v>
      </c>
    </row>
    <row r="22" customFormat="false" ht="15" hidden="false" customHeight="false" outlineLevel="0" collapsed="false">
      <c r="A22" s="2" t="s">
        <v>153</v>
      </c>
    </row>
    <row r="23" customFormat="false" ht="15" hidden="false" customHeight="false" outlineLevel="0" collapsed="false">
      <c r="A23" s="2" t="s">
        <v>154</v>
      </c>
    </row>
    <row r="24" customFormat="false" ht="15" hidden="false" customHeight="false" outlineLevel="0" collapsed="false">
      <c r="A24" s="2" t="s">
        <v>155</v>
      </c>
    </row>
    <row r="25" customFormat="false" ht="15" hidden="false" customHeight="false" outlineLevel="0" collapsed="false">
      <c r="A25" s="2" t="s">
        <v>156</v>
      </c>
    </row>
    <row r="26" customFormat="false" ht="15" hidden="false" customHeight="false" outlineLevel="0" collapsed="false">
      <c r="A26" s="2" t="s">
        <v>157</v>
      </c>
    </row>
    <row r="27" customFormat="false" ht="15" hidden="false" customHeight="false" outlineLevel="0" collapsed="false">
      <c r="A27" s="2" t="s">
        <v>158</v>
      </c>
    </row>
    <row r="28" customFormat="false" ht="15" hidden="false" customHeight="false" outlineLevel="0" collapsed="false">
      <c r="A28" s="2" t="s">
        <v>159</v>
      </c>
    </row>
    <row r="29" customFormat="false" ht="15" hidden="false" customHeight="false" outlineLevel="0" collapsed="false">
      <c r="A29" s="2" t="s">
        <v>160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7" min="2" style="0" width="17"/>
  </cols>
  <sheetData>
    <row r="1" customFormat="false" ht="16.15" hidden="false" customHeight="false" outlineLevel="0" collapsed="false">
      <c r="A1" s="1" t="s">
        <v>161</v>
      </c>
    </row>
    <row r="2" customFormat="false" ht="15" hidden="false" customHeight="false" outlineLevel="0" collapsed="false">
      <c r="A2" s="2" t="s">
        <v>162</v>
      </c>
    </row>
    <row r="4" customFormat="false" ht="15" hidden="false" customHeight="false" outlineLevel="0" collapsed="false">
      <c r="A4" s="17" t="s">
        <v>163</v>
      </c>
      <c r="C4" s="20" t="s">
        <v>164</v>
      </c>
      <c r="D4" s="20" t="s">
        <v>165</v>
      </c>
    </row>
    <row r="5" customFormat="false" ht="15" hidden="false" customHeight="false" outlineLevel="0" collapsed="false">
      <c r="A5" s="0" t="s">
        <v>166</v>
      </c>
      <c r="B5" s="8" t="n">
        <f aca="false">'1 Inputs'!$B$10</f>
        <v>35830964.694072</v>
      </c>
      <c r="C5" s="15" t="n">
        <f aca="false">B5/'1 Inputs'!$B$7</f>
        <v>0.963197975647096</v>
      </c>
      <c r="D5" s="8" t="n">
        <f aca="false">'1 Inputs'!$B$7-B5</f>
        <v>1369035.30592802</v>
      </c>
    </row>
    <row r="6" customFormat="false" ht="15" hidden="false" customHeight="false" outlineLevel="0" collapsed="false">
      <c r="A6" s="0" t="s">
        <v>167</v>
      </c>
      <c r="B6" s="8" t="n">
        <f aca="false">'1 Inputs'!$B$11</f>
        <v>34762591.1797568</v>
      </c>
      <c r="C6" s="15" t="n">
        <f aca="false">B6/'1 Inputs'!$B$7</f>
        <v>0.934478257520344</v>
      </c>
      <c r="D6" s="8" t="n">
        <f aca="false">'1 Inputs'!$B$7-B6</f>
        <v>2437408.82024319</v>
      </c>
    </row>
    <row r="7" customFormat="false" ht="15" hidden="false" customHeight="false" outlineLevel="0" collapsed="false">
      <c r="A7" s="0" t="s">
        <v>168</v>
      </c>
      <c r="B7" s="8" t="n">
        <f aca="false">'1 Inputs'!$B$12</f>
        <v>31417150.539803</v>
      </c>
      <c r="C7" s="15" t="n">
        <f aca="false">B7/'1 Inputs'!$B$7</f>
        <v>0.844547057521585</v>
      </c>
      <c r="D7" s="8" t="n">
        <f aca="false">'1 Inputs'!$B$7-B7</f>
        <v>5782849.46019704</v>
      </c>
    </row>
    <row r="10" customFormat="false" ht="15" hidden="false" customHeight="false" outlineLevel="0" collapsed="false">
      <c r="A10" s="17" t="s">
        <v>169</v>
      </c>
    </row>
    <row r="11" customFormat="false" ht="15" hidden="false" customHeight="false" outlineLevel="0" collapsed="false">
      <c r="A11" s="14"/>
      <c r="B11" s="14" t="s">
        <v>170</v>
      </c>
      <c r="C11" s="14" t="s">
        <v>171</v>
      </c>
      <c r="D11" s="14" t="s">
        <v>172</v>
      </c>
      <c r="E11" s="14" t="s">
        <v>173</v>
      </c>
    </row>
    <row r="12" customFormat="false" ht="15" hidden="false" customHeight="false" outlineLevel="0" collapsed="false">
      <c r="A12" s="18" t="s">
        <v>174</v>
      </c>
      <c r="B12" s="8" t="n">
        <f aca="false">'1 Inputs'!$B$6*1/('1 Inputs'!$B$28*((0.055/12)*(1+0.055/12)^('1 Inputs'!$B$30*12)/((1+0.055/12)^('1 Inputs'!$B$30*12)-1)*12))</f>
        <v>45498122.1405264</v>
      </c>
      <c r="C12" s="8" t="n">
        <f aca="false">'1 Inputs'!$B$6*1/('1 Inputs'!$B$28*((0.0635/12)*(1+0.0635/12)^('1 Inputs'!$B$30*12)/((1+0.0635/12)^('1 Inputs'!$B$30*12)-1)*12))</f>
        <v>41516957.4919708</v>
      </c>
      <c r="D12" s="8" t="n">
        <f aca="false">'1 Inputs'!$B$6*1/('1 Inputs'!$B$28*((0.0725/12)*(1+0.0725/12)^('1 Inputs'!$B$30*12)/((1+0.0725/12)^('1 Inputs'!$B$30*12)-1)*12))</f>
        <v>37868999.6831984</v>
      </c>
      <c r="E12" s="8" t="n">
        <f aca="false">'1 Inputs'!$B$6*1/('1 Inputs'!$B$28*((0.08/12)*(1+0.08/12)^('1 Inputs'!$B$30*12)/((1+0.08/12)^('1 Inputs'!$B$30*12)-1)*12))</f>
        <v>35206569.3179404</v>
      </c>
    </row>
    <row r="13" customFormat="false" ht="15" hidden="false" customHeight="false" outlineLevel="0" collapsed="false">
      <c r="A13" s="18" t="s">
        <v>175</v>
      </c>
      <c r="B13" s="8" t="n">
        <f aca="false">'1 Inputs'!$B$6*1/'1 Inputs'!$B$29</f>
        <v>43055555.5555556</v>
      </c>
      <c r="C13" s="8" t="n">
        <f aca="false">'1 Inputs'!$B$6*1/'1 Inputs'!$B$29</f>
        <v>43055555.5555556</v>
      </c>
      <c r="D13" s="8" t="n">
        <f aca="false">'1 Inputs'!$B$6*1/'1 Inputs'!$B$29</f>
        <v>43055555.5555556</v>
      </c>
      <c r="E13" s="8" t="n">
        <f aca="false">'1 Inputs'!$B$6*1/'1 Inputs'!$B$29</f>
        <v>43055555.5555556</v>
      </c>
    </row>
    <row r="14" customFormat="false" ht="15" hidden="false" customHeight="false" outlineLevel="0" collapsed="false">
      <c r="A14" s="18" t="s">
        <v>176</v>
      </c>
      <c r="B14" s="8" t="n">
        <f aca="false">'1 Inputs'!$B$27*'1 Inputs'!$B$5*1</f>
        <v>40300000</v>
      </c>
      <c r="C14" s="8" t="n">
        <f aca="false">'1 Inputs'!$B$27*'1 Inputs'!$B$5*1</f>
        <v>40300000</v>
      </c>
      <c r="D14" s="8" t="n">
        <f aca="false">'1 Inputs'!$B$27*'1 Inputs'!$B$5*1</f>
        <v>40300000</v>
      </c>
      <c r="E14" s="8" t="n">
        <f aca="false">'1 Inputs'!$B$27*'1 Inputs'!$B$5*1</f>
        <v>40300000</v>
      </c>
    </row>
    <row r="15" customFormat="false" ht="15" hidden="false" customHeight="false" outlineLevel="0" collapsed="false">
      <c r="A15" s="17" t="s">
        <v>177</v>
      </c>
      <c r="B15" s="8" t="n">
        <f aca="false">MIN(B12,B13,B14)</f>
        <v>40300000</v>
      </c>
      <c r="C15" s="8" t="n">
        <f aca="false">MIN(C12,C13,C14)</f>
        <v>40300000</v>
      </c>
      <c r="D15" s="8" t="n">
        <f aca="false">MIN(D12,D13,D14)</f>
        <v>37868999.6831984</v>
      </c>
      <c r="E15" s="8" t="n">
        <f aca="false">MIN(E12,E13,E14)</f>
        <v>35206569.3179404</v>
      </c>
    </row>
    <row r="16" customFormat="false" ht="15" hidden="false" customHeight="false" outlineLevel="0" collapsed="false">
      <c r="A16" s="18" t="s">
        <v>141</v>
      </c>
      <c r="B16" s="21" t="str">
        <f aca="false">IF(B15=B12,"coverage",IF(B15=B13,"debt yield","loan to value"))</f>
        <v>loan to value</v>
      </c>
      <c r="C16" s="21" t="str">
        <f aca="false">IF(C15=C12,"coverage",IF(C15=C13,"debt yield","loan to value"))</f>
        <v>loan to value</v>
      </c>
      <c r="D16" s="21" t="str">
        <f aca="false">IF(D15=D12,"coverage",IF(D15=D13,"debt yield","loan to value"))</f>
        <v>coverage</v>
      </c>
      <c r="E16" s="21" t="str">
        <f aca="false">IF(E15=E12,"coverage",IF(E15=E13,"debt yield","loan to value"))</f>
        <v>coverage</v>
      </c>
    </row>
    <row r="17" customFormat="false" ht="15" hidden="false" customHeight="false" outlineLevel="0" collapsed="false">
      <c r="A17" s="18" t="s">
        <v>178</v>
      </c>
      <c r="B17" s="8" t="n">
        <f aca="false">B15-'1 Inputs'!$B$11</f>
        <v>5537408.82024319</v>
      </c>
      <c r="C17" s="8" t="n">
        <f aca="false">C15-'1 Inputs'!$B$11</f>
        <v>5537408.82024319</v>
      </c>
      <c r="D17" s="8" t="n">
        <f aca="false">D15-'1 Inputs'!$B$11</f>
        <v>3106408.50344159</v>
      </c>
      <c r="E17" s="8" t="n">
        <f aca="false">E15-'1 Inputs'!$B$11</f>
        <v>443978.138183609</v>
      </c>
    </row>
    <row r="20" customFormat="false" ht="15" hidden="false" customHeight="false" outlineLevel="0" collapsed="false">
      <c r="A20" s="17" t="s">
        <v>179</v>
      </c>
    </row>
    <row r="21" customFormat="false" ht="15" hidden="false" customHeight="false" outlineLevel="0" collapsed="false">
      <c r="A21" s="14"/>
      <c r="B21" s="14" t="s">
        <v>170</v>
      </c>
      <c r="C21" s="14" t="s">
        <v>171</v>
      </c>
      <c r="D21" s="14" t="s">
        <v>172</v>
      </c>
      <c r="E21" s="14" t="s">
        <v>173</v>
      </c>
    </row>
    <row r="22" customFormat="false" ht="15" hidden="false" customHeight="false" outlineLevel="0" collapsed="false">
      <c r="A22" s="18" t="s">
        <v>174</v>
      </c>
      <c r="B22" s="8" t="n">
        <f aca="false">'1 Inputs'!$B$6*0.85/('1 Inputs'!$B$28*((0.055/12)*(1+0.055/12)^('1 Inputs'!$B$30*12)/((1+0.055/12)^('1 Inputs'!$B$30*12)-1)*12))</f>
        <v>38673403.8194474</v>
      </c>
      <c r="C22" s="8" t="n">
        <f aca="false">'1 Inputs'!$B$6*0.85/('1 Inputs'!$B$28*((0.0635/12)*(1+0.0635/12)^('1 Inputs'!$B$30*12)/((1+0.0635/12)^('1 Inputs'!$B$30*12)-1)*12))</f>
        <v>35289413.8681751</v>
      </c>
      <c r="D22" s="8" t="n">
        <f aca="false">'1 Inputs'!$B$6*0.85/('1 Inputs'!$B$28*((0.0725/12)*(1+0.0725/12)^('1 Inputs'!$B$30*12)/((1+0.0725/12)^('1 Inputs'!$B$30*12)-1)*12))</f>
        <v>32188649.7307186</v>
      </c>
      <c r="E22" s="8" t="n">
        <f aca="false">'1 Inputs'!$B$6*0.85/('1 Inputs'!$B$28*((0.08/12)*(1+0.08/12)^('1 Inputs'!$B$30*12)/((1+0.08/12)^('1 Inputs'!$B$30*12)-1)*12))</f>
        <v>29925583.9202494</v>
      </c>
    </row>
    <row r="23" customFormat="false" ht="15" hidden="false" customHeight="false" outlineLevel="0" collapsed="false">
      <c r="A23" s="18" t="s">
        <v>175</v>
      </c>
      <c r="B23" s="8" t="n">
        <f aca="false">'1 Inputs'!$B$6*0.85/'1 Inputs'!$B$29</f>
        <v>36597222.2222222</v>
      </c>
      <c r="C23" s="8" t="n">
        <f aca="false">'1 Inputs'!$B$6*0.85/'1 Inputs'!$B$29</f>
        <v>36597222.2222222</v>
      </c>
      <c r="D23" s="8" t="n">
        <f aca="false">'1 Inputs'!$B$6*0.85/'1 Inputs'!$B$29</f>
        <v>36597222.2222222</v>
      </c>
      <c r="E23" s="8" t="n">
        <f aca="false">'1 Inputs'!$B$6*0.85/'1 Inputs'!$B$29</f>
        <v>36597222.2222222</v>
      </c>
    </row>
    <row r="24" customFormat="false" ht="15" hidden="false" customHeight="false" outlineLevel="0" collapsed="false">
      <c r="A24" s="18" t="s">
        <v>176</v>
      </c>
      <c r="B24" s="8" t="n">
        <f aca="false">'1 Inputs'!$B$27*'1 Inputs'!$B$5*0.85</f>
        <v>34255000</v>
      </c>
      <c r="C24" s="8" t="n">
        <f aca="false">'1 Inputs'!$B$27*'1 Inputs'!$B$5*0.85</f>
        <v>34255000</v>
      </c>
      <c r="D24" s="8" t="n">
        <f aca="false">'1 Inputs'!$B$27*'1 Inputs'!$B$5*0.85</f>
        <v>34255000</v>
      </c>
      <c r="E24" s="8" t="n">
        <f aca="false">'1 Inputs'!$B$27*'1 Inputs'!$B$5*0.85</f>
        <v>34255000</v>
      </c>
    </row>
    <row r="25" customFormat="false" ht="15" hidden="false" customHeight="false" outlineLevel="0" collapsed="false">
      <c r="A25" s="17" t="s">
        <v>177</v>
      </c>
      <c r="B25" s="8" t="n">
        <f aca="false">MIN(B22,B23,B24)</f>
        <v>34255000</v>
      </c>
      <c r="C25" s="8" t="n">
        <f aca="false">MIN(C22,C23,C24)</f>
        <v>34255000</v>
      </c>
      <c r="D25" s="8" t="n">
        <f aca="false">MIN(D22,D23,D24)</f>
        <v>32188649.7307186</v>
      </c>
      <c r="E25" s="8" t="n">
        <f aca="false">MIN(E22,E23,E24)</f>
        <v>29925583.9202494</v>
      </c>
    </row>
    <row r="26" customFormat="false" ht="15" hidden="false" customHeight="false" outlineLevel="0" collapsed="false">
      <c r="A26" s="18" t="s">
        <v>141</v>
      </c>
      <c r="B26" s="21" t="str">
        <f aca="false">IF(B25=B22,"coverage",IF(B25=B23,"debt yield","loan to value"))</f>
        <v>loan to value</v>
      </c>
      <c r="C26" s="21" t="str">
        <f aca="false">IF(C25=C22,"coverage",IF(C25=C23,"debt yield","loan to value"))</f>
        <v>loan to value</v>
      </c>
      <c r="D26" s="21" t="str">
        <f aca="false">IF(D25=D22,"coverage",IF(D25=D23,"debt yield","loan to value"))</f>
        <v>coverage</v>
      </c>
      <c r="E26" s="21" t="str">
        <f aca="false">IF(E25=E22,"coverage",IF(E25=E23,"debt yield","loan to value"))</f>
        <v>coverage</v>
      </c>
    </row>
    <row r="27" customFormat="false" ht="15" hidden="false" customHeight="false" outlineLevel="0" collapsed="false">
      <c r="A27" s="18" t="s">
        <v>178</v>
      </c>
      <c r="B27" s="8" t="n">
        <f aca="false">B25-'1 Inputs'!$B$11</f>
        <v>-507591.179756813</v>
      </c>
      <c r="C27" s="8" t="n">
        <f aca="false">C25-'1 Inputs'!$B$11</f>
        <v>-507591.179756813</v>
      </c>
      <c r="D27" s="8" t="n">
        <f aca="false">D25-'1 Inputs'!$B$11</f>
        <v>-2573941.44903817</v>
      </c>
      <c r="E27" s="8" t="n">
        <f aca="false">E25-'1 Inputs'!$B$11</f>
        <v>-4837007.25950746</v>
      </c>
    </row>
    <row r="29" customFormat="false" ht="15" hidden="false" customHeight="false" outlineLevel="0" collapsed="false">
      <c r="A29" s="2" t="s">
        <v>180</v>
      </c>
    </row>
    <row r="30" customFormat="false" ht="15" hidden="false" customHeight="false" outlineLevel="0" collapsed="false">
      <c r="A30" s="2" t="s">
        <v>181</v>
      </c>
    </row>
    <row r="32" customFormat="false" ht="15" hidden="false" customHeight="false" outlineLevel="0" collapsed="false">
      <c r="A32" s="17" t="s">
        <v>182</v>
      </c>
    </row>
    <row r="33" customFormat="false" ht="15" hidden="false" customHeight="false" outlineLevel="0" collapsed="false">
      <c r="A33" s="2" t="s">
        <v>183</v>
      </c>
    </row>
    <row r="34" customFormat="false" ht="15" hidden="false" customHeight="false" outlineLevel="0" collapsed="false">
      <c r="A34" s="17" t="s">
        <v>184</v>
      </c>
    </row>
    <row r="35" customFormat="false" ht="15" hidden="false" customHeight="false" outlineLevel="0" collapsed="false">
      <c r="A35" s="2" t="s">
        <v>185</v>
      </c>
    </row>
    <row r="37" customFormat="false" ht="15" hidden="false" customHeight="false" outlineLevel="0" collapsed="false">
      <c r="A37" s="2" t="s">
        <v>186</v>
      </c>
    </row>
    <row r="38" customFormat="false" ht="15" hidden="false" customHeight="false" outlineLevel="0" collapsed="false">
      <c r="A38" s="2" t="s">
        <v>187</v>
      </c>
    </row>
    <row r="39" customFormat="false" ht="15" hidden="false" customHeight="false" outlineLevel="0" collapsed="false">
      <c r="A39" s="2" t="s">
        <v>188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74"/>
    <col collapsed="false" customWidth="true" hidden="false" outlineLevel="0" max="3" min="2" style="0" width="18"/>
    <col collapsed="false" customWidth="true" hidden="false" outlineLevel="0" max="4" min="4" style="0" width="14"/>
  </cols>
  <sheetData>
    <row r="1" customFormat="false" ht="16.15" hidden="false" customHeight="false" outlineLevel="0" collapsed="false">
      <c r="A1" s="1" t="s">
        <v>189</v>
      </c>
    </row>
    <row r="2" customFormat="false" ht="15" hidden="false" customHeight="false" outlineLevel="0" collapsed="false">
      <c r="A2" s="2" t="s">
        <v>190</v>
      </c>
    </row>
    <row r="4" customFormat="false" ht="15" hidden="false" customHeight="false" outlineLevel="0" collapsed="false">
      <c r="A4" s="14" t="s">
        <v>191</v>
      </c>
      <c r="B4" s="14" t="s">
        <v>192</v>
      </c>
      <c r="C4" s="14" t="s">
        <v>193</v>
      </c>
      <c r="D4" s="14" t="s">
        <v>194</v>
      </c>
    </row>
    <row r="5" customFormat="false" ht="15" hidden="false" customHeight="false" outlineLevel="0" collapsed="false">
      <c r="A5" s="0" t="s">
        <v>195</v>
      </c>
      <c r="B5" s="11" t="n">
        <f aca="false">ROUND('2 The loan'!B5,5)</f>
        <v>0.07467</v>
      </c>
      <c r="C5" s="11" t="n">
        <v>0.07467</v>
      </c>
      <c r="D5" s="17" t="str">
        <f aca="false">IF(ISNUMBER(B5)=FALSE(),"FAIL",IF(ABS(B5-C5)&lt;=MAX(0.000001,ABS(C5)*0.0005),"PASS","FAIL"))</f>
        <v>PASS</v>
      </c>
    </row>
    <row r="6" customFormat="false" ht="15" hidden="false" customHeight="false" outlineLevel="0" collapsed="false">
      <c r="A6" s="0" t="s">
        <v>196</v>
      </c>
      <c r="B6" s="8" t="n">
        <f aca="false">ROUND('2 The loan'!B6,-2)</f>
        <v>2777700</v>
      </c>
      <c r="C6" s="8" t="n">
        <v>2777700</v>
      </c>
      <c r="D6" s="17" t="str">
        <f aca="false">IF(ISNUMBER(B6)=FALSE(),"FAIL",IF(ABS(B6-C6)&lt;=MAX(0.000001,ABS(C6)*0.0005),"PASS","FAIL"))</f>
        <v>PASS</v>
      </c>
    </row>
    <row r="7" customFormat="false" ht="15" hidden="false" customHeight="false" outlineLevel="0" collapsed="false">
      <c r="A7" s="0" t="s">
        <v>197</v>
      </c>
      <c r="B7" s="12" t="n">
        <f aca="false">ROUND('2 The loan'!B7,3)</f>
        <v>1.395</v>
      </c>
      <c r="C7" s="12" t="n">
        <v>1.395</v>
      </c>
      <c r="D7" s="17" t="str">
        <f aca="false">IF(ISNUMBER(B7)=FALSE(),"FAIL",IF(ABS(B7-C7)&lt;=MAX(0.000001,ABS(C7)*0.0005),"PASS","FAIL"))</f>
        <v>PASS</v>
      </c>
    </row>
    <row r="8" customFormat="false" ht="15" hidden="false" customHeight="false" outlineLevel="0" collapsed="false">
      <c r="A8" s="0" t="s">
        <v>198</v>
      </c>
      <c r="B8" s="15" t="n">
        <f aca="false">ROUND('2 The loan'!C12,3)</f>
        <v>-0.14</v>
      </c>
      <c r="C8" s="15" t="n">
        <v>-0.14</v>
      </c>
      <c r="D8" s="17" t="str">
        <f aca="false">IF(ISNUMBER(B8)=FALSE(),"FAIL",IF(ABS(B8-C8)&lt;=MAX(0.000001,ABS(C8)*0.0005),"PASS","FAIL"))</f>
        <v>PASS</v>
      </c>
    </row>
    <row r="9" customFormat="false" ht="15" hidden="false" customHeight="false" outlineLevel="0" collapsed="false">
      <c r="A9" s="0" t="s">
        <v>199</v>
      </c>
      <c r="B9" s="15" t="n">
        <f aca="false">ROUND('2 The loan'!C13,3)</f>
        <v>-0.184</v>
      </c>
      <c r="C9" s="15" t="n">
        <v>-0.184</v>
      </c>
      <c r="D9" s="17" t="str">
        <f aca="false">IF(ISNUMBER(B9)=FALSE(),"FAIL",IF(ABS(B9-C9)&lt;=MAX(0.000001,ABS(C9)*0.0005),"PASS","FAIL"))</f>
        <v>PASS</v>
      </c>
    </row>
    <row r="10" customFormat="false" ht="15" hidden="false" customHeight="false" outlineLevel="0" collapsed="false">
      <c r="A10" s="0" t="s">
        <v>200</v>
      </c>
      <c r="B10" s="15" t="n">
        <f aca="false">ROUND('2 The loan'!C14,3)</f>
        <v>-0.212</v>
      </c>
      <c r="C10" s="15" t="n">
        <v>-0.212</v>
      </c>
      <c r="D10" s="17" t="str">
        <f aca="false">IF(ISNUMBER(B10)=FALSE(),"FAIL",IF(ABS(B10-C10)&lt;=MAX(0.000001,ABS(C10)*0.0005),"PASS","FAIL"))</f>
        <v>PASS</v>
      </c>
    </row>
    <row r="11" customFormat="false" ht="15" hidden="false" customHeight="false" outlineLevel="0" collapsed="false">
      <c r="A11" s="0" t="s">
        <v>201</v>
      </c>
      <c r="B11" s="15" t="n">
        <f aca="false">ROUND('2 The loan'!C15,3)</f>
        <v>-0.247</v>
      </c>
      <c r="C11" s="15" t="n">
        <v>-0.247</v>
      </c>
      <c r="D11" s="17" t="str">
        <f aca="false">IF(ISNUMBER(B11)=FALSE(),"FAIL",IF(ABS(B11-C11)&lt;=MAX(0.000001,ABS(C11)*0.0005),"PASS","FAIL"))</f>
        <v>PASS</v>
      </c>
    </row>
    <row r="12" customFormat="false" ht="15" hidden="false" customHeight="false" outlineLevel="0" collapsed="false">
      <c r="A12" s="0" t="s">
        <v>202</v>
      </c>
      <c r="B12" s="8" t="n">
        <f aca="false">ROUND('3 The 11.2x ratio'!B6,-2)</f>
        <v>233200</v>
      </c>
      <c r="C12" s="8" t="n">
        <v>233200</v>
      </c>
      <c r="D12" s="17" t="str">
        <f aca="false">IF(ISNUMBER(B12)=FALSE(),"FAIL",IF(ABS(B12-C12)&lt;=MAX(0.000001,ABS(C12)*0.0005),"PASS","FAIL"))</f>
        <v>PASS</v>
      </c>
    </row>
    <row r="13" customFormat="false" ht="15" hidden="false" customHeight="false" outlineLevel="0" collapsed="false">
      <c r="A13" s="0" t="s">
        <v>203</v>
      </c>
      <c r="B13" s="8" t="n">
        <f aca="false">ROUND('3 The 11.2x ratio'!B7,-2)</f>
        <v>2602500</v>
      </c>
      <c r="C13" s="8" t="n">
        <v>2602500</v>
      </c>
      <c r="D13" s="17" t="str">
        <f aca="false">IF(ISNUMBER(B13)=FALSE(),"FAIL",IF(ABS(B13-C13)&lt;=MAX(0.000001,ABS(C13)*0.0005),"PASS","FAIL"))</f>
        <v>PASS</v>
      </c>
    </row>
    <row r="14" customFormat="false" ht="15" hidden="false" customHeight="false" outlineLevel="0" collapsed="false">
      <c r="A14" s="0" t="s">
        <v>204</v>
      </c>
      <c r="B14" s="16" t="n">
        <f aca="false">ROUND('3 The 11.2x ratio'!B8,1)</f>
        <v>11.2</v>
      </c>
      <c r="C14" s="16" t="n">
        <v>11.2</v>
      </c>
      <c r="D14" s="17" t="str">
        <f aca="false">IF(ISNUMBER(B14)=FALSE(),"FAIL",IF(ABS(B14-C14)&lt;=MAX(0.000001,ABS(C14)*0.0005),"PASS","FAIL"))</f>
        <v>PASS</v>
      </c>
    </row>
    <row r="15" customFormat="false" ht="15" hidden="false" customHeight="false" outlineLevel="0" collapsed="false">
      <c r="A15" s="0" t="s">
        <v>205</v>
      </c>
      <c r="B15" s="12" t="n">
        <f aca="false">ROUND('3 The 11.2x ratio'!B9-'3 The 11.2x ratio'!B8,6)</f>
        <v>0</v>
      </c>
      <c r="C15" s="12" t="n">
        <v>0</v>
      </c>
      <c r="D15" s="17" t="str">
        <f aca="false">IF(ISNUMBER(B15)=FALSE(),"FAIL",IF(ABS(B15-C15)&lt;=MAX(0.000001,ABS(C15)*0.0005),"PASS","FAIL"))</f>
        <v>PASS</v>
      </c>
    </row>
    <row r="16" customFormat="false" ht="15" hidden="false" customHeight="false" outlineLevel="0" collapsed="false">
      <c r="A16" s="0" t="s">
        <v>206</v>
      </c>
      <c r="B16" s="12" t="n">
        <f aca="false">ROUND(MAX('3 The 11.2x ratio'!D13:D17)-MIN('3 The 11.2x ratio'!D13:D17),6)</f>
        <v>0</v>
      </c>
      <c r="C16" s="12" t="n">
        <v>0</v>
      </c>
      <c r="D16" s="17" t="str">
        <f aca="false">IF(ISNUMBER(B16)=FALSE(),"FAIL",IF(ABS(B16-C16)&lt;=MAX(0.000001,ABS(C16)*0.0005),"PASS","FAIL"))</f>
        <v>PASS</v>
      </c>
    </row>
    <row r="17" customFormat="false" ht="15" hidden="false" customHeight="false" outlineLevel="0" collapsed="false">
      <c r="A17" s="0" t="s">
        <v>207</v>
      </c>
      <c r="B17" s="22" t="n">
        <f aca="false">IF('3 The 11.2x ratio'!D21&gt;'3 The 11.2x ratio'!D24,1,0)</f>
        <v>1</v>
      </c>
      <c r="C17" s="22" t="n">
        <v>1</v>
      </c>
      <c r="D17" s="17" t="str">
        <f aca="false">IF(ISNUMBER(B17)=FALSE(),"FAIL",IF(ABS(B17-C17)&lt;=MAX(0.000001,ABS(C17)*0.0005),"PASS","FAIL"))</f>
        <v>PASS</v>
      </c>
    </row>
    <row r="18" customFormat="false" ht="15" hidden="false" customHeight="false" outlineLevel="0" collapsed="false">
      <c r="A18" s="0" t="s">
        <v>208</v>
      </c>
      <c r="B18" s="22" t="n">
        <f aca="false">IF('3 The 11.2x ratio'!F22&lt;'3 The 11.2x ratio'!C22,1,0)</f>
        <v>1</v>
      </c>
      <c r="C18" s="22" t="n">
        <v>1</v>
      </c>
      <c r="D18" s="17" t="str">
        <f aca="false">IF(ISNUMBER(B18)=FALSE(),"FAIL",IF(ABS(B18-C18)&lt;=MAX(0.000001,ABS(C18)*0.0005),"PASS","FAIL"))</f>
        <v>PASS</v>
      </c>
    </row>
    <row r="19" customFormat="false" ht="15" hidden="false" customHeight="false" outlineLevel="0" collapsed="false">
      <c r="A19" s="0" t="s">
        <v>209</v>
      </c>
      <c r="B19" s="22" t="n">
        <f aca="false">IF('4 The window'!B5&gt;'4 The window'!B6,1,0)</f>
        <v>1</v>
      </c>
      <c r="C19" s="22" t="n">
        <v>1</v>
      </c>
      <c r="D19" s="17" t="str">
        <f aca="false">IF(ISNUMBER(B19)=FALSE(),"FAIL",IF(ABS(B19-C19)&lt;=MAX(0.000001,ABS(C19)*0.0005),"PASS","FAIL"))</f>
        <v>PASS</v>
      </c>
    </row>
    <row r="20" customFormat="false" ht="15" hidden="false" customHeight="false" outlineLevel="0" collapsed="false">
      <c r="A20" s="0" t="s">
        <v>210</v>
      </c>
      <c r="B20" s="19" t="n">
        <f aca="false">ROUND('4 The window'!B7,1)</f>
        <v>4.4</v>
      </c>
      <c r="C20" s="19" t="n">
        <v>4.4</v>
      </c>
      <c r="D20" s="17" t="str">
        <f aca="false">IF(ISNUMBER(B20)=FALSE(),"FAIL",IF(ABS(B20-C20)&lt;=MAX(0.000001,ABS(C20)*0.0005),"PASS","FAIL"))</f>
        <v>PASS</v>
      </c>
    </row>
    <row r="21" customFormat="false" ht="15" hidden="false" customHeight="false" outlineLevel="0" collapsed="false">
      <c r="A21" s="0" t="s">
        <v>211</v>
      </c>
      <c r="B21" s="22" t="n">
        <f aca="false">IF('4 The window'!C13&gt;2*'4 The window'!C15,1,0)</f>
        <v>1</v>
      </c>
      <c r="C21" s="22" t="n">
        <v>1</v>
      </c>
      <c r="D21" s="17" t="str">
        <f aca="false">IF(ISNUMBER(B21)=FALSE(),"FAIL",IF(ABS(B21-C21)&lt;=MAX(0.000001,ABS(C21)*0.0005),"PASS","FAIL"))</f>
        <v>PASS</v>
      </c>
    </row>
    <row r="22" customFormat="false" ht="15" hidden="false" customHeight="false" outlineLevel="0" collapsed="false">
      <c r="A22" s="0" t="s">
        <v>212</v>
      </c>
      <c r="B22" s="22" t="n">
        <f aca="false">IF('4 The window'!C17&lt;=0,1,0)</f>
        <v>1</v>
      </c>
      <c r="C22" s="22" t="n">
        <v>1</v>
      </c>
      <c r="D22" s="17" t="str">
        <f aca="false">IF(ISNUMBER(B22)=FALSE(),"FAIL",IF(ABS(B22-C22)&lt;=MAX(0.000001,ABS(C22)*0.0005),"PASS","FAIL"))</f>
        <v>PASS</v>
      </c>
    </row>
    <row r="23" customFormat="false" ht="15" hidden="false" customHeight="false" outlineLevel="0" collapsed="false">
      <c r="A23" s="0" t="s">
        <v>213</v>
      </c>
      <c r="B23" s="8" t="n">
        <f aca="false">ROUND('5 The wrong threshold'!C6,-2)</f>
        <v>1894400</v>
      </c>
      <c r="C23" s="8" t="n">
        <v>1894400</v>
      </c>
      <c r="D23" s="17" t="str">
        <f aca="false">IF(ISNUMBER(B23)=FALSE(),"FAIL",IF(ABS(B23-C23)&lt;=MAX(0.000001,ABS(C23)*0.0005),"PASS","FAIL"))</f>
        <v>PASS</v>
      </c>
    </row>
    <row r="24" customFormat="false" ht="15" hidden="false" customHeight="false" outlineLevel="0" collapsed="false">
      <c r="A24" s="0" t="s">
        <v>214</v>
      </c>
      <c r="B24" s="8" t="n">
        <f aca="false">ROUND('5 The wrong threshold'!C7,-2)</f>
        <v>2755600</v>
      </c>
      <c r="C24" s="8" t="n">
        <v>2755600</v>
      </c>
      <c r="D24" s="17" t="str">
        <f aca="false">IF(ISNUMBER(B24)=FALSE(),"FAIL",IF(ABS(B24-C24)&lt;=MAX(0.000001,ABS(C24)*0.0005),"PASS","FAIL"))</f>
        <v>PASS</v>
      </c>
    </row>
    <row r="25" customFormat="false" ht="15" hidden="false" customHeight="false" outlineLevel="0" collapsed="false">
      <c r="A25" s="0" t="s">
        <v>215</v>
      </c>
      <c r="B25" s="8" t="n">
        <f aca="false">'5 The wrong threshold'!D6</f>
        <v>0</v>
      </c>
      <c r="C25" s="8" t="n">
        <v>0</v>
      </c>
      <c r="D25" s="17" t="str">
        <f aca="false">IF(ISNUMBER(B25)=FALSE(),"FAIL",IF(ABS(B25-C25)&lt;=MAX(0.000001,ABS(C25)*0.0005),"PASS","FAIL"))</f>
        <v>PASS</v>
      </c>
    </row>
    <row r="26" customFormat="false" ht="15" hidden="false" customHeight="false" outlineLevel="0" collapsed="false">
      <c r="A26" s="0" t="s">
        <v>216</v>
      </c>
      <c r="B26" s="8" t="n">
        <f aca="false">ROUND('5 The wrong threshold'!D7,-2)</f>
        <v>729400</v>
      </c>
      <c r="C26" s="8" t="n">
        <v>729400</v>
      </c>
      <c r="D26" s="17" t="str">
        <f aca="false">IF(ISNUMBER(B26)=FALSE(),"FAIL",IF(ABS(B26-C26)&lt;=MAX(0.000001,ABS(C26)*0.0005),"PASS","FAIL"))</f>
        <v>PASS</v>
      </c>
    </row>
    <row r="27" customFormat="false" ht="15" hidden="false" customHeight="false" outlineLevel="0" collapsed="false">
      <c r="A27" s="0" t="s">
        <v>217</v>
      </c>
      <c r="B27" s="16" t="n">
        <f aca="false">ROUND('5 The wrong threshold'!C15,1)</f>
        <v>3.8</v>
      </c>
      <c r="C27" s="16" t="n">
        <v>3.8</v>
      </c>
      <c r="D27" s="17" t="str">
        <f aca="false">IF(ISNUMBER(B27)=FALSE(),"FAIL",IF(ABS(B27-C27)&lt;=MAX(0.000001,ABS(C27)*0.0005),"PASS","FAIL"))</f>
        <v>PASS</v>
      </c>
    </row>
    <row r="28" customFormat="false" ht="15" hidden="false" customHeight="false" outlineLevel="0" collapsed="false">
      <c r="A28" s="0" t="s">
        <v>218</v>
      </c>
      <c r="B28" s="8" t="n">
        <f aca="false">'6 The extension'!B4</f>
        <v>2777660.18914807</v>
      </c>
      <c r="C28" s="8" t="n">
        <f aca="false">'2 The loan'!B6</f>
        <v>2777660.18914807</v>
      </c>
      <c r="D28" s="17" t="str">
        <f aca="false">IF(ISNUMBER(B28)=FALSE(),"FAIL",IF(ABS(B28-C28)&lt;=MAX(0.000001,ABS(C28)*0.0005),"PASS","FAIL"))</f>
        <v>PASS</v>
      </c>
    </row>
    <row r="29" customFormat="false" ht="15" hidden="false" customHeight="false" outlineLevel="0" collapsed="false">
      <c r="A29" s="0" t="s">
        <v>219</v>
      </c>
      <c r="B29" s="13" t="n">
        <f aca="false">ROUND('6 The extension'!C8,4)</f>
        <v>0.1081</v>
      </c>
      <c r="C29" s="13" t="n">
        <v>0.1081</v>
      </c>
      <c r="D29" s="17" t="str">
        <f aca="false">IF(ISNUMBER(B29)=FALSE(),"FAIL",IF(ABS(B29-C29)&lt;=MAX(0.000001,ABS(C29)*0.0005),"PASS","FAIL"))</f>
        <v>PASS</v>
      </c>
    </row>
    <row r="30" customFormat="false" ht="15" hidden="false" customHeight="false" outlineLevel="0" collapsed="false">
      <c r="A30" s="0" t="s">
        <v>220</v>
      </c>
      <c r="B30" s="13" t="n">
        <f aca="false">ROUND('6 The extension'!C11,4)</f>
        <v>0.0919</v>
      </c>
      <c r="C30" s="13" t="n">
        <v>0.0919</v>
      </c>
      <c r="D30" s="17" t="str">
        <f aca="false">IF(ISNUMBER(B30)=FALSE(),"FAIL",IF(ABS(B30-C30)&lt;=MAX(0.000001,ABS(C30)*0.0005),"PASS","FAIL"))</f>
        <v>PASS</v>
      </c>
    </row>
    <row r="31" customFormat="false" ht="15" hidden="false" customHeight="false" outlineLevel="0" collapsed="false">
      <c r="A31" s="0" t="s">
        <v>221</v>
      </c>
      <c r="B31" s="12" t="n">
        <f aca="false">ROUND('6 The extension'!D11,3)</f>
        <v>1.186</v>
      </c>
      <c r="C31" s="12" t="n">
        <v>1.186</v>
      </c>
      <c r="D31" s="17" t="str">
        <f aca="false">IF(ISNUMBER(B31)=FALSE(),"FAIL",IF(ABS(B31-C31)&lt;=MAX(0.000001,ABS(C31)*0.0005),"PASS","FAIL"))</f>
        <v>PASS</v>
      </c>
    </row>
    <row r="32" customFormat="false" ht="15" hidden="false" customHeight="false" outlineLevel="0" collapsed="false">
      <c r="A32" s="0" t="s">
        <v>222</v>
      </c>
      <c r="B32" s="22" t="n">
        <f aca="false">IF('6 The extension'!E11="coverage",1,0)</f>
        <v>1</v>
      </c>
      <c r="C32" s="22" t="n">
        <v>1</v>
      </c>
      <c r="D32" s="17" t="str">
        <f aca="false">IF(ISNUMBER(B32)=FALSE(),"FAIL",IF(ABS(B32-C32)&lt;=MAX(0.000001,ABS(C32)*0.0005),"PASS","FAIL"))</f>
        <v>PASS</v>
      </c>
    </row>
    <row r="33" customFormat="false" ht="15" hidden="false" customHeight="false" outlineLevel="0" collapsed="false">
      <c r="A33" s="0" t="s">
        <v>223</v>
      </c>
      <c r="B33" s="8" t="n">
        <f aca="false">ROUND('6 The extension'!C15,0)</f>
        <v>89577</v>
      </c>
      <c r="C33" s="8" t="n">
        <v>89577</v>
      </c>
      <c r="D33" s="17" t="str">
        <f aca="false">IF(ISNUMBER(B33)=FALSE(),"FAIL",IF(ABS(B33-C33)&lt;=MAX(0.000001,ABS(C33)*0.0005),"PASS","FAIL"))</f>
        <v>PASS</v>
      </c>
    </row>
    <row r="34" customFormat="false" ht="15" hidden="false" customHeight="false" outlineLevel="0" collapsed="false">
      <c r="A34" s="0" t="s">
        <v>224</v>
      </c>
      <c r="B34" s="8" t="n">
        <f aca="false">SUM('6 The extension'!F8:F10)</f>
        <v>0</v>
      </c>
      <c r="C34" s="8" t="n">
        <v>0</v>
      </c>
      <c r="D34" s="17" t="str">
        <f aca="false">IF(ISNUMBER(B34)=FALSE(),"FAIL",IF(ABS(B34-C34)&lt;=MAX(0.000001,ABS(C34)*0.0005),"PASS","FAIL"))</f>
        <v>PASS</v>
      </c>
    </row>
    <row r="35" customFormat="false" ht="15" hidden="false" customHeight="false" outlineLevel="0" collapsed="false">
      <c r="A35" s="0" t="s">
        <v>225</v>
      </c>
      <c r="B35" s="22" t="n">
        <f aca="false">IF('6 The extension'!C16&lt;2000000,1,0)</f>
        <v>1</v>
      </c>
      <c r="C35" s="22" t="n">
        <v>1</v>
      </c>
      <c r="D35" s="17" t="str">
        <f aca="false">IF(ISNUMBER(B35)=FALSE(),"FAIL",IF(ABS(B35-C35)&lt;=MAX(0.000001,ABS(C35)*0.0005),"PASS","FAIL"))</f>
        <v>PASS</v>
      </c>
    </row>
    <row r="36" customFormat="false" ht="15" hidden="false" customHeight="false" outlineLevel="0" collapsed="false">
      <c r="A36" s="0" t="s">
        <v>226</v>
      </c>
      <c r="B36" s="8" t="n">
        <f aca="false">'7 The maturity page'!B15</f>
        <v>40300000</v>
      </c>
      <c r="C36" s="8" t="n">
        <v>40300000</v>
      </c>
      <c r="D36" s="17" t="str">
        <f aca="false">IF(ISNUMBER(B36)=FALSE(),"FAIL",IF(ABS(B36-C36)&lt;=MAX(0.000001,ABS(C36)*0.0005),"PASS","FAIL"))</f>
        <v>PASS</v>
      </c>
    </row>
    <row r="37" customFormat="false" ht="15" hidden="false" customHeight="false" outlineLevel="0" collapsed="false">
      <c r="A37" s="0" t="s">
        <v>227</v>
      </c>
      <c r="B37" s="8" t="n">
        <f aca="false">ROUND('7 The maturity page'!E17,0)</f>
        <v>443978</v>
      </c>
      <c r="C37" s="8" t="n">
        <v>443978</v>
      </c>
      <c r="D37" s="17" t="str">
        <f aca="false">IF(ISNUMBER(B37)=FALSE(),"FAIL",IF(ABS(B37-C37)&lt;=MAX(0.000001,ABS(C37)*0.0005),"PASS","FAIL"))</f>
        <v>PASS</v>
      </c>
    </row>
    <row r="38" customFormat="false" ht="15" hidden="false" customHeight="false" outlineLevel="0" collapsed="false">
      <c r="A38" s="0" t="s">
        <v>228</v>
      </c>
      <c r="B38" s="8" t="n">
        <f aca="false">ROUND('7 The maturity page'!B27,0)</f>
        <v>-507591</v>
      </c>
      <c r="C38" s="8" t="n">
        <v>-507591</v>
      </c>
      <c r="D38" s="17" t="str">
        <f aca="false">IF(ISNUMBER(B38)=FALSE(),"FAIL",IF(ABS(B38-C38)&lt;=MAX(0.000001,ABS(C38)*0.0005),"PASS","FAIL"))</f>
        <v>PASS</v>
      </c>
    </row>
    <row r="39" customFormat="false" ht="15" hidden="false" customHeight="false" outlineLevel="0" collapsed="false">
      <c r="A39" s="0" t="s">
        <v>229</v>
      </c>
      <c r="B39" s="8" t="n">
        <f aca="false">ROUND('7 The maturity page'!E27,0)</f>
        <v>-4837007</v>
      </c>
      <c r="C39" s="8" t="n">
        <v>-4837007</v>
      </c>
      <c r="D39" s="17" t="str">
        <f aca="false">IF(ISNUMBER(B39)=FALSE(),"FAIL",IF(ABS(B39-C39)&lt;=MAX(0.000001,ABS(C39)*0.0005),"PASS","FAIL"))</f>
        <v>PASS</v>
      </c>
    </row>
    <row r="40" customFormat="false" ht="15" hidden="false" customHeight="false" outlineLevel="0" collapsed="false">
      <c r="A40" s="0" t="s">
        <v>230</v>
      </c>
      <c r="B40" s="22" t="n">
        <f aca="false">IF('7 The maturity page'!B16="loan to value",1,0)</f>
        <v>1</v>
      </c>
      <c r="C40" s="22" t="n">
        <v>1</v>
      </c>
      <c r="D40" s="17" t="str">
        <f aca="false">IF(ISNUMBER(B40)=FALSE(),"FAIL",IF(ABS(B40-C40)&lt;=MAX(0.000001,ABS(C40)*0.0005),"PASS","FAIL"))</f>
        <v>PASS</v>
      </c>
    </row>
    <row r="41" customFormat="false" ht="15" hidden="false" customHeight="false" outlineLevel="0" collapsed="false">
      <c r="A41" s="0" t="s">
        <v>231</v>
      </c>
      <c r="B41" s="22" t="n">
        <f aca="false">IF('7 The maturity page'!E16="coverage",1,0)</f>
        <v>1</v>
      </c>
      <c r="C41" s="22" t="n">
        <v>1</v>
      </c>
      <c r="D41" s="17" t="str">
        <f aca="false">IF(ISNUMBER(B41)=FALSE(),"FAIL",IF(ABS(B41-C41)&lt;=MAX(0.000001,ABS(C41)*0.0005),"PASS","FAIL"))</f>
        <v>PASS</v>
      </c>
    </row>
    <row r="42" customFormat="false" ht="15" hidden="false" customHeight="false" outlineLevel="0" collapsed="false">
      <c r="A42" s="0" t="s">
        <v>232</v>
      </c>
      <c r="B42" s="15" t="n">
        <f aca="false">ROUND('7 The maturity page'!C7,3)</f>
        <v>0.845</v>
      </c>
      <c r="C42" s="15" t="n">
        <v>0.845</v>
      </c>
      <c r="D42" s="17" t="str">
        <f aca="false">IF(ISNUMBER(B42)=FALSE(),"FAIL",IF(ABS(B42-C42)&lt;=MAX(0.000001,ABS(C42)*0.0005),"PASS","FAIL"))</f>
        <v>PASS</v>
      </c>
    </row>
    <row r="43" customFormat="false" ht="15" hidden="false" customHeight="false" outlineLevel="0" collapsed="false">
      <c r="A43" s="0" t="s">
        <v>233</v>
      </c>
      <c r="B43" s="8" t="n">
        <f aca="false">ROUND('1 Inputs'!B10,0)</f>
        <v>35830965</v>
      </c>
      <c r="C43" s="8" t="n">
        <v>35830965</v>
      </c>
      <c r="D43" s="17" t="str">
        <f aca="false">IF(ISNUMBER(B43)=FALSE(),"FAIL",IF(ABS(B43-C43)&lt;=MAX(0.000001,ABS(C43)*0.0005),"PASS","FAIL"))</f>
        <v>PASS</v>
      </c>
    </row>
    <row r="44" customFormat="false" ht="15" hidden="false" customHeight="false" outlineLevel="0" collapsed="false">
      <c r="A44" s="0" t="s">
        <v>234</v>
      </c>
      <c r="B44" s="8" t="n">
        <f aca="false">ROUND('1 Inputs'!B11,0)</f>
        <v>34762591</v>
      </c>
      <c r="C44" s="8" t="n">
        <v>34762591</v>
      </c>
      <c r="D44" s="17" t="str">
        <f aca="false">IF(ISNUMBER(B44)=FALSE(),"FAIL",IF(ABS(B44-C44)&lt;=MAX(0.000001,ABS(C44)*0.0005),"PASS","FAIL"))</f>
        <v>PASS</v>
      </c>
    </row>
    <row r="45" customFormat="false" ht="15" hidden="false" customHeight="false" outlineLevel="0" collapsed="false">
      <c r="A45" s="0" t="s">
        <v>235</v>
      </c>
      <c r="B45" s="8" t="n">
        <f aca="false">ROUND('1 Inputs'!B12,0)</f>
        <v>31417151</v>
      </c>
      <c r="C45" s="8" t="n">
        <v>31417151</v>
      </c>
      <c r="D45" s="17" t="str">
        <f aca="false">IF(ISNUMBER(B45)=FALSE(),"FAIL",IF(ABS(B45-C45)&lt;=MAX(0.000001,ABS(C45)*0.0005),"PASS","FAIL"))</f>
        <v>PASS</v>
      </c>
    </row>
    <row r="46" customFormat="false" ht="15" hidden="false" customHeight="false" outlineLevel="0" collapsed="false">
      <c r="A46" s="0" t="s">
        <v>236</v>
      </c>
      <c r="B46" s="8" t="n">
        <f aca="false">ROUND('4 The window'!B8,0)</f>
        <v>1910586</v>
      </c>
      <c r="C46" s="8" t="n">
        <v>1910586</v>
      </c>
      <c r="D46" s="17" t="str">
        <f aca="false">IF(ISNUMBER(B46)=FALSE(),"FAIL",IF(ABS(B46-C46)&lt;=MAX(0.000001,ABS(C46)*0.0005),"PASS","FAIL"))</f>
        <v>PASS</v>
      </c>
    </row>
    <row r="47" customFormat="false" ht="15" hidden="false" customHeight="false" outlineLevel="0" collapsed="false">
      <c r="A47" s="0" t="s">
        <v>237</v>
      </c>
      <c r="B47" s="22" t="n">
        <f aca="false">IF(AND('7 The maturity page'!B26="loan to value",'7 The maturity page'!C26="loan to value"),1,0)</f>
        <v>1</v>
      </c>
      <c r="C47" s="22" t="n">
        <v>1</v>
      </c>
      <c r="D47" s="17" t="str">
        <f aca="false">IF(ISNUMBER(B47)=FALSE(),"FAIL",IF(ABS(B47-C47)&lt;=MAX(0.000001,ABS(C47)*0.0005),"PASS","FAIL"))</f>
        <v>PASS</v>
      </c>
    </row>
    <row r="48" customFormat="false" ht="15" hidden="false" customHeight="false" outlineLevel="0" collapsed="false">
      <c r="A48" s="0" t="s">
        <v>238</v>
      </c>
      <c r="B48" s="22" t="n">
        <f aca="false">IF(AND('7 The maturity page'!D26="coverage",'7 The maturity page'!E26="coverage"),1,0)</f>
        <v>1</v>
      </c>
      <c r="C48" s="22" t="n">
        <v>1</v>
      </c>
      <c r="D48" s="17" t="str">
        <f aca="false">IF(ISNUMBER(B48)=FALSE(),"FAIL",IF(ABS(B48-C48)&lt;=MAX(0.000001,ABS(C48)*0.0005),"PASS","FAIL"))</f>
        <v>PASS</v>
      </c>
    </row>
    <row r="49" customFormat="false" ht="15" hidden="false" customHeight="false" outlineLevel="0" collapsed="false">
      <c r="A49" s="0" t="s">
        <v>239</v>
      </c>
      <c r="B49" s="8" t="n">
        <f aca="false">ROUND('6 The extension'!F11,0)</f>
        <v>423994</v>
      </c>
      <c r="C49" s="8" t="n">
        <v>423994</v>
      </c>
      <c r="D49" s="17" t="str">
        <f aca="false">IF(ISNUMBER(B49)=FALSE(),"FAIL",IF(ABS(B49-C49)&lt;=MAX(0.000001,ABS(C49)*0.0005),"PASS","FAIL"))</f>
        <v>PASS</v>
      </c>
    </row>
    <row r="50" customFormat="false" ht="15" hidden="false" customHeight="false" outlineLevel="0" collapsed="false">
      <c r="A50" s="0" t="s">
        <v>240</v>
      </c>
      <c r="B50" s="8" t="n">
        <f aca="false">ROUND('6 The extension'!C18,0)</f>
        <v>5905381</v>
      </c>
      <c r="C50" s="8" t="n">
        <v>5905381</v>
      </c>
      <c r="D50" s="17" t="str">
        <f aca="false">IF(ISNUMBER(B50)=FALSE(),"FAIL",IF(ABS(B50-C50)&lt;=MAX(0.000001,ABS(C50)*0.0005),"PASS","FAIL"))</f>
        <v>PASS</v>
      </c>
    </row>
    <row r="51" customFormat="false" ht="15" hidden="false" customHeight="false" outlineLevel="0" collapsed="false">
      <c r="A51" s="0" t="s">
        <v>241</v>
      </c>
      <c r="B51" s="11" t="n">
        <f aca="false">ROUND('9 Other chapters'!B5,5)</f>
        <v>0.0743</v>
      </c>
      <c r="C51" s="11" t="n">
        <v>0.0743</v>
      </c>
      <c r="D51" s="17" t="str">
        <f aca="false">IF(ISNUMBER(B51)=FALSE(),"FAIL",IF(ABS(B51-C51)&lt;=MAX(0.000001,ABS(C51)*0.0005),"PASS","FAIL"))</f>
        <v>PASS</v>
      </c>
    </row>
    <row r="52" customFormat="false" ht="15" hidden="false" customHeight="false" outlineLevel="0" collapsed="false">
      <c r="A52" s="0" t="s">
        <v>242</v>
      </c>
      <c r="B52" s="13" t="n">
        <f aca="false">ROUND('9 Other chapters'!B14,4)</f>
        <v>0.0659</v>
      </c>
      <c r="C52" s="13" t="n">
        <v>0.0659</v>
      </c>
      <c r="D52" s="17" t="str">
        <f aca="false">IF(ISNUMBER(B52)=FALSE(),"FAIL",IF(ABS(B52-C52)&lt;=MAX(0.000001,ABS(C52)*0.0005),"PASS","FAIL"))</f>
        <v>PASS</v>
      </c>
    </row>
    <row r="53" customFormat="false" ht="15" hidden="false" customHeight="false" outlineLevel="0" collapsed="false">
      <c r="A53" s="0" t="s">
        <v>243</v>
      </c>
      <c r="B53" s="13" t="n">
        <f aca="false">ROUND('9 Other chapters'!B15,4)</f>
        <v>0.0674</v>
      </c>
      <c r="C53" s="13" t="n">
        <v>0.0674</v>
      </c>
      <c r="D53" s="17" t="str">
        <f aca="false">IF(ISNUMBER(B53)=FALSE(),"FAIL",IF(ABS(B53-C53)&lt;=MAX(0.000001,ABS(C53)*0.0005),"PASS","FAIL"))</f>
        <v>PASS</v>
      </c>
    </row>
    <row r="54" customFormat="false" ht="15" hidden="false" customHeight="false" outlineLevel="0" collapsed="false">
      <c r="A54" s="0" t="s">
        <v>244</v>
      </c>
      <c r="B54" s="13" t="n">
        <f aca="false">ROUND('9 Other chapters'!B18,4)</f>
        <v>0.066</v>
      </c>
      <c r="C54" s="13" t="n">
        <v>0.066</v>
      </c>
      <c r="D54" s="17" t="str">
        <f aca="false">IF(ISNUMBER(B54)=FALSE(),"FAIL",IF(ABS(B54-C54)&lt;=MAX(0.000001,ABS(C54)*0.0005),"PASS","FAIL"))</f>
        <v>PASS</v>
      </c>
    </row>
    <row r="55" customFormat="false" ht="15" hidden="false" customHeight="false" outlineLevel="0" collapsed="false">
      <c r="A55" s="0" t="s">
        <v>245</v>
      </c>
      <c r="B55" s="8" t="n">
        <f aca="false">ROUND('9 Other chapters'!B25,0)</f>
        <v>634396</v>
      </c>
      <c r="C55" s="8" t="n">
        <v>634396</v>
      </c>
      <c r="D55" s="17" t="str">
        <f aca="false">IF(ISNUMBER(B55)=FALSE(),"FAIL",IF(ABS(B55-C55)&lt;=MAX(0.000001,ABS(C55)*0.0005),"PASS","FAIL"))</f>
        <v>PASS</v>
      </c>
    </row>
    <row r="56" customFormat="false" ht="15" hidden="false" customHeight="false" outlineLevel="0" collapsed="false">
      <c r="A56" s="0" t="s">
        <v>246</v>
      </c>
      <c r="B56" s="8" t="n">
        <f aca="false">ROUND('9 Other chapters'!B23,0)</f>
        <v>3240604</v>
      </c>
      <c r="C56" s="8" t="n">
        <v>3240604</v>
      </c>
      <c r="D56" s="17" t="str">
        <f aca="false">IF(ISNUMBER(B56)=FALSE(),"FAIL",IF(ABS(B56-C56)&lt;=MAX(0.000001,ABS(C56)*0.0005),"PASS","FAIL"))</f>
        <v>PASS</v>
      </c>
    </row>
    <row r="57" customFormat="false" ht="15" hidden="false" customHeight="false" outlineLevel="0" collapsed="false">
      <c r="A57" s="0" t="s">
        <v>247</v>
      </c>
      <c r="B57" s="23" t="n">
        <f aca="false">ROUND('9 Other chapters'!B24,3)</f>
        <v>1.196</v>
      </c>
      <c r="C57" s="23" t="n">
        <v>1.196</v>
      </c>
      <c r="D57" s="17" t="str">
        <f aca="false">IF(ISNUMBER(B57)=FALSE(),"FAIL",IF(ABS(B57-C57)&lt;=MAX(0.000001,ABS(C57)*0.0005),"PASS","FAIL"))</f>
        <v>PASS</v>
      </c>
    </row>
    <row r="58" customFormat="false" ht="15" hidden="false" customHeight="false" outlineLevel="0" collapsed="false">
      <c r="A58" s="0" t="s">
        <v>248</v>
      </c>
      <c r="B58" s="15" t="n">
        <f aca="false">ROUND('9 Other chapters'!B31,3)</f>
        <v>0.428</v>
      </c>
      <c r="C58" s="15" t="n">
        <v>0.428</v>
      </c>
      <c r="D58" s="17" t="str">
        <f aca="false">IF(ISNUMBER(B58)=FALSE(),"FAIL",IF(ABS(B58-C58)&lt;=MAX(0.000001,ABS(C58)*0.0005),"PASS","FAIL"))</f>
        <v>PASS</v>
      </c>
    </row>
    <row r="59" customFormat="false" ht="15" hidden="false" customHeight="false" outlineLevel="0" collapsed="false">
      <c r="A59" s="0" t="s">
        <v>249</v>
      </c>
      <c r="B59" s="15" t="n">
        <f aca="false">ROUND('9 Other chapters'!B32,3)</f>
        <v>0.333</v>
      </c>
      <c r="C59" s="15" t="n">
        <v>0.333</v>
      </c>
      <c r="D59" s="17" t="str">
        <f aca="false">IF(ISNUMBER(B59)=FALSE(),"FAIL",IF(ABS(B59-C59)&lt;=MAX(0.000001,ABS(C59)*0.0005),"PASS","FAIL"))</f>
        <v>PASS</v>
      </c>
    </row>
    <row r="60" customFormat="false" ht="15" hidden="false" customHeight="false" outlineLevel="0" collapsed="false">
      <c r="A60" s="0" t="s">
        <v>250</v>
      </c>
      <c r="B60" s="8" t="n">
        <f aca="false">ROUND('9 Other chapters'!B39,0)</f>
        <v>1074929</v>
      </c>
      <c r="C60" s="8" t="n">
        <v>1074929</v>
      </c>
      <c r="D60" s="17" t="str">
        <f aca="false">IF(ISNUMBER(B60)=FALSE(),"FAIL",IF(ABS(B60-C60)&lt;=MAX(0.000001,ABS(C60)*0.0005),"PASS","FAIL"))</f>
        <v>PASS</v>
      </c>
    </row>
    <row r="61" customFormat="false" ht="15" hidden="false" customHeight="false" outlineLevel="0" collapsed="false">
      <c r="A61" s="0" t="s">
        <v>251</v>
      </c>
      <c r="B61" s="8" t="n">
        <f aca="false">ROUND('9 Other chapters'!B40,0)</f>
        <v>4821005</v>
      </c>
      <c r="C61" s="8" t="n">
        <v>4821005</v>
      </c>
      <c r="D61" s="17" t="str">
        <f aca="false">IF(ISNUMBER(B61)=FALSE(),"FAIL",IF(ABS(B61-C61)&lt;=MAX(0.000001,ABS(C61)*0.0005),"PASS","FAIL"))</f>
        <v>PASS</v>
      </c>
    </row>
    <row r="62" customFormat="false" ht="15" hidden="false" customHeight="false" outlineLevel="0" collapsed="false">
      <c r="A62" s="0" t="s">
        <v>252</v>
      </c>
      <c r="B62" s="8" t="n">
        <f aca="false">ROUND('9 Other chapters'!C40,0)</f>
        <v>1521731</v>
      </c>
      <c r="C62" s="8" t="n">
        <v>1521731</v>
      </c>
      <c r="D62" s="17" t="str">
        <f aca="false">IF(ISNUMBER(B62)=FALSE(),"FAIL",IF(ABS(B62-C62)&lt;=MAX(0.000001,ABS(C62)*0.0005),"PASS","FAIL"))</f>
        <v>PASS</v>
      </c>
    </row>
    <row r="63" customFormat="false" ht="15" hidden="false" customHeight="false" outlineLevel="0" collapsed="false">
      <c r="A63" s="0" t="s">
        <v>253</v>
      </c>
      <c r="B63" s="8" t="n">
        <f aca="false">ROUND('9 Other chapters'!B41,0)</f>
        <v>40467882</v>
      </c>
      <c r="C63" s="8" t="n">
        <v>40467882</v>
      </c>
      <c r="D63" s="17" t="str">
        <f aca="false">IF(ISNUMBER(B63)=FALSE(),"FAIL",IF(ABS(B63-C63)&lt;=MAX(0.000001,ABS(C63)*0.0005),"PASS","FAIL"))</f>
        <v>PASS</v>
      </c>
    </row>
    <row r="64" customFormat="false" ht="15" hidden="false" customHeight="false" outlineLevel="0" collapsed="false">
      <c r="A64" s="0" t="s">
        <v>254</v>
      </c>
      <c r="B64" s="8" t="n">
        <f aca="false">ROUND('9 Other chapters'!C41,0)</f>
        <v>37302914</v>
      </c>
      <c r="C64" s="8" t="n">
        <v>37302914</v>
      </c>
      <c r="D64" s="17" t="str">
        <f aca="false">IF(ISNUMBER(B64)=FALSE(),"FAIL",IF(ABS(B64-C64)&lt;=MAX(0.000001,ABS(C64)*0.0005),"PASS","FAIL"))</f>
        <v>PASS</v>
      </c>
    </row>
    <row r="65" customFormat="false" ht="15" hidden="false" customHeight="false" outlineLevel="0" collapsed="false">
      <c r="A65" s="0" t="s">
        <v>255</v>
      </c>
      <c r="B65" s="8" t="n">
        <f aca="false">ROUND('9 Other chapters'!B44,0)</f>
        <v>3746076</v>
      </c>
      <c r="C65" s="8" t="n">
        <v>3746076</v>
      </c>
      <c r="D65" s="17" t="str">
        <f aca="false">IF(ISNUMBER(B65)=FALSE(),"FAIL",IF(ABS(B65-C65)&lt;=MAX(0.000001,ABS(C65)*0.0005),"PASS","FAIL"))</f>
        <v>PASS</v>
      </c>
    </row>
    <row r="67" customFormat="false" ht="15" hidden="false" customHeight="false" outlineLevel="0" collapsed="false">
      <c r="A67" s="17" t="s">
        <v>256</v>
      </c>
      <c r="B67" s="17" t="n">
        <f aca="false">COUNTIF(D5:D65,"PASS")</f>
        <v>61</v>
      </c>
      <c r="C67" s="17" t="n">
        <v>61</v>
      </c>
      <c r="D67" s="17" t="str">
        <f aca="false">IF(B67=C67,"ALL PASS","SOMETHING FAILS")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3" min="2" style="0" width="17"/>
    <col collapsed="false" customWidth="true" hidden="false" outlineLevel="0" max="4" min="4" style="0" width="46"/>
  </cols>
  <sheetData>
    <row r="1" customFormat="false" ht="16.15" hidden="false" customHeight="false" outlineLevel="0" collapsed="false">
      <c r="A1" s="1" t="s">
        <v>257</v>
      </c>
    </row>
    <row r="2" customFormat="false" ht="15" hidden="false" customHeight="false" outlineLevel="0" collapsed="false">
      <c r="A2" s="2" t="s">
        <v>258</v>
      </c>
    </row>
    <row r="4" customFormat="false" ht="15" hidden="false" customHeight="false" outlineLevel="0" collapsed="false">
      <c r="A4" s="3" t="s">
        <v>259</v>
      </c>
    </row>
    <row r="5" customFormat="false" ht="15" hidden="false" customHeight="false" outlineLevel="0" collapsed="false">
      <c r="A5" s="0" t="s">
        <v>260</v>
      </c>
      <c r="B5" s="11" t="n">
        <f aca="false">RATE('1 Inputs'!$B$9*12,-'1 Inputs'!$B$6/'1 Inputs'!$B$20/12,'1 Inputs'!$B$7)*12</f>
        <v>0.074302478959734</v>
      </c>
      <c r="D5" s="2" t="s">
        <v>261</v>
      </c>
    </row>
    <row r="6" customFormat="false" ht="15" hidden="false" customHeight="false" outlineLevel="0" collapsed="false">
      <c r="A6" s="0" t="s">
        <v>262</v>
      </c>
      <c r="B6" s="22" t="n">
        <f aca="false">(B5-'1 Inputs'!$B$8)*10000</f>
        <v>108.024789597339</v>
      </c>
      <c r="D6" s="2" t="s">
        <v>263</v>
      </c>
    </row>
    <row r="8" customFormat="false" ht="15" hidden="false" customHeight="false" outlineLevel="0" collapsed="false">
      <c r="A8" s="3" t="s">
        <v>264</v>
      </c>
    </row>
    <row r="9" customFormat="false" ht="15" hidden="false" customHeight="false" outlineLevel="0" collapsed="false">
      <c r="A9" s="0" t="s">
        <v>265</v>
      </c>
      <c r="B9" s="6" t="n">
        <v>0.01</v>
      </c>
      <c r="D9" s="2" t="s">
        <v>266</v>
      </c>
    </row>
    <row r="10" customFormat="false" ht="15" hidden="false" customHeight="false" outlineLevel="0" collapsed="false">
      <c r="A10" s="0" t="s">
        <v>267</v>
      </c>
      <c r="B10" s="5" t="n">
        <v>250000</v>
      </c>
      <c r="D10" s="2" t="s">
        <v>266</v>
      </c>
    </row>
    <row r="11" customFormat="false" ht="15" hidden="false" customHeight="false" outlineLevel="0" collapsed="false">
      <c r="A11" s="0" t="s">
        <v>268</v>
      </c>
      <c r="B11" s="6" t="n">
        <v>0.01</v>
      </c>
      <c r="D11" s="2" t="s">
        <v>266</v>
      </c>
    </row>
    <row r="12" customFormat="false" ht="15" hidden="false" customHeight="false" outlineLevel="0" collapsed="false">
      <c r="A12" s="0" t="s">
        <v>269</v>
      </c>
      <c r="B12" s="6" t="n">
        <v>0.065</v>
      </c>
      <c r="D12" s="2" t="s">
        <v>266</v>
      </c>
    </row>
    <row r="13" customFormat="false" ht="15" hidden="false" customHeight="false" outlineLevel="0" collapsed="false">
      <c r="A13" s="0" t="s">
        <v>270</v>
      </c>
      <c r="B13" s="8" t="n">
        <f aca="false">'1 Inputs'!$B$7*(1-B9)-B10</f>
        <v>36578000</v>
      </c>
      <c r="D13" s="2" t="s">
        <v>271</v>
      </c>
    </row>
    <row r="14" customFormat="false" ht="15" hidden="false" customHeight="false" outlineLevel="0" collapsed="false">
      <c r="A14" s="0" t="s">
        <v>272</v>
      </c>
      <c r="B14" s="11" t="n">
        <f aca="false">RATE(120,-'2 The loan'!$B$6/12,B13,-'1 Inputs'!$B$12)*12</f>
        <v>0.0659354554895579</v>
      </c>
      <c r="D14" s="2" t="s">
        <v>273</v>
      </c>
    </row>
    <row r="15" customFormat="false" ht="15" hidden="false" customHeight="false" outlineLevel="0" collapsed="false">
      <c r="A15" s="0" t="s">
        <v>274</v>
      </c>
      <c r="B15" s="11" t="n">
        <f aca="false">RATE(120,-'2 The loan'!$B$6/12,B13-B11*'1 Inputs'!$B$7,-'1 Inputs'!$B$12)*12</f>
        <v>0.0674171136216993</v>
      </c>
      <c r="D15" s="2" t="s">
        <v>275</v>
      </c>
    </row>
    <row r="16" customFormat="false" ht="15" hidden="false" customHeight="false" outlineLevel="0" collapsed="false">
      <c r="A16" s="0" t="s">
        <v>276</v>
      </c>
      <c r="B16" s="8" t="n">
        <f aca="false">'1 Inputs'!$B$7*(B12/12)/(1-(1+B12/12)^(-'1 Inputs'!$B$9*12))</f>
        <v>235129.304739383</v>
      </c>
    </row>
    <row r="17" customFormat="false" ht="15" hidden="false" customHeight="false" outlineLevel="0" collapsed="false">
      <c r="A17" s="0" t="s">
        <v>277</v>
      </c>
      <c r="B17" s="8" t="n">
        <f aca="false">'1 Inputs'!$B$7*(1+B12/12)^120-B16*((1+B12/12)^120-1)/(B12/12)</f>
        <v>31536719.0070411</v>
      </c>
    </row>
    <row r="18" customFormat="false" ht="15" hidden="false" customHeight="false" outlineLevel="0" collapsed="false">
      <c r="A18" s="0" t="s">
        <v>278</v>
      </c>
      <c r="B18" s="11" t="n">
        <f aca="false">RATE(120,-B16,'1 Inputs'!$B$7-B10,-B17)*12</f>
        <v>0.0659775674374073</v>
      </c>
      <c r="D18" s="2" t="s">
        <v>279</v>
      </c>
    </row>
    <row r="19" customFormat="false" ht="15" hidden="false" customHeight="false" outlineLevel="0" collapsed="false">
      <c r="A19" s="0" t="s">
        <v>280</v>
      </c>
      <c r="B19" s="11" t="n">
        <f aca="false">RATE(120,-B16,'1 Inputs'!$B$7,-B17)*12</f>
        <v>0.065</v>
      </c>
      <c r="D19" s="2" t="s">
        <v>281</v>
      </c>
    </row>
    <row r="21" customFormat="false" ht="15" hidden="false" customHeight="false" outlineLevel="0" collapsed="false">
      <c r="A21" s="3" t="s">
        <v>282</v>
      </c>
    </row>
    <row r="22" customFormat="false" ht="15" hidden="false" customHeight="false" outlineLevel="0" collapsed="false">
      <c r="A22" s="0" t="s">
        <v>283</v>
      </c>
      <c r="B22" s="8" t="n">
        <f aca="false">0.7*'1 Inputs'!$B$5</f>
        <v>43400000</v>
      </c>
    </row>
    <row r="23" customFormat="false" ht="15" hidden="false" customHeight="false" outlineLevel="0" collapsed="false">
      <c r="A23" s="0" t="s">
        <v>284</v>
      </c>
      <c r="B23" s="8" t="n">
        <f aca="false">B22*'2 The loan'!$B$5</f>
        <v>3240603.55400609</v>
      </c>
      <c r="D23" s="2" t="s">
        <v>285</v>
      </c>
    </row>
    <row r="24" customFormat="false" ht="15" hidden="false" customHeight="false" outlineLevel="0" collapsed="false">
      <c r="A24" s="0" t="s">
        <v>44</v>
      </c>
      <c r="B24" s="12" t="n">
        <f aca="false">'1 Inputs'!$B$6/B23</f>
        <v>1.19576490472266</v>
      </c>
      <c r="D24" s="2" t="s">
        <v>286</v>
      </c>
    </row>
    <row r="25" customFormat="false" ht="15" hidden="false" customHeight="false" outlineLevel="0" collapsed="false">
      <c r="A25" s="0" t="s">
        <v>287</v>
      </c>
      <c r="B25" s="8" t="n">
        <f aca="false">'1 Inputs'!$B$6-B23</f>
        <v>634396.445993914</v>
      </c>
      <c r="D25" s="2" t="s">
        <v>288</v>
      </c>
    </row>
    <row r="26" customFormat="false" ht="15" hidden="false" customHeight="false" outlineLevel="0" collapsed="false">
      <c r="A26" s="0" t="s">
        <v>289</v>
      </c>
      <c r="B26" s="15" t="n">
        <f aca="false">'1 Inputs'!$B$15*B23/'1 Inputs'!$B$6-1</f>
        <v>0.00354174575672328</v>
      </c>
      <c r="D26" s="2" t="s">
        <v>290</v>
      </c>
    </row>
    <row r="27" customFormat="false" ht="15" hidden="false" customHeight="false" outlineLevel="0" collapsed="false">
      <c r="A27" s="0" t="s">
        <v>291</v>
      </c>
      <c r="B27" s="15" t="n">
        <f aca="false">'1 Inputs'!$B$17*B23/'1 Inputs'!$B$6-1</f>
        <v>-0.121900972462867</v>
      </c>
      <c r="D27" s="2" t="s">
        <v>292</v>
      </c>
    </row>
    <row r="29" customFormat="false" ht="15" hidden="false" customHeight="false" outlineLevel="0" collapsed="false">
      <c r="A29" s="3" t="s">
        <v>293</v>
      </c>
    </row>
    <row r="30" customFormat="false" ht="15" hidden="false" customHeight="false" outlineLevel="0" collapsed="false">
      <c r="A30" s="0" t="s">
        <v>294</v>
      </c>
      <c r="B30" s="24" t="n">
        <v>0.02</v>
      </c>
      <c r="D30" s="2" t="s">
        <v>295</v>
      </c>
    </row>
    <row r="31" customFormat="false" ht="15" hidden="false" customHeight="false" outlineLevel="0" collapsed="false">
      <c r="A31" s="0" t="s">
        <v>296</v>
      </c>
      <c r="B31" s="15" t="n">
        <f aca="false">1-'1 Inputs'!$B$11/(1-B30)/'1 Inputs'!$B$5</f>
        <v>0.427870454579381</v>
      </c>
      <c r="D31" s="2" t="s">
        <v>297</v>
      </c>
    </row>
    <row r="32" customFormat="false" ht="15" hidden="false" customHeight="false" outlineLevel="0" collapsed="false">
      <c r="A32" s="0" t="s">
        <v>298</v>
      </c>
      <c r="B32" s="15" t="n">
        <f aca="false">1-B22/'1 Inputs'!$B$7*'1 Inputs'!$B$11/(1-B30)/'1 Inputs'!$B$5</f>
        <v>0.332515530342611</v>
      </c>
      <c r="D32" s="2" t="s">
        <v>299</v>
      </c>
    </row>
    <row r="34" customFormat="false" ht="15" hidden="false" customHeight="false" outlineLevel="0" collapsed="false">
      <c r="A34" s="3" t="s">
        <v>300</v>
      </c>
    </row>
    <row r="35" customFormat="false" ht="15" hidden="false" customHeight="false" outlineLevel="0" collapsed="false">
      <c r="A35" s="0" t="s">
        <v>301</v>
      </c>
      <c r="B35" s="24" t="n">
        <v>0.03</v>
      </c>
      <c r="D35" s="2" t="s">
        <v>302</v>
      </c>
    </row>
    <row r="36" customFormat="false" ht="15" hidden="false" customHeight="false" outlineLevel="0" collapsed="false">
      <c r="A36" s="0" t="s">
        <v>303</v>
      </c>
      <c r="B36" s="6" t="n">
        <v>0.041</v>
      </c>
      <c r="D36" s="2" t="s">
        <v>302</v>
      </c>
    </row>
    <row r="37" customFormat="false" ht="15" hidden="false" customHeight="false" outlineLevel="0" collapsed="false">
      <c r="A37" s="0" t="s">
        <v>304</v>
      </c>
      <c r="B37" s="6" t="n">
        <v>0.056</v>
      </c>
      <c r="D37" s="2" t="s">
        <v>302</v>
      </c>
    </row>
    <row r="38" customFormat="false" ht="15" hidden="false" customHeight="false" outlineLevel="0" collapsed="false">
      <c r="A38" s="14"/>
      <c r="B38" s="14" t="s">
        <v>305</v>
      </c>
      <c r="C38" s="14" t="s">
        <v>306</v>
      </c>
      <c r="D38" s="14" t="s">
        <v>307</v>
      </c>
    </row>
    <row r="39" customFormat="false" ht="15" hidden="false" customHeight="false" outlineLevel="0" collapsed="false">
      <c r="A39" s="0" t="s">
        <v>308</v>
      </c>
      <c r="B39" s="8" t="n">
        <f aca="false">B35*'1 Inputs'!$B$10</f>
        <v>1074928.94082216</v>
      </c>
      <c r="C39" s="8" t="n">
        <f aca="false">B39</f>
        <v>1074928.94082216</v>
      </c>
      <c r="D39" s="2" t="s">
        <v>309</v>
      </c>
    </row>
    <row r="40" customFormat="false" ht="15" hidden="false" customHeight="false" outlineLevel="0" collapsed="false">
      <c r="A40" s="0" t="s">
        <v>310</v>
      </c>
      <c r="B40" s="8" t="n">
        <f aca="false">('1 Inputs'!$B$8-$B$36)*'1 Inputs'!$B$10*(1-(1+$B$36)^-7)/$B$36</f>
        <v>4821005.22241739</v>
      </c>
      <c r="C40" s="8" t="n">
        <f aca="false">('1 Inputs'!$B$8-$B$37)*'1 Inputs'!$B$10*(1-(1+$B$37)^-7)/$B$37</f>
        <v>1521730.54032195</v>
      </c>
      <c r="D40" s="2" t="s">
        <v>311</v>
      </c>
    </row>
    <row r="41" customFormat="false" ht="15" hidden="false" customHeight="false" outlineLevel="0" collapsed="false">
      <c r="A41" s="0" t="s">
        <v>312</v>
      </c>
      <c r="B41" s="8" t="n">
        <f aca="false">PV($B$36/12,84,-'2 The loan'!$B$6/12)+'1 Inputs'!$B$12/(1+$B$36/12)^84</f>
        <v>40467882.3620514</v>
      </c>
      <c r="C41" s="8" t="n">
        <f aca="false">PV($B$37/12,84,-'2 The loan'!$B$6/12)+'1 Inputs'!$B$12/(1+$B$37/12)^84</f>
        <v>37302913.6383633</v>
      </c>
      <c r="D41" s="2" t="s">
        <v>313</v>
      </c>
    </row>
    <row r="42" customFormat="false" ht="15" hidden="false" customHeight="false" outlineLevel="0" collapsed="false">
      <c r="A42" s="0" t="s">
        <v>314</v>
      </c>
      <c r="B42" s="8" t="n">
        <f aca="false">B41-'1 Inputs'!$B$10</f>
        <v>4636917.66797937</v>
      </c>
      <c r="C42" s="8" t="n">
        <f aca="false">C41-'1 Inputs'!$B$10</f>
        <v>1471948.94429135</v>
      </c>
      <c r="D42" s="2" t="s">
        <v>315</v>
      </c>
    </row>
    <row r="43" customFormat="false" ht="15" hidden="false" customHeight="false" outlineLevel="0" collapsed="false">
      <c r="A43" s="0" t="s">
        <v>316</v>
      </c>
      <c r="B43" s="13" t="n">
        <f aca="false">B42/'1 Inputs'!$B$10</f>
        <v>0.129410907787993</v>
      </c>
      <c r="C43" s="13" t="n">
        <f aca="false">C42/'1 Inputs'!$B$10</f>
        <v>0.0410803604329101</v>
      </c>
      <c r="D43" s="2" t="s">
        <v>317</v>
      </c>
    </row>
    <row r="44" customFormat="false" ht="15" hidden="false" customHeight="false" outlineLevel="0" collapsed="false">
      <c r="A44" s="0" t="s">
        <v>318</v>
      </c>
      <c r="B44" s="8" t="n">
        <f aca="false">B40-B39</f>
        <v>3746076.28159523</v>
      </c>
      <c r="D44" s="2" t="s">
        <v>319</v>
      </c>
    </row>
    <row r="46" customFormat="false" ht="15" hidden="false" customHeight="false" outlineLevel="0" collapsed="false">
      <c r="A46" s="2" t="s">
        <v>320</v>
      </c>
    </row>
    <row r="47" customFormat="false" ht="15" hidden="false" customHeight="false" outlineLevel="0" collapsed="false">
      <c r="A47" s="2" t="s">
        <v>321</v>
      </c>
    </row>
    <row r="48" customFormat="false" ht="15" hidden="false" customHeight="false" outlineLevel="0" collapsed="false">
      <c r="A48" s="2" t="s">
        <v>322</v>
      </c>
    </row>
    <row r="49" customFormat="false" ht="15" hidden="false" customHeight="false" outlineLevel="0" collapsed="false">
      <c r="A49" s="2" t="s">
        <v>323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2026-08-22T16:12:33Z</dcterms:created>
  <dc:creator>openpyxl</dc:creator>
  <dc:description/>
  <dc:language>en-US</dc:language>
  <cp:lastModifiedBy/>
  <dcterms:modified xsi:type="dcterms:W3CDTF">2026-09-23T21:55:32Z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