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he carry" sheetId="2" state="visible" r:id="rId4"/>
    <sheet name="The letting decision" sheetId="3" state="visible" r:id="rId5"/>
    <sheet name="Land residual"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<sst xmlns="http://schemas.openxmlformats.org/spreadsheetml/2006/main" count="199" uniqueCount="151">
  <si>
    <t xml:space="preserve">Logistics and Industrial Real Estate — Workbook 3 of 5</t>
  </si>
  <si>
    <t xml:space="preserve">Development: the carry, the letting decision, and what the land is really worth</t>
  </si>
  <si>
    <t xml:space="preserve">Julian R. Sterling · julianrsterling.com/logistics</t>
  </si>
  <si>
    <t xml:space="preserve">Establish the carry first</t>
  </si>
  <si>
    <t xml:space="preserve">Everything in a speculative scheme is arithmetic around one number: what an empty building costs to hold for a month. On the book's scheme it is 142,500 — property taxes, insurance, security and maintenance, plus finance on the whole cost. Get that figure on the page before anything else, because every letting outcome is priced by subtracting multiples of it.</t>
  </si>
  <si>
    <t xml:space="preserve">Two dates decide the scheme</t>
  </si>
  <si>
    <t xml:space="preserve">The letting sheet computes both: the date by which the building must let for the scheme to break even, and the date by which it must let to earn a proper margin. On these numbers they are 29.2 months and 8.3 months. The scheme survives a two-and-a-half-year void and earns nothing; it earns a development margin only if it lets within roughly eight months of completion.
Any developer describing that scheme as low risk is describing the first date and pricing the second.</t>
  </si>
  <si>
    <t xml:space="preserve">What the land actually supports</t>
  </si>
  <si>
    <t xml:space="preserve">Run the expected outcome back through a required return and the land is worth 2.76 million, not the 4.70 million being paid. The land supports 4.70 million only with a pre-let in hand — which is precisely the difference between the two routes, expressed in money.</t>
  </si>
  <si>
    <t xml:space="preserve">A residual is not a valuation</t>
  </si>
  <si>
    <t xml:space="preserve">It is a difference between two large numbers, so a five per cent error in cost or value moves the land figure by a multiple of that. The residual sheet runs that sensitivity automatically. Always look at it before quoting the output.</t>
  </si>
  <si>
    <t xml:space="preserve">Conventions</t>
  </si>
  <si>
    <t xml:space="preserve">Blue is an input. Black is a formula. Green is a link to another sheet. Yellow fill marks the assumptions that carry the answer.</t>
  </si>
  <si>
    <t xml:space="preserve">Provided for education. Not investment advice.</t>
  </si>
  <si>
    <t xml:space="preserve">What an empty building costs to hold</t>
  </si>
  <si>
    <t xml:space="preserve">Appendix D. Both halves are real cash: lost rent and the carry.</t>
  </si>
  <si>
    <t xml:space="preserve">THE SCHEME</t>
  </si>
  <si>
    <t xml:space="preserve">Both halves are real cash</t>
  </si>
  <si>
    <t xml:space="preserve">Floor area, square meters</t>
  </si>
  <si>
    <t xml:space="preserve">The common error is counting lost rent and forgetting the carry — or counting the carry and forgetting that a building standing empty still consumes maintenance and security. Both are cash and both are paid monthly.
Notice the shape of the figure. Finance on the whole cost is 1,188,000 a year and the operating cost is 522,000, so more than two-thirds of the carry is the money, not the building. That is why a developer's tolerance for a void is a function of its balance sheet rather than of the asset.
Establish this number before anything else. Everything in the letting decision is arithmetic around it.</t>
  </si>
  <si>
    <t xml:space="preserve">Land</t>
  </si>
  <si>
    <t xml:space="preserve">Construction</t>
  </si>
  <si>
    <t xml:space="preserve">Fees and finance to completion</t>
  </si>
  <si>
    <t xml:space="preserve">Total cost</t>
  </si>
  <si>
    <t xml:space="preserve">Non-land cost</t>
  </si>
  <si>
    <t xml:space="preserve">HOLDING COSTS ONCE COMPLETE</t>
  </si>
  <si>
    <t xml:space="preserve">Property taxes, per square meter</t>
  </si>
  <si>
    <t xml:space="preserve">Insurance, security and maintenance, per square meter</t>
  </si>
  <si>
    <t xml:space="preserve">Debt rate on total cost</t>
  </si>
  <si>
    <t xml:space="preserve">Operating holding cost a year</t>
  </si>
  <si>
    <t xml:space="preserve">Finance a year</t>
  </si>
  <si>
    <t xml:space="preserve">Total carry a year</t>
  </si>
  <si>
    <t xml:space="preserve">a month</t>
  </si>
  <si>
    <t xml:space="preserve">A VOID, PRICED</t>
  </si>
  <si>
    <t xml:space="preserve">Void, months</t>
  </si>
  <si>
    <t xml:space="preserve">Carry</t>
  </si>
  <si>
    <t xml:space="preserve">plus lost rent at the outcome-two rent</t>
  </si>
  <si>
    <t xml:space="preserve">Total</t>
  </si>
  <si>
    <t xml:space="preserve">Pricing a speculative development</t>
  </si>
  <si>
    <t xml:space="preserve">Case 3. Four outcomes, weighted — and the two dates that are the whole case.</t>
  </si>
  <si>
    <t xml:space="preserve">Exit yield</t>
  </si>
  <si>
    <t xml:space="preserve">Those two dates are the whole case</t>
  </si>
  <si>
    <t xml:space="preserve">Purchaser's costs</t>
  </si>
  <si>
    <t xml:space="preserve">Expected profit is 1,186,707 on a cost of 19,800,000 — six per cent. That is not a development margin. It is a fee, and it is being earned for carrying two years of letting risk with a downside that loses 6,575,000.
The land block says the same thing from the other end. Requiring 17.5 per cent on cost, the scheme supports a land price of 2,761,027 against the 4,700,000 being paid. The land supports 4,700,000 only with a pre-let in hand, which is precisely the difference between the two routes.
And then the two dates. The scheme breaks even if the building lets within 29.2 months of completion, and earns fifteen per cent only if it lets within 8.3. Any developer describing this scheme as low risk is describing the first date and pricing the second.
Change the probabilities in row 17 before you accept any of it. The weighting is the softest input on the sheet and the one a letting agent supplies.</t>
  </si>
  <si>
    <t xml:space="preserve">Letting fee, % of the first year's rent</t>
  </si>
  <si>
    <t xml:space="preserve">Carry a month</t>
  </si>
  <si>
    <t xml:space="preserve">Floor area</t>
  </si>
  <si>
    <t xml:space="preserve">THE FOUR OUTCOMES</t>
  </si>
  <si>
    <t xml:space="preserve">Let at six months</t>
  </si>
  <si>
    <t xml:space="preserve">Let at twelve months</t>
  </si>
  <si>
    <t xml:space="preserve">Let at twenty-one months</t>
  </si>
  <si>
    <t xml:space="preserve">Unlet, sold empty</t>
  </si>
  <si>
    <t xml:space="preserve">Months to letting or sale</t>
  </si>
  <si>
    <t xml:space="preserve">Rent per square meter</t>
  </si>
  <si>
    <t xml:space="preserve">Rent-free months</t>
  </si>
  <si>
    <t xml:space="preserve">Empty sale price</t>
  </si>
  <si>
    <t xml:space="preserve">Probability</t>
  </si>
  <si>
    <t xml:space="preserve">Annual rent</t>
  </si>
  <si>
    <t xml:space="preserve">Capitalised</t>
  </si>
  <si>
    <t xml:space="preserve">Net of purchaser's costs</t>
  </si>
  <si>
    <t xml:space="preserve">Less rent-free, topped up</t>
  </si>
  <si>
    <t xml:space="preserve">Less carry</t>
  </si>
  <si>
    <t xml:space="preserve">Less letting fee</t>
  </si>
  <si>
    <t xml:space="preserve">Net realisation</t>
  </si>
  <si>
    <t xml:space="preserve">Weighted</t>
  </si>
  <si>
    <t xml:space="preserve">Expected net realisation</t>
  </si>
  <si>
    <t xml:space="preserve">Expected profit</t>
  </si>
  <si>
    <t xml:space="preserve">Margin on cost</t>
  </si>
  <si>
    <t xml:space="preserve">Loss in the worst outcome</t>
  </si>
  <si>
    <t xml:space="preserve">WHAT THE LAND PRICE THE SCHEME SUPPORTS</t>
  </si>
  <si>
    <t xml:space="preserve">Required margin on cost</t>
  </si>
  <si>
    <t xml:space="preserve">Total cost the scheme can carry</t>
  </si>
  <si>
    <t xml:space="preserve">Land the scheme supports</t>
  </si>
  <si>
    <t xml:space="preserve">against the land price being paid</t>
  </si>
  <si>
    <t xml:space="preserve">Overpayment</t>
  </si>
  <si>
    <t xml:space="preserve">THE TWO DATES</t>
  </si>
  <si>
    <t xml:space="preserve">On outcome-two terms, net realisation before carry</t>
  </si>
  <si>
    <t xml:space="preserve">Carry the scheme can absorb and still break even</t>
  </si>
  <si>
    <t xml:space="preserve">which is, in months</t>
  </si>
  <si>
    <t xml:space="preserve">Target margin for a proper development return</t>
  </si>
  <si>
    <t xml:space="preserve">Carry it can absorb and still earn that</t>
  </si>
  <si>
    <t xml:space="preserve">The land residual, and its sensitivity</t>
  </si>
  <si>
    <t xml:space="preserve">Appendix D. A residual is a difference between two large numbers. Run the sensitivity before quoting the output.</t>
  </si>
  <si>
    <t xml:space="preserve">Stabilised rent  (the Case 3 scheme, let at 82 per square meter)</t>
  </si>
  <si>
    <t xml:space="preserve">It is a difference between two large numbers, so a five per cent error in either moves the land figure by a multiple of that. Row 33 measures the multiple on your own scheme, and on a typical set of inputs it is between three and five times.
That is the whole reason a residual should never be quoted as a single number. Quote the band and the assumption that moves it most, which is almost always the exit yield.
On the profit measures: the same scheme scores 17.6 per cent on cost and 14.9 per cent on value, and the two are not interchangeable. Always ask which denominator is being used, because the more flattering one is usually the one being quoted.</t>
  </si>
  <si>
    <t xml:space="preserve">Fees and finance</t>
  </si>
  <si>
    <t xml:space="preserve">Required profit on cost</t>
  </si>
  <si>
    <t xml:space="preserve">Gross development value</t>
  </si>
  <si>
    <t xml:space="preserve">Total cost the value supports</t>
  </si>
  <si>
    <t xml:space="preserve">Land residual</t>
  </si>
  <si>
    <t xml:space="preserve">The same scheme as 'The letting decision', with the letting risk removed and a pre-let assumed.</t>
  </si>
  <si>
    <t xml:space="preserve">PROFIT, TWO WAYS</t>
  </si>
  <si>
    <t xml:space="preserve">Land actually paid</t>
  </si>
  <si>
    <t xml:space="preserve">Total cost at that land price</t>
  </si>
  <si>
    <t xml:space="preserve">Profit</t>
  </si>
  <si>
    <t xml:space="preserve">on cost</t>
  </si>
  <si>
    <t xml:space="preserve">on value</t>
  </si>
  <si>
    <t xml:space="preserve">The two measures are not interchangeable, and the more flattering one is usually the one being quoted.</t>
  </si>
  <si>
    <t xml:space="preserve">THE SENSITIVITY THAT MUST BE RUN</t>
  </si>
  <si>
    <t xml:space="preserve">Move</t>
  </si>
  <si>
    <t xml:space="preserve">Change</t>
  </si>
  <si>
    <t xml:space="preserve">Change, %</t>
  </si>
  <si>
    <t xml:space="preserve">Value 5 per cent lower</t>
  </si>
  <si>
    <t xml:space="preserve">Value 5 per cent higher</t>
  </si>
  <si>
    <t xml:space="preserve">Cost 5 per cent higher</t>
  </si>
  <si>
    <t xml:space="preserve">Cost 5 per cent lower</t>
  </si>
  <si>
    <t xml:space="preserve">Exit yield 25 bp softer</t>
  </si>
  <si>
    <t xml:space="preserve">A five per cent error in value moves the land figure by</t>
  </si>
  <si>
    <t xml:space="preserve">Every figure these appendices print, against what this workbook computes</t>
  </si>
  <si>
    <t xml:space="preserve">Appendix D, and Case 3 of Appendix C.</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</si>
  <si>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</si>
  <si>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</si>
  <si>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</si>
  <si>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</si>
  <si>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</si>
  <si>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</si>
  <si>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</si>
  <si>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App. D</t>
  </si>
  <si>
    <t xml:space="preserve">Operating holding cost, 29 per sq m on 18,000</t>
  </si>
  <si>
    <t xml:space="preserve">Each line carries its own tolerance, set to the precision the book prints: money to a unit, a percentage printed to one decimal to five hundredths of a point, a duration printed to one decimal to six hundredths of a month.
Two of the Appendix D lines are checked against the formula rather than against a sheet cell, because the appendix works them on figures that differ slightly from the Case 3 scheme. Those rows compute 24,100,000 divided by 1.175 less 15,100,000 in the cell itself, so the identity is tested even though no sheet uses those exact inputs.
The 'Land residual' sheet runs the same scheme as 'The letting decision' with the letting risk removed and a pre-let assumed — which is why its residual is 5.4 million against the 2.8 million the speculative route supports. That difference is the price of the letting risk, and it is the reason the two sheets sit in the same workbook.</t>
  </si>
  <si>
    <t xml:space="preserve">Finance at 6 per cent on 19,800,000</t>
  </si>
  <si>
    <t xml:space="preserve">A fourteen-month void, before lost rent</t>
  </si>
  <si>
    <t xml:space="preserve">Land residual: 24,100,000 of value, 15,100,000 of cost, 17.5 per cent</t>
  </si>
  <si>
    <t xml:space="preserve">Profit of 3,600,000 on a cost of 20,500,000</t>
  </si>
  <si>
    <t xml:space="preserve">the same profit on a value of 24,100,000</t>
  </si>
  <si>
    <t xml:space="preserve">Case 3</t>
  </si>
  <si>
    <t xml:space="preserve">Outcome one: capitalised</t>
  </si>
  <si>
    <t xml:space="preserve">Outcome one: net of purchaser's costs</t>
  </si>
  <si>
    <t xml:space="preserve">Outcome one: net realisation</t>
  </si>
  <si>
    <t xml:space="preserve">Outcome two: capitalised</t>
  </si>
  <si>
    <t xml:space="preserve">Outcome two: net of purchaser's costs</t>
  </si>
  <si>
    <t xml:space="preserve">Outcome two: net realisation</t>
  </si>
  <si>
    <t xml:space="preserve">Outcome three: capitalised</t>
  </si>
  <si>
    <t xml:space="preserve">Outcome three: net of purchaser's costs</t>
  </si>
  <si>
    <t xml:space="preserve">Outcome three: net realisation</t>
  </si>
  <si>
    <t xml:space="preserve">Outcome four: net realisation</t>
  </si>
  <si>
    <t xml:space="preserve">Weighted outcome one</t>
  </si>
  <si>
    <t xml:space="preserve">Weighted outcome two</t>
  </si>
  <si>
    <t xml:space="preserve">Weighted outcome three</t>
  </si>
  <si>
    <t xml:space="preserve">Weighted outcome four</t>
  </si>
  <si>
    <t xml:space="preserve">Margin on cost  (one decimal)</t>
  </si>
  <si>
    <t xml:space="preserve">Total cost the scheme can carry at 17.5 per cent</t>
  </si>
  <si>
    <t xml:space="preserve">Net realisation before carry, outcome-two terms</t>
  </si>
  <si>
    <t xml:space="preserve">Carry absorbable at break-even</t>
  </si>
  <si>
    <t xml:space="preserve">Break-even letting date, months</t>
  </si>
  <si>
    <t xml:space="preserve">Carry absorbable at a 15 per cent margin</t>
  </si>
  <si>
    <t xml:space="preserve">Letting date for a proper margin, months</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</si>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</sst>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6">
    <numFmt numFmtId="164" formatCode="General"/>
    <numFmt numFmtId="165" formatCode="#,##0;\(#,##0\);\-"/>
    <numFmt numFmtId="166" formatCode="#,##0.00;\(#,##0.00\);\-"/>
    <numFmt numFmtId="167" formatCode="0.00%"/>
    <numFmt numFmtId="168" formatCode="0"/>
    <numFmt numFmtId="169" formatCode="0.0"/>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10"/>
      <color rgb="FF008000"/>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left" vertical="center" textRotation="0" wrapText="tru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8" fontId="10" fillId="2"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7"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4" fontId="18" fillId="4" borderId="0" xfId="0" applyFont="true" applyBorder="false" applyAlignment="true" applyProtection="false">
      <alignment horizontal="general" vertical="bottom" textRotation="0" wrapText="false" indent="0" shrinkToFit="false"/>
      <protection locked="true" hidden="false"/>
    </xf>
    <xf numFmtId="167" fontId="16" fillId="0" borderId="0" xfId="0" applyFont="true" applyBorder="false" applyAlignment="true" applyProtection="false">
      <alignment horizontal="general" vertical="bottom" textRotation="0" wrapText="false" indent="0" shrinkToFit="false"/>
      <protection locked="true" hidden="false"/>
    </xf>
    <xf numFmtId="167" fontId="17" fillId="0" borderId="0" xfId="0" applyFont="true" applyBorder="false" applyAlignment="tru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general" vertical="bottom" textRotation="0" wrapText="false" indent="0" shrinkToFit="false"/>
      <protection locked="true" hidden="false"/>
    </xf>
    <xf numFmtId="167" fontId="16" fillId="4" borderId="0" xfId="0" applyFont="true" applyBorder="false" applyAlignment="true" applyProtection="false">
      <alignment horizontal="general" vertical="bottom" textRotation="0" wrapText="false" indent="0" shrinkToFit="false"/>
      <protection locked="true" hidden="false"/>
    </xf>
    <xf numFmtId="167" fontId="17" fillId="4" borderId="0" xfId="0" applyFont="true" applyBorder="false" applyAlignment="true" applyProtection="false">
      <alignment horizontal="general" vertical="bottom" textRotation="0" wrapText="false" indent="0" shrinkToFit="false"/>
      <protection locked="true" hidden="false"/>
    </xf>
    <xf numFmtId="167" fontId="15" fillId="4" borderId="0" xfId="0" applyFont="true" applyBorder="false" applyAlignment="true" applyProtection="false">
      <alignment horizontal="general" vertical="bottom" textRotation="0" wrapText="false" indent="0" shrinkToFit="false"/>
      <protection locked="true" hidden="false"/>
    </xf>
    <xf numFmtId="169" fontId="16" fillId="0" borderId="0" xfId="0" applyFont="true" applyBorder="false" applyAlignment="tru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general" vertical="bottom" textRotation="0" wrapText="false" indent="0" shrinkToFit="false"/>
      <protection locked="true" hidden="false"/>
    </xf>
    <xf numFmtId="169" fontId="15" fillId="0" borderId="0" xfId="0" applyFont="tru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73.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3" min="2" style="1" width="18"/>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5" t="s">
        <v>16</v>
      </c>
      <c r="E4" s="5" t="s">
        <v>17</v>
      </c>
    </row>
    <row r="5" customFormat="false" ht="15" hidden="false" customHeight="true" outlineLevel="0" collapsed="false">
      <c r="A5" s="8" t="s">
        <v>18</v>
      </c>
      <c r="B5" s="9" t="n">
        <v>18000</v>
      </c>
      <c r="E5" s="10" t="s">
        <v>19</v>
      </c>
    </row>
    <row r="6" customFormat="false" ht="15" hidden="false" customHeight="true" outlineLevel="0" collapsed="false">
      <c r="A6" s="8" t="s">
        <v>20</v>
      </c>
      <c r="B6" s="9" t="n">
        <v>4700000</v>
      </c>
      <c r="E6" s="10"/>
    </row>
    <row r="7" customFormat="false" ht="15" hidden="false" customHeight="true" outlineLevel="0" collapsed="false">
      <c r="A7" s="8" t="s">
        <v>21</v>
      </c>
      <c r="B7" s="9" t="n">
        <v>12300000</v>
      </c>
      <c r="E7" s="10"/>
    </row>
    <row r="8" customFormat="false" ht="15" hidden="false" customHeight="true" outlineLevel="0" collapsed="false">
      <c r="A8" s="8" t="s">
        <v>22</v>
      </c>
      <c r="B8" s="9" t="n">
        <v>2800000</v>
      </c>
      <c r="E8" s="10"/>
    </row>
    <row r="9" customFormat="false" ht="15" hidden="false" customHeight="true" outlineLevel="0" collapsed="false">
      <c r="A9" s="11" t="s">
        <v>23</v>
      </c>
      <c r="B9" s="12" t="n">
        <f aca="false">B6+B7+B8</f>
        <v>19800000</v>
      </c>
      <c r="E9" s="10"/>
    </row>
    <row r="10" customFormat="false" ht="15" hidden="false" customHeight="true" outlineLevel="0" collapsed="false">
      <c r="A10" s="8" t="s">
        <v>24</v>
      </c>
      <c r="B10" s="13" t="n">
        <f aca="false">B7+B8</f>
        <v>15100000</v>
      </c>
      <c r="E10" s="10"/>
    </row>
    <row r="11" customFormat="false" ht="15" hidden="false" customHeight="true" outlineLevel="0" collapsed="false">
      <c r="E11" s="10"/>
    </row>
    <row r="12" customFormat="false" ht="15" hidden="false" customHeight="true" outlineLevel="0" collapsed="false">
      <c r="A12" s="5" t="s">
        <v>25</v>
      </c>
      <c r="E12" s="10"/>
    </row>
    <row r="13" customFormat="false" ht="15" hidden="false" customHeight="true" outlineLevel="0" collapsed="false">
      <c r="A13" s="8" t="s">
        <v>26</v>
      </c>
      <c r="B13" s="14" t="n">
        <v>21</v>
      </c>
      <c r="E13" s="10"/>
    </row>
    <row r="14" customFormat="false" ht="15" hidden="false" customHeight="true" outlineLevel="0" collapsed="false">
      <c r="A14" s="8" t="s">
        <v>27</v>
      </c>
      <c r="B14" s="14" t="n">
        <v>8</v>
      </c>
      <c r="E14" s="10"/>
    </row>
    <row r="15" customFormat="false" ht="15" hidden="false" customHeight="true" outlineLevel="0" collapsed="false">
      <c r="A15" s="8" t="s">
        <v>28</v>
      </c>
      <c r="B15" s="15" t="n">
        <v>0.06</v>
      </c>
      <c r="E15" s="10"/>
    </row>
    <row r="16" customFormat="false" ht="15" hidden="false" customHeight="true" outlineLevel="0" collapsed="false">
      <c r="A16" s="8" t="s">
        <v>29</v>
      </c>
      <c r="B16" s="13" t="n">
        <f aca="false">(B13+B14)*B5</f>
        <v>522000</v>
      </c>
      <c r="E16" s="10"/>
    </row>
    <row r="17" customFormat="false" ht="15" hidden="false" customHeight="true" outlineLevel="0" collapsed="false">
      <c r="A17" s="8" t="s">
        <v>30</v>
      </c>
      <c r="B17" s="13" t="n">
        <f aca="false">B9*B15</f>
        <v>1188000</v>
      </c>
      <c r="E17" s="10"/>
    </row>
    <row r="18" customFormat="false" ht="15" hidden="false" customHeight="true" outlineLevel="0" collapsed="false">
      <c r="A18" s="11" t="s">
        <v>31</v>
      </c>
      <c r="B18" s="12" t="n">
        <f aca="false">B16+B17</f>
        <v>1710000</v>
      </c>
      <c r="E18" s="10"/>
    </row>
    <row r="19" customFormat="false" ht="15" hidden="false" customHeight="true" outlineLevel="0" collapsed="false">
      <c r="A19" s="11" t="s">
        <v>32</v>
      </c>
      <c r="B19" s="12" t="n">
        <f aca="false">B18/12</f>
        <v>142500</v>
      </c>
      <c r="E19" s="10"/>
    </row>
    <row r="20" customFormat="false" ht="15" hidden="false" customHeight="true" outlineLevel="0" collapsed="false">
      <c r="E20" s="10"/>
    </row>
    <row r="21" customFormat="false" ht="15" hidden="false" customHeight="true" outlineLevel="0" collapsed="false">
      <c r="A21" s="5" t="s">
        <v>33</v>
      </c>
      <c r="E21" s="10"/>
    </row>
    <row r="22" customFormat="false" ht="27.75" hidden="false" customHeight="true" outlineLevel="0" collapsed="false">
      <c r="A22" s="16" t="s">
        <v>34</v>
      </c>
      <c r="B22" s="17" t="s">
        <v>35</v>
      </c>
      <c r="C22" s="17" t="s">
        <v>36</v>
      </c>
      <c r="D22" s="17" t="s">
        <v>37</v>
      </c>
      <c r="E22" s="10"/>
    </row>
    <row r="23" customFormat="false" ht="15" hidden="false" customHeight="true" outlineLevel="0" collapsed="false">
      <c r="A23" s="18" t="n">
        <v>6</v>
      </c>
      <c r="B23" s="13" t="n">
        <f aca="false">A23*$B$19</f>
        <v>855000</v>
      </c>
      <c r="C23" s="13" t="n">
        <f aca="false">A23/12*'The letting decision'!$C$14*$B$5</f>
        <v>738000</v>
      </c>
      <c r="D23" s="13" t="n">
        <f aca="false">B23+C23</f>
        <v>1593000</v>
      </c>
      <c r="E23" s="10"/>
    </row>
    <row r="24" customFormat="false" ht="15" hidden="false" customHeight="true" outlineLevel="0" collapsed="false">
      <c r="A24" s="18" t="n">
        <v>12</v>
      </c>
      <c r="B24" s="13" t="n">
        <f aca="false">A24*$B$19</f>
        <v>1710000</v>
      </c>
      <c r="C24" s="13" t="n">
        <f aca="false">A24/12*'The letting decision'!$C$14*$B$5</f>
        <v>1476000</v>
      </c>
      <c r="D24" s="13" t="n">
        <f aca="false">B24+C24</f>
        <v>3186000</v>
      </c>
      <c r="E24" s="10"/>
    </row>
    <row r="25" customFormat="false" ht="15" hidden="false" customHeight="true" outlineLevel="0" collapsed="false">
      <c r="A25" s="18" t="n">
        <v>14</v>
      </c>
      <c r="B25" s="13" t="n">
        <f aca="false">A25*$B$19</f>
        <v>1995000</v>
      </c>
      <c r="C25" s="13" t="n">
        <f aca="false">A25/12*'The letting decision'!$C$14*$B$5</f>
        <v>1722000</v>
      </c>
      <c r="D25" s="13" t="n">
        <f aca="false">B25+C25</f>
        <v>3717000</v>
      </c>
    </row>
    <row r="26" customFormat="false" ht="15" hidden="false" customHeight="true" outlineLevel="0" collapsed="false">
      <c r="A26" s="18" t="n">
        <v>21</v>
      </c>
      <c r="B26" s="13" t="n">
        <f aca="false">A26*$B$19</f>
        <v>2992500</v>
      </c>
      <c r="C26" s="13" t="n">
        <f aca="false">A26/12*'The letting decision'!$C$14*$B$5</f>
        <v>2583000</v>
      </c>
      <c r="D26" s="13" t="n">
        <f aca="false">B26+C26</f>
        <v>5575500</v>
      </c>
    </row>
    <row r="27" customFormat="false" ht="15" hidden="false" customHeight="true" outlineLevel="0" collapsed="false">
      <c r="A27" s="18" t="n">
        <v>30</v>
      </c>
      <c r="B27" s="13" t="n">
        <f aca="false">A27*$B$19</f>
        <v>4275000</v>
      </c>
      <c r="C27" s="13" t="n">
        <f aca="false">A27/12*'The letting decision'!$C$14*$B$5</f>
        <v>3690000</v>
      </c>
      <c r="D27" s="13" t="n">
        <f aca="false">B27+C27</f>
        <v>7965000</v>
      </c>
    </row>
  </sheetData>
  <mergeCells count="1">
    <mergeCell ref="E5: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6"/>
    <col collapsed="false" customWidth="true" hidden="false" outlineLevel="0" max="7" min="7" style="1" width="3"/>
    <col collapsed="false" customWidth="true" hidden="false" outlineLevel="0" max="8" min="8" style="1" width="52"/>
  </cols>
  <sheetData>
    <row r="1" customFormat="false" ht="17.25" hidden="false" customHeight="true" outlineLevel="0" collapsed="false">
      <c r="A1" s="7" t="s">
        <v>38</v>
      </c>
    </row>
    <row r="2" customFormat="false" ht="15" hidden="false" customHeight="true" outlineLevel="0" collapsed="false">
      <c r="A2" s="4" t="s">
        <v>39</v>
      </c>
    </row>
    <row r="4" customFormat="false" ht="15" hidden="false" customHeight="true" outlineLevel="0" collapsed="false">
      <c r="A4" s="8" t="s">
        <v>40</v>
      </c>
      <c r="B4" s="15" t="n">
        <v>0.0575</v>
      </c>
      <c r="H4" s="5" t="s">
        <v>41</v>
      </c>
    </row>
    <row r="5" customFormat="false" ht="15" hidden="false" customHeight="true" outlineLevel="0" collapsed="false">
      <c r="A5" s="8" t="s">
        <v>42</v>
      </c>
      <c r="B5" s="15" t="n">
        <v>0.065</v>
      </c>
      <c r="H5" s="10" t="s">
        <v>43</v>
      </c>
    </row>
    <row r="6" customFormat="false" ht="15" hidden="false" customHeight="true" outlineLevel="0" collapsed="false">
      <c r="A6" s="8" t="s">
        <v>44</v>
      </c>
      <c r="B6" s="15" t="n">
        <v>0.1</v>
      </c>
      <c r="H6" s="10"/>
    </row>
    <row r="7" customFormat="false" ht="15" hidden="false" customHeight="true" outlineLevel="0" collapsed="false">
      <c r="A7" s="8" t="s">
        <v>45</v>
      </c>
      <c r="B7" s="19" t="n">
        <f aca="false">'The carry'!B19</f>
        <v>142500</v>
      </c>
      <c r="H7" s="10"/>
    </row>
    <row r="8" customFormat="false" ht="15" hidden="false" customHeight="true" outlineLevel="0" collapsed="false">
      <c r="A8" s="8" t="s">
        <v>23</v>
      </c>
      <c r="B8" s="19" t="n">
        <f aca="false">'The carry'!B9</f>
        <v>19800000</v>
      </c>
      <c r="H8" s="10"/>
    </row>
    <row r="9" customFormat="false" ht="15" hidden="false" customHeight="true" outlineLevel="0" collapsed="false">
      <c r="A9" s="8" t="s">
        <v>46</v>
      </c>
      <c r="B9" s="19" t="n">
        <f aca="false">'The carry'!B5</f>
        <v>18000</v>
      </c>
      <c r="H9" s="10"/>
    </row>
    <row r="10" customFormat="false" ht="15" hidden="false" customHeight="true" outlineLevel="0" collapsed="false">
      <c r="H10" s="10"/>
    </row>
    <row r="11" customFormat="false" ht="15" hidden="false" customHeight="true" outlineLevel="0" collapsed="false">
      <c r="A11" s="5" t="s">
        <v>47</v>
      </c>
      <c r="H11" s="10"/>
    </row>
    <row r="12" customFormat="false" ht="27.75" hidden="false" customHeight="true" outlineLevel="0" collapsed="false">
      <c r="A12" s="16"/>
      <c r="B12" s="17" t="s">
        <v>48</v>
      </c>
      <c r="C12" s="17" t="s">
        <v>49</v>
      </c>
      <c r="D12" s="17" t="s">
        <v>50</v>
      </c>
      <c r="E12" s="17" t="s">
        <v>51</v>
      </c>
      <c r="H12" s="10"/>
    </row>
    <row r="13" customFormat="false" ht="15" hidden="false" customHeight="true" outlineLevel="0" collapsed="false">
      <c r="A13" s="8" t="s">
        <v>52</v>
      </c>
      <c r="B13" s="20" t="n">
        <v>6</v>
      </c>
      <c r="C13" s="20" t="n">
        <v>12</v>
      </c>
      <c r="D13" s="20" t="n">
        <v>21</v>
      </c>
      <c r="E13" s="20" t="n">
        <v>30</v>
      </c>
      <c r="H13" s="10"/>
    </row>
    <row r="14" customFormat="false" ht="15" hidden="false" customHeight="true" outlineLevel="0" collapsed="false">
      <c r="A14" s="8" t="s">
        <v>53</v>
      </c>
      <c r="B14" s="14" t="n">
        <v>84</v>
      </c>
      <c r="C14" s="14" t="n">
        <v>82</v>
      </c>
      <c r="D14" s="14" t="n">
        <v>76</v>
      </c>
      <c r="E14" s="14" t="n">
        <v>0</v>
      </c>
      <c r="H14" s="10"/>
    </row>
    <row r="15" customFormat="false" ht="15" hidden="false" customHeight="true" outlineLevel="0" collapsed="false">
      <c r="A15" s="8" t="s">
        <v>54</v>
      </c>
      <c r="B15" s="18" t="n">
        <v>0</v>
      </c>
      <c r="C15" s="18" t="n">
        <v>0</v>
      </c>
      <c r="D15" s="18" t="n">
        <v>12</v>
      </c>
      <c r="E15" s="18" t="n">
        <v>0</v>
      </c>
      <c r="H15" s="10"/>
    </row>
    <row r="16" customFormat="false" ht="15" hidden="false" customHeight="true" outlineLevel="0" collapsed="false">
      <c r="A16" s="8" t="s">
        <v>55</v>
      </c>
      <c r="E16" s="9" t="n">
        <v>17500000</v>
      </c>
      <c r="H16" s="10"/>
    </row>
    <row r="17" customFormat="false" ht="15" hidden="false" customHeight="true" outlineLevel="0" collapsed="false">
      <c r="A17" s="8" t="s">
        <v>56</v>
      </c>
      <c r="B17" s="15" t="n">
        <v>0.3</v>
      </c>
      <c r="C17" s="15" t="n">
        <v>0.4</v>
      </c>
      <c r="D17" s="15" t="n">
        <v>0.22</v>
      </c>
      <c r="E17" s="15" t="n">
        <v>0.08</v>
      </c>
      <c r="H17" s="10"/>
    </row>
    <row r="18" customFormat="false" ht="15" hidden="false" customHeight="true" outlineLevel="0" collapsed="false">
      <c r="H18" s="10"/>
    </row>
    <row r="19" customFormat="false" ht="15" hidden="false" customHeight="true" outlineLevel="0" collapsed="false">
      <c r="A19" s="8" t="s">
        <v>57</v>
      </c>
      <c r="B19" s="13" t="n">
        <f aca="false">B14*$B$9</f>
        <v>1512000</v>
      </c>
      <c r="C19" s="13" t="n">
        <f aca="false">C14*$B$9</f>
        <v>1476000</v>
      </c>
      <c r="D19" s="13" t="n">
        <f aca="false">D14*$B$9</f>
        <v>1368000</v>
      </c>
      <c r="E19" s="13" t="n">
        <f aca="false">E14*$B$9</f>
        <v>0</v>
      </c>
      <c r="H19" s="10"/>
    </row>
    <row r="20" customFormat="false" ht="15" hidden="false" customHeight="true" outlineLevel="0" collapsed="false">
      <c r="A20" s="8" t="s">
        <v>58</v>
      </c>
      <c r="B20" s="13" t="n">
        <f aca="false">IF(B19=0,B16,B19/$B$4)</f>
        <v>26295652.173913</v>
      </c>
      <c r="C20" s="13" t="n">
        <f aca="false">IF(C19=0,C16,C19/$B$4)</f>
        <v>25669565.2173913</v>
      </c>
      <c r="D20" s="13" t="n">
        <f aca="false">IF(D19=0,D16,D19/$B$4)</f>
        <v>23791304.3478261</v>
      </c>
      <c r="E20" s="13" t="n">
        <f aca="false">IF(E19=0,E16,E19/$B$4)</f>
        <v>17500000</v>
      </c>
      <c r="H20" s="10"/>
    </row>
    <row r="21" customFormat="false" ht="15" hidden="false" customHeight="true" outlineLevel="0" collapsed="false">
      <c r="A21" s="8" t="s">
        <v>59</v>
      </c>
      <c r="B21" s="13" t="n">
        <f aca="false">IF(B19=0,B20,B20/(1+$B$5))</f>
        <v>24690753.2149418</v>
      </c>
      <c r="C21" s="13" t="n">
        <f aca="false">IF(C19=0,C20,C20/(1+$B$5))</f>
        <v>24102878.1383956</v>
      </c>
      <c r="D21" s="13" t="n">
        <f aca="false">IF(D19=0,D20,D20/(1+$B$5))</f>
        <v>22339252.9087569</v>
      </c>
      <c r="E21" s="13" t="n">
        <f aca="false">IF(E19=0,E20,E20/(1+$B$5))</f>
        <v>17500000</v>
      </c>
      <c r="H21" s="10"/>
    </row>
    <row r="22" customFormat="false" ht="15" hidden="false" customHeight="true" outlineLevel="0" collapsed="false">
      <c r="A22" s="8" t="s">
        <v>60</v>
      </c>
      <c r="B22" s="13" t="n">
        <f aca="false">-B19*B15/12</f>
        <v>-0</v>
      </c>
      <c r="C22" s="13" t="n">
        <f aca="false">-C19*C15/12</f>
        <v>-0</v>
      </c>
      <c r="D22" s="13" t="n">
        <f aca="false">-D19*D15/12</f>
        <v>-1368000</v>
      </c>
      <c r="E22" s="13" t="n">
        <f aca="false">-E19*E15/12</f>
        <v>-0</v>
      </c>
      <c r="H22" s="10"/>
    </row>
    <row r="23" customFormat="false" ht="15" hidden="false" customHeight="true" outlineLevel="0" collapsed="false">
      <c r="A23" s="8" t="s">
        <v>61</v>
      </c>
      <c r="B23" s="13" t="n">
        <f aca="false">-B13*$B$7</f>
        <v>-855000</v>
      </c>
      <c r="C23" s="13" t="n">
        <f aca="false">-C13*$B$7</f>
        <v>-1710000</v>
      </c>
      <c r="D23" s="13" t="n">
        <f aca="false">-D13*$B$7</f>
        <v>-2992500</v>
      </c>
      <c r="E23" s="13" t="n">
        <f aca="false">-E13*$B$7</f>
        <v>-4275000</v>
      </c>
      <c r="H23" s="10"/>
    </row>
    <row r="24" customFormat="false" ht="15" hidden="false" customHeight="true" outlineLevel="0" collapsed="false">
      <c r="A24" s="8" t="s">
        <v>62</v>
      </c>
      <c r="B24" s="13" t="n">
        <f aca="false">-B19*$B$6</f>
        <v>-151200</v>
      </c>
      <c r="C24" s="13" t="n">
        <f aca="false">-C19*$B$6</f>
        <v>-147600</v>
      </c>
      <c r="D24" s="13" t="n">
        <f aca="false">-D19*$B$6</f>
        <v>-136800</v>
      </c>
      <c r="E24" s="13" t="n">
        <f aca="false">-E19*$B$6</f>
        <v>-0</v>
      </c>
      <c r="H24" s="10"/>
    </row>
    <row r="25" customFormat="false" ht="15" hidden="false" customHeight="true" outlineLevel="0" collapsed="false">
      <c r="A25" s="11" t="s">
        <v>63</v>
      </c>
      <c r="B25" s="12" t="n">
        <f aca="false">SUM(B21:B24)</f>
        <v>23684553.2149418</v>
      </c>
      <c r="C25" s="12" t="n">
        <f aca="false">SUM(C21:C24)</f>
        <v>22245278.1383956</v>
      </c>
      <c r="D25" s="12" t="n">
        <f aca="false">SUM(D21:D24)</f>
        <v>17841952.9087569</v>
      </c>
      <c r="E25" s="12" t="n">
        <f aca="false">SUM(E21:E24)</f>
        <v>13225000</v>
      </c>
      <c r="H25" s="10"/>
    </row>
    <row r="26" customFormat="false" ht="15" hidden="false" customHeight="true" outlineLevel="0" collapsed="false">
      <c r="A26" s="8" t="s">
        <v>64</v>
      </c>
      <c r="B26" s="13" t="n">
        <f aca="false">B25*B17</f>
        <v>7105365.96448255</v>
      </c>
      <c r="C26" s="13" t="n">
        <f aca="false">C25*C17</f>
        <v>8898111.25535824</v>
      </c>
      <c r="D26" s="13" t="n">
        <f aca="false">D25*D17</f>
        <v>3925229.63992652</v>
      </c>
      <c r="E26" s="13" t="n">
        <f aca="false">E25*E17</f>
        <v>1058000</v>
      </c>
      <c r="H26" s="10"/>
    </row>
    <row r="27" customFormat="false" ht="15" hidden="false" customHeight="true" outlineLevel="0" collapsed="false">
      <c r="H27" s="10"/>
    </row>
    <row r="28" customFormat="false" ht="15" hidden="false" customHeight="true" outlineLevel="0" collapsed="false">
      <c r="A28" s="11" t="s">
        <v>65</v>
      </c>
      <c r="B28" s="12" t="n">
        <f aca="false">SUM(B26:E26)</f>
        <v>20986706.8597673</v>
      </c>
      <c r="H28" s="10"/>
    </row>
    <row r="29" customFormat="false" ht="15" hidden="false" customHeight="true" outlineLevel="0" collapsed="false">
      <c r="A29" s="8" t="s">
        <v>66</v>
      </c>
      <c r="B29" s="13" t="n">
        <f aca="false">B28-B8</f>
        <v>1186706.8597673</v>
      </c>
    </row>
    <row r="30" customFormat="false" ht="15" hidden="false" customHeight="true" outlineLevel="0" collapsed="false">
      <c r="A30" s="11" t="s">
        <v>67</v>
      </c>
      <c r="B30" s="21" t="n">
        <f aca="false">B29/B8</f>
        <v>0.0599346898872375</v>
      </c>
    </row>
    <row r="31" customFormat="false" ht="15" hidden="false" customHeight="true" outlineLevel="0" collapsed="false">
      <c r="A31" s="8" t="s">
        <v>68</v>
      </c>
      <c r="B31" s="13" t="n">
        <f aca="false">E25-B8</f>
        <v>-6575000</v>
      </c>
    </row>
    <row r="33" customFormat="false" ht="15" hidden="false" customHeight="true" outlineLevel="0" collapsed="false">
      <c r="A33" s="5" t="s">
        <v>69</v>
      </c>
    </row>
    <row r="34" customFormat="false" ht="15" hidden="false" customHeight="true" outlineLevel="0" collapsed="false">
      <c r="A34" s="8" t="s">
        <v>70</v>
      </c>
      <c r="B34" s="15" t="n">
        <v>0.175</v>
      </c>
    </row>
    <row r="35" customFormat="false" ht="15" hidden="false" customHeight="true" outlineLevel="0" collapsed="false">
      <c r="A35" s="8" t="s">
        <v>71</v>
      </c>
      <c r="B35" s="13" t="n">
        <f aca="false">B28/(1+B34)</f>
        <v>17861027.1146956</v>
      </c>
    </row>
    <row r="36" customFormat="false" ht="15" hidden="false" customHeight="true" outlineLevel="0" collapsed="false">
      <c r="A36" s="8" t="s">
        <v>24</v>
      </c>
      <c r="B36" s="19" t="n">
        <f aca="false">'The carry'!B10</f>
        <v>15100000</v>
      </c>
    </row>
    <row r="37" customFormat="false" ht="15" hidden="false" customHeight="true" outlineLevel="0" collapsed="false">
      <c r="A37" s="11" t="s">
        <v>72</v>
      </c>
      <c r="B37" s="12" t="n">
        <f aca="false">B35-B36</f>
        <v>2761027.11469558</v>
      </c>
    </row>
    <row r="38" customFormat="false" ht="15" hidden="false" customHeight="true" outlineLevel="0" collapsed="false">
      <c r="A38" s="8" t="s">
        <v>73</v>
      </c>
      <c r="B38" s="19" t="n">
        <f aca="false">'The carry'!B6</f>
        <v>4700000</v>
      </c>
    </row>
    <row r="39" customFormat="false" ht="15" hidden="false" customHeight="true" outlineLevel="0" collapsed="false">
      <c r="A39" s="11" t="s">
        <v>74</v>
      </c>
      <c r="B39" s="12" t="n">
        <f aca="false">B38-B37</f>
        <v>1938972.88530443</v>
      </c>
    </row>
    <row r="41" customFormat="false" ht="15" hidden="false" customHeight="true" outlineLevel="0" collapsed="false">
      <c r="A41" s="5" t="s">
        <v>75</v>
      </c>
    </row>
    <row r="42" customFormat="false" ht="15" hidden="false" customHeight="true" outlineLevel="0" collapsed="false">
      <c r="A42" s="8" t="s">
        <v>76</v>
      </c>
      <c r="B42" s="13" t="n">
        <f aca="false">C21+C24</f>
        <v>23955278.1383956</v>
      </c>
    </row>
    <row r="43" customFormat="false" ht="15" hidden="false" customHeight="true" outlineLevel="0" collapsed="false">
      <c r="A43" s="8" t="s">
        <v>77</v>
      </c>
      <c r="B43" s="13" t="n">
        <f aca="false">B42-B8</f>
        <v>4155278.13839559</v>
      </c>
    </row>
    <row r="44" customFormat="false" ht="15" hidden="false" customHeight="true" outlineLevel="0" collapsed="false">
      <c r="A44" s="11" t="s">
        <v>78</v>
      </c>
      <c r="B44" s="22" t="n">
        <f aca="false">B43/B7</f>
        <v>29.1598465852322</v>
      </c>
    </row>
    <row r="45" customFormat="false" ht="15" hidden="false" customHeight="true" outlineLevel="0" collapsed="false">
      <c r="A45" s="8" t="s">
        <v>79</v>
      </c>
      <c r="B45" s="15" t="n">
        <v>0.15</v>
      </c>
    </row>
    <row r="46" customFormat="false" ht="15" hidden="false" customHeight="true" outlineLevel="0" collapsed="false">
      <c r="A46" s="8" t="s">
        <v>80</v>
      </c>
      <c r="B46" s="13" t="n">
        <f aca="false">B42-B8*(1+B45)</f>
        <v>1185278.13839559</v>
      </c>
    </row>
    <row r="47" customFormat="false" ht="15" hidden="false" customHeight="true" outlineLevel="0" collapsed="false">
      <c r="A47" s="11" t="s">
        <v>78</v>
      </c>
      <c r="B47" s="22" t="n">
        <f aca="false">B46/B7</f>
        <v>8.31774132207433</v>
      </c>
    </row>
  </sheetData>
  <mergeCells count="1">
    <mergeCell ref="H5:H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4" min="2" style="1" width="18"/>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81</v>
      </c>
    </row>
    <row r="2" customFormat="false" ht="15" hidden="false" customHeight="true" outlineLevel="0" collapsed="false">
      <c r="A2" s="4" t="s">
        <v>82</v>
      </c>
    </row>
    <row r="4" customFormat="false" ht="15" hidden="false" customHeight="true" outlineLevel="0" collapsed="false">
      <c r="A4" s="5" t="s">
        <v>16</v>
      </c>
      <c r="F4" s="5" t="s">
        <v>9</v>
      </c>
    </row>
    <row r="5" customFormat="false" ht="15" hidden="false" customHeight="true" outlineLevel="0" collapsed="false">
      <c r="A5" s="8" t="s">
        <v>83</v>
      </c>
      <c r="B5" s="9" t="n">
        <v>1476000</v>
      </c>
      <c r="F5" s="10" t="s">
        <v>84</v>
      </c>
    </row>
    <row r="6" customFormat="false" ht="15" hidden="false" customHeight="true" outlineLevel="0" collapsed="false">
      <c r="A6" s="8" t="s">
        <v>40</v>
      </c>
      <c r="B6" s="15" t="n">
        <v>0.0575</v>
      </c>
      <c r="F6" s="10"/>
    </row>
    <row r="7" customFormat="false" ht="15" hidden="false" customHeight="true" outlineLevel="0" collapsed="false">
      <c r="A7" s="8" t="s">
        <v>42</v>
      </c>
      <c r="B7" s="15" t="n">
        <v>0.065</v>
      </c>
      <c r="F7" s="10"/>
    </row>
    <row r="8" customFormat="false" ht="15" hidden="false" customHeight="true" outlineLevel="0" collapsed="false">
      <c r="A8" s="8" t="s">
        <v>21</v>
      </c>
      <c r="B8" s="9" t="n">
        <v>12300000</v>
      </c>
      <c r="F8" s="10"/>
    </row>
    <row r="9" customFormat="false" ht="15" hidden="false" customHeight="true" outlineLevel="0" collapsed="false">
      <c r="A9" s="8" t="s">
        <v>85</v>
      </c>
      <c r="B9" s="9" t="n">
        <v>2800000</v>
      </c>
      <c r="F9" s="10"/>
    </row>
    <row r="10" customFormat="false" ht="15" hidden="false" customHeight="true" outlineLevel="0" collapsed="false">
      <c r="A10" s="8" t="s">
        <v>86</v>
      </c>
      <c r="B10" s="15" t="n">
        <v>0.175</v>
      </c>
      <c r="F10" s="10"/>
    </row>
    <row r="11" customFormat="false" ht="15" hidden="false" customHeight="true" outlineLevel="0" collapsed="false">
      <c r="A11" s="8" t="s">
        <v>87</v>
      </c>
      <c r="B11" s="13" t="n">
        <f aca="false">B5/B6</f>
        <v>25669565.2173913</v>
      </c>
      <c r="F11" s="10"/>
    </row>
    <row r="12" customFormat="false" ht="15" hidden="false" customHeight="true" outlineLevel="0" collapsed="false">
      <c r="A12" s="8" t="s">
        <v>59</v>
      </c>
      <c r="B12" s="13" t="n">
        <f aca="false">B11/(1+B7)</f>
        <v>24102878.1383956</v>
      </c>
      <c r="F12" s="10"/>
    </row>
    <row r="13" customFormat="false" ht="15" hidden="false" customHeight="true" outlineLevel="0" collapsed="false">
      <c r="A13" s="8" t="s">
        <v>24</v>
      </c>
      <c r="B13" s="13" t="n">
        <f aca="false">B8+B9</f>
        <v>15100000</v>
      </c>
      <c r="F13" s="10"/>
    </row>
    <row r="14" customFormat="false" ht="15" hidden="false" customHeight="true" outlineLevel="0" collapsed="false">
      <c r="A14" s="8" t="s">
        <v>88</v>
      </c>
      <c r="B14" s="13" t="n">
        <f aca="false">B12/(1+B10)</f>
        <v>20513087.777358</v>
      </c>
      <c r="F14" s="10"/>
    </row>
    <row r="15" customFormat="false" ht="15" hidden="false" customHeight="true" outlineLevel="0" collapsed="false">
      <c r="A15" s="11" t="s">
        <v>89</v>
      </c>
      <c r="B15" s="12" t="n">
        <f aca="false">B14-B13</f>
        <v>5413087.77735795</v>
      </c>
      <c r="F15" s="10"/>
    </row>
    <row r="16" customFormat="false" ht="15" hidden="false" customHeight="true" outlineLevel="0" collapsed="false">
      <c r="A16" s="23" t="s">
        <v>90</v>
      </c>
      <c r="B16" s="23"/>
      <c r="C16" s="23"/>
      <c r="D16" s="23"/>
      <c r="F16" s="10"/>
    </row>
    <row r="17" customFormat="false" ht="15" hidden="false" customHeight="true" outlineLevel="0" collapsed="false">
      <c r="A17" s="5" t="s">
        <v>91</v>
      </c>
      <c r="F17" s="10"/>
    </row>
    <row r="18" customFormat="false" ht="15" hidden="false" customHeight="true" outlineLevel="0" collapsed="false">
      <c r="A18" s="8" t="s">
        <v>92</v>
      </c>
      <c r="B18" s="9" t="n">
        <v>4700000</v>
      </c>
      <c r="F18" s="10"/>
    </row>
    <row r="19" customFormat="false" ht="15" hidden="false" customHeight="true" outlineLevel="0" collapsed="false">
      <c r="A19" s="8" t="s">
        <v>93</v>
      </c>
      <c r="B19" s="13" t="n">
        <f aca="false">B13+B18</f>
        <v>19800000</v>
      </c>
      <c r="F19" s="10"/>
    </row>
    <row r="20" customFormat="false" ht="15" hidden="false" customHeight="true" outlineLevel="0" collapsed="false">
      <c r="A20" s="8" t="s">
        <v>94</v>
      </c>
      <c r="B20" s="13" t="n">
        <f aca="false">B12-B19</f>
        <v>4302878.13839559</v>
      </c>
      <c r="F20" s="10"/>
    </row>
    <row r="21" customFormat="false" ht="15" hidden="false" customHeight="true" outlineLevel="0" collapsed="false">
      <c r="A21" s="11" t="s">
        <v>95</v>
      </c>
      <c r="B21" s="21" t="n">
        <f aca="false">B20/B19</f>
        <v>0.217317077696747</v>
      </c>
      <c r="F21" s="10"/>
    </row>
    <row r="22" customFormat="false" ht="15" hidden="false" customHeight="true" outlineLevel="0" collapsed="false">
      <c r="A22" s="11" t="s">
        <v>96</v>
      </c>
      <c r="B22" s="21" t="n">
        <f aca="false">B20/B12</f>
        <v>0.178521341463415</v>
      </c>
      <c r="F22" s="10"/>
    </row>
    <row r="23" customFormat="false" ht="15" hidden="false" customHeight="true" outlineLevel="0" collapsed="false">
      <c r="A23" s="23" t="s">
        <v>97</v>
      </c>
      <c r="B23" s="23"/>
      <c r="C23" s="23"/>
      <c r="D23" s="23"/>
      <c r="F23" s="10"/>
    </row>
    <row r="24" customFormat="false" ht="15" hidden="false" customHeight="true" outlineLevel="0" collapsed="false">
      <c r="F24" s="10"/>
    </row>
    <row r="25" customFormat="false" ht="15" hidden="false" customHeight="true" outlineLevel="0" collapsed="false">
      <c r="A25" s="5" t="s">
        <v>98</v>
      </c>
    </row>
    <row r="26" customFormat="false" ht="27.75" hidden="false" customHeight="true" outlineLevel="0" collapsed="false">
      <c r="A26" s="16" t="s">
        <v>99</v>
      </c>
      <c r="B26" s="17" t="s">
        <v>89</v>
      </c>
      <c r="C26" s="17" t="s">
        <v>100</v>
      </c>
      <c r="D26" s="17" t="s">
        <v>101</v>
      </c>
    </row>
    <row r="27" customFormat="false" ht="15" hidden="false" customHeight="true" outlineLevel="0" collapsed="false">
      <c r="A27" s="8" t="s">
        <v>102</v>
      </c>
      <c r="B27" s="13" t="n">
        <f aca="false">(B12*0.95)/(1+B10)-B13</f>
        <v>4387433.38849005</v>
      </c>
      <c r="C27" s="13" t="n">
        <f aca="false">B27-$B$15</f>
        <v>-1025654.3888679</v>
      </c>
      <c r="D27" s="24" t="n">
        <f aca="false">B27/$B$15-1</f>
        <v>-0.189476770200927</v>
      </c>
    </row>
    <row r="28" customFormat="false" ht="15" hidden="false" customHeight="true" outlineLevel="0" collapsed="false">
      <c r="A28" s="8" t="s">
        <v>103</v>
      </c>
      <c r="B28" s="13" t="n">
        <f aca="false">(B12*1.05)/(1+B10)-B13</f>
        <v>6438742.16622585</v>
      </c>
      <c r="C28" s="13" t="n">
        <f aca="false">B28-$B$15</f>
        <v>1025654.3888679</v>
      </c>
      <c r="D28" s="24" t="n">
        <f aca="false">B28/$B$15-1</f>
        <v>0.189476770200927</v>
      </c>
    </row>
    <row r="29" customFormat="false" ht="15" hidden="false" customHeight="true" outlineLevel="0" collapsed="false">
      <c r="A29" s="8" t="s">
        <v>104</v>
      </c>
      <c r="B29" s="13" t="n">
        <f aca="false">B12/(1+B10)-B13*1.05</f>
        <v>4658087.77735795</v>
      </c>
      <c r="C29" s="13" t="n">
        <f aca="false">B29-$B$15</f>
        <v>-755000</v>
      </c>
      <c r="D29" s="24" t="n">
        <f aca="false">B29/$B$15-1</f>
        <v>-0.139476770200927</v>
      </c>
    </row>
    <row r="30" customFormat="false" ht="15" hidden="false" customHeight="true" outlineLevel="0" collapsed="false">
      <c r="A30" s="8" t="s">
        <v>105</v>
      </c>
      <c r="B30" s="13" t="n">
        <f aca="false">B12/(1+B10)-B13*0.95</f>
        <v>6168087.77735795</v>
      </c>
      <c r="C30" s="13" t="n">
        <f aca="false">B30-$B$15</f>
        <v>755000</v>
      </c>
      <c r="D30" s="24" t="n">
        <f aca="false">B30/$B$15-1</f>
        <v>0.139476770200927</v>
      </c>
    </row>
    <row r="31" customFormat="false" ht="15" hidden="false" customHeight="true" outlineLevel="0" collapsed="false">
      <c r="A31" s="8" t="s">
        <v>106</v>
      </c>
      <c r="B31" s="13" t="n">
        <f aca="false">(B5/(B6+0.0025)/(1+B7))/(1+B10)-B13</f>
        <v>4558375.7866347</v>
      </c>
      <c r="C31" s="13" t="n">
        <f aca="false">B31-$B$15</f>
        <v>-854711.990723252</v>
      </c>
      <c r="D31" s="24" t="n">
        <f aca="false">B31/$B$15-1</f>
        <v>-0.157897308500773</v>
      </c>
    </row>
    <row r="33" customFormat="false" ht="15" hidden="false" customHeight="true" outlineLevel="0" collapsed="false">
      <c r="A33" s="11" t="s">
        <v>107</v>
      </c>
      <c r="B33" s="21" t="n">
        <f aca="false">MAX(ABS(D27),ABS(D28))</f>
        <v>0.189476770200927</v>
      </c>
    </row>
  </sheetData>
  <mergeCells count="3">
    <mergeCell ref="F5:F24"/>
    <mergeCell ref="A16:D16"/>
    <mergeCell ref="A23:D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6"/>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108</v>
      </c>
    </row>
    <row r="2" customFormat="false" ht="15" hidden="false" customHeight="true" outlineLevel="0" collapsed="false">
      <c r="A2" s="4" t="s">
        <v>109</v>
      </c>
    </row>
    <row r="4" customFormat="false" ht="27.75" hidden="false" customHeight="true" outlineLevel="0" collapsed="false">
      <c r="A4" s="16" t="s">
        <v>110</v>
      </c>
      <c r="B4" s="17" t="s">
        <v>111</v>
      </c>
      <c r="C4" s="17" t="s">
        <v>112</v>
      </c>
      <c r="D4" s="17" t="s">
        <v>113</v>
      </c>
      <c r="E4" s="17" t="s">
        <v>114</v>
      </c>
      <c r="F4" s="17" t="s">
        <v>115</v>
      </c>
      <c r="H4" s="5" t="s">
        <v>116</v>
      </c>
    </row>
    <row r="5" customFormat="false" ht="15" hidden="false" customHeight="true" outlineLevel="0" collapsed="false">
      <c r="A5" s="25" t="s">
        <v>117</v>
      </c>
      <c r="B5" s="26" t="s">
        <v>118</v>
      </c>
      <c r="C5" s="27" t="n">
        <v>522000</v>
      </c>
      <c r="D5" s="28" t="n">
        <f aca="false">'The carry'!B16</f>
        <v>522000</v>
      </c>
      <c r="E5" s="29" t="n">
        <f aca="false">D5-C5</f>
        <v>0</v>
      </c>
      <c r="F5" s="30" t="str">
        <f aca="false">IF(ABS(E5)&lt;=1,"reproduced",IF(ABS(E5)&lt;=1*5,"rounding","CHECK"))</f>
        <v>reproduced</v>
      </c>
      <c r="H5" s="10" t="s">
        <v>119</v>
      </c>
    </row>
    <row r="6" customFormat="false" ht="15" hidden="false" customHeight="true" outlineLevel="0" collapsed="false">
      <c r="A6" s="31" t="s">
        <v>117</v>
      </c>
      <c r="B6" s="32" t="s">
        <v>120</v>
      </c>
      <c r="C6" s="33" t="n">
        <v>1188000</v>
      </c>
      <c r="D6" s="34" t="n">
        <f aca="false">'The carry'!B17</f>
        <v>1188000</v>
      </c>
      <c r="E6" s="35" t="n">
        <f aca="false">D6-C6</f>
        <v>0</v>
      </c>
      <c r="F6" s="36" t="str">
        <f aca="false">IF(ABS(E6)&lt;=1,"reproduced",IF(ABS(E6)&lt;=1*5,"rounding","CHECK"))</f>
        <v>reproduced</v>
      </c>
      <c r="H6" s="10"/>
    </row>
    <row r="7" customFormat="false" ht="15" hidden="false" customHeight="true" outlineLevel="0" collapsed="false">
      <c r="A7" s="25" t="s">
        <v>117</v>
      </c>
      <c r="B7" s="26" t="s">
        <v>31</v>
      </c>
      <c r="C7" s="27" t="n">
        <v>1710000</v>
      </c>
      <c r="D7" s="28" t="n">
        <f aca="false">'The carry'!B18</f>
        <v>1710000</v>
      </c>
      <c r="E7" s="29" t="n">
        <f aca="false">D7-C7</f>
        <v>0</v>
      </c>
      <c r="F7" s="30" t="str">
        <f aca="false">IF(ABS(E7)&lt;=1,"reproduced",IF(ABS(E7)&lt;=1*5,"rounding","CHECK"))</f>
        <v>reproduced</v>
      </c>
      <c r="H7" s="10"/>
    </row>
    <row r="8" customFormat="false" ht="15" hidden="false" customHeight="true" outlineLevel="0" collapsed="false">
      <c r="A8" s="31" t="s">
        <v>117</v>
      </c>
      <c r="B8" s="32" t="s">
        <v>32</v>
      </c>
      <c r="C8" s="33" t="n">
        <v>142500</v>
      </c>
      <c r="D8" s="34" t="n">
        <f aca="false">'The carry'!B19</f>
        <v>142500</v>
      </c>
      <c r="E8" s="35" t="n">
        <f aca="false">D8-C8</f>
        <v>0</v>
      </c>
      <c r="F8" s="36" t="str">
        <f aca="false">IF(ABS(E8)&lt;=1,"reproduced",IF(ABS(E8)&lt;=1*5,"rounding","CHECK"))</f>
        <v>reproduced</v>
      </c>
      <c r="H8" s="10"/>
    </row>
    <row r="9" customFormat="false" ht="15" hidden="false" customHeight="true" outlineLevel="0" collapsed="false">
      <c r="A9" s="25" t="s">
        <v>117</v>
      </c>
      <c r="B9" s="26" t="s">
        <v>121</v>
      </c>
      <c r="C9" s="27" t="n">
        <v>1995000</v>
      </c>
      <c r="D9" s="28" t="n">
        <f aca="false">'The carry'!B25</f>
        <v>1995000</v>
      </c>
      <c r="E9" s="29" t="n">
        <f aca="false">D9-C9</f>
        <v>0</v>
      </c>
      <c r="F9" s="30" t="str">
        <f aca="false">IF(ABS(E9)&lt;=1,"reproduced",IF(ABS(E9)&lt;=1*5,"rounding","CHECK"))</f>
        <v>reproduced</v>
      </c>
      <c r="H9" s="10"/>
    </row>
    <row r="10" customFormat="false" ht="15" hidden="false" customHeight="true" outlineLevel="0" collapsed="false">
      <c r="A10" s="31" t="s">
        <v>117</v>
      </c>
      <c r="B10" s="32" t="s">
        <v>122</v>
      </c>
      <c r="C10" s="33" t="n">
        <v>5410638</v>
      </c>
      <c r="D10" s="34" t="n">
        <f aca="false">24100000/1.175-15100000</f>
        <v>5410638.29787234</v>
      </c>
      <c r="E10" s="35" t="n">
        <f aca="false">D10-C10</f>
        <v>0.297872338443995</v>
      </c>
      <c r="F10" s="36" t="str">
        <f aca="false">IF(ABS(E10)&lt;=1,"reproduced",IF(ABS(E10)&lt;=1*5,"rounding","CHECK"))</f>
        <v>reproduced</v>
      </c>
      <c r="H10" s="10"/>
    </row>
    <row r="11" customFormat="false" ht="15" hidden="false" customHeight="true" outlineLevel="0" collapsed="false">
      <c r="A11" s="25" t="s">
        <v>117</v>
      </c>
      <c r="B11" s="26" t="s">
        <v>123</v>
      </c>
      <c r="C11" s="37" t="n">
        <v>0.176</v>
      </c>
      <c r="D11" s="38" t="n">
        <f aca="false">3600000/20500000</f>
        <v>0.175609756097561</v>
      </c>
      <c r="E11" s="39" t="n">
        <f aca="false">D11-C11</f>
        <v>-0.000390243902439025</v>
      </c>
      <c r="F11" s="30" t="str">
        <f aca="false">IF(ABS(E11)&lt;=0.0005,"reproduced",IF(ABS(E11)&lt;=0.0005*5,"rounding","CHECK"))</f>
        <v>reproduced</v>
      </c>
      <c r="H11" s="10"/>
    </row>
    <row r="12" customFormat="false" ht="15" hidden="false" customHeight="true" outlineLevel="0" collapsed="false">
      <c r="A12" s="31" t="s">
        <v>117</v>
      </c>
      <c r="B12" s="32" t="s">
        <v>124</v>
      </c>
      <c r="C12" s="40" t="n">
        <v>0.149</v>
      </c>
      <c r="D12" s="41" t="n">
        <f aca="false">3600000/24100000</f>
        <v>0.149377593360996</v>
      </c>
      <c r="E12" s="42" t="n">
        <f aca="false">D12-C12</f>
        <v>0.000377593360995854</v>
      </c>
      <c r="F12" s="36" t="str">
        <f aca="false">IF(ABS(E12)&lt;=0.0005,"reproduced",IF(ABS(E12)&lt;=0.0005*5,"rounding","CHECK"))</f>
        <v>reproduced</v>
      </c>
      <c r="H12" s="10"/>
    </row>
    <row r="13" customFormat="false" ht="15" hidden="false" customHeight="true" outlineLevel="0" collapsed="false">
      <c r="A13" s="25" t="s">
        <v>125</v>
      </c>
      <c r="B13" s="26" t="s">
        <v>126</v>
      </c>
      <c r="C13" s="27" t="n">
        <v>26295652</v>
      </c>
      <c r="D13" s="28" t="n">
        <f aca="false">'The letting decision'!B20</f>
        <v>26295652.173913</v>
      </c>
      <c r="E13" s="29" t="n">
        <f aca="false">D13-C13</f>
        <v>0.173913042992353</v>
      </c>
      <c r="F13" s="30" t="str">
        <f aca="false">IF(ABS(E13)&lt;=1,"reproduced",IF(ABS(E13)&lt;=1*5,"rounding","CHECK"))</f>
        <v>reproduced</v>
      </c>
      <c r="H13" s="10"/>
    </row>
    <row r="14" customFormat="false" ht="15" hidden="false" customHeight="true" outlineLevel="0" collapsed="false">
      <c r="A14" s="31" t="s">
        <v>125</v>
      </c>
      <c r="B14" s="32" t="s">
        <v>127</v>
      </c>
      <c r="C14" s="33" t="n">
        <v>24690753</v>
      </c>
      <c r="D14" s="34" t="n">
        <f aca="false">'The letting decision'!B21</f>
        <v>24690753.2149418</v>
      </c>
      <c r="E14" s="35" t="n">
        <f aca="false">D14-C14</f>
        <v>0.214941825717688</v>
      </c>
      <c r="F14" s="36" t="str">
        <f aca="false">IF(ABS(E14)&lt;=1,"reproduced",IF(ABS(E14)&lt;=1*5,"rounding","CHECK"))</f>
        <v>reproduced</v>
      </c>
      <c r="H14" s="10"/>
    </row>
    <row r="15" customFormat="false" ht="15" hidden="false" customHeight="true" outlineLevel="0" collapsed="false">
      <c r="A15" s="25" t="s">
        <v>125</v>
      </c>
      <c r="B15" s="26" t="s">
        <v>128</v>
      </c>
      <c r="C15" s="27" t="n">
        <v>23684553</v>
      </c>
      <c r="D15" s="28" t="n">
        <f aca="false">'The letting decision'!B25</f>
        <v>23684553.2149418</v>
      </c>
      <c r="E15" s="29" t="n">
        <f aca="false">D15-C15</f>
        <v>0.214941825717688</v>
      </c>
      <c r="F15" s="30" t="str">
        <f aca="false">IF(ABS(E15)&lt;=1,"reproduced",IF(ABS(E15)&lt;=1*5,"rounding","CHECK"))</f>
        <v>reproduced</v>
      </c>
      <c r="H15" s="10"/>
    </row>
    <row r="16" customFormat="false" ht="15" hidden="false" customHeight="true" outlineLevel="0" collapsed="false">
      <c r="A16" s="31" t="s">
        <v>125</v>
      </c>
      <c r="B16" s="32" t="s">
        <v>129</v>
      </c>
      <c r="C16" s="33" t="n">
        <v>25669565</v>
      </c>
      <c r="D16" s="34" t="n">
        <f aca="false">'The letting decision'!C20</f>
        <v>25669565.2173913</v>
      </c>
      <c r="E16" s="35" t="n">
        <f aca="false">D16-C16</f>
        <v>0.217391304671764</v>
      </c>
      <c r="F16" s="36" t="str">
        <f aca="false">IF(ABS(E16)&lt;=1,"reproduced",IF(ABS(E16)&lt;=1*5,"rounding","CHECK"))</f>
        <v>reproduced</v>
      </c>
      <c r="H16" s="10"/>
    </row>
    <row r="17" customFormat="false" ht="15" hidden="false" customHeight="true" outlineLevel="0" collapsed="false">
      <c r="A17" s="25" t="s">
        <v>125</v>
      </c>
      <c r="B17" s="26" t="s">
        <v>130</v>
      </c>
      <c r="C17" s="27" t="n">
        <v>24102878</v>
      </c>
      <c r="D17" s="28" t="n">
        <f aca="false">'The letting decision'!C21</f>
        <v>24102878.1383956</v>
      </c>
      <c r="E17" s="29" t="n">
        <f aca="false">D17-C17</f>
        <v>0.138395592570305</v>
      </c>
      <c r="F17" s="30" t="str">
        <f aca="false">IF(ABS(E17)&lt;=1,"reproduced",IF(ABS(E17)&lt;=1*5,"rounding","CHECK"))</f>
        <v>reproduced</v>
      </c>
      <c r="H17" s="10"/>
    </row>
    <row r="18" customFormat="false" ht="15" hidden="false" customHeight="true" outlineLevel="0" collapsed="false">
      <c r="A18" s="31" t="s">
        <v>125</v>
      </c>
      <c r="B18" s="32" t="s">
        <v>131</v>
      </c>
      <c r="C18" s="33" t="n">
        <v>22245278</v>
      </c>
      <c r="D18" s="34" t="n">
        <f aca="false">'The letting decision'!C25</f>
        <v>22245278.1383956</v>
      </c>
      <c r="E18" s="35" t="n">
        <f aca="false">D18-C18</f>
        <v>0.138395592570305</v>
      </c>
      <c r="F18" s="36" t="str">
        <f aca="false">IF(ABS(E18)&lt;=1,"reproduced",IF(ABS(E18)&lt;=1*5,"rounding","CHECK"))</f>
        <v>reproduced</v>
      </c>
      <c r="H18" s="10"/>
    </row>
    <row r="19" customFormat="false" ht="15" hidden="false" customHeight="true" outlineLevel="0" collapsed="false">
      <c r="A19" s="25" t="s">
        <v>125</v>
      </c>
      <c r="B19" s="26" t="s">
        <v>132</v>
      </c>
      <c r="C19" s="27" t="n">
        <v>23791304</v>
      </c>
      <c r="D19" s="28" t="n">
        <f aca="false">'The letting decision'!D20</f>
        <v>23791304.3478261</v>
      </c>
      <c r="E19" s="29" t="n">
        <f aca="false">D19-C19</f>
        <v>0.347826085984707</v>
      </c>
      <c r="F19" s="30" t="str">
        <f aca="false">IF(ABS(E19)&lt;=1,"reproduced",IF(ABS(E19)&lt;=1*5,"rounding","CHECK"))</f>
        <v>reproduced</v>
      </c>
      <c r="H19" s="10"/>
    </row>
    <row r="20" customFormat="false" ht="15" hidden="false" customHeight="true" outlineLevel="0" collapsed="false">
      <c r="A20" s="31" t="s">
        <v>125</v>
      </c>
      <c r="B20" s="32" t="s">
        <v>133</v>
      </c>
      <c r="C20" s="33" t="n">
        <v>22339253</v>
      </c>
      <c r="D20" s="34" t="n">
        <f aca="false">'The letting decision'!D21</f>
        <v>22339252.9087569</v>
      </c>
      <c r="E20" s="35" t="n">
        <f aca="false">D20-C20</f>
        <v>-0.0912431105971336</v>
      </c>
      <c r="F20" s="36" t="str">
        <f aca="false">IF(ABS(E20)&lt;=1,"reproduced",IF(ABS(E20)&lt;=1*5,"rounding","CHECK"))</f>
        <v>reproduced</v>
      </c>
      <c r="H20" s="10"/>
    </row>
    <row r="21" customFormat="false" ht="15" hidden="false" customHeight="true" outlineLevel="0" collapsed="false">
      <c r="A21" s="25" t="s">
        <v>125</v>
      </c>
      <c r="B21" s="26" t="s">
        <v>134</v>
      </c>
      <c r="C21" s="27" t="n">
        <v>17841953</v>
      </c>
      <c r="D21" s="28" t="n">
        <f aca="false">'The letting decision'!D25</f>
        <v>17841952.9087569</v>
      </c>
      <c r="E21" s="29" t="n">
        <f aca="false">D21-C21</f>
        <v>-0.0912431105971336</v>
      </c>
      <c r="F21" s="30" t="str">
        <f aca="false">IF(ABS(E21)&lt;=1,"reproduced",IF(ABS(E21)&lt;=1*5,"rounding","CHECK"))</f>
        <v>reproduced</v>
      </c>
      <c r="H21" s="10"/>
    </row>
    <row r="22" customFormat="false" ht="15" hidden="false" customHeight="true" outlineLevel="0" collapsed="false">
      <c r="A22" s="31" t="s">
        <v>125</v>
      </c>
      <c r="B22" s="32" t="s">
        <v>135</v>
      </c>
      <c r="C22" s="33" t="n">
        <v>13225000</v>
      </c>
      <c r="D22" s="34" t="n">
        <f aca="false">'The letting decision'!E25</f>
        <v>13225000</v>
      </c>
      <c r="E22" s="35" t="n">
        <f aca="false">D22-C22</f>
        <v>0</v>
      </c>
      <c r="F22" s="36" t="str">
        <f aca="false">IF(ABS(E22)&lt;=1,"reproduced",IF(ABS(E22)&lt;=1*5,"rounding","CHECK"))</f>
        <v>reproduced</v>
      </c>
      <c r="H22" s="10"/>
    </row>
    <row r="23" customFormat="false" ht="15" hidden="false" customHeight="true" outlineLevel="0" collapsed="false">
      <c r="A23" s="25" t="s">
        <v>125</v>
      </c>
      <c r="B23" s="26" t="s">
        <v>136</v>
      </c>
      <c r="C23" s="27" t="n">
        <v>7105366</v>
      </c>
      <c r="D23" s="28" t="n">
        <f aca="false">'The letting decision'!B26</f>
        <v>7105365.96448255</v>
      </c>
      <c r="E23" s="29" t="n">
        <f aca="false">D23-C23</f>
        <v>-0.0355174522846937</v>
      </c>
      <c r="F23" s="30" t="str">
        <f aca="false">IF(ABS(E23)&lt;=1,"reproduced",IF(ABS(E23)&lt;=1*5,"rounding","CHECK"))</f>
        <v>reproduced</v>
      </c>
      <c r="H23" s="10"/>
    </row>
    <row r="24" customFormat="false" ht="15" hidden="false" customHeight="true" outlineLevel="0" collapsed="false">
      <c r="A24" s="31" t="s">
        <v>125</v>
      </c>
      <c r="B24" s="32" t="s">
        <v>137</v>
      </c>
      <c r="C24" s="33" t="n">
        <v>8898111</v>
      </c>
      <c r="D24" s="34" t="n">
        <f aca="false">'The letting decision'!C26</f>
        <v>8898111.25535824</v>
      </c>
      <c r="E24" s="35" t="n">
        <f aca="false">D24-C24</f>
        <v>0.25535823777318</v>
      </c>
      <c r="F24" s="36" t="str">
        <f aca="false">IF(ABS(E24)&lt;=1,"reproduced",IF(ABS(E24)&lt;=1*5,"rounding","CHECK"))</f>
        <v>reproduced</v>
      </c>
      <c r="H24" s="10"/>
    </row>
    <row r="25" customFormat="false" ht="15" hidden="false" customHeight="true" outlineLevel="0" collapsed="false">
      <c r="A25" s="25" t="s">
        <v>125</v>
      </c>
      <c r="B25" s="26" t="s">
        <v>138</v>
      </c>
      <c r="C25" s="27" t="n">
        <v>3925230</v>
      </c>
      <c r="D25" s="28" t="n">
        <f aca="false">'The letting decision'!D26</f>
        <v>3925229.63992652</v>
      </c>
      <c r="E25" s="29" t="n">
        <f aca="false">D25-C25</f>
        <v>-0.360073484480381</v>
      </c>
      <c r="F25" s="30" t="str">
        <f aca="false">IF(ABS(E25)&lt;=1,"reproduced",IF(ABS(E25)&lt;=1*5,"rounding","CHECK"))</f>
        <v>reproduced</v>
      </c>
      <c r="H25" s="10"/>
    </row>
    <row r="26" customFormat="false" ht="15" hidden="false" customHeight="true" outlineLevel="0" collapsed="false">
      <c r="A26" s="31" t="s">
        <v>125</v>
      </c>
      <c r="B26" s="32" t="s">
        <v>139</v>
      </c>
      <c r="C26" s="33" t="n">
        <v>1058000</v>
      </c>
      <c r="D26" s="34" t="n">
        <f aca="false">'The letting decision'!E26</f>
        <v>1058000</v>
      </c>
      <c r="E26" s="35" t="n">
        <f aca="false">D26-C26</f>
        <v>0</v>
      </c>
      <c r="F26" s="36" t="str">
        <f aca="false">IF(ABS(E26)&lt;=1,"reproduced",IF(ABS(E26)&lt;=1*5,"rounding","CHECK"))</f>
        <v>reproduced</v>
      </c>
      <c r="H26" s="10"/>
    </row>
    <row r="27" customFormat="false" ht="15" hidden="false" customHeight="true" outlineLevel="0" collapsed="false">
      <c r="A27" s="25" t="s">
        <v>125</v>
      </c>
      <c r="B27" s="26" t="s">
        <v>65</v>
      </c>
      <c r="C27" s="27" t="n">
        <v>20986707</v>
      </c>
      <c r="D27" s="28" t="n">
        <f aca="false">'The letting decision'!B28</f>
        <v>20986706.8597673</v>
      </c>
      <c r="E27" s="29" t="n">
        <f aca="false">D27-C27</f>
        <v>-0.14023269712925</v>
      </c>
      <c r="F27" s="30" t="str">
        <f aca="false">IF(ABS(E27)&lt;=1,"reproduced",IF(ABS(E27)&lt;=1*5,"rounding","CHECK"))</f>
        <v>reproduced</v>
      </c>
    </row>
    <row r="28" customFormat="false" ht="15" hidden="false" customHeight="true" outlineLevel="0" collapsed="false">
      <c r="A28" s="31" t="s">
        <v>125</v>
      </c>
      <c r="B28" s="32" t="s">
        <v>66</v>
      </c>
      <c r="C28" s="33" t="n">
        <v>1186707</v>
      </c>
      <c r="D28" s="34" t="n">
        <f aca="false">'The letting decision'!B29</f>
        <v>1186706.8597673</v>
      </c>
      <c r="E28" s="35" t="n">
        <f aca="false">D28-C28</f>
        <v>-0.14023269712925</v>
      </c>
      <c r="F28" s="36" t="str">
        <f aca="false">IF(ABS(E28)&lt;=1,"reproduced",IF(ABS(E28)&lt;=1*5,"rounding","CHECK"))</f>
        <v>reproduced</v>
      </c>
    </row>
    <row r="29" customFormat="false" ht="15" hidden="false" customHeight="true" outlineLevel="0" collapsed="false">
      <c r="A29" s="25" t="s">
        <v>125</v>
      </c>
      <c r="B29" s="26" t="s">
        <v>140</v>
      </c>
      <c r="C29" s="37" t="n">
        <v>0.06</v>
      </c>
      <c r="D29" s="38" t="n">
        <f aca="false">'The letting decision'!B30</f>
        <v>0.0599346898872375</v>
      </c>
      <c r="E29" s="39" t="n">
        <f aca="false">D29-C29</f>
        <v>-6.53101127624789E-005</v>
      </c>
      <c r="F29" s="30" t="str">
        <f aca="false">IF(ABS(E29)&lt;=0.0005,"reproduced",IF(ABS(E29)&lt;=0.0005*5,"rounding","CHECK"))</f>
        <v>reproduced</v>
      </c>
    </row>
    <row r="30" customFormat="false" ht="15" hidden="false" customHeight="true" outlineLevel="0" collapsed="false">
      <c r="A30" s="31" t="s">
        <v>125</v>
      </c>
      <c r="B30" s="32" t="s">
        <v>68</v>
      </c>
      <c r="C30" s="33" t="n">
        <v>-6575000</v>
      </c>
      <c r="D30" s="34" t="n">
        <f aca="false">'The letting decision'!B31</f>
        <v>-6575000</v>
      </c>
      <c r="E30" s="35" t="n">
        <f aca="false">D30-C30</f>
        <v>0</v>
      </c>
      <c r="F30" s="36" t="str">
        <f aca="false">IF(ABS(E30)&lt;=1,"reproduced",IF(ABS(E30)&lt;=1*5,"rounding","CHECK"))</f>
        <v>reproduced</v>
      </c>
    </row>
    <row r="31" customFormat="false" ht="15" hidden="false" customHeight="true" outlineLevel="0" collapsed="false">
      <c r="A31" s="25" t="s">
        <v>125</v>
      </c>
      <c r="B31" s="26" t="s">
        <v>141</v>
      </c>
      <c r="C31" s="27" t="n">
        <v>17861027</v>
      </c>
      <c r="D31" s="28" t="n">
        <f aca="false">'The letting decision'!B35</f>
        <v>17861027.1146956</v>
      </c>
      <c r="E31" s="29" t="n">
        <f aca="false">D31-C31</f>
        <v>0.114695575088263</v>
      </c>
      <c r="F31" s="30" t="str">
        <f aca="false">IF(ABS(E31)&lt;=1,"reproduced",IF(ABS(E31)&lt;=1*5,"rounding","CHECK"))</f>
        <v>reproduced</v>
      </c>
    </row>
    <row r="32" customFormat="false" ht="15" hidden="false" customHeight="true" outlineLevel="0" collapsed="false">
      <c r="A32" s="31" t="s">
        <v>125</v>
      </c>
      <c r="B32" s="32" t="s">
        <v>72</v>
      </c>
      <c r="C32" s="33" t="n">
        <v>2761027</v>
      </c>
      <c r="D32" s="34" t="n">
        <f aca="false">'The letting decision'!B37</f>
        <v>2761027.11469558</v>
      </c>
      <c r="E32" s="35" t="n">
        <f aca="false">D32-C32</f>
        <v>0.114695575088263</v>
      </c>
      <c r="F32" s="36" t="str">
        <f aca="false">IF(ABS(E32)&lt;=1,"reproduced",IF(ABS(E32)&lt;=1*5,"rounding","CHECK"))</f>
        <v>reproduced</v>
      </c>
    </row>
    <row r="33" customFormat="false" ht="15" hidden="false" customHeight="true" outlineLevel="0" collapsed="false">
      <c r="A33" s="25" t="s">
        <v>125</v>
      </c>
      <c r="B33" s="26" t="s">
        <v>142</v>
      </c>
      <c r="C33" s="27" t="n">
        <v>23955278</v>
      </c>
      <c r="D33" s="28" t="n">
        <f aca="false">'The letting decision'!B42</f>
        <v>23955278.1383956</v>
      </c>
      <c r="E33" s="29" t="n">
        <f aca="false">D33-C33</f>
        <v>0.138395592570305</v>
      </c>
      <c r="F33" s="30" t="str">
        <f aca="false">IF(ABS(E33)&lt;=1,"reproduced",IF(ABS(E33)&lt;=1*5,"rounding","CHECK"))</f>
        <v>reproduced</v>
      </c>
    </row>
    <row r="34" customFormat="false" ht="15" hidden="false" customHeight="true" outlineLevel="0" collapsed="false">
      <c r="A34" s="31" t="s">
        <v>125</v>
      </c>
      <c r="B34" s="32" t="s">
        <v>143</v>
      </c>
      <c r="C34" s="33" t="n">
        <v>4155278</v>
      </c>
      <c r="D34" s="34" t="n">
        <f aca="false">'The letting decision'!B43</f>
        <v>4155278.13839559</v>
      </c>
      <c r="E34" s="35" t="n">
        <f aca="false">D34-C34</f>
        <v>0.138395592570305</v>
      </c>
      <c r="F34" s="36" t="str">
        <f aca="false">IF(ABS(E34)&lt;=1,"reproduced",IF(ABS(E34)&lt;=1*5,"rounding","CHECK"))</f>
        <v>reproduced</v>
      </c>
    </row>
    <row r="35" customFormat="false" ht="15" hidden="false" customHeight="true" outlineLevel="0" collapsed="false">
      <c r="A35" s="25" t="s">
        <v>125</v>
      </c>
      <c r="B35" s="26" t="s">
        <v>144</v>
      </c>
      <c r="C35" s="43" t="n">
        <v>29.2</v>
      </c>
      <c r="D35" s="44" t="n">
        <f aca="false">'The letting decision'!B44</f>
        <v>29.1598465852322</v>
      </c>
      <c r="E35" s="45" t="n">
        <f aca="false">D35-C35</f>
        <v>-0.0401534147677722</v>
      </c>
      <c r="F35" s="30" t="str">
        <f aca="false">IF(ABS(E35)&lt;=0.06,"reproduced",IF(ABS(E35)&lt;=0.06*5,"rounding","CHECK"))</f>
        <v>reproduced</v>
      </c>
    </row>
    <row r="36" customFormat="false" ht="15" hidden="false" customHeight="true" outlineLevel="0" collapsed="false">
      <c r="A36" s="31" t="s">
        <v>125</v>
      </c>
      <c r="B36" s="32" t="s">
        <v>145</v>
      </c>
      <c r="C36" s="33" t="n">
        <v>1185278</v>
      </c>
      <c r="D36" s="34" t="n">
        <f aca="false">'The letting decision'!B46</f>
        <v>1185278.13839559</v>
      </c>
      <c r="E36" s="35" t="n">
        <f aca="false">D36-C36</f>
        <v>0.138395592570305</v>
      </c>
      <c r="F36" s="36" t="str">
        <f aca="false">IF(ABS(E36)&lt;=1,"reproduced",IF(ABS(E36)&lt;=1*5,"rounding","CHECK"))</f>
        <v>reproduced</v>
      </c>
    </row>
    <row r="37" customFormat="false" ht="15" hidden="false" customHeight="true" outlineLevel="0" collapsed="false">
      <c r="A37" s="25" t="s">
        <v>125</v>
      </c>
      <c r="B37" s="26" t="s">
        <v>146</v>
      </c>
      <c r="C37" s="43" t="n">
        <v>8.3</v>
      </c>
      <c r="D37" s="44" t="n">
        <f aca="false">'The letting decision'!B47</f>
        <v>8.31774132207433</v>
      </c>
      <c r="E37" s="45" t="n">
        <f aca="false">D37-C37</f>
        <v>0.0177413220743325</v>
      </c>
      <c r="F37" s="30" t="str">
        <f aca="false">IF(ABS(E37)&lt;=0.06,"reproduced",IF(ABS(E37)&lt;=0.06*5,"rounding","CHECK"))</f>
        <v>reproduced</v>
      </c>
    </row>
    <row r="39" customFormat="false" ht="15" hidden="false" customHeight="true" outlineLevel="0" collapsed="false">
      <c r="A39" s="8" t="s">
        <v>147</v>
      </c>
      <c r="C39" s="46" t="n">
        <f aca="false">COUNTIF(F5:F37,"reproduced")</f>
        <v>33</v>
      </c>
    </row>
    <row r="40" customFormat="false" ht="15" hidden="false" customHeight="true" outlineLevel="0" collapsed="false">
      <c r="A40" s="8" t="s">
        <v>148</v>
      </c>
      <c r="C40" s="46" t="n">
        <f aca="false">COUNTIF(F5:F37,"rounding")</f>
        <v>0</v>
      </c>
    </row>
    <row r="41" customFormat="false" ht="15" hidden="false" customHeight="true" outlineLevel="0" collapsed="false">
      <c r="A41" s="8" t="s">
        <v>149</v>
      </c>
      <c r="C41" s="46" t="n">
        <f aca="false">COUNTIF(F5:F37,"CHECK")</f>
        <v>0</v>
      </c>
    </row>
    <row r="43" customFormat="false" ht="15" hidden="false" customHeight="false" outlineLevel="0" collapsed="false">
      <c r="A43" s="47" t="s">
        <v>150</v>
      </c>
      <c r="C43" s="47" t="str">
        <f aca="false">IF(C41=0,"ALL OK","SOME TO CHECK")</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2026-08-20T04:52:56Z</dcterms:created>
  <dc:creator>openpyxl</dc:creator>
  <dc:description/>
  <dc:language>en-US</dc:language>
  <cp:lastModifiedBy/>
  <dcterms:modified xsi:type="dcterms:W3CDTF">2026-09-23T23:32:12Z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