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Net to gross" sheetId="2" state="visible" r:id="rId4"/>
    <sheet name="Term and reversion" sheetId="3" state="visible" r:id="rId5"/>
    <sheet name="Yield sensitivity"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<sst xmlns="http://schemas.openxmlformats.org/spreadsheetml/2006/main" count="251" uniqueCount="189">
  <si>
    <t xml:space="preserve">Logistics and Industrial Real Estate — Workbook 2 of 5</t>
  </si>
  <si>
    <t xml:space="preserve">Valuation: net income, term and reversion, and the ageing asset</t>
  </si>
  <si>
    <t xml:space="preserve">Julian R. Sterling · julianrsterling.com/logistics</t>
  </si>
  <si>
    <t xml:space="preserve">The gap that is arithmetic, and the gap that is risk</t>
  </si>
  <si>
    <t xml:space="preserve">A single-let unit and a fourteen-unit estate produce the same 1,400,000 of gross rent. Priced to the same net yield they are worth 25.3 million and 20.5 million, and the 128 basis points between their headline yields is not a risk premium — it is the arithmetic of converting gross rent into net income. 'Net to gross' works through every deduction line by line, because a rule of thumb is always kinder than a schedule.</t>
  </si>
  <si>
    <t xml:space="preserve">The ageing asset, priced honestly</t>
  </si>
  <si>
    <t xml:space="preserve">'Term and reversion' rebuilds Case 5: a 22-year-old unit marketed at a 6.25 per cent yield on the passing rent, which the marketing figure values at 24.2 million and an honest capital allowance values at 18.5 million. Nothing about the building changes between those two numbers. The only difference is whether the capital cycle and the re-letting were priced or assumed away.</t>
  </si>
  <si>
    <t xml:space="preserve">Where the value actually sits</t>
  </si>
  <si>
    <t xml:space="preserve">In an ageing asset most of the value is in the deferred reversion, so most of the risk is in the exit yield. The sensitivity sheet prices that directly: every 25 basis points is worth roughly half a million here, and the effect is larger at low yields — 25 basis points on a 4.5 per cent yield costs 5.3 per cent of value, the same move on 7.5 per cent costs 3.2.</t>
  </si>
  <si>
    <t xml:space="preserve">The land check nobody runs</t>
  </si>
  <si>
    <t xml:space="preserve">The last block of 'Term and reversion' asks what the cleared site is worth and what that leaves for the building. On the honest valuation the building accounts for 544 per square meter. Ask whether you would rather have that building or a new one for the same money, and the pricing question answers itself.</t>
  </si>
  <si>
    <t xml:space="preserve">Conventions</t>
  </si>
  <si>
    <t xml:space="preserve">Blue is an input. Black is a formula. Green is a link to another sheet. Yellow fill marks the assumptions that carry the answer. Income is annual in arrears throughout.</t>
  </si>
  <si>
    <t xml:space="preserve">Provided for education. Not investment advice.</t>
  </si>
  <si>
    <t xml:space="preserve">Net income, and the headline yield it forces</t>
  </si>
  <si>
    <t xml:space="preserve">Appendix D and Case 4. Work through every line rather than applying a percentage.</t>
  </si>
  <si>
    <t xml:space="preserve">A view on rental growth, dressed up as a view on yield</t>
  </si>
  <si>
    <t xml:space="preserve">Single-let unit</t>
  </si>
  <si>
    <t xml:space="preserve">Multi-let estate</t>
  </si>
  <si>
    <t xml:space="preserve">The single-let's only landlord cost is management. The estate carries seven separate lines, and they come to 270,060 a year — nineteen per cent of the rent roll before anyone has priced a single risk.
Priced to the same net yield, the two assets are worth 25.3 million and 20.5 million, which expressed as headline yields is 5.53 and 6.81 per cent. Those 128 basis points exist before the estate's shorter income, its weaker and more granular covenants, its management burden and its re-letting exposure have been priced at all. Those are real and should be worth something further — if 50 to 75 basis points, the estate should quote around 7.4 per cent to deliver the same underlying return.
But the estate is not simply worse. Roughly thirty per cent of its rent roll re-prices every year, so it captures rental growth almost immediately, while the single-let waits twelve years. In a rising market the estate outperforms on income; in a flat one the extra 270,060 a year is pure leakage.
That is the actual trade. The common error is applying a rule-of-thumb percentage for costs instead of listing them — and the rule of thumb is always kinder than the schedule.</t>
  </si>
  <si>
    <t xml:space="preserve">Floor area, square meters</t>
  </si>
  <si>
    <t xml:space="preserve">Rent per square meter</t>
  </si>
  <si>
    <t xml:space="preserve">Gross rent roll</t>
  </si>
  <si>
    <t xml:space="preserve">Number of units</t>
  </si>
  <si>
    <t xml:space="preserve">Average unexpired term, years</t>
  </si>
  <si>
    <t xml:space="preserve">DEDUCTIONS</t>
  </si>
  <si>
    <t xml:space="preserve">Structural vacancy allowance, % of the rent roll</t>
  </si>
  <si>
    <t xml:space="preserve">   in money</t>
  </si>
  <si>
    <t xml:space="preserve">Collected rent</t>
  </si>
  <si>
    <t xml:space="preserve">Property taxes and service charge on vacant units</t>
  </si>
  <si>
    <t xml:space="preserve">Non-recoverable service charge</t>
  </si>
  <si>
    <t xml:space="preserve">Management, % of collected rent</t>
  </si>
  <si>
    <t xml:space="preserve">Lease events a year</t>
  </si>
  <si>
    <t xml:space="preserve">Cost per lease event</t>
  </si>
  <si>
    <t xml:space="preserve">   leasing costs</t>
  </si>
  <si>
    <t xml:space="preserve">Bad debt allowance, % of collected rent</t>
  </si>
  <si>
    <t xml:space="preserve">Landlord repair to roads and common areas, annualised</t>
  </si>
  <si>
    <t xml:space="preserve">Total deductions</t>
  </si>
  <si>
    <t xml:space="preserve">Net income</t>
  </si>
  <si>
    <t xml:space="preserve">Net-to-gross ratio</t>
  </si>
  <si>
    <t xml:space="preserve">THE PRICE OF THAT RATIO</t>
  </si>
  <si>
    <t xml:space="preserve">Target net initial yield</t>
  </si>
  <si>
    <t xml:space="preserve">Value at that net yield</t>
  </si>
  <si>
    <t xml:space="preserve">Headline yield on the gross rent</t>
  </si>
  <si>
    <t xml:space="preserve">The gap, in basis points</t>
  </si>
  <si>
    <t xml:space="preserve">Not one basis point of it is a risk premium.</t>
  </si>
  <si>
    <t xml:space="preserve">AND THEN THE RISK</t>
  </si>
  <si>
    <t xml:space="preserve">Additional premium for shorter income, granular covenants, management</t>
  </si>
  <si>
    <t xml:space="preserve">Headline yield the estate should quote</t>
  </si>
  <si>
    <t xml:space="preserve">THE OFFSET</t>
  </si>
  <si>
    <t xml:space="preserve">Share of the rent roll re-pricing each year</t>
  </si>
  <si>
    <t xml:space="preserve">Extra annual leakage on the estate</t>
  </si>
  <si>
    <t xml:space="preserve">An ageing asset, honestly valued</t>
  </si>
  <si>
    <t xml:space="preserve">Case 5. The building does not change between the two numbers. Only whether the capital cycle was priced.</t>
  </si>
  <si>
    <t xml:space="preserve">THE ASSET</t>
  </si>
  <si>
    <t xml:space="preserve">Nothing about the building changed</t>
  </si>
  <si>
    <t xml:space="preserve">A broker markets the asset at a 6.25 per cent yield on the passing rent: 24.2 million net of costs. Price the capital cycle and the re-letting and the answer is 18.5 million. The only difference between the two numbers is whether they were priced or assumed away.
The term is not in dispute. Six years of contracted income from a strong covenant is worth 7.86 million and nobody argues about it. Everything contentious sits in the reversion — and the reversion depends on a building that will be 28 years old when it arrives.
Expressed the other way round: buying at the honest figure means buying at an initial yield of 8.71 per cent on the passing rent, not 6.25. That is the sentence to put in the paper.
The land check at the bottom is the reality test. Cleared, the site is worth 4.36 million after demolition, so at the honest valuation the building itself accounts for 544 per square meter. Ask whether you would rather have that building or a new one for the same money, and the pricing question answers itself.
The common error the whole sheet exists to prevent: holding the exit yield equal to the entry yield for a building that will be six or ten years older at sale. Unless the asset improves over the hold, that is a forecast of yield compression disguised as neutrality.</t>
  </si>
  <si>
    <t xml:space="preserve">Age, years</t>
  </si>
  <si>
    <t xml:space="preserve">Passing rent per square meter</t>
  </si>
  <si>
    <t xml:space="preserve">Years unexpired</t>
  </si>
  <si>
    <t xml:space="preserve">Marketed yield on the passing rent</t>
  </si>
  <si>
    <t xml:space="preserve">Purchaser's costs</t>
  </si>
  <si>
    <t xml:space="preserve">Passing rent</t>
  </si>
  <si>
    <t xml:space="preserve">THE MARKETED FIGURE</t>
  </si>
  <si>
    <t xml:space="preserve">Gross</t>
  </si>
  <si>
    <t xml:space="preserve">Net of purchaser's costs</t>
  </si>
  <si>
    <t xml:space="preserve">THE TERM — NOT IN DISPUTE</t>
  </si>
  <si>
    <t xml:space="preserve">Years purchase for the unexpired term</t>
  </si>
  <si>
    <t xml:space="preserve">Value of the contracted income</t>
  </si>
  <si>
    <t xml:space="preserve">THE CAPITAL REQUIRED AT EXPIRY</t>
  </si>
  <si>
    <t xml:space="preserve">Assume the occupier leaves. On this specification that is the more probable outcome.</t>
  </si>
  <si>
    <t xml:space="preserve">Item</t>
  </si>
  <si>
    <t xml:space="preserve">Quantity</t>
  </si>
  <si>
    <t xml:space="preserve">Rate</t>
  </si>
  <si>
    <t xml:space="preserve">Cost</t>
  </si>
  <si>
    <t xml:space="preserve">Roof recovering, square meters</t>
  </si>
  <si>
    <t xml:space="preserve">Yard resurfacing, square meters</t>
  </si>
  <si>
    <t xml:space="preserve">Additional dock levellers</t>
  </si>
  <si>
    <t xml:space="preserve">Each</t>
  </si>
  <si>
    <t xml:space="preserve">Lighting replacement, square meters</t>
  </si>
  <si>
    <t xml:space="preserve">Office refurbishment</t>
  </si>
  <si>
    <t xml:space="preserve">Total capital, incurred in year seven</t>
  </si>
  <si>
    <t xml:space="preserve">THE RE-LETTING</t>
  </si>
  <si>
    <t xml:space="preserve">Re-letting rent per square meter</t>
  </si>
  <si>
    <t xml:space="preserve">Void, months</t>
  </si>
  <si>
    <t xml:space="preserve">Rent-free, months</t>
  </si>
  <si>
    <t xml:space="preserve">Letting fee, % of the first year's rent</t>
  </si>
  <si>
    <t xml:space="preserve">Void holding cost per square meter a year</t>
  </si>
  <si>
    <t xml:space="preserve">Reversionary yield</t>
  </si>
  <si>
    <t xml:space="preserve">Re-letting rent</t>
  </si>
  <si>
    <t xml:space="preserve">THE REVERSION</t>
  </si>
  <si>
    <t xml:space="preserve">Capitalised at the reversionary yield</t>
  </si>
  <si>
    <t xml:space="preserve">Deferment factor for the unexpired term</t>
  </si>
  <si>
    <t xml:space="preserve">Present value of the reversion</t>
  </si>
  <si>
    <t xml:space="preserve">THE DEDUCTIONS, AT THE YEAR-SEVEN FACTOR</t>
  </si>
  <si>
    <t xml:space="preserve">Year-seven deferment factor</t>
  </si>
  <si>
    <t xml:space="preserve">Amount</t>
  </si>
  <si>
    <t xml:space="preserve">Present value</t>
  </si>
  <si>
    <t xml:space="preserve">Capital expenditure</t>
  </si>
  <si>
    <t xml:space="preserve">Void holding costs</t>
  </si>
  <si>
    <t xml:space="preserve">Lost rent through void and rent-free</t>
  </si>
  <si>
    <t xml:space="preserve">Letting fee</t>
  </si>
  <si>
    <t xml:space="preserve">THE HONEST FIGURE</t>
  </si>
  <si>
    <t xml:space="preserve">Term plus reversion less deductions</t>
  </si>
  <si>
    <t xml:space="preserve">The marketed figure exceeds it by</t>
  </si>
  <si>
    <t xml:space="preserve">which is</t>
  </si>
  <si>
    <t xml:space="preserve">Buying at the honest figure is an initial yield of</t>
  </si>
  <si>
    <t xml:space="preserve">THE LAND CHECK</t>
  </si>
  <si>
    <t xml:space="preserve">Serviced land value per hectare</t>
  </si>
  <si>
    <t xml:space="preserve">Site area, hectares</t>
  </si>
  <si>
    <t xml:space="preserve">Demolition cost per square meter</t>
  </si>
  <si>
    <t xml:space="preserve">Cleared land value after demolition</t>
  </si>
  <si>
    <t xml:space="preserve">which leaves, for the building</t>
  </si>
  <si>
    <t xml:space="preserve">per square meter</t>
  </si>
  <si>
    <t xml:space="preserve">Exit yield sensitivity</t>
  </si>
  <si>
    <t xml:space="preserve">Appendix D. The reversion carries most of the value, so it carries most of the risk.</t>
  </si>
  <si>
    <t xml:space="preserve">REVERSIONARY YIELD, ON THE CASE 5 ASSET</t>
  </si>
  <si>
    <t xml:space="preserve">Where the value sits is where the risk sits</t>
  </si>
  <si>
    <t xml:space="preserve">Gross value</t>
  </si>
  <si>
    <t xml:space="preserve">Against the 7.0% case</t>
  </si>
  <si>
    <t xml:space="preserve">On the Case 5 asset every 25 basis points of reversionary yield is worth roughly 500,000 to 575,000 of value, and the difference between a 7.0 per cent view and a 7.75 per cent view is 1.5 million, or 8.1 per cent of the answer. Since the building will be 28 years old at the reversion and older still at any subsequent sale, the burden of proof sits with anyone arguing for the tighter figure.
Two consequences of the general arithmetic. The effect is larger at low yields: 25 basis points on a 4.5 per cent yield costs 5.3 per cent of value, while the same move on a 7.5 per cent yield costs 3.2. And when the value sits in a deferred reversion, the deferment factor damps the effect on the total but does not remove it — which is why the top table moves by less, proportionally, than the bottom one.
The common error is holding the exit yield equal to the entry yield for an asset that will be older at sale. It is not neutral. It is a forecast.</t>
  </si>
  <si>
    <t xml:space="preserve">Value of 25 basis points, net of costs, around the 7.0 per cent case</t>
  </si>
  <si>
    <t xml:space="preserve">A 7.0 per cent view against a 7.75 per cent view, net of costs</t>
  </si>
  <si>
    <t xml:space="preserve">as a share of the answer</t>
  </si>
  <si>
    <t xml:space="preserve">THE GENERAL EFFECT — A CAPITALISED VALUE, NO DEFERMENT</t>
  </si>
  <si>
    <t xml:space="preserve">The proportionate change equals one less the old yield divided by the new.</t>
  </si>
  <si>
    <t xml:space="preserve">Reversion to test</t>
  </si>
  <si>
    <t xml:space="preserve">Yield moves from</t>
  </si>
  <si>
    <t xml:space="preserve">to</t>
  </si>
  <si>
    <t xml:space="preserve">New value</t>
  </si>
  <si>
    <t xml:space="preserve">Fall</t>
  </si>
  <si>
    <t xml:space="preserve">The effect is larger at low yields, and it is larger than most people expect.</t>
  </si>
  <si>
    <t xml:space="preserve">Every figure these appendices print, against what this workbook computes</t>
  </si>
  <si>
    <t xml:space="preserve">Appendix D, and Cases 4 and 5 of Appendix C.</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</si>
  <si>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</si>
  <si>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</si>
  <si>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</si>
  <si>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</si>
  <si>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</si>
  <si>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</si>
  <si>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</si>
  <si>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App. D</t>
  </si>
  <si>
    <t xml:space="preserve">Net income of 1,129,940 at 5.5 per cent</t>
  </si>
  <si>
    <t xml:space="preserve">Each line carries its own tolerance, set to the precision the book actually prints. A percentage printed to one decimal is checked to five hundredths of a point; a factor printed to four decimals to six hundred-thousandths; money to a unit, except where the book itself has compounded rounded factors through a long chain.
Three lines carry a wider money band and it is worth saying why. The book computes the term using a years purchase printed as 4.8789 and the reversion using a deferment factor printed as 0.6951. This workbook uses 4.87893 and 0.695067. Over figures in the tens of millions that produces differences of a few units — well inside the band, and visible in the variance column if you want to see them.
The sensitivity table's four rows carry the widest band of all, because every one of them compounds both rounded factors. The variance column shows the actual size: under a thousand on twenty million.
Column D is a link into the model. Change the reversionary yield on 'Term and reversion' and half this page moves.</t>
  </si>
  <si>
    <t xml:space="preserve">Six-year years purchase at 6.25 per cent</t>
  </si>
  <si>
    <t xml:space="preserve">Six-year deferment factor at 6.25 per cent</t>
  </si>
  <si>
    <t xml:space="preserve">Headline yield for an 80.7 per cent net-to-gross</t>
  </si>
  <si>
    <t xml:space="preserve">Headline yield for a 99.5 per cent net-to-gross</t>
  </si>
  <si>
    <t xml:space="preserve">The gap between them, in basis points</t>
  </si>
  <si>
    <t xml:space="preserve">23,771,429 re-yielded from 7.0 to 7.75 per cent</t>
  </si>
  <si>
    <t xml:space="preserve">the fall that produces  (one decimal)</t>
  </si>
  <si>
    <t xml:space="preserve">25 basis points on a 4.5 per cent yield  (one decimal)</t>
  </si>
  <si>
    <t xml:space="preserve">the same move on a 7.5 per cent yield  (one decimal)</t>
  </si>
  <si>
    <t xml:space="preserve">Case 4</t>
  </si>
  <si>
    <t xml:space="preserve">Single-let net income</t>
  </si>
  <si>
    <t xml:space="preserve">Single-let net-to-gross ratio</t>
  </si>
  <si>
    <t xml:space="preserve">Estate: structural vacancy allowance</t>
  </si>
  <si>
    <t xml:space="preserve">Estate: management at 2.5 per cent of collected rent</t>
  </si>
  <si>
    <t xml:space="preserve">Estate: leasing costs, four events a year</t>
  </si>
  <si>
    <t xml:space="preserve">Estate: bad debt allowance</t>
  </si>
  <si>
    <t xml:space="preserve">Estate: total deductions</t>
  </si>
  <si>
    <t xml:space="preserve">Estate net income</t>
  </si>
  <si>
    <t xml:space="preserve">Estate net-to-gross ratio</t>
  </si>
  <si>
    <t xml:space="preserve">Single-let value at a 5.5 per cent net yield</t>
  </si>
  <si>
    <t xml:space="preserve">Estate value at the same net yield</t>
  </si>
  <si>
    <t xml:space="preserve">Case 5</t>
  </si>
  <si>
    <t xml:space="preserve">Marketed figure, gross</t>
  </si>
  <si>
    <t xml:space="preserve">Marketed figure, net of purchaser's costs</t>
  </si>
  <si>
    <t xml:space="preserve">Value of the contracted income over the term</t>
  </si>
  <si>
    <t xml:space="preserve">Total capital required at expiry</t>
  </si>
  <si>
    <t xml:space="preserve">Reversion capitalised at 7.0 per cent</t>
  </si>
  <si>
    <t xml:space="preserve">Present value of the capital expenditure</t>
  </si>
  <si>
    <t xml:space="preserve">Present value of the void holding costs</t>
  </si>
  <si>
    <t xml:space="preserve">Present value of the lost rent</t>
  </si>
  <si>
    <t xml:space="preserve">Present value of the letting fee</t>
  </si>
  <si>
    <t xml:space="preserve">The honest figure, gross</t>
  </si>
  <si>
    <t xml:space="preserve">net of purchaser's costs</t>
  </si>
  <si>
    <t xml:space="preserve">which is  (one decimal)</t>
  </si>
  <si>
    <t xml:space="preserve">Initial yield at the honest figure</t>
  </si>
  <si>
    <t xml:space="preserve">Sensitivity: 6.75 per cent, gross</t>
  </si>
  <si>
    <t xml:space="preserve">Sensitivity: 7.75 per cent, gross</t>
  </si>
  <si>
    <t xml:space="preserve">Sensitivity: 7.75 per cent, net of costs</t>
  </si>
  <si>
    <t xml:space="preserve">7.0 against 7.75 per cent, net of costs</t>
  </si>
  <si>
    <t xml:space="preserve">as a share of the answer  (one decimal)</t>
  </si>
  <si>
    <t xml:space="preserve">which leaves for the building</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</si>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</sst>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8">
    <numFmt numFmtId="164" formatCode="General"/>
    <numFmt numFmtId="165" formatCode="#,##0;\(#,##0\);\-"/>
    <numFmt numFmtId="166" formatCode="#,##0.00;\(#,##0.00\);\-"/>
    <numFmt numFmtId="167" formatCode="0"/>
    <numFmt numFmtId="168" formatCode="0.0"/>
    <numFmt numFmtId="169" formatCode="0.00%"/>
    <numFmt numFmtId="170" formatCode="#,##0"/>
    <numFmt numFmtId="171" formatCode="0.0000"/>
  </numFmts>
  <fonts count="18">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1" fillId="3" borderId="0" xfId="0" applyFont="true" applyBorder="false" applyAlignment="true" applyProtection="false">
      <alignment horizontal="general" vertical="bottom" textRotation="0" wrapText="false" indent="0" shrinkToFit="false"/>
      <protection locked="true" hidden="false"/>
    </xf>
    <xf numFmtId="166" fontId="11" fillId="3"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general" vertical="bottom" textRotation="0" wrapText="false" indent="0" shrinkToFit="false"/>
      <protection locked="true" hidden="false"/>
    </xf>
    <xf numFmtId="169" fontId="11" fillId="3"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12" fillId="0" borderId="0" xfId="0" applyFont="true" applyBorder="false" applyAlignment="true" applyProtection="false">
      <alignment horizontal="general" vertical="bottom" textRotation="0" wrapText="false" indent="0" shrinkToFit="false"/>
      <protection locked="true" hidden="false"/>
    </xf>
    <xf numFmtId="167" fontId="11" fillId="3" borderId="0" xfId="0" applyFont="true" applyBorder="false" applyAlignment="tru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general" vertical="bottom" textRotation="0" wrapText="false" indent="0" shrinkToFit="false"/>
      <protection locked="true" hidden="false"/>
    </xf>
    <xf numFmtId="168" fontId="11" fillId="3"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71" fontId="15" fillId="4" borderId="0" xfId="0" applyFont="true" applyBorder="false" applyAlignment="true" applyProtection="false">
      <alignment horizontal="general" vertical="bottom" textRotation="0" wrapText="false" indent="0" shrinkToFit="false"/>
      <protection locked="true" hidden="false"/>
    </xf>
    <xf numFmtId="171" fontId="16" fillId="4" borderId="0" xfId="0" applyFont="true" applyBorder="false" applyAlignment="true" applyProtection="false">
      <alignment horizontal="general" vertical="bottom" textRotation="0" wrapText="false" indent="0" shrinkToFit="false"/>
      <protection locked="true" hidden="false"/>
    </xf>
    <xf numFmtId="171" fontId="14" fillId="4"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71" fontId="15" fillId="0" borderId="0" xfId="0" applyFont="true" applyBorder="false" applyAlignment="true" applyProtection="false">
      <alignment horizontal="general" vertical="bottom" textRotation="0" wrapText="false" indent="0" shrinkToFit="false"/>
      <protection locked="true" hidden="false"/>
    </xf>
    <xf numFmtId="171" fontId="16" fillId="0" borderId="0" xfId="0" applyFont="true" applyBorder="false" applyAlignment="true" applyProtection="false">
      <alignment horizontal="general" vertical="bottom" textRotation="0" wrapText="false" indent="0" shrinkToFit="false"/>
      <protection locked="true" hidden="false"/>
    </xf>
    <xf numFmtId="171" fontId="14" fillId="0" borderId="0" xfId="0" applyFont="true" applyBorder="false" applyAlignment="true" applyProtection="false">
      <alignment horizontal="general" vertical="bottom" textRotation="0" wrapText="false" indent="0" shrinkToFit="false"/>
      <protection locked="true" hidden="false"/>
    </xf>
    <xf numFmtId="169" fontId="15" fillId="4" borderId="0" xfId="0" applyFont="true" applyBorder="false" applyAlignment="true" applyProtection="false">
      <alignment horizontal="general" vertical="bottom" textRotation="0" wrapText="false" indent="0" shrinkToFit="false"/>
      <protection locked="true" hidden="false"/>
    </xf>
    <xf numFmtId="169" fontId="16" fillId="4" borderId="0" xfId="0" applyFont="true" applyBorder="false" applyAlignment="true" applyProtection="false">
      <alignment horizontal="general" vertical="bottom" textRotation="0" wrapText="false" indent="0" shrinkToFit="false"/>
      <protection locked="true" hidden="false"/>
    </xf>
    <xf numFmtId="169" fontId="14" fillId="4" borderId="0" xfId="0" applyFont="true" applyBorder="false" applyAlignment="true" applyProtection="false">
      <alignment horizontal="general" vertical="bottom" textRotation="0" wrapText="false" indent="0" shrinkToFit="false"/>
      <protection locked="true" hidden="false"/>
    </xf>
    <xf numFmtId="169" fontId="15" fillId="0" borderId="0" xfId="0" applyFont="true" applyBorder="false" applyAlignment="true" applyProtection="false">
      <alignment horizontal="general" vertical="bottom" textRotation="0" wrapText="false" indent="0" shrinkToFit="false"/>
      <protection locked="true" hidden="false"/>
    </xf>
    <xf numFmtId="169" fontId="16" fillId="0" borderId="0" xfId="0" applyFont="true" applyBorder="false" applyAlignment="true" applyProtection="false">
      <alignment horizontal="general" vertical="bottom" textRotation="0" wrapText="false" indent="0" shrinkToFit="false"/>
      <protection locked="true" hidden="false"/>
    </xf>
    <xf numFmtId="169" fontId="14" fillId="0" borderId="0" xfId="0" applyFont="true" applyBorder="false" applyAlignment="true" applyProtection="false">
      <alignment horizontal="general" vertical="bottom" textRotation="0" wrapText="false" indent="0" shrinkToFit="false"/>
      <protection locked="true" hidden="false"/>
    </xf>
    <xf numFmtId="170" fontId="15" fillId="4" borderId="0" xfId="0" applyFont="true" applyBorder="false" applyAlignment="true" applyProtection="false">
      <alignment horizontal="general" vertical="bottom" textRotation="0" wrapText="false" indent="0" shrinkToFit="false"/>
      <protection locked="true" hidden="false"/>
    </xf>
    <xf numFmtId="170" fontId="16" fillId="4" borderId="0" xfId="0" applyFont="true" applyBorder="false" applyAlignment="true" applyProtection="false">
      <alignment horizontal="general" vertical="bottom" textRotation="0" wrapText="false" indent="0" shrinkToFit="false"/>
      <protection locked="true" hidden="false"/>
    </xf>
    <xf numFmtId="170" fontId="14"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4" fillId="4" borderId="0" xfId="0" applyFont="true" applyBorder="false" applyAlignment="tru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6" fontId="14" fillId="0"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8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73.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3" min="2" style="1" width="18"/>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E4" s="5" t="s">
        <v>16</v>
      </c>
    </row>
    <row r="5" customFormat="false" ht="27.75" hidden="false" customHeight="true" outlineLevel="0" collapsed="false">
      <c r="A5" s="8"/>
      <c r="B5" s="9" t="s">
        <v>17</v>
      </c>
      <c r="C5" s="9" t="s">
        <v>18</v>
      </c>
      <c r="E5" s="10" t="s">
        <v>19</v>
      </c>
    </row>
    <row r="6" customFormat="false" ht="15" hidden="false" customHeight="true" outlineLevel="0" collapsed="false">
      <c r="A6" s="11" t="s">
        <v>20</v>
      </c>
      <c r="B6" s="12" t="n">
        <v>20000</v>
      </c>
      <c r="C6" s="12" t="n">
        <v>17500</v>
      </c>
      <c r="E6" s="10"/>
    </row>
    <row r="7" customFormat="false" ht="15" hidden="false" customHeight="true" outlineLevel="0" collapsed="false">
      <c r="A7" s="11" t="s">
        <v>21</v>
      </c>
      <c r="B7" s="13" t="n">
        <v>70</v>
      </c>
      <c r="C7" s="13" t="n">
        <v>80</v>
      </c>
      <c r="E7" s="10"/>
    </row>
    <row r="8" customFormat="false" ht="15" hidden="false" customHeight="true" outlineLevel="0" collapsed="false">
      <c r="A8" s="11" t="s">
        <v>22</v>
      </c>
      <c r="B8" s="14" t="n">
        <f aca="false">B6*B7</f>
        <v>1400000</v>
      </c>
      <c r="C8" s="14" t="n">
        <f aca="false">C6*C7</f>
        <v>1400000</v>
      </c>
      <c r="E8" s="10"/>
    </row>
    <row r="9" customFormat="false" ht="15" hidden="false" customHeight="true" outlineLevel="0" collapsed="false">
      <c r="A9" s="11" t="s">
        <v>23</v>
      </c>
      <c r="B9" s="15" t="n">
        <v>1</v>
      </c>
      <c r="C9" s="15" t="n">
        <v>14</v>
      </c>
      <c r="E9" s="10"/>
    </row>
    <row r="10" customFormat="false" ht="15" hidden="false" customHeight="true" outlineLevel="0" collapsed="false">
      <c r="A10" s="11" t="s">
        <v>24</v>
      </c>
      <c r="B10" s="16" t="n">
        <v>12</v>
      </c>
      <c r="C10" s="16" t="n">
        <v>3.4</v>
      </c>
      <c r="E10" s="10"/>
    </row>
    <row r="11" customFormat="false" ht="15" hidden="false" customHeight="true" outlineLevel="0" collapsed="false">
      <c r="E11" s="10"/>
    </row>
    <row r="12" customFormat="false" ht="15" hidden="false" customHeight="true" outlineLevel="0" collapsed="false">
      <c r="A12" s="5" t="s">
        <v>25</v>
      </c>
      <c r="E12" s="10"/>
    </row>
    <row r="13" customFormat="false" ht="15" hidden="false" customHeight="true" outlineLevel="0" collapsed="false">
      <c r="A13" s="11" t="s">
        <v>26</v>
      </c>
      <c r="B13" s="17" t="n">
        <v>0</v>
      </c>
      <c r="C13" s="18" t="n">
        <v>0.06</v>
      </c>
      <c r="E13" s="10"/>
    </row>
    <row r="14" customFormat="false" ht="15" hidden="false" customHeight="true" outlineLevel="0" collapsed="false">
      <c r="A14" s="11" t="s">
        <v>27</v>
      </c>
      <c r="B14" s="14" t="n">
        <f aca="false">B8*B13</f>
        <v>0</v>
      </c>
      <c r="C14" s="14" t="n">
        <f aca="false">C8*C13</f>
        <v>84000</v>
      </c>
      <c r="E14" s="10"/>
    </row>
    <row r="15" customFormat="false" ht="15" hidden="false" customHeight="true" outlineLevel="0" collapsed="false">
      <c r="A15" s="11" t="s">
        <v>28</v>
      </c>
      <c r="B15" s="14" t="n">
        <f aca="false">B8-B14</f>
        <v>1400000</v>
      </c>
      <c r="C15" s="14" t="n">
        <f aca="false">C8-C14</f>
        <v>1316000</v>
      </c>
      <c r="E15" s="10"/>
    </row>
    <row r="16" customFormat="false" ht="15" hidden="false" customHeight="true" outlineLevel="0" collapsed="false">
      <c r="A16" s="11" t="s">
        <v>29</v>
      </c>
      <c r="B16" s="19" t="n">
        <v>0</v>
      </c>
      <c r="C16" s="12" t="n">
        <v>32000</v>
      </c>
      <c r="E16" s="10"/>
    </row>
    <row r="17" customFormat="false" ht="15" hidden="false" customHeight="true" outlineLevel="0" collapsed="false">
      <c r="A17" s="11" t="s">
        <v>30</v>
      </c>
      <c r="B17" s="19" t="n">
        <v>0</v>
      </c>
      <c r="C17" s="12" t="n">
        <v>38000</v>
      </c>
      <c r="E17" s="10"/>
    </row>
    <row r="18" customFormat="false" ht="15" hidden="false" customHeight="true" outlineLevel="0" collapsed="false">
      <c r="A18" s="11" t="s">
        <v>31</v>
      </c>
      <c r="B18" s="18" t="n">
        <v>0.005</v>
      </c>
      <c r="C18" s="18" t="n">
        <v>0.025</v>
      </c>
      <c r="E18" s="10"/>
    </row>
    <row r="19" customFormat="false" ht="15" hidden="false" customHeight="true" outlineLevel="0" collapsed="false">
      <c r="A19" s="11" t="s">
        <v>27</v>
      </c>
      <c r="B19" s="14" t="n">
        <f aca="false">B15*B18</f>
        <v>7000</v>
      </c>
      <c r="C19" s="14" t="n">
        <f aca="false">C15*C18</f>
        <v>32900</v>
      </c>
      <c r="E19" s="10"/>
    </row>
    <row r="20" customFormat="false" ht="15" hidden="false" customHeight="true" outlineLevel="0" collapsed="false">
      <c r="A20" s="11" t="s">
        <v>32</v>
      </c>
      <c r="B20" s="20" t="n">
        <f aca="false">B9/B10</f>
        <v>0.0833333333333333</v>
      </c>
      <c r="C20" s="20" t="n">
        <f aca="false">C9/C10</f>
        <v>4.11764705882353</v>
      </c>
      <c r="E20" s="10"/>
    </row>
    <row r="21" customFormat="false" ht="15" hidden="false" customHeight="true" outlineLevel="0" collapsed="false">
      <c r="A21" s="11" t="s">
        <v>33</v>
      </c>
      <c r="B21" s="19" t="n">
        <v>0</v>
      </c>
      <c r="C21" s="12" t="n">
        <v>12000</v>
      </c>
      <c r="E21" s="10"/>
    </row>
    <row r="22" customFormat="false" ht="15" hidden="false" customHeight="true" outlineLevel="0" collapsed="false">
      <c r="A22" s="11" t="s">
        <v>34</v>
      </c>
      <c r="B22" s="14" t="n">
        <f aca="false">ROUND(B20,0)*B21</f>
        <v>0</v>
      </c>
      <c r="C22" s="14" t="n">
        <f aca="false">ROUND(C20,0)*C21</f>
        <v>48000</v>
      </c>
      <c r="E22" s="10"/>
    </row>
    <row r="23" customFormat="false" ht="15" hidden="false" customHeight="true" outlineLevel="0" collapsed="false">
      <c r="A23" s="11" t="s">
        <v>35</v>
      </c>
      <c r="B23" s="17" t="n">
        <v>0</v>
      </c>
      <c r="C23" s="18" t="n">
        <v>0.01</v>
      </c>
      <c r="E23" s="10"/>
    </row>
    <row r="24" customFormat="false" ht="15" hidden="false" customHeight="true" outlineLevel="0" collapsed="false">
      <c r="A24" s="11" t="s">
        <v>27</v>
      </c>
      <c r="B24" s="14" t="n">
        <f aca="false">B15*B23</f>
        <v>0</v>
      </c>
      <c r="C24" s="14" t="n">
        <f aca="false">C15*C23</f>
        <v>13160</v>
      </c>
      <c r="E24" s="10"/>
    </row>
    <row r="25" customFormat="false" ht="15" hidden="false" customHeight="true" outlineLevel="0" collapsed="false">
      <c r="A25" s="11" t="s">
        <v>36</v>
      </c>
      <c r="B25" s="19" t="n">
        <v>0</v>
      </c>
      <c r="C25" s="12" t="n">
        <v>22000</v>
      </c>
      <c r="E25" s="10"/>
    </row>
    <row r="26" customFormat="false" ht="15" hidden="false" customHeight="true" outlineLevel="0" collapsed="false">
      <c r="A26" s="21" t="s">
        <v>37</v>
      </c>
      <c r="B26" s="22" t="n">
        <f aca="false">B14+B16+B17+B19+B22+B24+B25</f>
        <v>7000</v>
      </c>
      <c r="C26" s="22" t="n">
        <f aca="false">C14+C16+C17+C19+C22+C24+C25</f>
        <v>270060</v>
      </c>
      <c r="E26" s="10"/>
    </row>
    <row r="27" customFormat="false" ht="15" hidden="false" customHeight="true" outlineLevel="0" collapsed="false">
      <c r="E27" s="10"/>
    </row>
    <row r="28" customFormat="false" ht="15" hidden="false" customHeight="true" outlineLevel="0" collapsed="false">
      <c r="A28" s="21" t="s">
        <v>38</v>
      </c>
      <c r="B28" s="22" t="n">
        <f aca="false">B8-B26</f>
        <v>1393000</v>
      </c>
      <c r="C28" s="22" t="n">
        <f aca="false">C8-C26</f>
        <v>1129940</v>
      </c>
      <c r="E28" s="10"/>
    </row>
    <row r="29" customFormat="false" ht="15" hidden="false" customHeight="true" outlineLevel="0" collapsed="false">
      <c r="A29" s="21" t="s">
        <v>39</v>
      </c>
      <c r="B29" s="23" t="n">
        <f aca="false">B28/B8</f>
        <v>0.995</v>
      </c>
      <c r="C29" s="23" t="n">
        <f aca="false">C28/C8</f>
        <v>0.8071</v>
      </c>
    </row>
    <row r="31" customFormat="false" ht="15" hidden="false" customHeight="true" outlineLevel="0" collapsed="false">
      <c r="A31" s="5" t="s">
        <v>40</v>
      </c>
    </row>
    <row r="32" customFormat="false" ht="15" hidden="false" customHeight="true" outlineLevel="0" collapsed="false">
      <c r="A32" s="11" t="s">
        <v>41</v>
      </c>
      <c r="B32" s="18" t="n">
        <v>0.055</v>
      </c>
      <c r="C32" s="24" t="n">
        <f aca="false">B32</f>
        <v>0.055</v>
      </c>
    </row>
    <row r="33" customFormat="false" ht="15" hidden="false" customHeight="true" outlineLevel="0" collapsed="false">
      <c r="A33" s="11" t="s">
        <v>42</v>
      </c>
      <c r="B33" s="14" t="n">
        <f aca="false">B28/B32</f>
        <v>25327272.7272727</v>
      </c>
      <c r="C33" s="14" t="n">
        <f aca="false">C28/C32</f>
        <v>20544363.6363636</v>
      </c>
    </row>
    <row r="34" customFormat="false" ht="15" hidden="false" customHeight="true" outlineLevel="0" collapsed="false">
      <c r="A34" s="21" t="s">
        <v>43</v>
      </c>
      <c r="B34" s="23" t="n">
        <f aca="false">B8/B33</f>
        <v>0.0552763819095477</v>
      </c>
      <c r="C34" s="23" t="n">
        <f aca="false">C8/C33</f>
        <v>0.0681452112501549</v>
      </c>
    </row>
    <row r="35" customFormat="false" ht="15" hidden="false" customHeight="true" outlineLevel="0" collapsed="false">
      <c r="A35" s="21" t="s">
        <v>44</v>
      </c>
      <c r="B35" s="25" t="n">
        <f aca="false">(C34-B34)*10000</f>
        <v>128.688293406071</v>
      </c>
    </row>
    <row r="36" customFormat="false" ht="15" hidden="false" customHeight="true" outlineLevel="0" collapsed="false">
      <c r="A36" s="4" t="s">
        <v>45</v>
      </c>
    </row>
    <row r="38" customFormat="false" ht="15" hidden="false" customHeight="true" outlineLevel="0" collapsed="false">
      <c r="A38" s="5" t="s">
        <v>46</v>
      </c>
    </row>
    <row r="39" customFormat="false" ht="15" hidden="false" customHeight="true" outlineLevel="0" collapsed="false">
      <c r="A39" s="11" t="s">
        <v>47</v>
      </c>
      <c r="B39" s="18" t="n">
        <v>0.006</v>
      </c>
    </row>
    <row r="40" customFormat="false" ht="15" hidden="false" customHeight="true" outlineLevel="0" collapsed="false">
      <c r="A40" s="21" t="s">
        <v>48</v>
      </c>
      <c r="B40" s="23" t="n">
        <f aca="false">C34+B39</f>
        <v>0.0741452112501549</v>
      </c>
    </row>
    <row r="42" customFormat="false" ht="15" hidden="false" customHeight="true" outlineLevel="0" collapsed="false">
      <c r="A42" s="5" t="s">
        <v>49</v>
      </c>
    </row>
    <row r="43" customFormat="false" ht="15" hidden="false" customHeight="true" outlineLevel="0" collapsed="false">
      <c r="A43" s="11" t="s">
        <v>50</v>
      </c>
      <c r="B43" s="24" t="n">
        <f aca="false">1/B10</f>
        <v>0.0833333333333333</v>
      </c>
      <c r="C43" s="24" t="n">
        <f aca="false">1/C10</f>
        <v>0.294117647058824</v>
      </c>
    </row>
    <row r="44" customFormat="false" ht="15" hidden="false" customHeight="true" outlineLevel="0" collapsed="false">
      <c r="A44" s="11" t="s">
        <v>51</v>
      </c>
      <c r="B44" s="14" t="n">
        <f aca="false">C26-B26</f>
        <v>263060</v>
      </c>
    </row>
  </sheetData>
  <mergeCells count="1">
    <mergeCell ref="E5:E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18"/>
    <col collapsed="false" customWidth="true" hidden="false" outlineLevel="0" max="4" min="3" style="1" width="16"/>
    <col collapsed="false" customWidth="true" hidden="false" outlineLevel="0" max="5" min="5" style="1" width="18"/>
    <col collapsed="false" customWidth="true" hidden="false" outlineLevel="0" max="6" min="6" style="1" width="3"/>
    <col collapsed="false" customWidth="true" hidden="false" outlineLevel="0" max="7" min="7" style="1" width="52"/>
  </cols>
  <sheetData>
    <row r="1" customFormat="false" ht="17.25" hidden="false" customHeight="true" outlineLevel="0" collapsed="false">
      <c r="A1" s="7" t="s">
        <v>52</v>
      </c>
    </row>
    <row r="2" customFormat="false" ht="15" hidden="false" customHeight="true" outlineLevel="0" collapsed="false">
      <c r="A2" s="4" t="s">
        <v>53</v>
      </c>
    </row>
    <row r="4" customFormat="false" ht="15" hidden="false" customHeight="true" outlineLevel="0" collapsed="false">
      <c r="A4" s="5" t="s">
        <v>54</v>
      </c>
      <c r="G4" s="5" t="s">
        <v>55</v>
      </c>
    </row>
    <row r="5" customFormat="false" ht="15" hidden="false" customHeight="true" outlineLevel="0" collapsed="false">
      <c r="A5" s="11" t="s">
        <v>20</v>
      </c>
      <c r="B5" s="12" t="n">
        <v>26000</v>
      </c>
      <c r="G5" s="10" t="s">
        <v>56</v>
      </c>
    </row>
    <row r="6" customFormat="false" ht="15" hidden="false" customHeight="true" outlineLevel="0" collapsed="false">
      <c r="A6" s="11" t="s">
        <v>57</v>
      </c>
      <c r="B6" s="26" t="n">
        <v>22</v>
      </c>
      <c r="G6" s="10"/>
    </row>
    <row r="7" customFormat="false" ht="15" hidden="false" customHeight="true" outlineLevel="0" collapsed="false">
      <c r="A7" s="11" t="s">
        <v>58</v>
      </c>
      <c r="B7" s="13" t="n">
        <v>62</v>
      </c>
      <c r="G7" s="10"/>
    </row>
    <row r="8" customFormat="false" ht="15" hidden="false" customHeight="true" outlineLevel="0" collapsed="false">
      <c r="A8" s="11" t="s">
        <v>59</v>
      </c>
      <c r="B8" s="26" t="n">
        <v>6</v>
      </c>
      <c r="G8" s="10"/>
    </row>
    <row r="9" customFormat="false" ht="15" hidden="false" customHeight="true" outlineLevel="0" collapsed="false">
      <c r="A9" s="11" t="s">
        <v>60</v>
      </c>
      <c r="B9" s="18" t="n">
        <v>0.0625</v>
      </c>
      <c r="G9" s="10"/>
    </row>
    <row r="10" customFormat="false" ht="15" hidden="false" customHeight="true" outlineLevel="0" collapsed="false">
      <c r="A10" s="11" t="s">
        <v>61</v>
      </c>
      <c r="B10" s="18" t="n">
        <v>0.065</v>
      </c>
      <c r="G10" s="10"/>
    </row>
    <row r="11" customFormat="false" ht="15" hidden="false" customHeight="true" outlineLevel="0" collapsed="false">
      <c r="A11" s="11" t="s">
        <v>62</v>
      </c>
      <c r="B11" s="14" t="n">
        <f aca="false">B5*B7</f>
        <v>1612000</v>
      </c>
      <c r="G11" s="10"/>
    </row>
    <row r="12" customFormat="false" ht="15" hidden="false" customHeight="true" outlineLevel="0" collapsed="false">
      <c r="G12" s="10"/>
    </row>
    <row r="13" customFormat="false" ht="15" hidden="false" customHeight="true" outlineLevel="0" collapsed="false">
      <c r="A13" s="5" t="s">
        <v>63</v>
      </c>
      <c r="G13" s="10"/>
    </row>
    <row r="14" customFormat="false" ht="15" hidden="false" customHeight="true" outlineLevel="0" collapsed="false">
      <c r="A14" s="11" t="s">
        <v>64</v>
      </c>
      <c r="B14" s="14" t="n">
        <f aca="false">B11/B9</f>
        <v>25792000</v>
      </c>
      <c r="G14" s="10"/>
    </row>
    <row r="15" customFormat="false" ht="15" hidden="false" customHeight="true" outlineLevel="0" collapsed="false">
      <c r="A15" s="21" t="s">
        <v>65</v>
      </c>
      <c r="B15" s="22" t="n">
        <f aca="false">B14/(1+B10)</f>
        <v>24217840.3755869</v>
      </c>
      <c r="G15" s="10"/>
    </row>
    <row r="16" customFormat="false" ht="15" hidden="false" customHeight="true" outlineLevel="0" collapsed="false">
      <c r="G16" s="10"/>
    </row>
    <row r="17" customFormat="false" ht="15" hidden="false" customHeight="true" outlineLevel="0" collapsed="false">
      <c r="A17" s="5" t="s">
        <v>66</v>
      </c>
      <c r="G17" s="10"/>
    </row>
    <row r="18" customFormat="false" ht="15" hidden="false" customHeight="true" outlineLevel="0" collapsed="false">
      <c r="A18" s="11" t="s">
        <v>67</v>
      </c>
      <c r="B18" s="27" t="n">
        <f aca="false">(1-(1+B9)^-B8)/B9</f>
        <v>4.87893573706615</v>
      </c>
      <c r="G18" s="10"/>
    </row>
    <row r="19" customFormat="false" ht="15" hidden="false" customHeight="true" outlineLevel="0" collapsed="false">
      <c r="A19" s="11" t="s">
        <v>68</v>
      </c>
      <c r="B19" s="14" t="n">
        <f aca="false">B11*B18</f>
        <v>7864844.40815063</v>
      </c>
      <c r="G19" s="10"/>
    </row>
    <row r="20" customFormat="false" ht="15" hidden="false" customHeight="true" outlineLevel="0" collapsed="false">
      <c r="G20" s="10"/>
    </row>
    <row r="21" customFormat="false" ht="15" hidden="false" customHeight="true" outlineLevel="0" collapsed="false">
      <c r="A21" s="5" t="s">
        <v>69</v>
      </c>
      <c r="G21" s="10"/>
    </row>
    <row r="22" customFormat="false" ht="15" hidden="false" customHeight="true" outlineLevel="0" collapsed="false">
      <c r="A22" s="4" t="s">
        <v>70</v>
      </c>
      <c r="G22" s="10"/>
    </row>
    <row r="23" customFormat="false" ht="27.75" hidden="false" customHeight="true" outlineLevel="0" collapsed="false">
      <c r="A23" s="8" t="s">
        <v>71</v>
      </c>
      <c r="B23" s="9" t="s">
        <v>72</v>
      </c>
      <c r="C23" s="9"/>
      <c r="D23" s="9" t="s">
        <v>73</v>
      </c>
      <c r="E23" s="9" t="s">
        <v>74</v>
      </c>
      <c r="G23" s="10"/>
    </row>
    <row r="24" customFormat="false" ht="15" hidden="false" customHeight="true" outlineLevel="0" collapsed="false">
      <c r="A24" s="11" t="s">
        <v>75</v>
      </c>
      <c r="B24" s="12" t="n">
        <v>26000</v>
      </c>
      <c r="C24" s="4" t="s">
        <v>73</v>
      </c>
      <c r="D24" s="12" t="n">
        <v>78</v>
      </c>
      <c r="E24" s="14" t="n">
        <f aca="false">B24*D24</f>
        <v>2028000</v>
      </c>
      <c r="G24" s="10"/>
    </row>
    <row r="25" customFormat="false" ht="15" hidden="false" customHeight="true" outlineLevel="0" collapsed="false">
      <c r="A25" s="11" t="s">
        <v>76</v>
      </c>
      <c r="B25" s="12" t="n">
        <v>12000</v>
      </c>
      <c r="C25" s="4" t="s">
        <v>73</v>
      </c>
      <c r="D25" s="12" t="n">
        <v>55</v>
      </c>
      <c r="E25" s="14" t="n">
        <f aca="false">B25*D25</f>
        <v>660000</v>
      </c>
      <c r="G25" s="10"/>
    </row>
    <row r="26" customFormat="false" ht="15" hidden="false" customHeight="true" outlineLevel="0" collapsed="false">
      <c r="A26" s="11" t="s">
        <v>77</v>
      </c>
      <c r="B26" s="12" t="n">
        <v>4</v>
      </c>
      <c r="C26" s="4" t="s">
        <v>78</v>
      </c>
      <c r="D26" s="12" t="n">
        <v>62000</v>
      </c>
      <c r="E26" s="14" t="n">
        <f aca="false">B26*D26</f>
        <v>248000</v>
      </c>
      <c r="G26" s="10"/>
    </row>
    <row r="27" customFormat="false" ht="15" hidden="false" customHeight="true" outlineLevel="0" collapsed="false">
      <c r="A27" s="11" t="s">
        <v>79</v>
      </c>
      <c r="B27" s="12" t="n">
        <v>26000</v>
      </c>
      <c r="C27" s="4" t="s">
        <v>73</v>
      </c>
      <c r="D27" s="12" t="n">
        <v>11</v>
      </c>
      <c r="E27" s="14" t="n">
        <f aca="false">B27*D27</f>
        <v>286000</v>
      </c>
      <c r="G27" s="10"/>
    </row>
    <row r="28" customFormat="false" ht="15" hidden="false" customHeight="true" outlineLevel="0" collapsed="false">
      <c r="A28" s="11" t="s">
        <v>80</v>
      </c>
      <c r="E28" s="12" t="n">
        <v>340000</v>
      </c>
      <c r="G28" s="10"/>
    </row>
    <row r="29" customFormat="false" ht="15" hidden="false" customHeight="true" outlineLevel="0" collapsed="false">
      <c r="A29" s="21" t="s">
        <v>81</v>
      </c>
      <c r="E29" s="22" t="n">
        <f aca="false">SUM(E24:E28)</f>
        <v>3562000</v>
      </c>
      <c r="G29" s="10"/>
    </row>
    <row r="30" customFormat="false" ht="15" hidden="false" customHeight="true" outlineLevel="0" collapsed="false">
      <c r="G30" s="10"/>
    </row>
    <row r="31" customFormat="false" ht="15" hidden="false" customHeight="true" outlineLevel="0" collapsed="false">
      <c r="A31" s="5" t="s">
        <v>82</v>
      </c>
      <c r="G31" s="10"/>
    </row>
    <row r="32" customFormat="false" ht="15" hidden="false" customHeight="true" outlineLevel="0" collapsed="false">
      <c r="A32" s="11" t="s">
        <v>83</v>
      </c>
      <c r="B32" s="13" t="n">
        <v>64</v>
      </c>
      <c r="G32" s="10"/>
    </row>
    <row r="33" customFormat="false" ht="15" hidden="false" customHeight="true" outlineLevel="0" collapsed="false">
      <c r="A33" s="11" t="s">
        <v>84</v>
      </c>
      <c r="B33" s="26" t="n">
        <v>9</v>
      </c>
      <c r="G33" s="10"/>
    </row>
    <row r="34" customFormat="false" ht="15" hidden="false" customHeight="true" outlineLevel="0" collapsed="false">
      <c r="A34" s="11" t="s">
        <v>85</v>
      </c>
      <c r="B34" s="26" t="n">
        <v>12</v>
      </c>
      <c r="G34" s="10"/>
    </row>
    <row r="35" customFormat="false" ht="15" hidden="false" customHeight="true" outlineLevel="0" collapsed="false">
      <c r="A35" s="11" t="s">
        <v>86</v>
      </c>
      <c r="B35" s="18" t="n">
        <v>0.1</v>
      </c>
    </row>
    <row r="36" customFormat="false" ht="15" hidden="false" customHeight="true" outlineLevel="0" collapsed="false">
      <c r="A36" s="11" t="s">
        <v>87</v>
      </c>
      <c r="B36" s="13" t="n">
        <v>26</v>
      </c>
    </row>
    <row r="37" customFormat="false" ht="15" hidden="false" customHeight="true" outlineLevel="0" collapsed="false">
      <c r="A37" s="11" t="s">
        <v>88</v>
      </c>
      <c r="B37" s="18" t="n">
        <v>0.07</v>
      </c>
    </row>
    <row r="38" customFormat="false" ht="15" hidden="false" customHeight="true" outlineLevel="0" collapsed="false">
      <c r="A38" s="11" t="s">
        <v>89</v>
      </c>
      <c r="B38" s="14" t="n">
        <f aca="false">B32*B5</f>
        <v>1664000</v>
      </c>
    </row>
    <row r="40" customFormat="false" ht="15" hidden="false" customHeight="true" outlineLevel="0" collapsed="false">
      <c r="A40" s="5" t="s">
        <v>90</v>
      </c>
    </row>
    <row r="41" customFormat="false" ht="15" hidden="false" customHeight="true" outlineLevel="0" collapsed="false">
      <c r="A41" s="11" t="s">
        <v>91</v>
      </c>
      <c r="B41" s="14" t="n">
        <f aca="false">B38/B37</f>
        <v>23771428.5714286</v>
      </c>
    </row>
    <row r="42" customFormat="false" ht="15" hidden="false" customHeight="true" outlineLevel="0" collapsed="false">
      <c r="A42" s="11" t="s">
        <v>92</v>
      </c>
      <c r="B42" s="27" t="n">
        <f aca="false">(1+B9)^-B8</f>
        <v>0.695066516433366</v>
      </c>
    </row>
    <row r="43" customFormat="false" ht="15" hidden="false" customHeight="true" outlineLevel="0" collapsed="false">
      <c r="A43" s="21" t="s">
        <v>93</v>
      </c>
      <c r="B43" s="22" t="n">
        <f aca="false">B41*B42</f>
        <v>16522724.0477874</v>
      </c>
    </row>
    <row r="45" customFormat="false" ht="15" hidden="false" customHeight="true" outlineLevel="0" collapsed="false">
      <c r="A45" s="5" t="s">
        <v>94</v>
      </c>
    </row>
    <row r="46" customFormat="false" ht="15" hidden="false" customHeight="true" outlineLevel="0" collapsed="false">
      <c r="A46" s="11" t="s">
        <v>95</v>
      </c>
      <c r="B46" s="27" t="n">
        <f aca="false">(1+B9)^-(B8+1)</f>
        <v>0.654180250760815</v>
      </c>
    </row>
    <row r="47" customFormat="false" ht="27.75" hidden="false" customHeight="true" outlineLevel="0" collapsed="false">
      <c r="A47" s="8" t="s">
        <v>71</v>
      </c>
      <c r="B47" s="9" t="s">
        <v>96</v>
      </c>
      <c r="C47" s="9" t="s">
        <v>97</v>
      </c>
    </row>
    <row r="48" customFormat="false" ht="15" hidden="false" customHeight="true" outlineLevel="0" collapsed="false">
      <c r="A48" s="11" t="s">
        <v>98</v>
      </c>
      <c r="B48" s="14" t="n">
        <f aca="false">E29</f>
        <v>3562000</v>
      </c>
      <c r="C48" s="14" t="n">
        <f aca="false">B48*$B$46</f>
        <v>2330190.05321002</v>
      </c>
    </row>
    <row r="49" customFormat="false" ht="15" hidden="false" customHeight="true" outlineLevel="0" collapsed="false">
      <c r="A49" s="11" t="s">
        <v>99</v>
      </c>
      <c r="B49" s="14" t="n">
        <f aca="false">B36*B5*B33/12</f>
        <v>507000</v>
      </c>
      <c r="C49" s="14" t="n">
        <f aca="false">B49*$B$46</f>
        <v>331669.387135733</v>
      </c>
    </row>
    <row r="50" customFormat="false" ht="15" hidden="false" customHeight="true" outlineLevel="0" collapsed="false">
      <c r="A50" s="11" t="s">
        <v>100</v>
      </c>
      <c r="B50" s="14" t="n">
        <f aca="false">B38*(B33+B34)/12</f>
        <v>2912000</v>
      </c>
      <c r="C50" s="14" t="n">
        <f aca="false">B50*$B$46</f>
        <v>1904972.89021549</v>
      </c>
    </row>
    <row r="51" customFormat="false" ht="15" hidden="false" customHeight="true" outlineLevel="0" collapsed="false">
      <c r="A51" s="11" t="s">
        <v>101</v>
      </c>
      <c r="B51" s="14" t="n">
        <f aca="false">B38*B35</f>
        <v>166400</v>
      </c>
      <c r="C51" s="14" t="n">
        <f aca="false">B51*$B$46</f>
        <v>108855.5937266</v>
      </c>
    </row>
    <row r="52" customFormat="false" ht="15" hidden="false" customHeight="true" outlineLevel="0" collapsed="false">
      <c r="A52" s="21" t="s">
        <v>37</v>
      </c>
      <c r="C52" s="22" t="n">
        <f aca="false">SUM(C48:C51)</f>
        <v>4675687.92428785</v>
      </c>
    </row>
    <row r="54" customFormat="false" ht="15" hidden="false" customHeight="true" outlineLevel="0" collapsed="false">
      <c r="A54" s="5" t="s">
        <v>102</v>
      </c>
    </row>
    <row r="55" customFormat="false" ht="15" hidden="false" customHeight="true" outlineLevel="0" collapsed="false">
      <c r="A55" s="11" t="s">
        <v>103</v>
      </c>
      <c r="B55" s="14" t="n">
        <f aca="false">B19+B43-C52</f>
        <v>19711880.5316502</v>
      </c>
    </row>
    <row r="56" customFormat="false" ht="15" hidden="false" customHeight="true" outlineLevel="0" collapsed="false">
      <c r="A56" s="21" t="s">
        <v>65</v>
      </c>
      <c r="B56" s="22" t="n">
        <f aca="false">B55/(1+B10)</f>
        <v>18508808.0109392</v>
      </c>
    </row>
    <row r="57" customFormat="false" ht="15" hidden="false" customHeight="true" outlineLevel="0" collapsed="false">
      <c r="A57" s="11" t="s">
        <v>104</v>
      </c>
      <c r="B57" s="14" t="n">
        <f aca="false">B15-B56</f>
        <v>5709032.36464768</v>
      </c>
    </row>
    <row r="58" customFormat="false" ht="15" hidden="false" customHeight="true" outlineLevel="0" collapsed="false">
      <c r="A58" s="21" t="s">
        <v>105</v>
      </c>
      <c r="B58" s="23" t="n">
        <f aca="false">B57/B15</f>
        <v>0.235736641918028</v>
      </c>
    </row>
    <row r="59" customFormat="false" ht="15" hidden="false" customHeight="true" outlineLevel="0" collapsed="false">
      <c r="A59" s="21" t="s">
        <v>106</v>
      </c>
      <c r="B59" s="23" t="n">
        <f aca="false">B11/B56</f>
        <v>0.0870936690816214</v>
      </c>
    </row>
    <row r="61" customFormat="false" ht="15" hidden="false" customHeight="true" outlineLevel="0" collapsed="false">
      <c r="A61" s="5" t="s">
        <v>107</v>
      </c>
    </row>
    <row r="62" customFormat="false" ht="15" hidden="false" customHeight="true" outlineLevel="0" collapsed="false">
      <c r="A62" s="11" t="s">
        <v>108</v>
      </c>
      <c r="B62" s="12" t="n">
        <v>850000</v>
      </c>
    </row>
    <row r="63" customFormat="false" ht="15" hidden="false" customHeight="true" outlineLevel="0" collapsed="false">
      <c r="A63" s="11" t="s">
        <v>109</v>
      </c>
      <c r="B63" s="28" t="n">
        <v>6.5</v>
      </c>
    </row>
    <row r="64" customFormat="false" ht="15" hidden="false" customHeight="true" outlineLevel="0" collapsed="false">
      <c r="A64" s="11" t="s">
        <v>110</v>
      </c>
      <c r="B64" s="13" t="n">
        <v>45</v>
      </c>
    </row>
    <row r="65" customFormat="false" ht="15" hidden="false" customHeight="true" outlineLevel="0" collapsed="false">
      <c r="A65" s="11" t="s">
        <v>111</v>
      </c>
      <c r="B65" s="14" t="n">
        <f aca="false">B62*B63-B64*B5</f>
        <v>4355000</v>
      </c>
    </row>
    <row r="66" customFormat="false" ht="15" hidden="false" customHeight="true" outlineLevel="0" collapsed="false">
      <c r="A66" s="11" t="s">
        <v>112</v>
      </c>
      <c r="B66" s="14" t="n">
        <f aca="false">B56-B65</f>
        <v>14153808.0109392</v>
      </c>
    </row>
    <row r="67" customFormat="false" ht="15" hidden="false" customHeight="true" outlineLevel="0" collapsed="false">
      <c r="A67" s="21" t="s">
        <v>113</v>
      </c>
      <c r="B67" s="29" t="n">
        <f aca="false">B66/B5</f>
        <v>544.377231189968</v>
      </c>
    </row>
  </sheetData>
  <mergeCells count="1">
    <mergeCell ref="G5:G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3" min="3" style="1" width="20"/>
    <col collapsed="false" customWidth="true" hidden="false" outlineLevel="0" max="4" min="4" style="1" width="18"/>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114</v>
      </c>
    </row>
    <row r="2" customFormat="false" ht="15" hidden="false" customHeight="true" outlineLevel="0" collapsed="false">
      <c r="A2" s="4" t="s">
        <v>115</v>
      </c>
    </row>
    <row r="4" customFormat="false" ht="15" hidden="false" customHeight="true" outlineLevel="0" collapsed="false">
      <c r="A4" s="5" t="s">
        <v>116</v>
      </c>
      <c r="F4" s="5" t="s">
        <v>117</v>
      </c>
    </row>
    <row r="5" customFormat="false" ht="27.75" hidden="false" customHeight="true" outlineLevel="0" collapsed="false">
      <c r="A5" s="8" t="s">
        <v>88</v>
      </c>
      <c r="B5" s="9" t="s">
        <v>118</v>
      </c>
      <c r="C5" s="9" t="s">
        <v>65</v>
      </c>
      <c r="D5" s="9" t="s">
        <v>119</v>
      </c>
      <c r="F5" s="10" t="s">
        <v>120</v>
      </c>
    </row>
    <row r="6" customFormat="false" ht="15" hidden="false" customHeight="true" outlineLevel="0" collapsed="false">
      <c r="A6" s="17" t="n">
        <v>0.0675</v>
      </c>
      <c r="B6" s="14" t="n">
        <f aca="false">'Term and reversion'!$B$19+('Term and reversion'!$B$38/A6)*'Term and reversion'!$B$42-'Term and reversion'!$C$52</f>
        <v>20323833.2741609</v>
      </c>
      <c r="C6" s="14" t="n">
        <f aca="false">B6/(1+'Term and reversion'!$B$10)</f>
        <v>19083411.5250337</v>
      </c>
      <c r="D6" s="14" t="n">
        <f aca="false">B6-$B$7</f>
        <v>611952.742510647</v>
      </c>
      <c r="F6" s="10"/>
    </row>
    <row r="7" customFormat="false" ht="15" hidden="false" customHeight="true" outlineLevel="0" collapsed="false">
      <c r="A7" s="17" t="n">
        <v>0.07</v>
      </c>
      <c r="B7" s="14" t="n">
        <f aca="false">'Term and reversion'!$B$19+('Term and reversion'!$B$38/A7)*'Term and reversion'!$B$42-'Term and reversion'!$C$52</f>
        <v>19711880.5316502</v>
      </c>
      <c r="C7" s="14" t="n">
        <f aca="false">B7/(1+'Term and reversion'!$B$10)</f>
        <v>18508808.0109392</v>
      </c>
      <c r="D7" s="14" t="n">
        <f aca="false">B7-$B$7</f>
        <v>0</v>
      </c>
      <c r="F7" s="10"/>
    </row>
    <row r="8" customFormat="false" ht="15" hidden="false" customHeight="true" outlineLevel="0" collapsed="false">
      <c r="A8" s="17" t="n">
        <v>0.0725</v>
      </c>
      <c r="B8" s="14" t="n">
        <f aca="false">'Term and reversion'!$B$19+('Term and reversion'!$B$38/A8)*'Term and reversion'!$B$42-'Term and reversion'!$C$52</f>
        <v>19142131.4265541</v>
      </c>
      <c r="C8" s="14" t="n">
        <f aca="false">B8/(1+'Term and reversion'!$B$10)</f>
        <v>17973832.3254029</v>
      </c>
      <c r="D8" s="14" t="n">
        <f aca="false">B8-$B$7</f>
        <v>-569749.105096117</v>
      </c>
      <c r="F8" s="10"/>
    </row>
    <row r="9" customFormat="false" ht="15" hidden="false" customHeight="true" outlineLevel="0" collapsed="false">
      <c r="A9" s="17" t="n">
        <v>0.0775</v>
      </c>
      <c r="B9" s="14" t="n">
        <f aca="false">'Term and reversion'!$B$19+('Term and reversion'!$B$38/A9)*'Term and reversion'!$B$42-'Term and reversion'!$C$52</f>
        <v>18112907.2367031</v>
      </c>
      <c r="C9" s="14" t="n">
        <f aca="false">B9/(1+'Term and reversion'!$B$10)</f>
        <v>17007424.6354019</v>
      </c>
      <c r="D9" s="14" t="n">
        <f aca="false">B9-$B$7</f>
        <v>-1598973.29494717</v>
      </c>
      <c r="F9" s="10"/>
    </row>
    <row r="10" customFormat="false" ht="15" hidden="false" customHeight="true" outlineLevel="0" collapsed="false">
      <c r="F10" s="10"/>
    </row>
    <row r="11" customFormat="false" ht="15" hidden="false" customHeight="true" outlineLevel="0" collapsed="false">
      <c r="A11" s="11" t="s">
        <v>121</v>
      </c>
      <c r="B11" s="14" t="n">
        <f aca="false">(C6-C8)/2</f>
        <v>554789.599815382</v>
      </c>
      <c r="F11" s="10"/>
    </row>
    <row r="12" customFormat="false" ht="15" hidden="false" customHeight="true" outlineLevel="0" collapsed="false">
      <c r="A12" s="11" t="s">
        <v>122</v>
      </c>
      <c r="B12" s="14" t="n">
        <f aca="false">C7-C9</f>
        <v>1501383.37553725</v>
      </c>
      <c r="F12" s="10"/>
    </row>
    <row r="13" customFormat="false" ht="15" hidden="false" customHeight="true" outlineLevel="0" collapsed="false">
      <c r="A13" s="21" t="s">
        <v>123</v>
      </c>
      <c r="B13" s="23" t="n">
        <f aca="false">B12/C7</f>
        <v>0.0811172375146952</v>
      </c>
      <c r="F13" s="10"/>
    </row>
    <row r="14" customFormat="false" ht="15" hidden="false" customHeight="true" outlineLevel="0" collapsed="false">
      <c r="F14" s="10"/>
    </row>
    <row r="15" customFormat="false" ht="15" hidden="false" customHeight="true" outlineLevel="0" collapsed="false">
      <c r="A15" s="5" t="s">
        <v>124</v>
      </c>
      <c r="F15" s="10"/>
    </row>
    <row r="16" customFormat="false" ht="15" hidden="false" customHeight="true" outlineLevel="0" collapsed="false">
      <c r="A16" s="4" t="s">
        <v>125</v>
      </c>
      <c r="F16" s="10"/>
    </row>
    <row r="17" customFormat="false" ht="15" hidden="false" customHeight="true" outlineLevel="0" collapsed="false">
      <c r="A17" s="11" t="s">
        <v>126</v>
      </c>
      <c r="B17" s="12" t="n">
        <v>23771429</v>
      </c>
      <c r="F17" s="10"/>
    </row>
    <row r="18" customFormat="false" ht="27.75" hidden="false" customHeight="true" outlineLevel="0" collapsed="false">
      <c r="A18" s="8" t="s">
        <v>127</v>
      </c>
      <c r="B18" s="9" t="s">
        <v>128</v>
      </c>
      <c r="C18" s="9" t="s">
        <v>129</v>
      </c>
      <c r="D18" s="9" t="s">
        <v>130</v>
      </c>
      <c r="F18" s="10"/>
    </row>
    <row r="19" customFormat="false" ht="15" hidden="false" customHeight="true" outlineLevel="0" collapsed="false">
      <c r="A19" s="17" t="n">
        <v>0.07</v>
      </c>
      <c r="B19" s="17" t="n">
        <v>0.0775</v>
      </c>
      <c r="C19" s="14" t="n">
        <f aca="false">$B$17*A19/B19</f>
        <v>21470968.1290323</v>
      </c>
      <c r="D19" s="24" t="n">
        <f aca="false">C19/$B$17-1</f>
        <v>-0.0967741935483869</v>
      </c>
      <c r="F19" s="10"/>
    </row>
    <row r="20" customFormat="false" ht="15" hidden="false" customHeight="true" outlineLevel="0" collapsed="false">
      <c r="A20" s="17" t="n">
        <v>0.045</v>
      </c>
      <c r="B20" s="17" t="n">
        <v>0.0475</v>
      </c>
      <c r="C20" s="14" t="n">
        <f aca="false">$B$17*A20/B20</f>
        <v>22520301.1578947</v>
      </c>
      <c r="D20" s="24" t="n">
        <f aca="false">C20/$B$17-1</f>
        <v>-0.0526315789473685</v>
      </c>
      <c r="F20" s="10"/>
    </row>
    <row r="21" customFormat="false" ht="15" hidden="false" customHeight="true" outlineLevel="0" collapsed="false">
      <c r="A21" s="17" t="n">
        <v>0.075</v>
      </c>
      <c r="B21" s="17" t="n">
        <v>0.0775</v>
      </c>
      <c r="C21" s="14" t="n">
        <f aca="false">$B$17*A21/B21</f>
        <v>23004608.7096774</v>
      </c>
      <c r="D21" s="24" t="n">
        <f aca="false">C21/$B$17-1</f>
        <v>-0.032258064516129</v>
      </c>
      <c r="F21" s="10"/>
    </row>
    <row r="22" customFormat="false" ht="15" hidden="false" customHeight="true" outlineLevel="0" collapsed="false">
      <c r="A22" s="17" t="n">
        <v>0.05</v>
      </c>
      <c r="B22" s="17" t="n">
        <v>0.055</v>
      </c>
      <c r="C22" s="14" t="n">
        <f aca="false">$B$17*A22/B22</f>
        <v>21610390</v>
      </c>
      <c r="D22" s="24" t="n">
        <f aca="false">C22/$B$17-1</f>
        <v>-0.0909090909090909</v>
      </c>
      <c r="F22" s="10"/>
    </row>
    <row r="23" customFormat="false" ht="15" hidden="false" customHeight="true" outlineLevel="0" collapsed="false">
      <c r="F23" s="10"/>
    </row>
    <row r="24" customFormat="false" ht="15" hidden="false" customHeight="true" outlineLevel="0" collapsed="false">
      <c r="A24" s="30" t="s">
        <v>131</v>
      </c>
      <c r="B24" s="30"/>
      <c r="C24" s="30"/>
      <c r="D24" s="30"/>
      <c r="F24" s="10"/>
    </row>
    <row r="25" customFormat="false" ht="15" hidden="false" customHeight="true" outlineLevel="0" collapsed="false">
      <c r="F25" s="10"/>
    </row>
    <row r="26" customFormat="false" ht="15" hidden="false" customHeight="true" outlineLevel="0" collapsed="false">
      <c r="F26" s="10"/>
    </row>
    <row r="27" customFormat="false" ht="15" hidden="false" customHeight="true" outlineLevel="0" collapsed="false">
      <c r="F27" s="10"/>
    </row>
    <row r="28" customFormat="false" ht="15" hidden="false" customHeight="true" outlineLevel="0" collapsed="false">
      <c r="F28" s="10"/>
    </row>
  </sheetData>
  <mergeCells count="2">
    <mergeCell ref="F5:F28"/>
    <mergeCell ref="A24: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6"/>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132</v>
      </c>
    </row>
    <row r="2" customFormat="false" ht="15" hidden="false" customHeight="true" outlineLevel="0" collapsed="false">
      <c r="A2" s="4" t="s">
        <v>133</v>
      </c>
    </row>
    <row r="4" customFormat="false" ht="27.75" hidden="false" customHeight="true" outlineLevel="0" collapsed="false">
      <c r="A4" s="8" t="s">
        <v>134</v>
      </c>
      <c r="B4" s="9" t="s">
        <v>135</v>
      </c>
      <c r="C4" s="9" t="s">
        <v>136</v>
      </c>
      <c r="D4" s="9" t="s">
        <v>137</v>
      </c>
      <c r="E4" s="9" t="s">
        <v>138</v>
      </c>
      <c r="F4" s="9" t="s">
        <v>139</v>
      </c>
      <c r="H4" s="5" t="s">
        <v>140</v>
      </c>
    </row>
    <row r="5" customFormat="false" ht="15" hidden="false" customHeight="true" outlineLevel="0" collapsed="false">
      <c r="A5" s="31" t="s">
        <v>141</v>
      </c>
      <c r="B5" s="32" t="s">
        <v>142</v>
      </c>
      <c r="C5" s="33" t="n">
        <v>20544364</v>
      </c>
      <c r="D5" s="34" t="n">
        <f aca="false">'Net to gross'!C33</f>
        <v>20544363.6363636</v>
      </c>
      <c r="E5" s="35" t="n">
        <f aca="false">D5-C5</f>
        <v>-0.363636363297701</v>
      </c>
      <c r="F5" s="36" t="str">
        <f aca="false">IF(ABS(E5)&lt;=5,"reproduced",IF(ABS(E5)&lt;=5*5,"rounding","CHECK"))</f>
        <v>reproduced</v>
      </c>
      <c r="H5" s="10" t="s">
        <v>143</v>
      </c>
    </row>
    <row r="6" customFormat="false" ht="15" hidden="false" customHeight="true" outlineLevel="0" collapsed="false">
      <c r="A6" s="37" t="s">
        <v>141</v>
      </c>
      <c r="B6" s="38" t="s">
        <v>144</v>
      </c>
      <c r="C6" s="39" t="n">
        <v>4.8789</v>
      </c>
      <c r="D6" s="40" t="n">
        <f aca="false">'Term and reversion'!B18</f>
        <v>4.87893573706615</v>
      </c>
      <c r="E6" s="41" t="n">
        <f aca="false">D6-C6</f>
        <v>3.57370661472345E-005</v>
      </c>
      <c r="F6" s="42" t="str">
        <f aca="false">IF(ABS(E6)&lt;=0.00006,"reproduced",IF(ABS(E6)&lt;=0.00006*5,"rounding","CHECK"))</f>
        <v>reproduced</v>
      </c>
      <c r="H6" s="10"/>
    </row>
    <row r="7" customFormat="false" ht="15" hidden="false" customHeight="true" outlineLevel="0" collapsed="false">
      <c r="A7" s="31" t="s">
        <v>141</v>
      </c>
      <c r="B7" s="32" t="s">
        <v>145</v>
      </c>
      <c r="C7" s="43" t="n">
        <v>0.6951</v>
      </c>
      <c r="D7" s="44" t="n">
        <f aca="false">'Term and reversion'!B42</f>
        <v>0.695066516433366</v>
      </c>
      <c r="E7" s="45" t="n">
        <f aca="false">D7-C7</f>
        <v>-3.34835666342404E-005</v>
      </c>
      <c r="F7" s="36" t="str">
        <f aca="false">IF(ABS(E7)&lt;=0.00006,"reproduced",IF(ABS(E7)&lt;=0.00006*5,"rounding","CHECK"))</f>
        <v>reproduced</v>
      </c>
      <c r="H7" s="10"/>
    </row>
    <row r="8" customFormat="false" ht="15" hidden="false" customHeight="true" outlineLevel="0" collapsed="false">
      <c r="A8" s="37" t="s">
        <v>141</v>
      </c>
      <c r="B8" s="38" t="s">
        <v>146</v>
      </c>
      <c r="C8" s="46" t="n">
        <v>0.0681</v>
      </c>
      <c r="D8" s="47" t="n">
        <f aca="false">'Net to gross'!C34</f>
        <v>0.0681452112501549</v>
      </c>
      <c r="E8" s="48" t="n">
        <f aca="false">D8-C8</f>
        <v>4.52112501548863E-005</v>
      </c>
      <c r="F8" s="42" t="str">
        <f aca="false">IF(ABS(E8)&lt;=0.00006,"reproduced",IF(ABS(E8)&lt;=0.00006*5,"rounding","CHECK"))</f>
        <v>reproduced</v>
      </c>
      <c r="H8" s="10"/>
    </row>
    <row r="9" customFormat="false" ht="15" hidden="false" customHeight="true" outlineLevel="0" collapsed="false">
      <c r="A9" s="31" t="s">
        <v>141</v>
      </c>
      <c r="B9" s="32" t="s">
        <v>147</v>
      </c>
      <c r="C9" s="49" t="n">
        <v>0.0553</v>
      </c>
      <c r="D9" s="50" t="n">
        <f aca="false">'Net to gross'!B34</f>
        <v>0.0552763819095477</v>
      </c>
      <c r="E9" s="51" t="n">
        <f aca="false">D9-C9</f>
        <v>-2.36180904522598E-005</v>
      </c>
      <c r="F9" s="36" t="str">
        <f aca="false">IF(ABS(E9)&lt;=0.00006,"reproduced",IF(ABS(E9)&lt;=0.00006*5,"rounding","CHECK"))</f>
        <v>reproduced</v>
      </c>
      <c r="H9" s="10"/>
    </row>
    <row r="10" customFormat="false" ht="15" hidden="false" customHeight="true" outlineLevel="0" collapsed="false">
      <c r="A10" s="37" t="s">
        <v>141</v>
      </c>
      <c r="B10" s="38" t="s">
        <v>148</v>
      </c>
      <c r="C10" s="52" t="n">
        <v>128</v>
      </c>
      <c r="D10" s="53" t="n">
        <f aca="false">'Net to gross'!B35</f>
        <v>128.688293406071</v>
      </c>
      <c r="E10" s="54" t="n">
        <f aca="false">D10-C10</f>
        <v>0.688293406071381</v>
      </c>
      <c r="F10" s="42" t="str">
        <f aca="false">IF(ABS(E10)&lt;=1,"reproduced",IF(ABS(E10)&lt;=1*5,"rounding","CHECK"))</f>
        <v>reproduced</v>
      </c>
      <c r="H10" s="10"/>
    </row>
    <row r="11" customFormat="false" ht="15" hidden="false" customHeight="true" outlineLevel="0" collapsed="false">
      <c r="A11" s="31" t="s">
        <v>141</v>
      </c>
      <c r="B11" s="32" t="s">
        <v>149</v>
      </c>
      <c r="C11" s="33" t="n">
        <v>21470968</v>
      </c>
      <c r="D11" s="34" t="n">
        <f aca="false">'Yield sensitivity'!C19</f>
        <v>21470968.1290323</v>
      </c>
      <c r="E11" s="35" t="n">
        <f aca="false">D11-C11</f>
        <v>0.129032261669636</v>
      </c>
      <c r="F11" s="36" t="str">
        <f aca="false">IF(ABS(E11)&lt;=5,"reproduced",IF(ABS(E11)&lt;=5*5,"rounding","CHECK"))</f>
        <v>reproduced</v>
      </c>
      <c r="H11" s="10"/>
    </row>
    <row r="12" customFormat="false" ht="15" hidden="false" customHeight="true" outlineLevel="0" collapsed="false">
      <c r="A12" s="37" t="s">
        <v>141</v>
      </c>
      <c r="B12" s="38" t="s">
        <v>150</v>
      </c>
      <c r="C12" s="46" t="n">
        <v>-0.097</v>
      </c>
      <c r="D12" s="47" t="n">
        <f aca="false">'Yield sensitivity'!D19</f>
        <v>-0.0967741935483869</v>
      </c>
      <c r="E12" s="48" t="n">
        <f aca="false">D12-C12</f>
        <v>0.000225806451613103</v>
      </c>
      <c r="F12" s="42" t="str">
        <f aca="false">IF(ABS(E12)&lt;=0.0005,"reproduced",IF(ABS(E12)&lt;=0.0005*5,"rounding","CHECK"))</f>
        <v>reproduced</v>
      </c>
      <c r="H12" s="10"/>
    </row>
    <row r="13" customFormat="false" ht="15" hidden="false" customHeight="true" outlineLevel="0" collapsed="false">
      <c r="A13" s="31" t="s">
        <v>141</v>
      </c>
      <c r="B13" s="32" t="s">
        <v>151</v>
      </c>
      <c r="C13" s="49" t="n">
        <v>-0.053</v>
      </c>
      <c r="D13" s="50" t="n">
        <f aca="false">'Yield sensitivity'!D20</f>
        <v>-0.0526315789473685</v>
      </c>
      <c r="E13" s="51" t="n">
        <f aca="false">D13-C13</f>
        <v>0.000368421052631525</v>
      </c>
      <c r="F13" s="36" t="str">
        <f aca="false">IF(ABS(E13)&lt;=0.0005,"reproduced",IF(ABS(E13)&lt;=0.0005*5,"rounding","CHECK"))</f>
        <v>reproduced</v>
      </c>
      <c r="H13" s="10"/>
    </row>
    <row r="14" customFormat="false" ht="15" hidden="false" customHeight="true" outlineLevel="0" collapsed="false">
      <c r="A14" s="37" t="s">
        <v>141</v>
      </c>
      <c r="B14" s="38" t="s">
        <v>152</v>
      </c>
      <c r="C14" s="46" t="n">
        <v>-0.032</v>
      </c>
      <c r="D14" s="47" t="n">
        <f aca="false">'Yield sensitivity'!D21</f>
        <v>-0.032258064516129</v>
      </c>
      <c r="E14" s="48" t="n">
        <f aca="false">D14-C14</f>
        <v>-0.000258064516129003</v>
      </c>
      <c r="F14" s="42" t="str">
        <f aca="false">IF(ABS(E14)&lt;=0.0005,"reproduced",IF(ABS(E14)&lt;=0.0005*5,"rounding","CHECK"))</f>
        <v>reproduced</v>
      </c>
      <c r="H14" s="10"/>
    </row>
    <row r="15" customFormat="false" ht="15" hidden="false" customHeight="true" outlineLevel="0" collapsed="false">
      <c r="A15" s="31" t="s">
        <v>153</v>
      </c>
      <c r="B15" s="32" t="s">
        <v>154</v>
      </c>
      <c r="C15" s="33" t="n">
        <v>1393000</v>
      </c>
      <c r="D15" s="34" t="n">
        <f aca="false">'Net to gross'!B28</f>
        <v>1393000</v>
      </c>
      <c r="E15" s="35" t="n">
        <f aca="false">D15-C15</f>
        <v>0</v>
      </c>
      <c r="F15" s="36" t="str">
        <f aca="false">IF(ABS(E15)&lt;=1,"reproduced",IF(ABS(E15)&lt;=1*5,"rounding","CHECK"))</f>
        <v>reproduced</v>
      </c>
      <c r="H15" s="10"/>
    </row>
    <row r="16" customFormat="false" ht="15" hidden="false" customHeight="true" outlineLevel="0" collapsed="false">
      <c r="A16" s="37" t="s">
        <v>153</v>
      </c>
      <c r="B16" s="38" t="s">
        <v>155</v>
      </c>
      <c r="C16" s="46" t="n">
        <v>0.995</v>
      </c>
      <c r="D16" s="47" t="n">
        <f aca="false">'Net to gross'!B29</f>
        <v>0.995</v>
      </c>
      <c r="E16" s="48" t="n">
        <f aca="false">D16-C16</f>
        <v>0</v>
      </c>
      <c r="F16" s="42" t="str">
        <f aca="false">IF(ABS(E16)&lt;=0.0005,"reproduced",IF(ABS(E16)&lt;=0.0005*5,"rounding","CHECK"))</f>
        <v>reproduced</v>
      </c>
      <c r="H16" s="10"/>
    </row>
    <row r="17" customFormat="false" ht="15" hidden="false" customHeight="true" outlineLevel="0" collapsed="false">
      <c r="A17" s="31" t="s">
        <v>153</v>
      </c>
      <c r="B17" s="32" t="s">
        <v>156</v>
      </c>
      <c r="C17" s="33" t="n">
        <v>84000</v>
      </c>
      <c r="D17" s="34" t="n">
        <f aca="false">'Net to gross'!C14</f>
        <v>84000</v>
      </c>
      <c r="E17" s="35" t="n">
        <f aca="false">D17-C17</f>
        <v>0</v>
      </c>
      <c r="F17" s="36" t="str">
        <f aca="false">IF(ABS(E17)&lt;=1,"reproduced",IF(ABS(E17)&lt;=1*5,"rounding","CHECK"))</f>
        <v>reproduced</v>
      </c>
      <c r="H17" s="10"/>
    </row>
    <row r="18" customFormat="false" ht="15" hidden="false" customHeight="true" outlineLevel="0" collapsed="false">
      <c r="A18" s="37" t="s">
        <v>153</v>
      </c>
      <c r="B18" s="38" t="s">
        <v>157</v>
      </c>
      <c r="C18" s="55" t="n">
        <v>32900</v>
      </c>
      <c r="D18" s="56" t="n">
        <f aca="false">'Net to gross'!C19</f>
        <v>32900</v>
      </c>
      <c r="E18" s="57" t="n">
        <f aca="false">D18-C18</f>
        <v>0</v>
      </c>
      <c r="F18" s="42" t="str">
        <f aca="false">IF(ABS(E18)&lt;=1,"reproduced",IF(ABS(E18)&lt;=1*5,"rounding","CHECK"))</f>
        <v>reproduced</v>
      </c>
      <c r="H18" s="10"/>
    </row>
    <row r="19" customFormat="false" ht="15" hidden="false" customHeight="true" outlineLevel="0" collapsed="false">
      <c r="A19" s="31" t="s">
        <v>153</v>
      </c>
      <c r="B19" s="32" t="s">
        <v>158</v>
      </c>
      <c r="C19" s="33" t="n">
        <v>48000</v>
      </c>
      <c r="D19" s="34" t="n">
        <f aca="false">'Net to gross'!C22</f>
        <v>48000</v>
      </c>
      <c r="E19" s="35" t="n">
        <f aca="false">D19-C19</f>
        <v>0</v>
      </c>
      <c r="F19" s="36" t="str">
        <f aca="false">IF(ABS(E19)&lt;=1,"reproduced",IF(ABS(E19)&lt;=1*5,"rounding","CHECK"))</f>
        <v>reproduced</v>
      </c>
      <c r="H19" s="10"/>
    </row>
    <row r="20" customFormat="false" ht="15" hidden="false" customHeight="true" outlineLevel="0" collapsed="false">
      <c r="A20" s="37" t="s">
        <v>153</v>
      </c>
      <c r="B20" s="38" t="s">
        <v>159</v>
      </c>
      <c r="C20" s="55" t="n">
        <v>13160</v>
      </c>
      <c r="D20" s="56" t="n">
        <f aca="false">'Net to gross'!C24</f>
        <v>13160</v>
      </c>
      <c r="E20" s="57" t="n">
        <f aca="false">D20-C20</f>
        <v>0</v>
      </c>
      <c r="F20" s="42" t="str">
        <f aca="false">IF(ABS(E20)&lt;=1,"reproduced",IF(ABS(E20)&lt;=1*5,"rounding","CHECK"))</f>
        <v>reproduced</v>
      </c>
      <c r="H20" s="10"/>
    </row>
    <row r="21" customFormat="false" ht="15" hidden="false" customHeight="true" outlineLevel="0" collapsed="false">
      <c r="A21" s="31" t="s">
        <v>153</v>
      </c>
      <c r="B21" s="32" t="s">
        <v>160</v>
      </c>
      <c r="C21" s="33" t="n">
        <v>270060</v>
      </c>
      <c r="D21" s="34" t="n">
        <f aca="false">'Net to gross'!C26</f>
        <v>270060</v>
      </c>
      <c r="E21" s="35" t="n">
        <f aca="false">D21-C21</f>
        <v>0</v>
      </c>
      <c r="F21" s="36" t="str">
        <f aca="false">IF(ABS(E21)&lt;=1,"reproduced",IF(ABS(E21)&lt;=1*5,"rounding","CHECK"))</f>
        <v>reproduced</v>
      </c>
      <c r="H21" s="10"/>
    </row>
    <row r="22" customFormat="false" ht="15" hidden="false" customHeight="true" outlineLevel="0" collapsed="false">
      <c r="A22" s="37" t="s">
        <v>153</v>
      </c>
      <c r="B22" s="38" t="s">
        <v>161</v>
      </c>
      <c r="C22" s="55" t="n">
        <v>1129940</v>
      </c>
      <c r="D22" s="56" t="n">
        <f aca="false">'Net to gross'!C28</f>
        <v>1129940</v>
      </c>
      <c r="E22" s="57" t="n">
        <f aca="false">D22-C22</f>
        <v>0</v>
      </c>
      <c r="F22" s="42" t="str">
        <f aca="false">IF(ABS(E22)&lt;=1,"reproduced",IF(ABS(E22)&lt;=1*5,"rounding","CHECK"))</f>
        <v>reproduced</v>
      </c>
      <c r="H22" s="10"/>
    </row>
    <row r="23" customFormat="false" ht="15" hidden="false" customHeight="true" outlineLevel="0" collapsed="false">
      <c r="A23" s="31" t="s">
        <v>153</v>
      </c>
      <c r="B23" s="32" t="s">
        <v>162</v>
      </c>
      <c r="C23" s="49" t="n">
        <v>0.807</v>
      </c>
      <c r="D23" s="50" t="n">
        <f aca="false">'Net to gross'!C29</f>
        <v>0.8071</v>
      </c>
      <c r="E23" s="51" t="n">
        <f aca="false">D23-C23</f>
        <v>9.9999999999989E-005</v>
      </c>
      <c r="F23" s="36" t="str">
        <f aca="false">IF(ABS(E23)&lt;=0.0005,"reproduced",IF(ABS(E23)&lt;=0.0005*5,"rounding","CHECK"))</f>
        <v>reproduced</v>
      </c>
      <c r="H23" s="10"/>
    </row>
    <row r="24" customFormat="false" ht="15" hidden="false" customHeight="true" outlineLevel="0" collapsed="false">
      <c r="A24" s="37" t="s">
        <v>153</v>
      </c>
      <c r="B24" s="38" t="s">
        <v>163</v>
      </c>
      <c r="C24" s="55" t="n">
        <v>25327273</v>
      </c>
      <c r="D24" s="56" t="n">
        <f aca="false">'Net to gross'!B33</f>
        <v>25327272.7272727</v>
      </c>
      <c r="E24" s="57" t="n">
        <f aca="false">D24-C24</f>
        <v>-0.272727273404598</v>
      </c>
      <c r="F24" s="42" t="str">
        <f aca="false">IF(ABS(E24)&lt;=5,"reproduced",IF(ABS(E24)&lt;=5*5,"rounding","CHECK"))</f>
        <v>reproduced</v>
      </c>
      <c r="H24" s="10"/>
    </row>
    <row r="25" customFormat="false" ht="15" hidden="false" customHeight="true" outlineLevel="0" collapsed="false">
      <c r="A25" s="31" t="s">
        <v>153</v>
      </c>
      <c r="B25" s="32" t="s">
        <v>164</v>
      </c>
      <c r="C25" s="33" t="n">
        <v>20544364</v>
      </c>
      <c r="D25" s="34" t="n">
        <f aca="false">'Net to gross'!C33</f>
        <v>20544363.6363636</v>
      </c>
      <c r="E25" s="35" t="n">
        <f aca="false">D25-C25</f>
        <v>-0.363636363297701</v>
      </c>
      <c r="F25" s="36" t="str">
        <f aca="false">IF(ABS(E25)&lt;=5,"reproduced",IF(ABS(E25)&lt;=5*5,"rounding","CHECK"))</f>
        <v>reproduced</v>
      </c>
      <c r="H25" s="10"/>
    </row>
    <row r="26" customFormat="false" ht="15" hidden="false" customHeight="true" outlineLevel="0" collapsed="false">
      <c r="A26" s="37" t="s">
        <v>165</v>
      </c>
      <c r="B26" s="38" t="s">
        <v>62</v>
      </c>
      <c r="C26" s="55" t="n">
        <v>1612000</v>
      </c>
      <c r="D26" s="56" t="n">
        <f aca="false">'Term and reversion'!B11</f>
        <v>1612000</v>
      </c>
      <c r="E26" s="57" t="n">
        <f aca="false">D26-C26</f>
        <v>0</v>
      </c>
      <c r="F26" s="42" t="str">
        <f aca="false">IF(ABS(E26)&lt;=1,"reproduced",IF(ABS(E26)&lt;=1*5,"rounding","CHECK"))</f>
        <v>reproduced</v>
      </c>
      <c r="H26" s="10"/>
    </row>
    <row r="27" customFormat="false" ht="15" hidden="false" customHeight="true" outlineLevel="0" collapsed="false">
      <c r="A27" s="31" t="s">
        <v>165</v>
      </c>
      <c r="B27" s="32" t="s">
        <v>166</v>
      </c>
      <c r="C27" s="33" t="n">
        <v>25792000</v>
      </c>
      <c r="D27" s="34" t="n">
        <f aca="false">'Term and reversion'!B14</f>
        <v>25792000</v>
      </c>
      <c r="E27" s="35" t="n">
        <f aca="false">D27-C27</f>
        <v>0</v>
      </c>
      <c r="F27" s="36" t="str">
        <f aca="false">IF(ABS(E27)&lt;=1,"reproduced",IF(ABS(E27)&lt;=1*5,"rounding","CHECK"))</f>
        <v>reproduced</v>
      </c>
    </row>
    <row r="28" customFormat="false" ht="15" hidden="false" customHeight="true" outlineLevel="0" collapsed="false">
      <c r="A28" s="37" t="s">
        <v>165</v>
      </c>
      <c r="B28" s="38" t="s">
        <v>167</v>
      </c>
      <c r="C28" s="55" t="n">
        <v>24217840</v>
      </c>
      <c r="D28" s="56" t="n">
        <f aca="false">'Term and reversion'!B15</f>
        <v>24217840.3755869</v>
      </c>
      <c r="E28" s="57" t="n">
        <f aca="false">D28-C28</f>
        <v>0.375586856156588</v>
      </c>
      <c r="F28" s="42" t="str">
        <f aca="false">IF(ABS(E28)&lt;=5,"reproduced",IF(ABS(E28)&lt;=5*5,"rounding","CHECK"))</f>
        <v>reproduced</v>
      </c>
    </row>
    <row r="29" customFormat="false" ht="15" hidden="false" customHeight="true" outlineLevel="0" collapsed="false">
      <c r="A29" s="31" t="s">
        <v>165</v>
      </c>
      <c r="B29" s="32" t="s">
        <v>168</v>
      </c>
      <c r="C29" s="33" t="n">
        <v>7864844</v>
      </c>
      <c r="D29" s="34" t="n">
        <f aca="false">'Term and reversion'!B19</f>
        <v>7864844.40815063</v>
      </c>
      <c r="E29" s="35" t="n">
        <f aca="false">D29-C29</f>
        <v>0.408150629140437</v>
      </c>
      <c r="F29" s="36" t="str">
        <f aca="false">IF(ABS(E29)&lt;=100,"reproduced",IF(ABS(E29)&lt;=100*5,"rounding","CHECK"))</f>
        <v>reproduced</v>
      </c>
    </row>
    <row r="30" customFormat="false" ht="15" hidden="false" customHeight="true" outlineLevel="0" collapsed="false">
      <c r="A30" s="37" t="s">
        <v>165</v>
      </c>
      <c r="B30" s="38" t="s">
        <v>169</v>
      </c>
      <c r="C30" s="55" t="n">
        <v>3562000</v>
      </c>
      <c r="D30" s="56" t="n">
        <f aca="false">'Term and reversion'!E29</f>
        <v>3562000</v>
      </c>
      <c r="E30" s="57" t="n">
        <f aca="false">D30-C30</f>
        <v>0</v>
      </c>
      <c r="F30" s="42" t="str">
        <f aca="false">IF(ABS(E30)&lt;=1,"reproduced",IF(ABS(E30)&lt;=1*5,"rounding","CHECK"))</f>
        <v>reproduced</v>
      </c>
    </row>
    <row r="31" customFormat="false" ht="15" hidden="false" customHeight="true" outlineLevel="0" collapsed="false">
      <c r="A31" s="31" t="s">
        <v>165</v>
      </c>
      <c r="B31" s="32" t="s">
        <v>170</v>
      </c>
      <c r="C31" s="33" t="n">
        <v>23771429</v>
      </c>
      <c r="D31" s="34" t="n">
        <f aca="false">'Term and reversion'!B41</f>
        <v>23771428.5714286</v>
      </c>
      <c r="E31" s="35" t="n">
        <f aca="false">D31-C31</f>
        <v>-0.428571429103613</v>
      </c>
      <c r="F31" s="36" t="str">
        <f aca="false">IF(ABS(E31)&lt;=5,"reproduced",IF(ABS(E31)&lt;=5*5,"rounding","CHECK"))</f>
        <v>reproduced</v>
      </c>
    </row>
    <row r="32" customFormat="false" ht="15" hidden="false" customHeight="true" outlineLevel="0" collapsed="false">
      <c r="A32" s="37" t="s">
        <v>165</v>
      </c>
      <c r="B32" s="38" t="s">
        <v>93</v>
      </c>
      <c r="C32" s="55" t="n">
        <v>16522724</v>
      </c>
      <c r="D32" s="56" t="n">
        <f aca="false">'Term and reversion'!B43</f>
        <v>16522724.0477874</v>
      </c>
      <c r="E32" s="57" t="n">
        <f aca="false">D32-C32</f>
        <v>0.0477874390780926</v>
      </c>
      <c r="F32" s="42" t="str">
        <f aca="false">IF(ABS(E32)&lt;=100,"reproduced",IF(ABS(E32)&lt;=100*5,"rounding","CHECK"))</f>
        <v>reproduced</v>
      </c>
    </row>
    <row r="33" customFormat="false" ht="15" hidden="false" customHeight="true" outlineLevel="0" collapsed="false">
      <c r="A33" s="31" t="s">
        <v>165</v>
      </c>
      <c r="B33" s="32" t="s">
        <v>95</v>
      </c>
      <c r="C33" s="43" t="n">
        <v>0.6542</v>
      </c>
      <c r="D33" s="44" t="n">
        <f aca="false">'Term and reversion'!B46</f>
        <v>0.654180250760815</v>
      </c>
      <c r="E33" s="45" t="n">
        <f aca="false">D33-C33</f>
        <v>-1.97492391851295E-005</v>
      </c>
      <c r="F33" s="36" t="str">
        <f aca="false">IF(ABS(E33)&lt;=0.00006,"reproduced",IF(ABS(E33)&lt;=0.00006*5,"rounding","CHECK"))</f>
        <v>reproduced</v>
      </c>
    </row>
    <row r="34" customFormat="false" ht="15" hidden="false" customHeight="true" outlineLevel="0" collapsed="false">
      <c r="A34" s="37" t="s">
        <v>165</v>
      </c>
      <c r="B34" s="38" t="s">
        <v>171</v>
      </c>
      <c r="C34" s="55" t="n">
        <v>2330190</v>
      </c>
      <c r="D34" s="56" t="n">
        <f aca="false">'Term and reversion'!C48</f>
        <v>2330190.05321002</v>
      </c>
      <c r="E34" s="57" t="n">
        <f aca="false">D34-C34</f>
        <v>0.0532100223936141</v>
      </c>
      <c r="F34" s="42" t="str">
        <f aca="false">IF(ABS(E34)&lt;=100,"reproduced",IF(ABS(E34)&lt;=100*5,"rounding","CHECK"))</f>
        <v>reproduced</v>
      </c>
    </row>
    <row r="35" customFormat="false" ht="15" hidden="false" customHeight="true" outlineLevel="0" collapsed="false">
      <c r="A35" s="31" t="s">
        <v>165</v>
      </c>
      <c r="B35" s="32" t="s">
        <v>172</v>
      </c>
      <c r="C35" s="33" t="n">
        <v>331669</v>
      </c>
      <c r="D35" s="34" t="n">
        <f aca="false">'Term and reversion'!C49</f>
        <v>331669.387135733</v>
      </c>
      <c r="E35" s="35" t="n">
        <f aca="false">D35-C35</f>
        <v>0.387135733151808</v>
      </c>
      <c r="F35" s="36" t="str">
        <f aca="false">IF(ABS(E35)&lt;=100,"reproduced",IF(ABS(E35)&lt;=100*5,"rounding","CHECK"))</f>
        <v>reproduced</v>
      </c>
    </row>
    <row r="36" customFormat="false" ht="15" hidden="false" customHeight="true" outlineLevel="0" collapsed="false">
      <c r="A36" s="37" t="s">
        <v>165</v>
      </c>
      <c r="B36" s="38" t="s">
        <v>173</v>
      </c>
      <c r="C36" s="55" t="n">
        <v>1904973</v>
      </c>
      <c r="D36" s="56" t="n">
        <f aca="false">'Term and reversion'!C50</f>
        <v>1904972.89021549</v>
      </c>
      <c r="E36" s="57" t="n">
        <f aca="false">D36-C36</f>
        <v>-0.109784507192671</v>
      </c>
      <c r="F36" s="42" t="str">
        <f aca="false">IF(ABS(E36)&lt;=100,"reproduced",IF(ABS(E36)&lt;=100*5,"rounding","CHECK"))</f>
        <v>reproduced</v>
      </c>
    </row>
    <row r="37" customFormat="false" ht="15" hidden="false" customHeight="true" outlineLevel="0" collapsed="false">
      <c r="A37" s="31" t="s">
        <v>165</v>
      </c>
      <c r="B37" s="32" t="s">
        <v>174</v>
      </c>
      <c r="C37" s="33" t="n">
        <v>108856</v>
      </c>
      <c r="D37" s="34" t="n">
        <f aca="false">'Term and reversion'!C51</f>
        <v>108855.5937266</v>
      </c>
      <c r="E37" s="35" t="n">
        <f aca="false">D37-C37</f>
        <v>-0.40627340041101</v>
      </c>
      <c r="F37" s="36" t="str">
        <f aca="false">IF(ABS(E37)&lt;=100,"reproduced",IF(ABS(E37)&lt;=100*5,"rounding","CHECK"))</f>
        <v>reproduced</v>
      </c>
    </row>
    <row r="38" customFormat="false" ht="15" hidden="false" customHeight="true" outlineLevel="0" collapsed="false">
      <c r="A38" s="37" t="s">
        <v>165</v>
      </c>
      <c r="B38" s="38" t="s">
        <v>37</v>
      </c>
      <c r="C38" s="55" t="n">
        <v>4675688</v>
      </c>
      <c r="D38" s="56" t="n">
        <f aca="false">'Term and reversion'!C52</f>
        <v>4675687.92428785</v>
      </c>
      <c r="E38" s="57" t="n">
        <f aca="false">D38-C38</f>
        <v>-0.075712151825428</v>
      </c>
      <c r="F38" s="42" t="str">
        <f aca="false">IF(ABS(E38)&lt;=100,"reproduced",IF(ABS(E38)&lt;=100*5,"rounding","CHECK"))</f>
        <v>reproduced</v>
      </c>
    </row>
    <row r="39" customFormat="false" ht="15" hidden="false" customHeight="true" outlineLevel="0" collapsed="false">
      <c r="A39" s="31" t="s">
        <v>165</v>
      </c>
      <c r="B39" s="32" t="s">
        <v>175</v>
      </c>
      <c r="C39" s="33" t="n">
        <v>19711880</v>
      </c>
      <c r="D39" s="34" t="n">
        <f aca="false">'Term and reversion'!B55</f>
        <v>19711880.5316502</v>
      </c>
      <c r="E39" s="35" t="n">
        <f aca="false">D39-C39</f>
        <v>0.531650219112635</v>
      </c>
      <c r="F39" s="36" t="str">
        <f aca="false">IF(ABS(E39)&lt;=100,"reproduced",IF(ABS(E39)&lt;=100*5,"rounding","CHECK"))</f>
        <v>reproduced</v>
      </c>
    </row>
    <row r="40" customFormat="false" ht="15" hidden="false" customHeight="true" outlineLevel="0" collapsed="false">
      <c r="A40" s="37" t="s">
        <v>165</v>
      </c>
      <c r="B40" s="38" t="s">
        <v>176</v>
      </c>
      <c r="C40" s="55" t="n">
        <v>18508808</v>
      </c>
      <c r="D40" s="56" t="n">
        <f aca="false">'Term and reversion'!B56</f>
        <v>18508808.0109392</v>
      </c>
      <c r="E40" s="57" t="n">
        <f aca="false">D40-C40</f>
        <v>0.0109391734004021</v>
      </c>
      <c r="F40" s="42" t="str">
        <f aca="false">IF(ABS(E40)&lt;=100,"reproduced",IF(ABS(E40)&lt;=100*5,"rounding","CHECK"))</f>
        <v>reproduced</v>
      </c>
    </row>
    <row r="41" customFormat="false" ht="15" hidden="false" customHeight="true" outlineLevel="0" collapsed="false">
      <c r="A41" s="31" t="s">
        <v>165</v>
      </c>
      <c r="B41" s="32" t="s">
        <v>104</v>
      </c>
      <c r="C41" s="33" t="n">
        <v>5709032</v>
      </c>
      <c r="D41" s="34" t="n">
        <f aca="false">'Term and reversion'!B57</f>
        <v>5709032.36464768</v>
      </c>
      <c r="E41" s="35" t="n">
        <f aca="false">D41-C41</f>
        <v>0.364647682756186</v>
      </c>
      <c r="F41" s="36" t="str">
        <f aca="false">IF(ABS(E41)&lt;=100,"reproduced",IF(ABS(E41)&lt;=100*5,"rounding","CHECK"))</f>
        <v>reproduced</v>
      </c>
    </row>
    <row r="42" customFormat="false" ht="15" hidden="false" customHeight="true" outlineLevel="0" collapsed="false">
      <c r="A42" s="37" t="s">
        <v>165</v>
      </c>
      <c r="B42" s="38" t="s">
        <v>177</v>
      </c>
      <c r="C42" s="46" t="n">
        <v>0.236</v>
      </c>
      <c r="D42" s="47" t="n">
        <f aca="false">'Term and reversion'!B58</f>
        <v>0.235736641918028</v>
      </c>
      <c r="E42" s="48" t="n">
        <f aca="false">D42-C42</f>
        <v>-0.000263358081971837</v>
      </c>
      <c r="F42" s="42" t="str">
        <f aca="false">IF(ABS(E42)&lt;=0.0005,"reproduced",IF(ABS(E42)&lt;=0.0005*5,"rounding","CHECK"))</f>
        <v>reproduced</v>
      </c>
    </row>
    <row r="43" customFormat="false" ht="15" hidden="false" customHeight="true" outlineLevel="0" collapsed="false">
      <c r="A43" s="31" t="s">
        <v>165</v>
      </c>
      <c r="B43" s="32" t="s">
        <v>178</v>
      </c>
      <c r="C43" s="49" t="n">
        <v>0.0871</v>
      </c>
      <c r="D43" s="50" t="n">
        <f aca="false">'Term and reversion'!B59</f>
        <v>0.0870936690816214</v>
      </c>
      <c r="E43" s="51" t="n">
        <f aca="false">D43-C43</f>
        <v>-6.33091837858035E-006</v>
      </c>
      <c r="F43" s="36" t="str">
        <f aca="false">IF(ABS(E43)&lt;=0.00006,"reproduced",IF(ABS(E43)&lt;=0.00006*5,"rounding","CHECK"))</f>
        <v>reproduced</v>
      </c>
    </row>
    <row r="44" customFormat="false" ht="15" hidden="false" customHeight="true" outlineLevel="0" collapsed="false">
      <c r="A44" s="37" t="s">
        <v>165</v>
      </c>
      <c r="B44" s="38" t="s">
        <v>179</v>
      </c>
      <c r="C44" s="55" t="n">
        <v>20323833</v>
      </c>
      <c r="D44" s="56" t="n">
        <f aca="false">'Yield sensitivity'!B6</f>
        <v>20323833.2741609</v>
      </c>
      <c r="E44" s="57" t="n">
        <f aca="false">D44-C44</f>
        <v>0.274160865694284</v>
      </c>
      <c r="F44" s="42" t="str">
        <f aca="false">IF(ABS(E44)&lt;=1000,"reproduced",IF(ABS(E44)&lt;=1000*5,"rounding","CHECK"))</f>
        <v>reproduced</v>
      </c>
    </row>
    <row r="45" customFormat="false" ht="15" hidden="false" customHeight="true" outlineLevel="0" collapsed="false">
      <c r="A45" s="31" t="s">
        <v>165</v>
      </c>
      <c r="B45" s="32" t="s">
        <v>180</v>
      </c>
      <c r="C45" s="33" t="n">
        <v>18112907</v>
      </c>
      <c r="D45" s="34" t="n">
        <f aca="false">'Yield sensitivity'!B9</f>
        <v>18112907.2367031</v>
      </c>
      <c r="E45" s="35" t="n">
        <f aca="false">D45-C45</f>
        <v>0.236703049391508</v>
      </c>
      <c r="F45" s="36" t="str">
        <f aca="false">IF(ABS(E45)&lt;=1000,"reproduced",IF(ABS(E45)&lt;=1000*5,"rounding","CHECK"))</f>
        <v>reproduced</v>
      </c>
    </row>
    <row r="46" customFormat="false" ht="15" hidden="false" customHeight="true" outlineLevel="0" collapsed="false">
      <c r="A46" s="37" t="s">
        <v>165</v>
      </c>
      <c r="B46" s="38" t="s">
        <v>181</v>
      </c>
      <c r="C46" s="55" t="n">
        <v>17007425</v>
      </c>
      <c r="D46" s="56" t="n">
        <f aca="false">'Yield sensitivity'!C9</f>
        <v>17007424.6354019</v>
      </c>
      <c r="E46" s="57" t="n">
        <f aca="false">D46-C46</f>
        <v>-0.364598073065281</v>
      </c>
      <c r="F46" s="42" t="str">
        <f aca="false">IF(ABS(E46)&lt;=1000,"reproduced",IF(ABS(E46)&lt;=1000*5,"rounding","CHECK"))</f>
        <v>reproduced</v>
      </c>
    </row>
    <row r="47" customFormat="false" ht="15" hidden="false" customHeight="true" outlineLevel="0" collapsed="false">
      <c r="A47" s="31" t="s">
        <v>165</v>
      </c>
      <c r="B47" s="32" t="s">
        <v>182</v>
      </c>
      <c r="C47" s="33" t="n">
        <v>1501383</v>
      </c>
      <c r="D47" s="34" t="n">
        <f aca="false">'Yield sensitivity'!B12</f>
        <v>1501383.37553725</v>
      </c>
      <c r="E47" s="35" t="n">
        <f aca="false">D47-C47</f>
        <v>0.375537246465683</v>
      </c>
      <c r="F47" s="36" t="str">
        <f aca="false">IF(ABS(E47)&lt;=100,"reproduced",IF(ABS(E47)&lt;=100*5,"rounding","CHECK"))</f>
        <v>reproduced</v>
      </c>
    </row>
    <row r="48" customFormat="false" ht="15" hidden="false" customHeight="true" outlineLevel="0" collapsed="false">
      <c r="A48" s="37" t="s">
        <v>165</v>
      </c>
      <c r="B48" s="38" t="s">
        <v>183</v>
      </c>
      <c r="C48" s="46" t="n">
        <v>0.081</v>
      </c>
      <c r="D48" s="47" t="n">
        <f aca="false">'Yield sensitivity'!B13</f>
        <v>0.0811172375146952</v>
      </c>
      <c r="E48" s="48" t="n">
        <f aca="false">D48-C48</f>
        <v>0.000117237514695209</v>
      </c>
      <c r="F48" s="42" t="str">
        <f aca="false">IF(ABS(E48)&lt;=0.0005,"reproduced",IF(ABS(E48)&lt;=0.0005*5,"rounding","CHECK"))</f>
        <v>reproduced</v>
      </c>
    </row>
    <row r="49" customFormat="false" ht="15" hidden="false" customHeight="true" outlineLevel="0" collapsed="false">
      <c r="A49" s="31" t="s">
        <v>165</v>
      </c>
      <c r="B49" s="32" t="s">
        <v>111</v>
      </c>
      <c r="C49" s="33" t="n">
        <v>4355000</v>
      </c>
      <c r="D49" s="34" t="n">
        <f aca="false">'Term and reversion'!B65</f>
        <v>4355000</v>
      </c>
      <c r="E49" s="35" t="n">
        <f aca="false">D49-C49</f>
        <v>0</v>
      </c>
      <c r="F49" s="36" t="str">
        <f aca="false">IF(ABS(E49)&lt;=1,"reproduced",IF(ABS(E49)&lt;=1*5,"rounding","CHECK"))</f>
        <v>reproduced</v>
      </c>
    </row>
    <row r="50" customFormat="false" ht="15" hidden="false" customHeight="true" outlineLevel="0" collapsed="false">
      <c r="A50" s="37" t="s">
        <v>165</v>
      </c>
      <c r="B50" s="38" t="s">
        <v>184</v>
      </c>
      <c r="C50" s="55" t="n">
        <v>14154000</v>
      </c>
      <c r="D50" s="56" t="n">
        <f aca="false">'Term and reversion'!B66</f>
        <v>14153808.0109392</v>
      </c>
      <c r="E50" s="57" t="n">
        <f aca="false">D50-C50</f>
        <v>-191.9890608266</v>
      </c>
      <c r="F50" s="42" t="str">
        <f aca="false">IF(ABS(E50)&lt;=500,"reproduced",IF(ABS(E50)&lt;=500*5,"rounding","CHECK"))</f>
        <v>reproduced</v>
      </c>
    </row>
    <row r="51" customFormat="false" ht="15" hidden="false" customHeight="true" outlineLevel="0" collapsed="false">
      <c r="A51" s="31" t="s">
        <v>165</v>
      </c>
      <c r="B51" s="32" t="s">
        <v>113</v>
      </c>
      <c r="C51" s="58" t="n">
        <v>544</v>
      </c>
      <c r="D51" s="59" t="n">
        <f aca="false">'Term and reversion'!B67</f>
        <v>544.377231189968</v>
      </c>
      <c r="E51" s="60" t="n">
        <f aca="false">D51-C51</f>
        <v>0.377231189968256</v>
      </c>
      <c r="F51" s="36" t="str">
        <f aca="false">IF(ABS(E51)&lt;=0.6,"reproduced",IF(ABS(E51)&lt;=0.6*5,"rounding","CHECK"))</f>
        <v>reproduced</v>
      </c>
    </row>
    <row r="53" customFormat="false" ht="15" hidden="false" customHeight="true" outlineLevel="0" collapsed="false">
      <c r="A53" s="11" t="s">
        <v>185</v>
      </c>
      <c r="C53" s="61" t="n">
        <f aca="false">COUNTIF(F5:F51,"reproduced")</f>
        <v>47</v>
      </c>
    </row>
    <row r="54" customFormat="false" ht="15" hidden="false" customHeight="true" outlineLevel="0" collapsed="false">
      <c r="A54" s="11" t="s">
        <v>186</v>
      </c>
      <c r="C54" s="61" t="n">
        <f aca="false">COUNTIF(F5:F51,"rounding")</f>
        <v>0</v>
      </c>
    </row>
    <row r="55" customFormat="false" ht="15" hidden="false" customHeight="true" outlineLevel="0" collapsed="false">
      <c r="A55" s="11" t="s">
        <v>187</v>
      </c>
      <c r="C55" s="61" t="n">
        <f aca="false">COUNTIF(F5:F51,"CHECK")</f>
        <v>0</v>
      </c>
    </row>
    <row r="57" customFormat="false" ht="15" hidden="false" customHeight="false" outlineLevel="0" collapsed="false">
      <c r="A57" s="62" t="s">
        <v>188</v>
      </c>
      <c r="C57" s="62" t="str">
        <f aca="false">IF(C55=0,"ALL OK","SOME TO CHECK")</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2026-08-20T04:49:10Z</dcterms:created>
  <dc:creator>openpyxl</dc:creator>
  <dc:description/>
  <dc:language>en-US</dc:language>
  <cp:lastModifiedBy/>
  <dcterms:modified xsi:type="dcterms:W3CDTF">2026-09-23T23:32:12Z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