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Drivers" sheetId="3" state="visible" r:id="rId3"/>
    <sheet xmlns:r="http://schemas.openxmlformats.org/officeDocument/2006/relationships" name="Quarterly" sheetId="4" state="visible" r:id="rId4"/>
    <sheet xmlns:r="http://schemas.openxmlformats.org/officeDocument/2006/relationships" name="Covenant" sheetId="5" state="visible" r:id="rId5"/>
    <sheet xmlns:r="http://schemas.openxmlformats.org/officeDocument/2006/relationships" name="13 Week" sheetId="6" state="visible" r:id="rId6"/>
    <sheet xmlns:r="http://schemas.openxmlformats.org/officeDocument/2006/relationships" name="Exit" sheetId="7" state="visible" r:id="rId7"/>
    <sheet xmlns:r="http://schemas.openxmlformats.org/officeDocument/2006/relationships" name="Levers" sheetId="8" state="visible" r:id="rId8"/>
    <sheet xmlns:r="http://schemas.openxmlformats.org/officeDocument/2006/relationships" name="Kittering" sheetId="9" state="visible" r:id="rId9"/>
    <sheet xmlns:r="http://schemas.openxmlformats.org/officeDocument/2006/relationships" name="Checks" sheetId="10" state="visible" r:id="rId10"/>
  </sheets>
  <definedNames/>
  <calcPr calcId="124519" fullCalcOnLoad="1" iterate="0"/>
</workbook>
</file>

<file path=xl/styles.xml><?xml version="1.0" encoding="utf-8"?>
<styleSheet xmlns="http://schemas.openxmlformats.org/spreadsheetml/2006/main">
  <numFmts count="12">
    <numFmt numFmtId="164" formatCode="#,##0.00;-#,##0.00;0.00"/>
    <numFmt numFmtId="165" formatCode="0.0"/>
    <numFmt numFmtId="166" formatCode="0.0&quot;x&quot;"/>
    <numFmt numFmtId="167" formatCode="0.0%"/>
    <numFmt numFmtId="168" formatCode="0.00&quot;x&quot;"/>
    <numFmt numFmtId="169" formatCode="#,##0.0;-#,##0.0;0.0"/>
    <numFmt numFmtId="170" formatCode="0.000"/>
    <numFmt numFmtId="171" formatCode="#,##0.000;-#,##0.000;0.000"/>
    <numFmt numFmtId="172" formatCode="+0.0%;-0.0%;0.0%"/>
    <numFmt numFmtId="173" formatCode="0.0E+00"/>
    <numFmt numFmtId="174" formatCode="#,##0.0"/>
    <numFmt numFmtId="175" formatCode="#,##0.00&quot;x&quot;"/>
  </numFmts>
  <fonts count="9">
    <font>
      <name val="Calibri"/>
      <family val="2"/>
      <color theme="1"/>
      <sz val="11"/>
      <scheme val="minor"/>
    </font>
    <font>
      <name val="Calibri"/>
      <b val="1"/>
      <color rgb="FF1F3864"/>
      <sz val="13"/>
    </font>
    <font>
      <name val="Calibri"/>
      <color rgb="FF404040"/>
      <sz val="10"/>
    </font>
    <font>
      <name val="Calibri"/>
      <b val="1"/>
      <color rgb="FFFFFFFF"/>
      <sz val="10"/>
    </font>
    <font>
      <name val="Calibri"/>
      <b val="1"/>
      <color rgb="FF000000"/>
      <sz val="10"/>
    </font>
    <font>
      <name val="Calibri"/>
      <color rgb="FF0000FF"/>
      <sz val="10"/>
    </font>
    <font>
      <name val="Calibri"/>
      <color rgb="FF000000"/>
      <sz val="10"/>
    </font>
    <font>
      <name val="Calibri"/>
      <color rgb="FF7F6000"/>
      <sz val="10"/>
    </font>
    <font>
      <name val="Calibri"/>
      <b val="1"/>
      <color rgb="FFFFFFFF"/>
      <sz val="12"/>
    </font>
  </fonts>
  <fills count="4">
    <fill>
      <patternFill/>
    </fill>
    <fill>
      <patternFill patternType="gray125"/>
    </fill>
    <fill>
      <patternFill patternType="solid">
        <fgColor rgb="FF1F3864"/>
      </patternFill>
    </fill>
    <fill>
      <patternFill patternType="solid">
        <fgColor rgb="FFFFFFFF"/>
      </patternFill>
    </fill>
  </fills>
  <borders count="2">
    <border>
      <left/>
      <right/>
      <top/>
      <bottom/>
      <diagonal/>
    </border>
    <border>
      <left style="thin">
        <color rgb="FFA6A6A6"/>
      </left>
      <right style="thin">
        <color rgb="FFA6A6A6"/>
      </right>
      <top style="thin">
        <color rgb="FFA6A6A6"/>
      </top>
      <bottom style="thin">
        <color rgb="FFA6A6A6"/>
      </bottom>
    </border>
  </borders>
  <cellStyleXfs count="1">
    <xf numFmtId="0" fontId="0" fillId="0" borderId="0"/>
  </cellStyleXfs>
  <cellXfs count="72">
    <xf numFmtId="0" fontId="0" fillId="0" borderId="0" pivotButton="0" quotePrefix="0" xfId="0"/>
    <xf numFmtId="0" fontId="1" fillId="0" borderId="0" pivotButton="0" quotePrefix="0" xfId="0"/>
    <xf numFmtId="0" fontId="3" fillId="2" borderId="1" applyAlignment="1" pivotButton="0" quotePrefix="0" xfId="0">
      <alignment horizontal="left" vertical="center"/>
    </xf>
    <xf numFmtId="0" fontId="0" fillId="0" borderId="0" applyAlignment="1" pivotButton="0" quotePrefix="0" xfId="0">
      <alignment vertical="top"/>
    </xf>
    <xf numFmtId="0" fontId="6" fillId="3" borderId="1" applyAlignment="1" pivotButton="0" quotePrefix="0" xfId="0">
      <alignment vertical="top" wrapText="1"/>
    </xf>
    <xf numFmtId="0" fontId="3" fillId="2" borderId="1" pivotButton="0" quotePrefix="0" xfId="0"/>
    <xf numFmtId="0" fontId="4" fillId="3" borderId="1" pivotButton="0" quotePrefix="0" xfId="0"/>
    <xf numFmtId="0" fontId="2" fillId="0" borderId="0" pivotButton="0" quotePrefix="0" xfId="0"/>
    <xf numFmtId="0" fontId="3" fillId="2" borderId="1" applyAlignment="1" pivotButton="0" quotePrefix="0" xfId="0">
      <alignment horizontal="left" vertical="center" wrapText="1"/>
    </xf>
    <xf numFmtId="0" fontId="3" fillId="2" borderId="1" applyAlignment="1" pivotButton="0" quotePrefix="0" xfId="0">
      <alignment horizontal="right" vertical="center" wrapText="1"/>
    </xf>
    <xf numFmtId="1" fontId="5" fillId="3" borderId="1" pivotButton="0" quotePrefix="0" xfId="0"/>
    <xf numFmtId="0" fontId="6" fillId="3" borderId="1" applyAlignment="1" pivotButton="0" quotePrefix="0" xfId="0">
      <alignment horizontal="left"/>
    </xf>
    <xf numFmtId="0" fontId="6" fillId="3" borderId="1" pivotButton="0" quotePrefix="0" xfId="0"/>
    <xf numFmtId="0" fontId="4" fillId="3" borderId="1" applyAlignment="1" pivotButton="0" quotePrefix="0" xfId="0">
      <alignment horizontal="right"/>
    </xf>
    <xf numFmtId="10" fontId="5" fillId="3" borderId="1" pivotButton="0" quotePrefix="0" xfId="0"/>
    <xf numFmtId="164" fontId="5" fillId="3" borderId="1" pivotButton="0" quotePrefix="0" xfId="0"/>
    <xf numFmtId="165" fontId="5" fillId="3" borderId="1" pivotButton="0" quotePrefix="0" xfId="0"/>
    <xf numFmtId="166" fontId="5" fillId="3" borderId="1" pivotButton="0" quotePrefix="0" xfId="0"/>
    <xf numFmtId="167" fontId="5" fillId="3" borderId="1" pivotButton="0" quotePrefix="0" xfId="0"/>
    <xf numFmtId="168" fontId="5" fillId="3" borderId="1" pivotButton="0" quotePrefix="0" xfId="0"/>
    <xf numFmtId="169" fontId="5" fillId="3" borderId="1" pivotButton="0" quotePrefix="0" xfId="0"/>
    <xf numFmtId="10" fontId="5" fillId="3" borderId="1" applyAlignment="1" pivotButton="0" quotePrefix="0" xfId="0">
      <alignment vertical="top"/>
    </xf>
    <xf numFmtId="0" fontId="6" fillId="3" borderId="1" applyAlignment="1" pivotButton="0" quotePrefix="0" xfId="0">
      <alignment horizontal="left" vertical="top" wrapText="1"/>
    </xf>
    <xf numFmtId="170" fontId="5" fillId="3" borderId="1" pivotButton="0" quotePrefix="0" xfId="0"/>
    <xf numFmtId="1" fontId="6" fillId="3" borderId="1" pivotButton="0" quotePrefix="0" xfId="0"/>
    <xf numFmtId="1" fontId="4" fillId="3" borderId="1" pivotButton="0" quotePrefix="0" xfId="0"/>
    <xf numFmtId="0" fontId="4" fillId="3" borderId="1" applyAlignment="1" pivotButton="0" quotePrefix="0" xfId="0">
      <alignment horizontal="left"/>
    </xf>
    <xf numFmtId="167" fontId="4" fillId="3" borderId="1" pivotButton="0" quotePrefix="0" xfId="0"/>
    <xf numFmtId="0" fontId="3" fillId="2" borderId="1" applyAlignment="1" pivotButton="0" quotePrefix="0" xfId="0">
      <alignment horizontal="left" vertical="top" wrapText="1"/>
    </xf>
    <xf numFmtId="0" fontId="3" fillId="2" borderId="1" applyAlignment="1" pivotButton="0" quotePrefix="0" xfId="0">
      <alignment horizontal="right" vertical="top" wrapText="1"/>
    </xf>
    <xf numFmtId="164" fontId="4" fillId="3" borderId="1" pivotButton="0" quotePrefix="0" xfId="0"/>
    <xf numFmtId="165" fontId="4" fillId="3" borderId="1" pivotButton="0" quotePrefix="0" xfId="0"/>
    <xf numFmtId="0" fontId="4" fillId="3" borderId="1" applyAlignment="1" pivotButton="0" quotePrefix="0" xfId="0">
      <alignment vertical="top" wrapText="1"/>
    </xf>
    <xf numFmtId="1" fontId="4" fillId="3" borderId="1" applyAlignment="1" pivotButton="0" quotePrefix="0" xfId="0">
      <alignment vertical="top"/>
    </xf>
    <xf numFmtId="0" fontId="4" fillId="3" borderId="1" applyAlignment="1" pivotButton="0" quotePrefix="0" xfId="0">
      <alignment horizontal="left" vertical="top" wrapText="1"/>
    </xf>
    <xf numFmtId="166" fontId="4" fillId="3" borderId="1" applyAlignment="1" pivotButton="0" quotePrefix="0" xfId="0">
      <alignment vertical="top"/>
    </xf>
    <xf numFmtId="164" fontId="6" fillId="3" borderId="1" pivotButton="0" quotePrefix="0" xfId="0"/>
    <xf numFmtId="0" fontId="3" fillId="2" borderId="1" applyAlignment="1" pivotButton="0" quotePrefix="0" xfId="0">
      <alignment horizontal="left"/>
    </xf>
    <xf numFmtId="164" fontId="3" fillId="2" borderId="1" pivotButton="0" quotePrefix="0" xfId="0"/>
    <xf numFmtId="167" fontId="6" fillId="3" borderId="1" pivotButton="0" quotePrefix="0" xfId="0"/>
    <xf numFmtId="168" fontId="6" fillId="3" borderId="1" pivotButton="0" quotePrefix="0" xfId="0"/>
    <xf numFmtId="10" fontId="6" fillId="3" borderId="1" pivotButton="0" quotePrefix="0" xfId="0"/>
    <xf numFmtId="171" fontId="6" fillId="3" borderId="1" pivotButton="0" quotePrefix="0" xfId="0"/>
    <xf numFmtId="165" fontId="6" fillId="3" borderId="1" pivotButton="0" quotePrefix="0" xfId="0"/>
    <xf numFmtId="167" fontId="3" fillId="2" borderId="1" pivotButton="0" quotePrefix="0" xfId="0"/>
    <xf numFmtId="0" fontId="6" fillId="3" borderId="1" applyAlignment="1" pivotButton="0" quotePrefix="0" xfId="0">
      <alignment horizontal="right"/>
    </xf>
    <xf numFmtId="1" fontId="6" fillId="3" borderId="1" applyAlignment="1" pivotButton="0" quotePrefix="0" xfId="0">
      <alignment horizontal="left"/>
    </xf>
    <xf numFmtId="166" fontId="6" fillId="3" borderId="1" pivotButton="0" quotePrefix="0" xfId="0"/>
    <xf numFmtId="164" fontId="6" fillId="3" borderId="1" applyAlignment="1" pivotButton="0" quotePrefix="0" xfId="0">
      <alignment vertical="top"/>
    </xf>
    <xf numFmtId="164" fontId="7" fillId="3" borderId="1" pivotButton="0" quotePrefix="0" xfId="0"/>
    <xf numFmtId="167" fontId="7" fillId="3" borderId="1" pivotButton="0" quotePrefix="0" xfId="0"/>
    <xf numFmtId="172" fontId="6" fillId="3" borderId="1" pivotButton="0" quotePrefix="0" xfId="0"/>
    <xf numFmtId="169" fontId="7" fillId="3" borderId="1" pivotButton="0" quotePrefix="0" xfId="0"/>
    <xf numFmtId="165" fontId="7" fillId="3" borderId="1" pivotButton="0" quotePrefix="0" xfId="0"/>
    <xf numFmtId="165" fontId="3" fillId="2" borderId="1" pivotButton="0" quotePrefix="0" xfId="0"/>
    <xf numFmtId="1" fontId="6" fillId="3" borderId="1" applyAlignment="1" pivotButton="0" quotePrefix="0" xfId="0">
      <alignment horizontal="left" vertical="top"/>
    </xf>
    <xf numFmtId="173" fontId="6" fillId="3" borderId="1" applyAlignment="1" pivotButton="0" quotePrefix="0" xfId="0">
      <alignment vertical="top"/>
    </xf>
    <xf numFmtId="0" fontId="4" fillId="3" borderId="1" applyAlignment="1" pivotButton="0" quotePrefix="0" xfId="0">
      <alignment horizontal="right" vertical="top"/>
    </xf>
    <xf numFmtId="173" fontId="6" fillId="3" borderId="1" pivotButton="0" quotePrefix="0" xfId="0"/>
    <xf numFmtId="174" fontId="7" fillId="3" borderId="1" pivotButton="0" quotePrefix="0" xfId="0"/>
    <xf numFmtId="174" fontId="6" fillId="3" borderId="1" applyAlignment="1" pivotButton="0" quotePrefix="0" xfId="0">
      <alignment horizontal="right"/>
    </xf>
    <xf numFmtId="174" fontId="6" fillId="3" borderId="1" pivotButton="0" quotePrefix="0" xfId="0"/>
    <xf numFmtId="4" fontId="7" fillId="3" borderId="1" pivotButton="0" quotePrefix="0" xfId="0"/>
    <xf numFmtId="4" fontId="6" fillId="3" borderId="1" applyAlignment="1" pivotButton="0" quotePrefix="0" xfId="0">
      <alignment horizontal="right"/>
    </xf>
    <xf numFmtId="4" fontId="6" fillId="3" borderId="1" pivotButton="0" quotePrefix="0" xfId="0"/>
    <xf numFmtId="175" fontId="7" fillId="3" borderId="1" pivotButton="0" quotePrefix="0" xfId="0"/>
    <xf numFmtId="175" fontId="6" fillId="3" borderId="1" applyAlignment="1" pivotButton="0" quotePrefix="0" xfId="0">
      <alignment horizontal="right"/>
    </xf>
    <xf numFmtId="175" fontId="6" fillId="3" borderId="1" pivotButton="0" quotePrefix="0" xfId="0"/>
    <xf numFmtId="167" fontId="6" fillId="3" borderId="1" applyAlignment="1" pivotButton="0" quotePrefix="0" xfId="0">
      <alignment horizontal="right"/>
    </xf>
    <xf numFmtId="1" fontId="6" fillId="3" borderId="1" applyAlignment="1" pivotButton="0" quotePrefix="0" xfId="0">
      <alignment vertical="top"/>
    </xf>
    <xf numFmtId="0" fontId="6" fillId="3" borderId="1" applyAlignment="1" pivotButton="0" quotePrefix="0" xfId="0">
      <alignment vertical="top"/>
    </xf>
    <xf numFmtId="0" fontId="8" fillId="2" borderId="1" applyAlignment="1" pivotButton="0" quotePrefix="0" xfId="0">
      <alignment horizontal="right"/>
    </xf>
  </cellXfs>
  <cellStyles count="1">
    <cellStyle name="Normal" xfId="0" builtinId="0" hidden="0"/>
  </cellStyles>
  <dxfs count="1">
    <dxf>
      <font>
        <name val="Calibri"/>
        <b val="1"/>
        <color rgb="FFC00000"/>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2:B23"/>
  <sheetViews>
    <sheetView showGridLines="0" tabSelected="1" zoomScale="100" workbookViewId="0">
      <selection activeCell="A1" sqref="A1"/>
    </sheetView>
  </sheetViews>
  <sheetFormatPr baseColWidth="8" defaultRowHeight="15"/>
  <cols>
    <col width="3.428571428571428" customWidth="1" min="1" max="1"/>
    <col width="120" customWidth="1" min="2" max="2"/>
  </cols>
  <sheetData>
    <row r="1" ht="18" customHeight="1"/>
    <row r="2" ht="18" customHeight="1">
      <c r="B2" s="1" t="inlineStr">
        <is>
          <t>The Private Equity-Backed CFO: companion workbook</t>
        </is>
      </c>
    </row>
    <row r="3"/>
    <row r="4">
      <c r="B4" s="2" t="inlineStr">
        <is>
          <t>What this file is</t>
        </is>
      </c>
    </row>
    <row r="5" ht="55.8" customHeight="1">
      <c r="A5" s="3" t="n"/>
      <c r="B5" s="4" t="inlineStr">
        <is>
          <t>The model behind The Private Equity-Backed CFO by Julian R. Sterling. Brennock Supply (fictional), an MRO distributor bought by a private equity sponsor, followed quarter by quarter for six years from the CFO's chair: the deal, working capital, rebates, the add-on, the covenant, the 13-week cash flow, the exit and the CFO's own equity. US dollars in millions; year 1 is quarters 1 to 4; year 0 is the twelve months before closing. Every number the book prints from the model is recomputed here by live formula.</t>
        </is>
      </c>
    </row>
    <row r="6"/>
    <row r="7">
      <c r="B7" s="2" t="inlineStr">
        <is>
          <t>Color code</t>
        </is>
      </c>
    </row>
    <row r="8" ht="29.4" customHeight="1">
      <c r="A8" s="3" t="n"/>
      <c r="B8" s="4" t="inlineStr">
        <is>
          <t>Blue = an input you may change. Black = a formula: do not type over it. Dark gold = a reference value from the book (the lever table on Levers, the printed figures on Checks), shown for comparison only. Dark blue lines are headers and totals.</t>
        </is>
      </c>
    </row>
    <row r="9"/>
    <row r="10">
      <c r="B10" s="2" t="inlineStr">
        <is>
          <t>Switching case</t>
        </is>
      </c>
    </row>
    <row r="11" ht="55.8" customHeight="1">
      <c r="A11" s="3" t="n"/>
      <c r="B11" s="4" t="inlineStr">
        <is>
          <t>Type 1 (Plan), 2 (Actual, the book's main case), 3 (Severe) or 4 (Budget, the year-3 budget) in the CASE SELECTOR at the top of Inputs. The whole quarterly engine, the covenant certificate, the 13-week, the exit and the checks follow. The file opens on case 2 and recalculates on opening; there are no macros, no data tables and no circular references (interest is charged on opening balances).</t>
        </is>
      </c>
    </row>
    <row r="12"/>
    <row r="13">
      <c r="B13" s="2" t="inlineStr">
        <is>
          <t>Which tab answers which chapter</t>
        </is>
      </c>
    </row>
    <row r="14" ht="82.19999999999999" customHeight="1">
      <c r="A14" s="3" t="n"/>
      <c r="B14" s="4" t="inlineStr">
        <is>
          <t>Inputs: every assumption, the case selector, the seven value levers, the exit quarter and multiple. Drivers: the four cases' drivers (growth, margins, days, synergies, one-offs, overhead actions). Quarterly: the engine and the year-0 entry (Chapters 2, 3, 4, 6, 9, 10, 11), with an annual summary at the end. Covenant: the compliance certificate for any quarter (Chapters 4, 9, 12). 13 Week: the weekly cash flow of any quarter and the three levers (Chapters 5, 6, 12). Exit: QoE EBITDA, value, equity, the pool, IRR, the CFO's payout and the value bridge (Chapters 7, 14, 15, 16). Levers: how a lever moves the exit and the headroom, with the book's lever table (Chapters 6, 7). Kittering: the interview case (Chapter 17). Checks: the arithmetic tests and the book's printed figures.</t>
        </is>
      </c>
    </row>
    <row r="15"/>
    <row r="16">
      <c r="B16" s="2" t="inlineStr">
        <is>
          <t>The manipulations the book asks for</t>
        </is>
      </c>
    </row>
    <row r="17" ht="55.8" customHeight="1">
      <c r="A17" s="3" t="n"/>
      <c r="B17" s="4" t="inlineStr">
        <is>
          <t>1. Switch case (Inputs). 2. Change one lever on Inputs with the case on 2 and read the change on Levers. 3. Change the exit quarter (16, 20 or 24) or type an exit multiple override (8 or 10) and read Exit. 4. Change the covenant grid on Inputs and watch headroom and cures on Quarterly. 5. Test the rebate threshold: change the rebate rates or the core share on Inputs, or the year-3 growth on Drivers, and read the rebate rows on Quarterly. 6. Type a quarter on Covenant or 13 Week, and try the three 13-week levers.</t>
        </is>
      </c>
    </row>
    <row r="18"/>
    <row r="19">
      <c r="B19" s="2" t="inlineStr">
        <is>
          <t>Checks</t>
        </is>
      </c>
    </row>
    <row r="20" ht="55.8" customHeight="1">
      <c r="A20" s="3" t="n"/>
      <c r="B20" s="4" t="inlineStr">
        <is>
          <t>The Checks tab ends with one result cell. ALL CHECKS OK means the arithmetic holds and, when the levers are at zero with the exit at quarter 20, the selected case still reproduces the figures printed in the book. To return to the book's figures, download the file again. The workbook was recalculated in LibreOffice and compared cell by cell with the Python model the book's figures come from, for the four cases, each lever, two other exit quarters and two other exit multiples.</t>
        </is>
      </c>
    </row>
    <row r="21"/>
    <row r="22">
      <c r="B22" s="5" t="inlineStr">
        <is>
          <t>Status of the file now</t>
        </is>
      </c>
    </row>
    <row r="23">
      <c r="B23" s="6">
        <f>"Case: "&amp;'Inputs'!$C$7&amp;". Checks: "&amp;'Checks'!$G$117</f>
        <v/>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2:O125"/>
  <sheetViews>
    <sheetView showGridLines="0" tabSelected="0" zoomScale="100" workbookViewId="0">
      <selection activeCell="A1" sqref="A1"/>
    </sheetView>
  </sheetViews>
  <sheetFormatPr baseColWidth="8" defaultRowHeight="15"/>
  <cols>
    <col width="3.428571428571428" customWidth="1" min="1" max="1"/>
    <col width="74" customWidth="1" min="2" max="2"/>
    <col width="12" customWidth="1" min="3" max="3"/>
    <col width="17" customWidth="1" min="4" max="4"/>
    <col width="12" customWidth="1" min="5" max="5"/>
    <col width="12" customWidth="1" min="6" max="6"/>
    <col width="12" customWidth="1" min="7" max="7"/>
    <col width="12" customWidth="1" min="8" max="8"/>
    <col width="9" customWidth="1" min="9" max="9"/>
    <col width="9" customWidth="1" min="10" max="10"/>
    <col width="9" customWidth="1" min="11" max="11"/>
    <col width="9" customWidth="1" min="12" max="12"/>
    <col width="9" customWidth="1" min="13" max="13"/>
    <col width="9" customWidth="1" min="14" max="14"/>
    <col width="9" customWidth="1" min="15" max="15"/>
  </cols>
  <sheetData>
    <row r="1" ht="18" customHeight="1"/>
    <row r="2" ht="18" customHeight="1">
      <c r="B2" s="1" t="inlineStr">
        <is>
          <t>Inputs</t>
        </is>
      </c>
    </row>
    <row r="3">
      <c r="B3" s="7" t="inlineStr">
        <is>
          <t>Every assumption of the model, in blue. US dollars in millions; quarters 1 to 24 (year 1 = quarters 1 to 4); year 0 = the twelve months before closing.</t>
        </is>
      </c>
    </row>
    <row r="4"/>
    <row r="5">
      <c r="B5" s="8" t="inlineStr">
        <is>
          <t>Case selector and value levers (Chapters 6, 7)</t>
        </is>
      </c>
      <c r="C5" s="9" t="inlineStr">
        <is>
          <t>Value</t>
        </is>
      </c>
      <c r="D5" s="8" t="inlineStr">
        <is>
          <t>Unit</t>
        </is>
      </c>
    </row>
    <row r="6">
      <c r="B6" s="6" t="inlineStr">
        <is>
          <t>CASE SELECTOR: 1 Plan, 2 Actual, 3 Severe, 4 Budget</t>
        </is>
      </c>
      <c r="C6" s="10" t="n">
        <v>2</v>
      </c>
      <c r="D6" s="11" t="inlineStr">
        <is>
          <t>1 to 4</t>
        </is>
      </c>
    </row>
    <row r="7">
      <c r="B7" s="12" t="inlineStr">
        <is>
          <t>Selected case (calculated)</t>
        </is>
      </c>
      <c r="C7" s="13">
        <f>CHOOSE(C6,"Plan","Actual","Severe","Budget")</f>
        <v/>
      </c>
      <c r="D7" s="11" t="inlineStr">
        <is>
          <t>name</t>
        </is>
      </c>
    </row>
    <row r="8">
      <c r="B8" s="12" t="inlineStr">
        <is>
          <t>Price change on platform revenue (volumes and purchases unchanged)</t>
        </is>
      </c>
      <c r="C8" s="14" t="n">
        <v>0</v>
      </c>
      <c r="D8" s="11" t="inlineStr">
        <is>
          <t>% of price</t>
        </is>
      </c>
    </row>
    <row r="9">
      <c r="B9" s="12" t="inlineStr">
        <is>
          <t>Purchase cost change, in points of platform revenue (negative = cheaper)</t>
        </is>
      </c>
      <c r="C9" s="14" t="n">
        <v>0</v>
      </c>
      <c r="D9" s="11" t="inlineStr">
        <is>
          <t>points</t>
        </is>
      </c>
    </row>
    <row r="10">
      <c r="B10" s="12" t="inlineStr">
        <is>
          <t>Fixed overhead change</t>
        </is>
      </c>
      <c r="C10" s="15" t="n">
        <v>0</v>
      </c>
      <c r="D10" s="11" t="inlineStr">
        <is>
          <t>$m a year</t>
        </is>
      </c>
    </row>
    <row r="11">
      <c r="B11" s="12" t="inlineStr">
        <is>
          <t>Receivable days change</t>
        </is>
      </c>
      <c r="C11" s="16" t="n">
        <v>0</v>
      </c>
      <c r="D11" s="11" t="inlineStr">
        <is>
          <t>days</t>
        </is>
      </c>
    </row>
    <row r="12">
      <c r="B12" s="12" t="inlineStr">
        <is>
          <t>Inventory days change</t>
        </is>
      </c>
      <c r="C12" s="16" t="n">
        <v>0</v>
      </c>
      <c r="D12" s="11" t="inlineStr">
        <is>
          <t>days</t>
        </is>
      </c>
    </row>
    <row r="13">
      <c r="B13" s="12" t="inlineStr">
        <is>
          <t>Payable days change</t>
        </is>
      </c>
      <c r="C13" s="16" t="n">
        <v>0</v>
      </c>
      <c r="D13" s="11" t="inlineStr">
        <is>
          <t>days</t>
        </is>
      </c>
    </row>
    <row r="14">
      <c r="B14" s="12" t="inlineStr">
        <is>
          <t>Routine capex change, in points of revenue</t>
        </is>
      </c>
      <c r="C14" s="14" t="n">
        <v>0</v>
      </c>
      <c r="D14" s="11" t="inlineStr">
        <is>
          <t>points</t>
        </is>
      </c>
    </row>
    <row r="15"/>
    <row r="16">
      <c r="B16" s="8" t="inlineStr">
        <is>
          <t>Exit and management equity (Chapters 14 to 16)</t>
        </is>
      </c>
      <c r="C16" s="9" t="inlineStr">
        <is>
          <t>Value</t>
        </is>
      </c>
      <c r="D16" s="8" t="inlineStr">
        <is>
          <t>Unit</t>
        </is>
      </c>
    </row>
    <row r="17">
      <c r="B17" s="12" t="inlineStr">
        <is>
          <t>Exit quarter (16 = end of year 4, 20 = end of year 5, 24 = end of year 6)</t>
        </is>
      </c>
      <c r="C17" s="10" t="n">
        <v>20</v>
      </c>
      <c r="D17" s="11" t="inlineStr">
        <is>
          <t>quarter</t>
        </is>
      </c>
    </row>
    <row r="18">
      <c r="B18" s="12" t="inlineStr">
        <is>
          <t>Exit multiple override (leave blank to use the case's multiple on Drivers)</t>
        </is>
      </c>
      <c r="C18" s="17" t="n"/>
      <c r="D18" s="11" t="inlineStr">
        <is>
          <t>x EBITDA</t>
        </is>
      </c>
    </row>
    <row r="19">
      <c r="B19" s="12" t="inlineStr">
        <is>
          <t>Haircut on the buyer's QoE EBITDA at exit</t>
        </is>
      </c>
      <c r="C19" s="18" t="n">
        <v>0</v>
      </c>
      <c r="D19" s="11" t="inlineStr">
        <is>
          <t>%</t>
        </is>
      </c>
    </row>
    <row r="20">
      <c r="B20" s="12" t="inlineStr">
        <is>
          <t>Selling costs, share of enterprise value</t>
        </is>
      </c>
      <c r="C20" s="18" t="n">
        <v>0.02</v>
      </c>
      <c r="D20" s="11" t="inlineStr">
        <is>
          <t>%</t>
        </is>
      </c>
    </row>
    <row r="21">
      <c r="B21" s="12" t="inlineStr">
        <is>
          <t>Management incentive pool, share of the gain above invested equity</t>
        </is>
      </c>
      <c r="C21" s="18" t="n">
        <v>0.1</v>
      </c>
      <c r="D21" s="11" t="inlineStr">
        <is>
          <t>%</t>
        </is>
      </c>
    </row>
    <row r="22">
      <c r="B22" s="12" t="inlineStr">
        <is>
          <t>The CFO's share of the pool</t>
        </is>
      </c>
      <c r="C22" s="18" t="n">
        <v>0.15</v>
      </c>
      <c r="D22" s="11" t="inlineStr">
        <is>
          <t>%</t>
        </is>
      </c>
    </row>
    <row r="23">
      <c r="B23" s="12" t="inlineStr">
        <is>
          <t>Share of the units that vests with time (fully vested at a sale)</t>
        </is>
      </c>
      <c r="C23" s="18" t="n">
        <v>0.5</v>
      </c>
      <c r="D23" s="11" t="inlineStr">
        <is>
          <t>%</t>
        </is>
      </c>
    </row>
    <row r="24">
      <c r="B24" s="12" t="inlineStr">
        <is>
          <t>Performance vesting starts at this gross money multiple</t>
        </is>
      </c>
      <c r="C24" s="19" t="n">
        <v>2</v>
      </c>
      <c r="D24" s="11" t="inlineStr">
        <is>
          <t>x</t>
        </is>
      </c>
    </row>
    <row r="25">
      <c r="B25" s="12" t="inlineStr">
        <is>
          <t>Performance vesting complete at this gross money multiple</t>
        </is>
      </c>
      <c r="C25" s="19" t="n">
        <v>2.5</v>
      </c>
      <c r="D25" s="11" t="inlineStr">
        <is>
          <t>x</t>
        </is>
      </c>
    </row>
    <row r="26">
      <c r="B26" s="12" t="inlineStr">
        <is>
          <t>The CFO's co-investment in the common equity at closing</t>
        </is>
      </c>
      <c r="C26" s="15" t="n">
        <v>0.3</v>
      </c>
      <c r="D26" s="11" t="inlineStr">
        <is>
          <t>$m</t>
        </is>
      </c>
    </row>
    <row r="27">
      <c r="B27" s="12" t="inlineStr">
        <is>
          <t>Management's run-rate item at exit: price increase</t>
        </is>
      </c>
      <c r="C27" s="15" t="n">
        <v>0.6</v>
      </c>
      <c r="D27" s="11" t="inlineStr">
        <is>
          <t>$m</t>
        </is>
      </c>
    </row>
    <row r="28">
      <c r="B28" s="12" t="inlineStr">
        <is>
          <t>Management's run-rate item at exit: new branch</t>
        </is>
      </c>
      <c r="C28" s="15" t="n">
        <v>0.5</v>
      </c>
      <c r="D28" s="11" t="inlineStr">
        <is>
          <t>$m</t>
        </is>
      </c>
    </row>
    <row r="29"/>
    <row r="30">
      <c r="B30" s="8" t="inlineStr">
        <is>
          <t>Year 0: the twelve months before closing (Chapter 2)</t>
        </is>
      </c>
      <c r="C30" s="9" t="inlineStr">
        <is>
          <t>Value</t>
        </is>
      </c>
      <c r="D30" s="8" t="inlineStr">
        <is>
          <t>Unit</t>
        </is>
      </c>
    </row>
    <row r="31">
      <c r="B31" s="12" t="inlineStr">
        <is>
          <t>Revenue</t>
        </is>
      </c>
      <c r="C31" s="20" t="n">
        <v>180</v>
      </c>
      <c r="D31" s="11" t="inlineStr">
        <is>
          <t>$m</t>
        </is>
      </c>
    </row>
    <row r="32">
      <c r="B32" s="12" t="inlineStr">
        <is>
          <t>Gross margin before supplier rebates</t>
        </is>
      </c>
      <c r="C32" s="18" t="n">
        <v>0.25</v>
      </c>
      <c r="D32" s="11" t="inlineStr">
        <is>
          <t>%</t>
        </is>
      </c>
    </row>
    <row r="33">
      <c r="B33" s="12" t="inlineStr">
        <is>
          <t>Fixed operating expenses (including family pay above market)</t>
        </is>
      </c>
      <c r="C33" s="15" t="n">
        <v>19.3</v>
      </c>
      <c r="D33" s="11" t="inlineStr">
        <is>
          <t>$m</t>
        </is>
      </c>
    </row>
    <row r="34">
      <c r="B34" s="12" t="inlineStr">
        <is>
          <t>Variable operating expenses, share of revenue (all years)</t>
        </is>
      </c>
      <c r="C34" s="18" t="n">
        <v>0.08</v>
      </c>
      <c r="D34" s="11" t="inlineStr">
        <is>
          <t>%</t>
        </is>
      </c>
    </row>
    <row r="35">
      <c r="B35" s="12" t="inlineStr">
        <is>
          <t>Family members paid above market (removed at closing; QoE add-back)</t>
        </is>
      </c>
      <c r="C35" s="15" t="n">
        <v>0.8</v>
      </c>
      <c r="D35" s="11" t="inlineStr">
        <is>
          <t>$m</t>
        </is>
      </c>
    </row>
    <row r="36">
      <c r="B36" s="12" t="inlineStr">
        <is>
          <t>One-off legal dispute (QoE add-back)</t>
        </is>
      </c>
      <c r="C36" s="15" t="n">
        <v>0.4</v>
      </c>
      <c r="D36" s="11" t="inlineStr">
        <is>
          <t>$m</t>
        </is>
      </c>
    </row>
    <row r="37">
      <c r="B37" s="12" t="inlineStr">
        <is>
          <t>Seller's run-rate adjustment: new branch (rejected by the QoE)</t>
        </is>
      </c>
      <c r="C37" s="15" t="n">
        <v>0.6</v>
      </c>
      <c r="D37" s="11" t="inlineStr">
        <is>
          <t>$m</t>
        </is>
      </c>
    </row>
    <row r="38">
      <c r="B38" s="12" t="inlineStr">
        <is>
          <t>Seller's run-rate adjustment: price increase (rejected by the QoE)</t>
        </is>
      </c>
      <c r="C38" s="15" t="n">
        <v>0.7</v>
      </c>
      <c r="D38" s="11" t="inlineStr">
        <is>
          <t>$m</t>
        </is>
      </c>
    </row>
    <row r="39">
      <c r="B39" s="12" t="inlineStr">
        <is>
          <t>Receivable days at closing</t>
        </is>
      </c>
      <c r="C39" s="16" t="n">
        <v>52</v>
      </c>
      <c r="D39" s="11" t="inlineStr">
        <is>
          <t>days of sales</t>
        </is>
      </c>
    </row>
    <row r="40">
      <c r="B40" s="12" t="inlineStr">
        <is>
          <t>Inventory days at closing</t>
        </is>
      </c>
      <c r="C40" s="16" t="n">
        <v>75</v>
      </c>
      <c r="D40" s="11" t="inlineStr">
        <is>
          <t>days of cost</t>
        </is>
      </c>
    </row>
    <row r="41">
      <c r="B41" s="12" t="inlineStr">
        <is>
          <t>Payable days at closing</t>
        </is>
      </c>
      <c r="C41" s="16" t="n">
        <v>45</v>
      </c>
      <c r="D41" s="11" t="inlineStr">
        <is>
          <t>days of cost</t>
        </is>
      </c>
    </row>
    <row r="42">
      <c r="B42" s="12" t="inlineStr">
        <is>
          <t>Working capital target in the purchase agreement (the peg)</t>
        </is>
      </c>
      <c r="C42" s="15" t="n">
        <v>39.5</v>
      </c>
      <c r="D42" s="11" t="inlineStr">
        <is>
          <t>$m</t>
        </is>
      </c>
    </row>
    <row r="43">
      <c r="B43" s="12" t="inlineStr">
        <is>
          <t>Obsolete stock found after closing</t>
        </is>
      </c>
      <c r="C43" s="15" t="n">
        <v>0.6</v>
      </c>
      <c r="D43" s="11" t="inlineStr">
        <is>
          <t>$m</t>
        </is>
      </c>
    </row>
    <row r="44"/>
    <row r="45">
      <c r="B45" s="8" t="inlineStr">
        <is>
          <t>Seasonality: share of the year's revenue</t>
        </is>
      </c>
      <c r="C45" s="9" t="inlineStr">
        <is>
          <t>Q1</t>
        </is>
      </c>
      <c r="D45" s="9" t="inlineStr">
        <is>
          <t>Q2</t>
        </is>
      </c>
      <c r="E45" s="9" t="inlineStr">
        <is>
          <t>Q3</t>
        </is>
      </c>
      <c r="F45" s="9" t="inlineStr">
        <is>
          <t>Q4</t>
        </is>
      </c>
    </row>
    <row r="46">
      <c r="B46" s="12" t="inlineStr">
        <is>
          <t>Revenue and purchases by quarter (adds to 100%)</t>
        </is>
      </c>
      <c r="C46" s="18" t="n">
        <v>0.25</v>
      </c>
      <c r="D46" s="18" t="n">
        <v>0.26</v>
      </c>
      <c r="E46" s="18" t="n">
        <v>0.25</v>
      </c>
      <c r="F46" s="18" t="n">
        <v>0.24</v>
      </c>
    </row>
    <row r="47"/>
    <row r="48">
      <c r="B48" s="8" t="inlineStr">
        <is>
          <t>Price and financing at closing (Chapters 2, 4)</t>
        </is>
      </c>
      <c r="C48" s="9" t="inlineStr">
        <is>
          <t>Value</t>
        </is>
      </c>
      <c r="D48" s="8" t="inlineStr">
        <is>
          <t>Unit</t>
        </is>
      </c>
    </row>
    <row r="49">
      <c r="B49" s="12" t="inlineStr">
        <is>
          <t>Entry multiple of QoE EBITDA</t>
        </is>
      </c>
      <c r="C49" s="17" t="n">
        <v>9</v>
      </c>
      <c r="D49" s="11" t="inlineStr">
        <is>
          <t>x</t>
        </is>
      </c>
    </row>
    <row r="50">
      <c r="B50" s="12" t="inlineStr">
        <is>
          <t>Transaction and financing costs</t>
        </is>
      </c>
      <c r="C50" s="15" t="n">
        <v>5</v>
      </c>
      <c r="D50" s="11" t="inlineStr">
        <is>
          <t>$m</t>
        </is>
      </c>
    </row>
    <row r="51">
      <c r="B51" s="12" t="inlineStr">
        <is>
          <t>Cash left on the balance sheet at closing</t>
        </is>
      </c>
      <c r="C51" s="15" t="n">
        <v>4</v>
      </c>
      <c r="D51" s="11" t="inlineStr">
        <is>
          <t>$m</t>
        </is>
      </c>
    </row>
    <row r="52">
      <c r="B52" s="12" t="inlineStr">
        <is>
          <t>Unitranche term loan at closing</t>
        </is>
      </c>
      <c r="C52" s="15" t="n">
        <v>76</v>
      </c>
      <c r="D52" s="11" t="inlineStr">
        <is>
          <t>$m</t>
        </is>
      </c>
    </row>
    <row r="53">
      <c r="B53" s="12" t="inlineStr">
        <is>
          <t>Delayed-draw term loan (DDTL) commitment</t>
        </is>
      </c>
      <c r="C53" s="15" t="n">
        <v>20</v>
      </c>
      <c r="D53" s="11" t="inlineStr">
        <is>
          <t>$m</t>
        </is>
      </c>
    </row>
    <row r="54">
      <c r="B54" s="12" t="inlineStr">
        <is>
          <t>Revolver commitment</t>
        </is>
      </c>
      <c r="C54" s="15" t="n">
        <v>15</v>
      </c>
      <c r="D54" s="11" t="inlineStr">
        <is>
          <t>$m</t>
        </is>
      </c>
    </row>
    <row r="55">
      <c r="B55" s="12" t="inlineStr">
        <is>
          <t>Interest on the term loan and the DDTL (fixed, all-in)</t>
        </is>
      </c>
      <c r="C55" s="14" t="n">
        <v>0.1</v>
      </c>
      <c r="D55" s="11" t="inlineStr">
        <is>
          <t>% a year</t>
        </is>
      </c>
    </row>
    <row r="56">
      <c r="B56" s="12" t="inlineStr">
        <is>
          <t>Interest on revolver drawings</t>
        </is>
      </c>
      <c r="C56" s="14" t="n">
        <v>0.09</v>
      </c>
      <c r="D56" s="11" t="inlineStr">
        <is>
          <t>% a year</t>
        </is>
      </c>
    </row>
    <row r="57">
      <c r="B57" s="12" t="inlineStr">
        <is>
          <t>Commitment fee on the undrawn revolver</t>
        </is>
      </c>
      <c r="C57" s="14" t="n">
        <v>0.005</v>
      </c>
      <c r="D57" s="11" t="inlineStr">
        <is>
          <t>% a year</t>
        </is>
      </c>
    </row>
    <row r="58">
      <c r="B58" s="12" t="inlineStr">
        <is>
          <t>Ticking fee on the undrawn DDTL, until the acquisition quarter</t>
        </is>
      </c>
      <c r="C58" s="14" t="n">
        <v>0.01</v>
      </c>
      <c r="D58" s="11" t="inlineStr">
        <is>
          <t>% a year</t>
        </is>
      </c>
    </row>
    <row r="59">
      <c r="B59" s="12" t="inlineStr">
        <is>
          <t>Scheduled amortization, share of original principal</t>
        </is>
      </c>
      <c r="C59" s="14" t="n">
        <v>0.01</v>
      </c>
      <c r="D59" s="11" t="inlineStr">
        <is>
          <t>% a year</t>
        </is>
      </c>
    </row>
    <row r="60">
      <c r="B60" s="12" t="inlineStr">
        <is>
          <t>Year-end excess cash sweep, share of cash above the minimum</t>
        </is>
      </c>
      <c r="C60" s="18" t="n">
        <v>0.5</v>
      </c>
      <c r="D60" s="11" t="inlineStr">
        <is>
          <t>%</t>
        </is>
      </c>
    </row>
    <row r="61">
      <c r="B61" s="12" t="inlineStr">
        <is>
          <t>Minimum cash (revolver drawn below it, repaid above it)</t>
        </is>
      </c>
      <c r="C61" s="15" t="n">
        <v>4</v>
      </c>
      <c r="D61" s="11" t="inlineStr">
        <is>
          <t>$m</t>
        </is>
      </c>
    </row>
    <row r="62">
      <c r="B62" s="12" t="inlineStr">
        <is>
          <t>Maximum year-end cash (excess prepays the term loan; not in the exit year)</t>
        </is>
      </c>
      <c r="C62" s="15" t="n">
        <v>10</v>
      </c>
      <c r="D62" s="11" t="inlineStr">
        <is>
          <t>$m</t>
        </is>
      </c>
    </row>
    <row r="63"/>
    <row r="64">
      <c r="B64" s="8" t="inlineStr">
        <is>
          <t>Costs, capex and tax (Chapter 3)</t>
        </is>
      </c>
      <c r="C64" s="9" t="inlineStr">
        <is>
          <t>Value</t>
        </is>
      </c>
      <c r="D64" s="8" t="inlineStr">
        <is>
          <t>Unit</t>
        </is>
      </c>
    </row>
    <row r="65">
      <c r="B65" s="12" t="inlineStr">
        <is>
          <t>Growth of fixed costs</t>
        </is>
      </c>
      <c r="C65" s="18" t="n">
        <v>0.03</v>
      </c>
      <c r="D65" s="11" t="inlineStr">
        <is>
          <t>% a year</t>
        </is>
      </c>
    </row>
    <row r="66">
      <c r="B66" s="12" t="inlineStr">
        <is>
          <t>Finance team build (permanent)</t>
        </is>
      </c>
      <c r="C66" s="15" t="n">
        <v>0.9</v>
      </c>
      <c r="D66" s="11" t="inlineStr">
        <is>
          <t>$m a year</t>
        </is>
      </c>
    </row>
    <row r="67">
      <c r="B67" s="12" t="inlineStr">
        <is>
          <t>Sponsor's monitoring fee (an add-back)</t>
        </is>
      </c>
      <c r="C67" s="15" t="n">
        <v>0.4</v>
      </c>
      <c r="D67" s="11" t="inlineStr">
        <is>
          <t>$m a year</t>
        </is>
      </c>
    </row>
    <row r="68">
      <c r="B68" s="12" t="inlineStr">
        <is>
          <t>Routine capex, share of revenue</t>
        </is>
      </c>
      <c r="C68" s="14" t="n">
        <v>0.007</v>
      </c>
      <c r="D68" s="11" t="inlineStr">
        <is>
          <t>%</t>
        </is>
      </c>
    </row>
    <row r="69">
      <c r="B69" s="12" t="inlineStr">
        <is>
          <t>Tax depreciation, share of revenue</t>
        </is>
      </c>
      <c r="C69" s="14" t="n">
        <v>0.012</v>
      </c>
      <c r="D69" s="11" t="inlineStr">
        <is>
          <t>%</t>
        </is>
      </c>
    </row>
    <row r="70">
      <c r="B70" s="12" t="inlineStr">
        <is>
          <t>Tax rate on taxable income (no loss carried forward)</t>
        </is>
      </c>
      <c r="C70" s="18" t="n">
        <v>0.25</v>
      </c>
      <c r="D70" s="11" t="inlineStr">
        <is>
          <t>%</t>
        </is>
      </c>
    </row>
    <row r="71">
      <c r="B71" s="12" t="inlineStr">
        <is>
          <t>Tax amortization of the platform's acquired intangibles</t>
        </is>
      </c>
      <c r="C71" s="15" t="n">
        <v>6</v>
      </c>
      <c r="D71" s="11" t="inlineStr">
        <is>
          <t>$m a year</t>
        </is>
      </c>
    </row>
    <row r="72">
      <c r="B72" s="12" t="inlineStr">
        <is>
          <t>Tax amortization of the add-on, from its acquisition</t>
        </is>
      </c>
      <c r="C72" s="15" t="n">
        <v>0.76</v>
      </c>
      <c r="D72" s="11" t="inlineStr">
        <is>
          <t>$m a year</t>
        </is>
      </c>
    </row>
    <row r="73">
      <c r="B73" s="12" t="inlineStr">
        <is>
          <t>Exit preparation costs (one-off, moved to the exit year)</t>
        </is>
      </c>
      <c r="C73" s="15" t="n">
        <v>0.7</v>
      </c>
      <c r="D73" s="11" t="inlineStr">
        <is>
          <t>$m</t>
        </is>
      </c>
    </row>
    <row r="74"/>
    <row r="75">
      <c r="B75" s="8" t="inlineStr">
        <is>
          <t>By year</t>
        </is>
      </c>
      <c r="C75" s="9" t="inlineStr">
        <is>
          <t>Year 1</t>
        </is>
      </c>
      <c r="D75" s="9" t="inlineStr">
        <is>
          <t>Year 2</t>
        </is>
      </c>
      <c r="E75" s="9" t="inlineStr">
        <is>
          <t>Year 3</t>
        </is>
      </c>
      <c r="F75" s="9" t="inlineStr">
        <is>
          <t>Year 4</t>
        </is>
      </c>
      <c r="G75" s="9" t="inlineStr">
        <is>
          <t>Year 5</t>
        </is>
      </c>
      <c r="H75" s="9" t="inlineStr">
        <is>
          <t>Year 6</t>
        </is>
      </c>
    </row>
    <row r="76">
      <c r="B76" s="12" t="inlineStr">
        <is>
          <t>ERP capex ($m)</t>
        </is>
      </c>
      <c r="C76" s="15" t="n">
        <v>1.5</v>
      </c>
      <c r="D76" s="15" t="n">
        <v>0.8</v>
      </c>
      <c r="E76" s="15" t="n">
        <v>0</v>
      </c>
      <c r="F76" s="15" t="n">
        <v>0</v>
      </c>
      <c r="G76" s="15" t="n">
        <v>0</v>
      </c>
      <c r="H76" s="15" t="n">
        <v>0</v>
      </c>
    </row>
    <row r="77">
      <c r="B77" s="12" t="inlineStr">
        <is>
          <t>Maximum net leverage, original covenant (x)</t>
        </is>
      </c>
      <c r="C77" s="19" t="n">
        <v>6.25</v>
      </c>
      <c r="D77" s="19" t="n">
        <v>6</v>
      </c>
      <c r="E77" s="19" t="n">
        <v>5.5</v>
      </c>
      <c r="F77" s="19" t="n">
        <v>5</v>
      </c>
      <c r="G77" s="19" t="n">
        <v>4.5</v>
      </c>
      <c r="H77" s="19" t="n">
        <v>4.25</v>
      </c>
    </row>
    <row r="78">
      <c r="B78" s="12" t="inlineStr">
        <is>
          <t>Maximum net leverage after an amendment (x; years 1-2 keep the original grid)</t>
        </is>
      </c>
      <c r="C78" s="19" t="n">
        <v>6.25</v>
      </c>
      <c r="D78" s="19" t="n">
        <v>6</v>
      </c>
      <c r="E78" s="19" t="n">
        <v>6.5</v>
      </c>
      <c r="F78" s="19" t="n">
        <v>6.5</v>
      </c>
      <c r="G78" s="19" t="n">
        <v>5.25</v>
      </c>
      <c r="H78" s="19" t="n">
        <v>4.75</v>
      </c>
    </row>
    <row r="79"/>
    <row r="80">
      <c r="B80" s="8" t="inlineStr">
        <is>
          <t>One-off costs: share of the year's amount by quarter</t>
        </is>
      </c>
      <c r="C80" s="9" t="inlineStr">
        <is>
          <t>Q1</t>
        </is>
      </c>
      <c r="D80" s="9" t="inlineStr">
        <is>
          <t>Q2</t>
        </is>
      </c>
      <c r="E80" s="9" t="inlineStr">
        <is>
          <t>Q3</t>
        </is>
      </c>
      <c r="F80" s="9" t="inlineStr">
        <is>
          <t>Q4</t>
        </is>
      </c>
    </row>
    <row r="81">
      <c r="B81" s="12" t="inlineStr">
        <is>
          <t>Year 1</t>
        </is>
      </c>
      <c r="C81" s="18" t="n">
        <v>0.3</v>
      </c>
      <c r="D81" s="18" t="n">
        <v>0.3</v>
      </c>
      <c r="E81" s="18" t="n">
        <v>0.25</v>
      </c>
      <c r="F81" s="18" t="n">
        <v>0.15</v>
      </c>
    </row>
    <row r="82">
      <c r="B82" s="12" t="inlineStr">
        <is>
          <t>Year 2</t>
        </is>
      </c>
      <c r="C82" s="18" t="n">
        <v>0</v>
      </c>
      <c r="D82" s="18" t="n">
        <v>0.55</v>
      </c>
      <c r="E82" s="18" t="n">
        <v>0.3</v>
      </c>
      <c r="F82" s="18" t="n">
        <v>0.15</v>
      </c>
    </row>
    <row r="83">
      <c r="B83" s="12" t="inlineStr">
        <is>
          <t>Year 3</t>
        </is>
      </c>
      <c r="C83" s="18" t="n">
        <v>0</v>
      </c>
      <c r="D83" s="18" t="n">
        <v>0.1</v>
      </c>
      <c r="E83" s="18" t="n">
        <v>0.4</v>
      </c>
      <c r="F83" s="18" t="n">
        <v>0.5</v>
      </c>
    </row>
    <row r="84">
      <c r="B84" s="12" t="inlineStr">
        <is>
          <t>Year 4</t>
        </is>
      </c>
      <c r="C84" s="18" t="n">
        <v>0.25</v>
      </c>
      <c r="D84" s="18" t="n">
        <v>0.25</v>
      </c>
      <c r="E84" s="18" t="n">
        <v>0.25</v>
      </c>
      <c r="F84" s="18" t="n">
        <v>0.25</v>
      </c>
    </row>
    <row r="85">
      <c r="B85" s="12" t="inlineStr">
        <is>
          <t>Year 5</t>
        </is>
      </c>
      <c r="C85" s="18" t="n">
        <v>0</v>
      </c>
      <c r="D85" s="18" t="n">
        <v>0</v>
      </c>
      <c r="E85" s="18" t="n">
        <v>0.3</v>
      </c>
      <c r="F85" s="18" t="n">
        <v>0.7</v>
      </c>
    </row>
    <row r="86">
      <c r="B86" s="12" t="inlineStr">
        <is>
          <t>Year 6</t>
        </is>
      </c>
      <c r="C86" s="18" t="n">
        <v>0.25</v>
      </c>
      <c r="D86" s="18" t="n">
        <v>0.25</v>
      </c>
      <c r="E86" s="18" t="n">
        <v>0.25</v>
      </c>
      <c r="F86" s="18" t="n">
        <v>0.25</v>
      </c>
    </row>
    <row r="87">
      <c r="B87" s="12" t="inlineStr">
        <is>
          <t>The exit year (replaces its own line)</t>
        </is>
      </c>
      <c r="C87" s="18" t="n">
        <v>0</v>
      </c>
      <c r="D87" s="18" t="n">
        <v>0</v>
      </c>
      <c r="E87" s="18" t="n">
        <v>0.3</v>
      </c>
      <c r="F87" s="18" t="n">
        <v>0.7</v>
      </c>
    </row>
    <row r="88">
      <c r="B88" s="12" t="inlineStr">
        <is>
          <t>Year 5 when the exit falls in another year</t>
        </is>
      </c>
      <c r="C88" s="18" t="n">
        <v>0.25</v>
      </c>
      <c r="D88" s="18" t="n">
        <v>0.25</v>
      </c>
      <c r="E88" s="18" t="n">
        <v>0.25</v>
      </c>
      <c r="F88" s="18" t="n">
        <v>0.25</v>
      </c>
    </row>
    <row r="89"/>
    <row r="90">
      <c r="B90" s="8" t="inlineStr">
        <is>
          <t>Supplier rebate program (Chapter 11)</t>
        </is>
      </c>
      <c r="C90" s="9" t="inlineStr">
        <is>
          <t>Value</t>
        </is>
      </c>
      <c r="D90" s="8" t="inlineStr">
        <is>
          <t>Unit</t>
        </is>
      </c>
    </row>
    <row r="91">
      <c r="B91" s="12" t="inlineStr">
        <is>
          <t>Share of purchases made from the core supplier group</t>
        </is>
      </c>
      <c r="C91" s="14" t="n">
        <v>0.6666666666666666</v>
      </c>
      <c r="D91" s="11" t="inlineStr">
        <is>
          <t>%</t>
        </is>
      </c>
    </row>
    <row r="92" ht="29.4" customHeight="1">
      <c r="A92" s="3" t="n"/>
      <c r="B92" s="4" t="inlineStr">
        <is>
          <t>Rebate if purchases at least equal the prior year's (like-for-like)</t>
        </is>
      </c>
      <c r="C92" s="21" t="n">
        <v>0.03</v>
      </c>
      <c r="D92" s="22" t="inlineStr">
        <is>
          <t>% of core purchases</t>
        </is>
      </c>
      <c r="E92" s="3" t="n"/>
      <c r="F92" s="3" t="n"/>
      <c r="G92" s="3" t="n"/>
      <c r="H92" s="3" t="n"/>
      <c r="I92" s="3" t="n"/>
      <c r="J92" s="3" t="n"/>
      <c r="K92" s="3" t="n"/>
      <c r="L92" s="3" t="n"/>
      <c r="M92" s="3" t="n"/>
      <c r="N92" s="3" t="n"/>
      <c r="O92" s="3" t="n"/>
    </row>
    <row r="93" ht="29.4" customHeight="1">
      <c r="A93" s="3" t="n"/>
      <c r="B93" s="4" t="inlineStr">
        <is>
          <t>Rebate otherwise</t>
        </is>
      </c>
      <c r="C93" s="21" t="n">
        <v>0.015</v>
      </c>
      <c r="D93" s="22" t="inlineStr">
        <is>
          <t>% of core purchases</t>
        </is>
      </c>
      <c r="E93" s="3" t="n"/>
      <c r="F93" s="3" t="n"/>
      <c r="G93" s="3" t="n"/>
      <c r="H93" s="3" t="n"/>
      <c r="I93" s="3" t="n"/>
      <c r="J93" s="3" t="n"/>
      <c r="K93" s="3" t="n"/>
      <c r="L93" s="3" t="n"/>
      <c r="M93" s="3" t="n"/>
      <c r="N93" s="3" t="n"/>
      <c r="O93" s="3" t="n"/>
    </row>
    <row r="94"/>
    <row r="95">
      <c r="B95" s="8" t="inlineStr">
        <is>
          <t>Covenant definition, cure and amendment (Chapters 4, 12)</t>
        </is>
      </c>
      <c r="C95" s="9" t="inlineStr">
        <is>
          <t>Value</t>
        </is>
      </c>
      <c r="D95" s="8" t="inlineStr">
        <is>
          <t>Unit</t>
        </is>
      </c>
    </row>
    <row r="96">
      <c r="B96" s="12" t="inlineStr">
        <is>
          <t>Unrealized synergies credited: cap, share of LTM EBITDA</t>
        </is>
      </c>
      <c r="C96" s="18" t="n">
        <v>0.15</v>
      </c>
      <c r="D96" s="11" t="inlineStr">
        <is>
          <t>%</t>
        </is>
      </c>
    </row>
    <row r="97">
      <c r="B97" s="12" t="inlineStr">
        <is>
          <t>Unrealized synergies credited: quarters after the acquisition quarter</t>
        </is>
      </c>
      <c r="C97" s="10" t="n">
        <v>6</v>
      </c>
      <c r="D97" s="11" t="inlineStr">
        <is>
          <t>quarters</t>
        </is>
      </c>
    </row>
    <row r="98">
      <c r="B98" s="12" t="inlineStr">
        <is>
          <t>Equity cure rounded up to the next multiple of</t>
        </is>
      </c>
      <c r="C98" s="15" t="n">
        <v>0.5</v>
      </c>
      <c r="D98" s="11" t="inlineStr">
        <is>
          <t>$m</t>
        </is>
      </c>
    </row>
    <row r="99">
      <c r="B99" s="12" t="inlineStr">
        <is>
          <t>Amendment fee, share of term debt</t>
        </is>
      </c>
      <c r="C99" s="14" t="n">
        <v>0.005</v>
      </c>
      <c r="D99" s="11" t="inlineStr">
        <is>
          <t>%</t>
        </is>
      </c>
    </row>
    <row r="100">
      <c r="B100" s="12" t="inlineStr">
        <is>
          <t>Margin increase after the amendment</t>
        </is>
      </c>
      <c r="C100" s="14" t="n">
        <v>0.01</v>
      </c>
      <c r="D100" s="11" t="inlineStr">
        <is>
          <t>% a year</t>
        </is>
      </c>
    </row>
    <row r="101"/>
    <row r="102">
      <c r="B102" s="8" t="inlineStr">
        <is>
          <t>The add-on (Chapter 10)</t>
        </is>
      </c>
      <c r="C102" s="9" t="inlineStr">
        <is>
          <t>Value</t>
        </is>
      </c>
      <c r="D102" s="8" t="inlineStr">
        <is>
          <t>Unit</t>
        </is>
      </c>
    </row>
    <row r="103">
      <c r="B103" s="12" t="inlineStr">
        <is>
          <t>Acquisition quarter (closes at the end of the quarter; 4 to 20)</t>
        </is>
      </c>
      <c r="C103" s="10" t="n">
        <v>6</v>
      </c>
      <c r="D103" s="11" t="inlineStr">
        <is>
          <t>quarter</t>
        </is>
      </c>
    </row>
    <row r="104">
      <c r="B104" s="12" t="inlineStr">
        <is>
          <t>Add-on revenue in the acquisition year (grows with the case afterwards)</t>
        </is>
      </c>
      <c r="C104" s="20" t="n">
        <v>40</v>
      </c>
      <c r="D104" s="11" t="inlineStr">
        <is>
          <t>$m a year</t>
        </is>
      </c>
    </row>
    <row r="105">
      <c r="B105" s="12" t="inlineStr">
        <is>
          <t>Add-on gross margin</t>
        </is>
      </c>
      <c r="C105" s="18" t="n">
        <v>0.22</v>
      </c>
      <c r="D105" s="11" t="inlineStr">
        <is>
          <t>%</t>
        </is>
      </c>
    </row>
    <row r="106">
      <c r="B106" s="12" t="inlineStr">
        <is>
          <t>Add-on EBITDA at acquisition</t>
        </is>
      </c>
      <c r="C106" s="15" t="n">
        <v>3.2</v>
      </c>
      <c r="D106" s="11" t="inlineStr">
        <is>
          <t>$m a year</t>
        </is>
      </c>
    </row>
    <row r="107">
      <c r="B107" s="12" t="inlineStr">
        <is>
          <t>Price, multiple of EBITDA</t>
        </is>
      </c>
      <c r="C107" s="17" t="n">
        <v>6</v>
      </c>
      <c r="D107" s="11" t="inlineStr">
        <is>
          <t>x</t>
        </is>
      </c>
    </row>
    <row r="108">
      <c r="B108" s="12" t="inlineStr">
        <is>
          <t>Acquisition costs (one-off in the acquisition year)</t>
        </is>
      </c>
      <c r="C108" s="15" t="n">
        <v>0.6</v>
      </c>
      <c r="D108" s="11" t="inlineStr">
        <is>
          <t>$m</t>
        </is>
      </c>
    </row>
    <row r="109">
      <c r="B109" s="12" t="inlineStr">
        <is>
          <t>DDTL drawn to fund it</t>
        </is>
      </c>
      <c r="C109" s="15" t="n">
        <v>16</v>
      </c>
      <c r="D109" s="11" t="inlineStr">
        <is>
          <t>$m</t>
        </is>
      </c>
    </row>
    <row r="110">
      <c r="B110" s="12" t="inlineStr">
        <is>
          <t>Run-rate synergies: purchasing</t>
        </is>
      </c>
      <c r="C110" s="15" t="n">
        <v>0.7</v>
      </c>
      <c r="D110" s="11" t="inlineStr">
        <is>
          <t>$m a year</t>
        </is>
      </c>
    </row>
    <row r="111">
      <c r="B111" s="12" t="inlineStr">
        <is>
          <t>Run-rate synergies: overhead</t>
        </is>
      </c>
      <c r="C111" s="15" t="n">
        <v>0.5</v>
      </c>
      <c r="D111" s="11" t="inlineStr">
        <is>
          <t>$m a year</t>
        </is>
      </c>
    </row>
    <row r="112"/>
    <row r="113">
      <c r="B113" s="8" t="inlineStr">
        <is>
          <t>13-week cash flow: payment calendar (Chapter 5)</t>
        </is>
      </c>
      <c r="C113" s="9" t="inlineStr">
        <is>
          <t>Value</t>
        </is>
      </c>
      <c r="D113" s="8" t="inlineStr">
        <is>
          <t>Unit</t>
        </is>
      </c>
    </row>
    <row r="114">
      <c r="B114" s="12" t="inlineStr">
        <is>
          <t>Payroll, share of operating expenses (paid every two weeks)</t>
        </is>
      </c>
      <c r="C114" s="18" t="n">
        <v>0.55</v>
      </c>
      <c r="D114" s="11" t="inlineStr">
        <is>
          <t>%</t>
        </is>
      </c>
    </row>
    <row r="115">
      <c r="B115" s="12" t="inlineStr">
        <is>
          <t>Rent, share of operating expenses (paid monthly)</t>
        </is>
      </c>
      <c r="C115" s="18" t="n">
        <v>0.1</v>
      </c>
      <c r="D115" s="11" t="inlineStr">
        <is>
          <t>%</t>
        </is>
      </c>
    </row>
    <row r="116">
      <c r="B116" s="12" t="inlineStr">
        <is>
          <t>Tax paid in week</t>
        </is>
      </c>
      <c r="C116" s="10" t="n">
        <v>11</v>
      </c>
      <c r="D116" s="11" t="inlineStr">
        <is>
          <t>week</t>
        </is>
      </c>
    </row>
    <row r="117">
      <c r="B117" s="12" t="inlineStr">
        <is>
          <t>Interest and amortization paid in week</t>
        </is>
      </c>
      <c r="C117" s="10" t="n">
        <v>13</v>
      </c>
      <c r="D117" s="11" t="inlineStr">
        <is>
          <t>week</t>
        </is>
      </c>
    </row>
    <row r="118">
      <c r="B118" s="12" t="inlineStr">
        <is>
          <t>Collections lever: extra receipts spread from week</t>
        </is>
      </c>
      <c r="C118" s="10" t="n">
        <v>4</v>
      </c>
      <c r="D118" s="11" t="inlineStr">
        <is>
          <t>week</t>
        </is>
      </c>
    </row>
    <row r="119">
      <c r="B119" s="12" t="inlineStr">
        <is>
          <t>Capex freeze applies from week</t>
        </is>
      </c>
      <c r="C119" s="10" t="n">
        <v>3</v>
      </c>
      <c r="D119" s="11" t="inlineStr">
        <is>
          <t>week</t>
        </is>
      </c>
    </row>
    <row r="120"/>
    <row r="121">
      <c r="B121" s="8" t="inlineStr">
        <is>
          <t>13-week profiles (week)</t>
        </is>
      </c>
      <c r="C121" s="9" t="inlineStr">
        <is>
          <t>1</t>
        </is>
      </c>
      <c r="D121" s="9" t="inlineStr">
        <is>
          <t>2</t>
        </is>
      </c>
      <c r="E121" s="9" t="inlineStr">
        <is>
          <t>3</t>
        </is>
      </c>
      <c r="F121" s="9" t="inlineStr">
        <is>
          <t>4</t>
        </is>
      </c>
      <c r="G121" s="9" t="inlineStr">
        <is>
          <t>5</t>
        </is>
      </c>
      <c r="H121" s="9" t="inlineStr">
        <is>
          <t>6</t>
        </is>
      </c>
      <c r="I121" s="9" t="inlineStr">
        <is>
          <t>7</t>
        </is>
      </c>
      <c r="J121" s="9" t="inlineStr">
        <is>
          <t>8</t>
        </is>
      </c>
      <c r="K121" s="9" t="inlineStr">
        <is>
          <t>9</t>
        </is>
      </c>
      <c r="L121" s="9" t="inlineStr">
        <is>
          <t>10</t>
        </is>
      </c>
      <c r="M121" s="9" t="inlineStr">
        <is>
          <t>11</t>
        </is>
      </c>
      <c r="N121" s="9" t="inlineStr">
        <is>
          <t>12</t>
        </is>
      </c>
      <c r="O121" s="9" t="inlineStr">
        <is>
          <t>13</t>
        </is>
      </c>
    </row>
    <row r="122">
      <c r="B122" s="12" t="inlineStr">
        <is>
          <t>Customer receipts: weight of the week (scaled to 100%)</t>
        </is>
      </c>
      <c r="C122" s="23" t="n">
        <v>0.062</v>
      </c>
      <c r="D122" s="23" t="n">
        <v>0.066</v>
      </c>
      <c r="E122" s="23" t="n">
        <v>0.07000000000000001</v>
      </c>
      <c r="F122" s="23" t="n">
        <v>0.09</v>
      </c>
      <c r="G122" s="23" t="n">
        <v>0.064</v>
      </c>
      <c r="H122" s="23" t="n">
        <v>0.068</v>
      </c>
      <c r="I122" s="23" t="n">
        <v>0.07199999999999999</v>
      </c>
      <c r="J122" s="23" t="n">
        <v>0.092</v>
      </c>
      <c r="K122" s="23" t="n">
        <v>0.066</v>
      </c>
      <c r="L122" s="23" t="n">
        <v>0.07000000000000001</v>
      </c>
      <c r="M122" s="23" t="n">
        <v>0.074</v>
      </c>
      <c r="N122" s="23" t="n">
        <v>0.08</v>
      </c>
      <c r="O122" s="23" t="n">
        <v>0.126</v>
      </c>
    </row>
    <row r="123">
      <c r="B123" s="12" t="inlineStr">
        <is>
          <t>Supplier payments: weight of the week (scaled to 100%)</t>
        </is>
      </c>
      <c r="C123" s="23" t="n">
        <v>0.02</v>
      </c>
      <c r="D123" s="23" t="n">
        <v>0.02</v>
      </c>
      <c r="E123" s="23" t="n">
        <v>0.02</v>
      </c>
      <c r="F123" s="23" t="n">
        <v>0.3</v>
      </c>
      <c r="G123" s="23" t="n">
        <v>0.02</v>
      </c>
      <c r="H123" s="23" t="n">
        <v>0.02</v>
      </c>
      <c r="I123" s="23" t="n">
        <v>0.02</v>
      </c>
      <c r="J123" s="23" t="n">
        <v>0.3</v>
      </c>
      <c r="K123" s="23" t="n">
        <v>0.02</v>
      </c>
      <c r="L123" s="23" t="n">
        <v>0.02</v>
      </c>
      <c r="M123" s="23" t="n">
        <v>0.02</v>
      </c>
      <c r="N123" s="23" t="n">
        <v>0.02</v>
      </c>
      <c r="O123" s="23" t="n">
        <v>0.2</v>
      </c>
    </row>
    <row r="124">
      <c r="B124" s="12" t="inlineStr">
        <is>
          <t>Payroll paid this week (1 = yes)</t>
        </is>
      </c>
      <c r="C124" s="10" t="n">
        <v>1</v>
      </c>
      <c r="D124" s="10" t="n">
        <v>0</v>
      </c>
      <c r="E124" s="10" t="n">
        <v>1</v>
      </c>
      <c r="F124" s="10" t="n">
        <v>0</v>
      </c>
      <c r="G124" s="10" t="n">
        <v>1</v>
      </c>
      <c r="H124" s="10" t="n">
        <v>0</v>
      </c>
      <c r="I124" s="10" t="n">
        <v>1</v>
      </c>
      <c r="J124" s="10" t="n">
        <v>0</v>
      </c>
      <c r="K124" s="10" t="n">
        <v>1</v>
      </c>
      <c r="L124" s="10" t="n">
        <v>0</v>
      </c>
      <c r="M124" s="10" t="n">
        <v>1</v>
      </c>
      <c r="N124" s="10" t="n">
        <v>0</v>
      </c>
      <c r="O124" s="10" t="n">
        <v>1</v>
      </c>
    </row>
    <row r="125">
      <c r="B125" s="12" t="inlineStr">
        <is>
          <t>Rent paid this week (1 = yes)</t>
        </is>
      </c>
      <c r="C125" s="10" t="n">
        <v>1</v>
      </c>
      <c r="D125" s="10" t="n">
        <v>0</v>
      </c>
      <c r="E125" s="10" t="n">
        <v>0</v>
      </c>
      <c r="F125" s="10" t="n">
        <v>0</v>
      </c>
      <c r="G125" s="10" t="n">
        <v>1</v>
      </c>
      <c r="H125" s="10" t="n">
        <v>0</v>
      </c>
      <c r="I125" s="10" t="n">
        <v>0</v>
      </c>
      <c r="J125" s="10" t="n">
        <v>0</v>
      </c>
      <c r="K125" s="10" t="n">
        <v>1</v>
      </c>
      <c r="L125" s="10" t="n">
        <v>0</v>
      </c>
      <c r="M125" s="10" t="n">
        <v>0</v>
      </c>
      <c r="N125" s="10" t="n">
        <v>0</v>
      </c>
      <c r="O125" s="10" t="n">
        <v>0</v>
      </c>
    </row>
  </sheetData>
  <dataValidations count="3">
    <dataValidation sqref="C6" showDropDown="0" showInputMessage="0" showErrorMessage="1" allowBlank="0" errorTitle="Case selector" error="Type 1, 2, 3 or 4." type="whole" operator="between">
      <formula1>1</formula1>
      <formula2>4</formula2>
    </dataValidation>
    <dataValidation sqref="C17" showDropDown="0" showInputMessage="0" showErrorMessage="1" allowBlank="0" errorTitle="Exit quarter" error="Type a quarter from 4 to 24 (the book uses 16, 20 or 24)." type="whole" operator="between">
      <formula1>4</formula1>
      <formula2>24</formula2>
    </dataValidation>
    <dataValidation sqref="C103" showDropDown="0" showInputMessage="0" showErrorMessage="1" allowBlank="0" errorTitle="Acquisition quarter" error="Type a quarter from 4 to 20." type="whole" operator="between">
      <formula1>4</formula1>
      <formula2>20</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2:AB66"/>
  <sheetViews>
    <sheetView showGridLines="0" tabSelected="0" zoomScale="100" workbookViewId="0">
      <selection activeCell="A1" sqref="A1"/>
    </sheetView>
  </sheetViews>
  <sheetFormatPr baseColWidth="8" defaultRowHeight="15"/>
  <cols>
    <col width="3.428571428571428" customWidth="1" min="1" max="1"/>
    <col width="52" customWidth="1" min="2" max="2"/>
    <col width="7" customWidth="1" min="3" max="3"/>
    <col width="11" customWidth="1" min="4" max="4"/>
    <col width="13" customWidth="1" min="5" max="5"/>
    <col width="13"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 width="9" customWidth="1" min="23" max="23"/>
    <col width="9" customWidth="1" min="24" max="24"/>
    <col width="9" customWidth="1" min="25" max="25"/>
    <col width="9" customWidth="1" min="26" max="26"/>
    <col width="9" customWidth="1" min="27" max="27"/>
    <col width="9" customWidth="1" min="28" max="28"/>
  </cols>
  <sheetData>
    <row r="1" ht="18" customHeight="1"/>
    <row r="2" ht="18" customHeight="1">
      <c r="B2" s="1" t="inlineStr">
        <is>
          <t>Drivers</t>
        </is>
      </c>
    </row>
    <row r="3">
      <c r="B3" s="7" t="inlineStr">
        <is>
          <t>The four cases' drivers (blue); the 'Selected case' line of each table follows the case selector on Inputs and feeds the Quarterly tab.</t>
        </is>
      </c>
    </row>
    <row r="4"/>
    <row r="5">
      <c r="B5" s="8" t="inlineStr">
        <is>
          <t>Platform revenue growth (Chapters 2, 11)</t>
        </is>
      </c>
      <c r="C5" s="9" t="inlineStr">
        <is>
          <t>Case</t>
        </is>
      </c>
      <c r="D5" s="8" t="inlineStr">
        <is>
          <t>Unit</t>
        </is>
      </c>
      <c r="E5" s="9" t="inlineStr">
        <is>
          <t>Year 1</t>
        </is>
      </c>
      <c r="F5" s="9" t="inlineStr">
        <is>
          <t>Year 2</t>
        </is>
      </c>
      <c r="G5" s="9" t="inlineStr">
        <is>
          <t>Year 3</t>
        </is>
      </c>
      <c r="H5" s="9" t="inlineStr">
        <is>
          <t>Year 4</t>
        </is>
      </c>
      <c r="I5" s="9" t="inlineStr">
        <is>
          <t>Year 5</t>
        </is>
      </c>
      <c r="J5" s="9" t="inlineStr">
        <is>
          <t>Year 6</t>
        </is>
      </c>
    </row>
    <row r="6">
      <c r="B6" s="12" t="inlineStr">
        <is>
          <t>Plan</t>
        </is>
      </c>
      <c r="C6" s="24" t="n">
        <v>1</v>
      </c>
      <c r="D6" s="11" t="inlineStr">
        <is>
          <t>%</t>
        </is>
      </c>
      <c r="E6" s="18" t="n">
        <v>0.06</v>
      </c>
      <c r="F6" s="18" t="n">
        <v>0.06</v>
      </c>
      <c r="G6" s="18" t="n">
        <v>0.05</v>
      </c>
      <c r="H6" s="18" t="n">
        <v>0.05</v>
      </c>
      <c r="I6" s="18" t="n">
        <v>0.05</v>
      </c>
      <c r="J6" s="18" t="n">
        <v>0.05</v>
      </c>
    </row>
    <row r="7">
      <c r="B7" s="12" t="inlineStr">
        <is>
          <t>Actual</t>
        </is>
      </c>
      <c r="C7" s="24" t="n">
        <v>2</v>
      </c>
      <c r="D7" s="11" t="inlineStr">
        <is>
          <t>%</t>
        </is>
      </c>
      <c r="E7" s="18" t="n">
        <v>0.06</v>
      </c>
      <c r="F7" s="18" t="n">
        <v>0.05</v>
      </c>
      <c r="G7" s="18" t="n">
        <v>-0.08</v>
      </c>
      <c r="H7" s="18" t="n">
        <v>0.05</v>
      </c>
      <c r="I7" s="18" t="n">
        <v>0.06</v>
      </c>
      <c r="J7" s="18" t="n">
        <v>0.05</v>
      </c>
    </row>
    <row r="8">
      <c r="B8" s="12" t="inlineStr">
        <is>
          <t>Severe</t>
        </is>
      </c>
      <c r="C8" s="24" t="n">
        <v>3</v>
      </c>
      <c r="D8" s="11" t="inlineStr">
        <is>
          <t>%</t>
        </is>
      </c>
      <c r="E8" s="18" t="n">
        <v>0.06</v>
      </c>
      <c r="F8" s="18" t="n">
        <v>0.05</v>
      </c>
      <c r="G8" s="18" t="n">
        <v>-0.15</v>
      </c>
      <c r="H8" s="18" t="n">
        <v>-0.03</v>
      </c>
      <c r="I8" s="18" t="n">
        <v>0.05</v>
      </c>
      <c r="J8" s="18" t="n">
        <v>0.05</v>
      </c>
    </row>
    <row r="9">
      <c r="B9" s="12" t="inlineStr">
        <is>
          <t>Budget</t>
        </is>
      </c>
      <c r="C9" s="24" t="n">
        <v>4</v>
      </c>
      <c r="D9" s="11" t="inlineStr">
        <is>
          <t>%</t>
        </is>
      </c>
      <c r="E9" s="18" t="n">
        <v>0.06</v>
      </c>
      <c r="F9" s="18" t="n">
        <v>0.05</v>
      </c>
      <c r="G9" s="18" t="n">
        <v>0.04</v>
      </c>
      <c r="H9" s="18" t="n">
        <v>0.05</v>
      </c>
      <c r="I9" s="18" t="n">
        <v>0.05</v>
      </c>
      <c r="J9" s="18" t="n">
        <v>0.05</v>
      </c>
    </row>
    <row r="10">
      <c r="B10" s="6" t="inlineStr">
        <is>
          <t>Selected case</t>
        </is>
      </c>
      <c r="C10" s="25">
        <f>'Inputs'!$C$6</f>
        <v/>
      </c>
      <c r="D10" s="26" t="inlineStr">
        <is>
          <t>%</t>
        </is>
      </c>
      <c r="E10" s="27">
        <f>INDEX(E6:E9,$C$10)</f>
        <v/>
      </c>
      <c r="F10" s="27">
        <f>INDEX(F6:F9,$C$10)</f>
        <v/>
      </c>
      <c r="G10" s="27">
        <f>INDEX(G6:G9,$C$10)</f>
        <v/>
      </c>
      <c r="H10" s="27">
        <f>INDEX(H6:H9,$C$10)</f>
        <v/>
      </c>
      <c r="I10" s="27">
        <f>INDEX(I6:I9,$C$10)</f>
        <v/>
      </c>
      <c r="J10" s="27">
        <f>INDEX(J6:J9,$C$10)</f>
        <v/>
      </c>
    </row>
    <row r="11"/>
    <row r="12">
      <c r="B12" s="8" t="inlineStr">
        <is>
          <t>Platform gross margin before rebates</t>
        </is>
      </c>
      <c r="C12" s="9" t="inlineStr">
        <is>
          <t>Case</t>
        </is>
      </c>
      <c r="D12" s="8" t="inlineStr">
        <is>
          <t>Unit</t>
        </is>
      </c>
      <c r="E12" s="9" t="inlineStr">
        <is>
          <t>Year 1</t>
        </is>
      </c>
      <c r="F12" s="9" t="inlineStr">
        <is>
          <t>Year 2</t>
        </is>
      </c>
      <c r="G12" s="9" t="inlineStr">
        <is>
          <t>Year 3</t>
        </is>
      </c>
      <c r="H12" s="9" t="inlineStr">
        <is>
          <t>Year 4</t>
        </is>
      </c>
      <c r="I12" s="9" t="inlineStr">
        <is>
          <t>Year 5</t>
        </is>
      </c>
      <c r="J12" s="9" t="inlineStr">
        <is>
          <t>Year 6</t>
        </is>
      </c>
    </row>
    <row r="13">
      <c r="B13" s="12" t="inlineStr">
        <is>
          <t>Plan</t>
        </is>
      </c>
      <c r="C13" s="24" t="n">
        <v>1</v>
      </c>
      <c r="D13" s="11" t="inlineStr">
        <is>
          <t>%</t>
        </is>
      </c>
      <c r="E13" s="18" t="n">
        <v>0.253</v>
      </c>
      <c r="F13" s="18" t="n">
        <v>0.256</v>
      </c>
      <c r="G13" s="18" t="n">
        <v>0.259</v>
      </c>
      <c r="H13" s="18" t="n">
        <v>0.262</v>
      </c>
      <c r="I13" s="18" t="n">
        <v>0.264</v>
      </c>
      <c r="J13" s="18" t="n">
        <v>0.264</v>
      </c>
    </row>
    <row r="14">
      <c r="B14" s="12" t="inlineStr">
        <is>
          <t>Actual</t>
        </is>
      </c>
      <c r="C14" s="24" t="n">
        <v>2</v>
      </c>
      <c r="D14" s="11" t="inlineStr">
        <is>
          <t>%</t>
        </is>
      </c>
      <c r="E14" s="18" t="n">
        <v>0.253</v>
      </c>
      <c r="F14" s="18" t="n">
        <v>0.255</v>
      </c>
      <c r="G14" s="18" t="n">
        <v>0.249</v>
      </c>
      <c r="H14" s="18" t="n">
        <v>0.256</v>
      </c>
      <c r="I14" s="18" t="n">
        <v>0.26</v>
      </c>
      <c r="J14" s="18" t="n">
        <v>0.26</v>
      </c>
    </row>
    <row r="15">
      <c r="B15" s="12" t="inlineStr">
        <is>
          <t>Severe</t>
        </is>
      </c>
      <c r="C15" s="24" t="n">
        <v>3</v>
      </c>
      <c r="D15" s="11" t="inlineStr">
        <is>
          <t>%</t>
        </is>
      </c>
      <c r="E15" s="18" t="n">
        <v>0.253</v>
      </c>
      <c r="F15" s="18" t="n">
        <v>0.255</v>
      </c>
      <c r="G15" s="18" t="n">
        <v>0.245</v>
      </c>
      <c r="H15" s="18" t="n">
        <v>0.25</v>
      </c>
      <c r="I15" s="18" t="n">
        <v>0.255</v>
      </c>
      <c r="J15" s="18" t="n">
        <v>0.255</v>
      </c>
    </row>
    <row r="16">
      <c r="B16" s="12" t="inlineStr">
        <is>
          <t>Budget</t>
        </is>
      </c>
      <c r="C16" s="24" t="n">
        <v>4</v>
      </c>
      <c r="D16" s="11" t="inlineStr">
        <is>
          <t>%</t>
        </is>
      </c>
      <c r="E16" s="18" t="n">
        <v>0.253</v>
      </c>
      <c r="F16" s="18" t="n">
        <v>0.255</v>
      </c>
      <c r="G16" s="18" t="n">
        <v>0.257</v>
      </c>
      <c r="H16" s="18" t="n">
        <v>0.259</v>
      </c>
      <c r="I16" s="18" t="n">
        <v>0.261</v>
      </c>
      <c r="J16" s="18" t="n">
        <v>0.261</v>
      </c>
    </row>
    <row r="17">
      <c r="B17" s="6" t="inlineStr">
        <is>
          <t>Selected case</t>
        </is>
      </c>
      <c r="C17" s="25">
        <f>'Inputs'!$C$6</f>
        <v/>
      </c>
      <c r="D17" s="26" t="inlineStr">
        <is>
          <t>%</t>
        </is>
      </c>
      <c r="E17" s="27">
        <f>INDEX(E13:E16,$C$17)</f>
        <v/>
      </c>
      <c r="F17" s="27">
        <f>INDEX(F13:F16,$C$17)</f>
        <v/>
      </c>
      <c r="G17" s="27">
        <f>INDEX(G13:G16,$C$17)</f>
        <v/>
      </c>
      <c r="H17" s="27">
        <f>INDEX(H13:H16,$C$17)</f>
        <v/>
      </c>
      <c r="I17" s="27">
        <f>INDEX(I13:I16,$C$17)</f>
        <v/>
      </c>
      <c r="J17" s="27">
        <f>INDEX(J13:J16,$C$17)</f>
        <v/>
      </c>
    </row>
    <row r="18"/>
    <row r="19" ht="29.4" customHeight="1">
      <c r="A19" s="3" t="n"/>
      <c r="B19" s="28" t="inlineStr">
        <is>
          <t>One-off costs, excluding acquisition costs (Chapter 9)</t>
        </is>
      </c>
      <c r="C19" s="29" t="inlineStr">
        <is>
          <t>Case</t>
        </is>
      </c>
      <c r="D19" s="28" t="inlineStr">
        <is>
          <t>Unit</t>
        </is>
      </c>
      <c r="E19" s="29" t="inlineStr">
        <is>
          <t>Year 1</t>
        </is>
      </c>
      <c r="F19" s="29" t="inlineStr">
        <is>
          <t>Year 2</t>
        </is>
      </c>
      <c r="G19" s="29" t="inlineStr">
        <is>
          <t>Year 3</t>
        </is>
      </c>
      <c r="H19" s="29" t="inlineStr">
        <is>
          <t>Year 4</t>
        </is>
      </c>
      <c r="I19" s="29" t="inlineStr">
        <is>
          <t>Year 5</t>
        </is>
      </c>
      <c r="J19" s="29" t="inlineStr">
        <is>
          <t>Year 6</t>
        </is>
      </c>
      <c r="K19" s="3" t="n"/>
      <c r="L19" s="3" t="n"/>
      <c r="M19" s="3" t="n"/>
      <c r="N19" s="3" t="n"/>
      <c r="O19" s="3" t="n"/>
      <c r="P19" s="3" t="n"/>
      <c r="Q19" s="3" t="n"/>
      <c r="R19" s="3" t="n"/>
      <c r="S19" s="3" t="n"/>
      <c r="T19" s="3" t="n"/>
      <c r="U19" s="3" t="n"/>
      <c r="V19" s="3" t="n"/>
      <c r="W19" s="3" t="n"/>
      <c r="X19" s="3" t="n"/>
      <c r="Y19" s="3" t="n"/>
      <c r="Z19" s="3" t="n"/>
      <c r="AA19" s="3" t="n"/>
      <c r="AB19" s="3" t="n"/>
    </row>
    <row r="20">
      <c r="B20" s="12" t="inlineStr">
        <is>
          <t>Plan</t>
        </is>
      </c>
      <c r="C20" s="24" t="n">
        <v>1</v>
      </c>
      <c r="D20" s="11" t="inlineStr">
        <is>
          <t>$m</t>
        </is>
      </c>
      <c r="E20" s="15" t="n">
        <v>1.1</v>
      </c>
      <c r="F20" s="15" t="n">
        <v>1.2</v>
      </c>
      <c r="G20" s="15" t="n">
        <v>0.4</v>
      </c>
      <c r="H20" s="15" t="n">
        <v>0</v>
      </c>
      <c r="I20" s="15" t="n">
        <v>0.7</v>
      </c>
      <c r="J20" s="15" t="n">
        <v>0</v>
      </c>
    </row>
    <row r="21">
      <c r="B21" s="12" t="inlineStr">
        <is>
          <t>Actual</t>
        </is>
      </c>
      <c r="C21" s="24" t="n">
        <v>2</v>
      </c>
      <c r="D21" s="11" t="inlineStr">
        <is>
          <t>$m</t>
        </is>
      </c>
      <c r="E21" s="15" t="n">
        <v>1.1</v>
      </c>
      <c r="F21" s="15" t="n">
        <v>1.2</v>
      </c>
      <c r="G21" s="15" t="n">
        <v>1</v>
      </c>
      <c r="H21" s="15" t="n">
        <v>0</v>
      </c>
      <c r="I21" s="15" t="n">
        <v>0.7</v>
      </c>
      <c r="J21" s="15" t="n">
        <v>0</v>
      </c>
    </row>
    <row r="22">
      <c r="B22" s="12" t="inlineStr">
        <is>
          <t>Severe</t>
        </is>
      </c>
      <c r="C22" s="24" t="n">
        <v>3</v>
      </c>
      <c r="D22" s="11" t="inlineStr">
        <is>
          <t>$m</t>
        </is>
      </c>
      <c r="E22" s="15" t="n">
        <v>1.1</v>
      </c>
      <c r="F22" s="15" t="n">
        <v>1.2</v>
      </c>
      <c r="G22" s="15" t="n">
        <v>1.4</v>
      </c>
      <c r="H22" s="15" t="n">
        <v>0.6</v>
      </c>
      <c r="I22" s="15" t="n">
        <v>0.7</v>
      </c>
      <c r="J22" s="15" t="n">
        <v>0</v>
      </c>
    </row>
    <row r="23">
      <c r="B23" s="12" t="inlineStr">
        <is>
          <t>Budget</t>
        </is>
      </c>
      <c r="C23" s="24" t="n">
        <v>4</v>
      </c>
      <c r="D23" s="11" t="inlineStr">
        <is>
          <t>$m</t>
        </is>
      </c>
      <c r="E23" s="15" t="n">
        <v>1.1</v>
      </c>
      <c r="F23" s="15" t="n">
        <v>1.2</v>
      </c>
      <c r="G23" s="15" t="n">
        <v>0.4</v>
      </c>
      <c r="H23" s="15" t="n">
        <v>0</v>
      </c>
      <c r="I23" s="15" t="n">
        <v>0.7</v>
      </c>
      <c r="J23" s="15" t="n">
        <v>0</v>
      </c>
    </row>
    <row r="24">
      <c r="B24" s="6" t="inlineStr">
        <is>
          <t>Selected case</t>
        </is>
      </c>
      <c r="C24" s="25">
        <f>'Inputs'!$C$6</f>
        <v/>
      </c>
      <c r="D24" s="26" t="inlineStr">
        <is>
          <t>$m</t>
        </is>
      </c>
      <c r="E24" s="30">
        <f>INDEX(E20:E23,$C$24)</f>
        <v/>
      </c>
      <c r="F24" s="30">
        <f>INDEX(F20:F23,$C$24)</f>
        <v/>
      </c>
      <c r="G24" s="30">
        <f>INDEX(G20:G23,$C$24)</f>
        <v/>
      </c>
      <c r="H24" s="30">
        <f>INDEX(H20:H23,$C$24)</f>
        <v/>
      </c>
      <c r="I24" s="30">
        <f>INDEX(I20:I23,$C$24)</f>
        <v/>
      </c>
      <c r="J24" s="30">
        <f>INDEX(J20:J23,$C$24)</f>
        <v/>
      </c>
    </row>
    <row r="25"/>
    <row r="26">
      <c r="B26" s="8" t="inlineStr">
        <is>
          <t>Receivable days</t>
        </is>
      </c>
      <c r="C26" s="9" t="inlineStr">
        <is>
          <t>Case</t>
        </is>
      </c>
      <c r="D26" s="8" t="inlineStr">
        <is>
          <t>Unit</t>
        </is>
      </c>
      <c r="E26" s="9" t="inlineStr">
        <is>
          <t>Y1 Q1</t>
        </is>
      </c>
      <c r="F26" s="9" t="inlineStr">
        <is>
          <t>Y1 Q2</t>
        </is>
      </c>
      <c r="G26" s="9" t="inlineStr">
        <is>
          <t>Y1 Q3</t>
        </is>
      </c>
      <c r="H26" s="9" t="inlineStr">
        <is>
          <t>Y1 Q4</t>
        </is>
      </c>
      <c r="I26" s="9" t="inlineStr">
        <is>
          <t>Y2 Q1</t>
        </is>
      </c>
      <c r="J26" s="9" t="inlineStr">
        <is>
          <t>Y2 Q2</t>
        </is>
      </c>
      <c r="K26" s="9" t="inlineStr">
        <is>
          <t>Y2 Q3</t>
        </is>
      </c>
      <c r="L26" s="9" t="inlineStr">
        <is>
          <t>Y2 Q4</t>
        </is>
      </c>
      <c r="M26" s="9" t="inlineStr">
        <is>
          <t>Y3 Q1</t>
        </is>
      </c>
      <c r="N26" s="9" t="inlineStr">
        <is>
          <t>Y3 Q2</t>
        </is>
      </c>
      <c r="O26" s="9" t="inlineStr">
        <is>
          <t>Y3 Q3</t>
        </is>
      </c>
      <c r="P26" s="9" t="inlineStr">
        <is>
          <t>Y3 Q4</t>
        </is>
      </c>
      <c r="Q26" s="9" t="inlineStr">
        <is>
          <t>Y4 Q1</t>
        </is>
      </c>
      <c r="R26" s="9" t="inlineStr">
        <is>
          <t>Y4 Q2</t>
        </is>
      </c>
      <c r="S26" s="9" t="inlineStr">
        <is>
          <t>Y4 Q3</t>
        </is>
      </c>
      <c r="T26" s="9" t="inlineStr">
        <is>
          <t>Y4 Q4</t>
        </is>
      </c>
      <c r="U26" s="9" t="inlineStr">
        <is>
          <t>Y5 Q1</t>
        </is>
      </c>
      <c r="V26" s="9" t="inlineStr">
        <is>
          <t>Y5 Q2</t>
        </is>
      </c>
      <c r="W26" s="9" t="inlineStr">
        <is>
          <t>Y5 Q3</t>
        </is>
      </c>
      <c r="X26" s="9" t="inlineStr">
        <is>
          <t>Y5 Q4</t>
        </is>
      </c>
      <c r="Y26" s="9" t="inlineStr">
        <is>
          <t>Y6 Q1</t>
        </is>
      </c>
      <c r="Z26" s="9" t="inlineStr">
        <is>
          <t>Y6 Q2</t>
        </is>
      </c>
      <c r="AA26" s="9" t="inlineStr">
        <is>
          <t>Y6 Q3</t>
        </is>
      </c>
      <c r="AB26" s="9" t="inlineStr">
        <is>
          <t>Y6 Q4</t>
        </is>
      </c>
    </row>
    <row r="27">
      <c r="B27" s="12" t="inlineStr">
        <is>
          <t>Plan</t>
        </is>
      </c>
      <c r="C27" s="24" t="n">
        <v>1</v>
      </c>
      <c r="D27" s="11" t="inlineStr">
        <is>
          <t>days</t>
        </is>
      </c>
      <c r="E27" s="16" t="n">
        <v>51</v>
      </c>
      <c r="F27" s="16" t="n">
        <v>51</v>
      </c>
      <c r="G27" s="16" t="n">
        <v>51</v>
      </c>
      <c r="H27" s="16" t="n">
        <v>51</v>
      </c>
      <c r="I27" s="16" t="n">
        <v>50</v>
      </c>
      <c r="J27" s="16" t="n">
        <v>50</v>
      </c>
      <c r="K27" s="16" t="n">
        <v>50</v>
      </c>
      <c r="L27" s="16" t="n">
        <v>50</v>
      </c>
      <c r="M27" s="16" t="n">
        <v>49</v>
      </c>
      <c r="N27" s="16" t="n">
        <v>49</v>
      </c>
      <c r="O27" s="16" t="n">
        <v>49</v>
      </c>
      <c r="P27" s="16" t="n">
        <v>49</v>
      </c>
      <c r="Q27" s="16" t="n">
        <v>48</v>
      </c>
      <c r="R27" s="16" t="n">
        <v>48</v>
      </c>
      <c r="S27" s="16" t="n">
        <v>48</v>
      </c>
      <c r="T27" s="16" t="n">
        <v>48</v>
      </c>
      <c r="U27" s="16" t="n">
        <v>48</v>
      </c>
      <c r="V27" s="16" t="n">
        <v>48</v>
      </c>
      <c r="W27" s="16" t="n">
        <v>48</v>
      </c>
      <c r="X27" s="16" t="n">
        <v>48</v>
      </c>
      <c r="Y27" s="16" t="n">
        <v>48</v>
      </c>
      <c r="Z27" s="16" t="n">
        <v>48</v>
      </c>
      <c r="AA27" s="16" t="n">
        <v>48</v>
      </c>
      <c r="AB27" s="16" t="n">
        <v>48</v>
      </c>
    </row>
    <row r="28">
      <c r="B28" s="12" t="inlineStr">
        <is>
          <t>Actual</t>
        </is>
      </c>
      <c r="C28" s="24" t="n">
        <v>2</v>
      </c>
      <c r="D28" s="11" t="inlineStr">
        <is>
          <t>days</t>
        </is>
      </c>
      <c r="E28" s="16" t="n">
        <v>51</v>
      </c>
      <c r="F28" s="16" t="n">
        <v>51</v>
      </c>
      <c r="G28" s="16" t="n">
        <v>51</v>
      </c>
      <c r="H28" s="16" t="n">
        <v>51</v>
      </c>
      <c r="I28" s="16" t="n">
        <v>50</v>
      </c>
      <c r="J28" s="16" t="n">
        <v>50</v>
      </c>
      <c r="K28" s="16" t="n">
        <v>50</v>
      </c>
      <c r="L28" s="16" t="n">
        <v>50</v>
      </c>
      <c r="M28" s="16" t="n">
        <v>50</v>
      </c>
      <c r="N28" s="16" t="n">
        <v>52</v>
      </c>
      <c r="O28" s="16" t="n">
        <v>53</v>
      </c>
      <c r="P28" s="16" t="n">
        <v>52</v>
      </c>
      <c r="Q28" s="16" t="n">
        <v>50</v>
      </c>
      <c r="R28" s="16" t="n">
        <v>49</v>
      </c>
      <c r="S28" s="16" t="n">
        <v>48</v>
      </c>
      <c r="T28" s="16" t="n">
        <v>48</v>
      </c>
      <c r="U28" s="16" t="n">
        <v>48</v>
      </c>
      <c r="V28" s="16" t="n">
        <v>48</v>
      </c>
      <c r="W28" s="16" t="n">
        <v>48</v>
      </c>
      <c r="X28" s="16" t="n">
        <v>48</v>
      </c>
      <c r="Y28" s="16" t="n">
        <v>48</v>
      </c>
      <c r="Z28" s="16" t="n">
        <v>48</v>
      </c>
      <c r="AA28" s="16" t="n">
        <v>48</v>
      </c>
      <c r="AB28" s="16" t="n">
        <v>48</v>
      </c>
    </row>
    <row r="29">
      <c r="B29" s="12" t="inlineStr">
        <is>
          <t>Severe</t>
        </is>
      </c>
      <c r="C29" s="24" t="n">
        <v>3</v>
      </c>
      <c r="D29" s="11" t="inlineStr">
        <is>
          <t>days</t>
        </is>
      </c>
      <c r="E29" s="16" t="n">
        <v>51</v>
      </c>
      <c r="F29" s="16" t="n">
        <v>51</v>
      </c>
      <c r="G29" s="16" t="n">
        <v>51</v>
      </c>
      <c r="H29" s="16" t="n">
        <v>51</v>
      </c>
      <c r="I29" s="16" t="n">
        <v>50</v>
      </c>
      <c r="J29" s="16" t="n">
        <v>50</v>
      </c>
      <c r="K29" s="16" t="n">
        <v>50</v>
      </c>
      <c r="L29" s="16" t="n">
        <v>50</v>
      </c>
      <c r="M29" s="16" t="n">
        <v>50</v>
      </c>
      <c r="N29" s="16" t="n">
        <v>53</v>
      </c>
      <c r="O29" s="16" t="n">
        <v>55</v>
      </c>
      <c r="P29" s="16" t="n">
        <v>55</v>
      </c>
      <c r="Q29" s="16" t="n">
        <v>53</v>
      </c>
      <c r="R29" s="16" t="n">
        <v>51</v>
      </c>
      <c r="S29" s="16" t="n">
        <v>50</v>
      </c>
      <c r="T29" s="16" t="n">
        <v>49</v>
      </c>
      <c r="U29" s="16" t="n">
        <v>48</v>
      </c>
      <c r="V29" s="16" t="n">
        <v>48</v>
      </c>
      <c r="W29" s="16" t="n">
        <v>48</v>
      </c>
      <c r="X29" s="16" t="n">
        <v>48</v>
      </c>
      <c r="Y29" s="16" t="n">
        <v>48</v>
      </c>
      <c r="Z29" s="16" t="n">
        <v>48</v>
      </c>
      <c r="AA29" s="16" t="n">
        <v>48</v>
      </c>
      <c r="AB29" s="16" t="n">
        <v>48</v>
      </c>
    </row>
    <row r="30">
      <c r="B30" s="12" t="inlineStr">
        <is>
          <t>Budget</t>
        </is>
      </c>
      <c r="C30" s="24" t="n">
        <v>4</v>
      </c>
      <c r="D30" s="11" t="inlineStr">
        <is>
          <t>days</t>
        </is>
      </c>
      <c r="E30" s="16" t="n">
        <v>51</v>
      </c>
      <c r="F30" s="16" t="n">
        <v>51</v>
      </c>
      <c r="G30" s="16" t="n">
        <v>51</v>
      </c>
      <c r="H30" s="16" t="n">
        <v>51</v>
      </c>
      <c r="I30" s="16" t="n">
        <v>50</v>
      </c>
      <c r="J30" s="16" t="n">
        <v>50</v>
      </c>
      <c r="K30" s="16" t="n">
        <v>50</v>
      </c>
      <c r="L30" s="16" t="n">
        <v>50</v>
      </c>
      <c r="M30" s="16" t="n">
        <v>49</v>
      </c>
      <c r="N30" s="16" t="n">
        <v>49</v>
      </c>
      <c r="O30" s="16" t="n">
        <v>49</v>
      </c>
      <c r="P30" s="16" t="n">
        <v>49</v>
      </c>
      <c r="Q30" s="16" t="n">
        <v>48</v>
      </c>
      <c r="R30" s="16" t="n">
        <v>48</v>
      </c>
      <c r="S30" s="16" t="n">
        <v>48</v>
      </c>
      <c r="T30" s="16" t="n">
        <v>48</v>
      </c>
      <c r="U30" s="16" t="n">
        <v>48</v>
      </c>
      <c r="V30" s="16" t="n">
        <v>48</v>
      </c>
      <c r="W30" s="16" t="n">
        <v>48</v>
      </c>
      <c r="X30" s="16" t="n">
        <v>48</v>
      </c>
      <c r="Y30" s="16" t="n">
        <v>48</v>
      </c>
      <c r="Z30" s="16" t="n">
        <v>48</v>
      </c>
      <c r="AA30" s="16" t="n">
        <v>48</v>
      </c>
      <c r="AB30" s="16" t="n">
        <v>48</v>
      </c>
    </row>
    <row r="31">
      <c r="B31" s="6" t="inlineStr">
        <is>
          <t>Selected case</t>
        </is>
      </c>
      <c r="C31" s="25">
        <f>'Inputs'!$C$6</f>
        <v/>
      </c>
      <c r="D31" s="26" t="inlineStr">
        <is>
          <t>days</t>
        </is>
      </c>
      <c r="E31" s="31">
        <f>INDEX(E27:E30,$C$31)</f>
        <v/>
      </c>
      <c r="F31" s="31">
        <f>INDEX(F27:F30,$C$31)</f>
        <v/>
      </c>
      <c r="G31" s="31">
        <f>INDEX(G27:G30,$C$31)</f>
        <v/>
      </c>
      <c r="H31" s="31">
        <f>INDEX(H27:H30,$C$31)</f>
        <v/>
      </c>
      <c r="I31" s="31">
        <f>INDEX(I27:I30,$C$31)</f>
        <v/>
      </c>
      <c r="J31" s="31">
        <f>INDEX(J27:J30,$C$31)</f>
        <v/>
      </c>
      <c r="K31" s="31">
        <f>INDEX(K27:K30,$C$31)</f>
        <v/>
      </c>
      <c r="L31" s="31">
        <f>INDEX(L27:L30,$C$31)</f>
        <v/>
      </c>
      <c r="M31" s="31">
        <f>INDEX(M27:M30,$C$31)</f>
        <v/>
      </c>
      <c r="N31" s="31">
        <f>INDEX(N27:N30,$C$31)</f>
        <v/>
      </c>
      <c r="O31" s="31">
        <f>INDEX(O27:O30,$C$31)</f>
        <v/>
      </c>
      <c r="P31" s="31">
        <f>INDEX(P27:P30,$C$31)</f>
        <v/>
      </c>
      <c r="Q31" s="31">
        <f>INDEX(Q27:Q30,$C$31)</f>
        <v/>
      </c>
      <c r="R31" s="31">
        <f>INDEX(R27:R30,$C$31)</f>
        <v/>
      </c>
      <c r="S31" s="31">
        <f>INDEX(S27:S30,$C$31)</f>
        <v/>
      </c>
      <c r="T31" s="31">
        <f>INDEX(T27:T30,$C$31)</f>
        <v/>
      </c>
      <c r="U31" s="31">
        <f>INDEX(U27:U30,$C$31)</f>
        <v/>
      </c>
      <c r="V31" s="31">
        <f>INDEX(V27:V30,$C$31)</f>
        <v/>
      </c>
      <c r="W31" s="31">
        <f>INDEX(W27:W30,$C$31)</f>
        <v/>
      </c>
      <c r="X31" s="31">
        <f>INDEX(X27:X30,$C$31)</f>
        <v/>
      </c>
      <c r="Y31" s="31">
        <f>INDEX(Y27:Y30,$C$31)</f>
        <v/>
      </c>
      <c r="Z31" s="31">
        <f>INDEX(Z27:Z30,$C$31)</f>
        <v/>
      </c>
      <c r="AA31" s="31">
        <f>INDEX(AA27:AA30,$C$31)</f>
        <v/>
      </c>
      <c r="AB31" s="31">
        <f>INDEX(AB27:AB30,$C$31)</f>
        <v/>
      </c>
    </row>
    <row r="32"/>
    <row r="33">
      <c r="B33" s="8" t="inlineStr">
        <is>
          <t>Inventory days</t>
        </is>
      </c>
      <c r="C33" s="9" t="inlineStr">
        <is>
          <t>Case</t>
        </is>
      </c>
      <c r="D33" s="8" t="inlineStr">
        <is>
          <t>Unit</t>
        </is>
      </c>
      <c r="E33" s="9" t="inlineStr">
        <is>
          <t>Y1 Q1</t>
        </is>
      </c>
      <c r="F33" s="9" t="inlineStr">
        <is>
          <t>Y1 Q2</t>
        </is>
      </c>
      <c r="G33" s="9" t="inlineStr">
        <is>
          <t>Y1 Q3</t>
        </is>
      </c>
      <c r="H33" s="9" t="inlineStr">
        <is>
          <t>Y1 Q4</t>
        </is>
      </c>
      <c r="I33" s="9" t="inlineStr">
        <is>
          <t>Y2 Q1</t>
        </is>
      </c>
      <c r="J33" s="9" t="inlineStr">
        <is>
          <t>Y2 Q2</t>
        </is>
      </c>
      <c r="K33" s="9" t="inlineStr">
        <is>
          <t>Y2 Q3</t>
        </is>
      </c>
      <c r="L33" s="9" t="inlineStr">
        <is>
          <t>Y2 Q4</t>
        </is>
      </c>
      <c r="M33" s="9" t="inlineStr">
        <is>
          <t>Y3 Q1</t>
        </is>
      </c>
      <c r="N33" s="9" t="inlineStr">
        <is>
          <t>Y3 Q2</t>
        </is>
      </c>
      <c r="O33" s="9" t="inlineStr">
        <is>
          <t>Y3 Q3</t>
        </is>
      </c>
      <c r="P33" s="9" t="inlineStr">
        <is>
          <t>Y3 Q4</t>
        </is>
      </c>
      <c r="Q33" s="9" t="inlineStr">
        <is>
          <t>Y4 Q1</t>
        </is>
      </c>
      <c r="R33" s="9" t="inlineStr">
        <is>
          <t>Y4 Q2</t>
        </is>
      </c>
      <c r="S33" s="9" t="inlineStr">
        <is>
          <t>Y4 Q3</t>
        </is>
      </c>
      <c r="T33" s="9" t="inlineStr">
        <is>
          <t>Y4 Q4</t>
        </is>
      </c>
      <c r="U33" s="9" t="inlineStr">
        <is>
          <t>Y5 Q1</t>
        </is>
      </c>
      <c r="V33" s="9" t="inlineStr">
        <is>
          <t>Y5 Q2</t>
        </is>
      </c>
      <c r="W33" s="9" t="inlineStr">
        <is>
          <t>Y5 Q3</t>
        </is>
      </c>
      <c r="X33" s="9" t="inlineStr">
        <is>
          <t>Y5 Q4</t>
        </is>
      </c>
      <c r="Y33" s="9" t="inlineStr">
        <is>
          <t>Y6 Q1</t>
        </is>
      </c>
      <c r="Z33" s="9" t="inlineStr">
        <is>
          <t>Y6 Q2</t>
        </is>
      </c>
      <c r="AA33" s="9" t="inlineStr">
        <is>
          <t>Y6 Q3</t>
        </is>
      </c>
      <c r="AB33" s="9" t="inlineStr">
        <is>
          <t>Y6 Q4</t>
        </is>
      </c>
    </row>
    <row r="34">
      <c r="B34" s="12" t="inlineStr">
        <is>
          <t>Plan</t>
        </is>
      </c>
      <c r="C34" s="24" t="n">
        <v>1</v>
      </c>
      <c r="D34" s="11" t="inlineStr">
        <is>
          <t>days</t>
        </is>
      </c>
      <c r="E34" s="16" t="n">
        <v>74</v>
      </c>
      <c r="F34" s="16" t="n">
        <v>74</v>
      </c>
      <c r="G34" s="16" t="n">
        <v>74</v>
      </c>
      <c r="H34" s="16" t="n">
        <v>74</v>
      </c>
      <c r="I34" s="16" t="n">
        <v>72</v>
      </c>
      <c r="J34" s="16" t="n">
        <v>72</v>
      </c>
      <c r="K34" s="16" t="n">
        <v>72</v>
      </c>
      <c r="L34" s="16" t="n">
        <v>72</v>
      </c>
      <c r="M34" s="16" t="n">
        <v>70</v>
      </c>
      <c r="N34" s="16" t="n">
        <v>70</v>
      </c>
      <c r="O34" s="16" t="n">
        <v>70</v>
      </c>
      <c r="P34" s="16" t="n">
        <v>70</v>
      </c>
      <c r="Q34" s="16" t="n">
        <v>68</v>
      </c>
      <c r="R34" s="16" t="n">
        <v>68</v>
      </c>
      <c r="S34" s="16" t="n">
        <v>68</v>
      </c>
      <c r="T34" s="16" t="n">
        <v>68</v>
      </c>
      <c r="U34" s="16" t="n">
        <v>68</v>
      </c>
      <c r="V34" s="16" t="n">
        <v>68</v>
      </c>
      <c r="W34" s="16" t="n">
        <v>68</v>
      </c>
      <c r="X34" s="16" t="n">
        <v>68</v>
      </c>
      <c r="Y34" s="16" t="n">
        <v>68</v>
      </c>
      <c r="Z34" s="16" t="n">
        <v>68</v>
      </c>
      <c r="AA34" s="16" t="n">
        <v>68</v>
      </c>
      <c r="AB34" s="16" t="n">
        <v>68</v>
      </c>
    </row>
    <row r="35">
      <c r="B35" s="12" t="inlineStr">
        <is>
          <t>Actual</t>
        </is>
      </c>
      <c r="C35" s="24" t="n">
        <v>2</v>
      </c>
      <c r="D35" s="11" t="inlineStr">
        <is>
          <t>days</t>
        </is>
      </c>
      <c r="E35" s="16" t="n">
        <v>74</v>
      </c>
      <c r="F35" s="16" t="n">
        <v>74</v>
      </c>
      <c r="G35" s="16" t="n">
        <v>74</v>
      </c>
      <c r="H35" s="16" t="n">
        <v>74</v>
      </c>
      <c r="I35" s="16" t="n">
        <v>72</v>
      </c>
      <c r="J35" s="16" t="n">
        <v>72</v>
      </c>
      <c r="K35" s="16" t="n">
        <v>74</v>
      </c>
      <c r="L35" s="16" t="n">
        <v>76</v>
      </c>
      <c r="M35" s="16" t="n">
        <v>82</v>
      </c>
      <c r="N35" s="16" t="n">
        <v>88</v>
      </c>
      <c r="O35" s="16" t="n">
        <v>86</v>
      </c>
      <c r="P35" s="16" t="n">
        <v>80</v>
      </c>
      <c r="Q35" s="16" t="n">
        <v>76</v>
      </c>
      <c r="R35" s="16" t="n">
        <v>73</v>
      </c>
      <c r="S35" s="16" t="n">
        <v>71</v>
      </c>
      <c r="T35" s="16" t="n">
        <v>70</v>
      </c>
      <c r="U35" s="16" t="n">
        <v>69</v>
      </c>
      <c r="V35" s="16" t="n">
        <v>69</v>
      </c>
      <c r="W35" s="16" t="n">
        <v>69</v>
      </c>
      <c r="X35" s="16" t="n">
        <v>69</v>
      </c>
      <c r="Y35" s="16" t="n">
        <v>69</v>
      </c>
      <c r="Z35" s="16" t="n">
        <v>69</v>
      </c>
      <c r="AA35" s="16" t="n">
        <v>69</v>
      </c>
      <c r="AB35" s="16" t="n">
        <v>69</v>
      </c>
    </row>
    <row r="36">
      <c r="B36" s="12" t="inlineStr">
        <is>
          <t>Severe</t>
        </is>
      </c>
      <c r="C36" s="24" t="n">
        <v>3</v>
      </c>
      <c r="D36" s="11" t="inlineStr">
        <is>
          <t>days</t>
        </is>
      </c>
      <c r="E36" s="16" t="n">
        <v>74</v>
      </c>
      <c r="F36" s="16" t="n">
        <v>74</v>
      </c>
      <c r="G36" s="16" t="n">
        <v>74</v>
      </c>
      <c r="H36" s="16" t="n">
        <v>74</v>
      </c>
      <c r="I36" s="16" t="n">
        <v>72</v>
      </c>
      <c r="J36" s="16" t="n">
        <v>72</v>
      </c>
      <c r="K36" s="16" t="n">
        <v>74</v>
      </c>
      <c r="L36" s="16" t="n">
        <v>76</v>
      </c>
      <c r="M36" s="16" t="n">
        <v>84</v>
      </c>
      <c r="N36" s="16" t="n">
        <v>92</v>
      </c>
      <c r="O36" s="16" t="n">
        <v>94</v>
      </c>
      <c r="P36" s="16" t="n">
        <v>90</v>
      </c>
      <c r="Q36" s="16" t="n">
        <v>84</v>
      </c>
      <c r="R36" s="16" t="n">
        <v>80</v>
      </c>
      <c r="S36" s="16" t="n">
        <v>76</v>
      </c>
      <c r="T36" s="16" t="n">
        <v>73</v>
      </c>
      <c r="U36" s="16" t="n">
        <v>71</v>
      </c>
      <c r="V36" s="16" t="n">
        <v>71</v>
      </c>
      <c r="W36" s="16" t="n">
        <v>71</v>
      </c>
      <c r="X36" s="16" t="n">
        <v>71</v>
      </c>
      <c r="Y36" s="16" t="n">
        <v>71</v>
      </c>
      <c r="Z36" s="16" t="n">
        <v>71</v>
      </c>
      <c r="AA36" s="16" t="n">
        <v>71</v>
      </c>
      <c r="AB36" s="16" t="n">
        <v>71</v>
      </c>
    </row>
    <row r="37">
      <c r="B37" s="12" t="inlineStr">
        <is>
          <t>Budget</t>
        </is>
      </c>
      <c r="C37" s="24" t="n">
        <v>4</v>
      </c>
      <c r="D37" s="11" t="inlineStr">
        <is>
          <t>days</t>
        </is>
      </c>
      <c r="E37" s="16" t="n">
        <v>74</v>
      </c>
      <c r="F37" s="16" t="n">
        <v>74</v>
      </c>
      <c r="G37" s="16" t="n">
        <v>74</v>
      </c>
      <c r="H37" s="16" t="n">
        <v>74</v>
      </c>
      <c r="I37" s="16" t="n">
        <v>72</v>
      </c>
      <c r="J37" s="16" t="n">
        <v>72</v>
      </c>
      <c r="K37" s="16" t="n">
        <v>74</v>
      </c>
      <c r="L37" s="16" t="n">
        <v>76</v>
      </c>
      <c r="M37" s="16" t="n">
        <v>72</v>
      </c>
      <c r="N37" s="16" t="n">
        <v>72</v>
      </c>
      <c r="O37" s="16" t="n">
        <v>72</v>
      </c>
      <c r="P37" s="16" t="n">
        <v>72</v>
      </c>
      <c r="Q37" s="16" t="n">
        <v>70</v>
      </c>
      <c r="R37" s="16" t="n">
        <v>70</v>
      </c>
      <c r="S37" s="16" t="n">
        <v>70</v>
      </c>
      <c r="T37" s="16" t="n">
        <v>70</v>
      </c>
      <c r="U37" s="16" t="n">
        <v>70</v>
      </c>
      <c r="V37" s="16" t="n">
        <v>70</v>
      </c>
      <c r="W37" s="16" t="n">
        <v>70</v>
      </c>
      <c r="X37" s="16" t="n">
        <v>70</v>
      </c>
      <c r="Y37" s="16" t="n">
        <v>70</v>
      </c>
      <c r="Z37" s="16" t="n">
        <v>70</v>
      </c>
      <c r="AA37" s="16" t="n">
        <v>70</v>
      </c>
      <c r="AB37" s="16" t="n">
        <v>70</v>
      </c>
    </row>
    <row r="38">
      <c r="B38" s="6" t="inlineStr">
        <is>
          <t>Selected case</t>
        </is>
      </c>
      <c r="C38" s="25">
        <f>'Inputs'!$C$6</f>
        <v/>
      </c>
      <c r="D38" s="26" t="inlineStr">
        <is>
          <t>days</t>
        </is>
      </c>
      <c r="E38" s="31">
        <f>INDEX(E34:E37,$C$38)</f>
        <v/>
      </c>
      <c r="F38" s="31">
        <f>INDEX(F34:F37,$C$38)</f>
        <v/>
      </c>
      <c r="G38" s="31">
        <f>INDEX(G34:G37,$C$38)</f>
        <v/>
      </c>
      <c r="H38" s="31">
        <f>INDEX(H34:H37,$C$38)</f>
        <v/>
      </c>
      <c r="I38" s="31">
        <f>INDEX(I34:I37,$C$38)</f>
        <v/>
      </c>
      <c r="J38" s="31">
        <f>INDEX(J34:J37,$C$38)</f>
        <v/>
      </c>
      <c r="K38" s="31">
        <f>INDEX(K34:K37,$C$38)</f>
        <v/>
      </c>
      <c r="L38" s="31">
        <f>INDEX(L34:L37,$C$38)</f>
        <v/>
      </c>
      <c r="M38" s="31">
        <f>INDEX(M34:M37,$C$38)</f>
        <v/>
      </c>
      <c r="N38" s="31">
        <f>INDEX(N34:N37,$C$38)</f>
        <v/>
      </c>
      <c r="O38" s="31">
        <f>INDEX(O34:O37,$C$38)</f>
        <v/>
      </c>
      <c r="P38" s="31">
        <f>INDEX(P34:P37,$C$38)</f>
        <v/>
      </c>
      <c r="Q38" s="31">
        <f>INDEX(Q34:Q37,$C$38)</f>
        <v/>
      </c>
      <c r="R38" s="31">
        <f>INDEX(R34:R37,$C$38)</f>
        <v/>
      </c>
      <c r="S38" s="31">
        <f>INDEX(S34:S37,$C$38)</f>
        <v/>
      </c>
      <c r="T38" s="31">
        <f>INDEX(T34:T37,$C$38)</f>
        <v/>
      </c>
      <c r="U38" s="31">
        <f>INDEX(U34:U37,$C$38)</f>
        <v/>
      </c>
      <c r="V38" s="31">
        <f>INDEX(V34:V37,$C$38)</f>
        <v/>
      </c>
      <c r="W38" s="31">
        <f>INDEX(W34:W37,$C$38)</f>
        <v/>
      </c>
      <c r="X38" s="31">
        <f>INDEX(X34:X37,$C$38)</f>
        <v/>
      </c>
      <c r="Y38" s="31">
        <f>INDEX(Y34:Y37,$C$38)</f>
        <v/>
      </c>
      <c r="Z38" s="31">
        <f>INDEX(Z34:Z37,$C$38)</f>
        <v/>
      </c>
      <c r="AA38" s="31">
        <f>INDEX(AA34:AA37,$C$38)</f>
        <v/>
      </c>
      <c r="AB38" s="31">
        <f>INDEX(AB34:AB37,$C$38)</f>
        <v/>
      </c>
    </row>
    <row r="39"/>
    <row r="40">
      <c r="B40" s="8" t="inlineStr">
        <is>
          <t>Payable days</t>
        </is>
      </c>
      <c r="C40" s="9" t="inlineStr">
        <is>
          <t>Case</t>
        </is>
      </c>
      <c r="D40" s="8" t="inlineStr">
        <is>
          <t>Unit</t>
        </is>
      </c>
      <c r="E40" s="9" t="inlineStr">
        <is>
          <t>Y1 Q1</t>
        </is>
      </c>
      <c r="F40" s="9" t="inlineStr">
        <is>
          <t>Y1 Q2</t>
        </is>
      </c>
      <c r="G40" s="9" t="inlineStr">
        <is>
          <t>Y1 Q3</t>
        </is>
      </c>
      <c r="H40" s="9" t="inlineStr">
        <is>
          <t>Y1 Q4</t>
        </is>
      </c>
      <c r="I40" s="9" t="inlineStr">
        <is>
          <t>Y2 Q1</t>
        </is>
      </c>
      <c r="J40" s="9" t="inlineStr">
        <is>
          <t>Y2 Q2</t>
        </is>
      </c>
      <c r="K40" s="9" t="inlineStr">
        <is>
          <t>Y2 Q3</t>
        </is>
      </c>
      <c r="L40" s="9" t="inlineStr">
        <is>
          <t>Y2 Q4</t>
        </is>
      </c>
      <c r="M40" s="9" t="inlineStr">
        <is>
          <t>Y3 Q1</t>
        </is>
      </c>
      <c r="N40" s="9" t="inlineStr">
        <is>
          <t>Y3 Q2</t>
        </is>
      </c>
      <c r="O40" s="9" t="inlineStr">
        <is>
          <t>Y3 Q3</t>
        </is>
      </c>
      <c r="P40" s="9" t="inlineStr">
        <is>
          <t>Y3 Q4</t>
        </is>
      </c>
      <c r="Q40" s="9" t="inlineStr">
        <is>
          <t>Y4 Q1</t>
        </is>
      </c>
      <c r="R40" s="9" t="inlineStr">
        <is>
          <t>Y4 Q2</t>
        </is>
      </c>
      <c r="S40" s="9" t="inlineStr">
        <is>
          <t>Y4 Q3</t>
        </is>
      </c>
      <c r="T40" s="9" t="inlineStr">
        <is>
          <t>Y4 Q4</t>
        </is>
      </c>
      <c r="U40" s="9" t="inlineStr">
        <is>
          <t>Y5 Q1</t>
        </is>
      </c>
      <c r="V40" s="9" t="inlineStr">
        <is>
          <t>Y5 Q2</t>
        </is>
      </c>
      <c r="W40" s="9" t="inlineStr">
        <is>
          <t>Y5 Q3</t>
        </is>
      </c>
      <c r="X40" s="9" t="inlineStr">
        <is>
          <t>Y5 Q4</t>
        </is>
      </c>
      <c r="Y40" s="9" t="inlineStr">
        <is>
          <t>Y6 Q1</t>
        </is>
      </c>
      <c r="Z40" s="9" t="inlineStr">
        <is>
          <t>Y6 Q2</t>
        </is>
      </c>
      <c r="AA40" s="9" t="inlineStr">
        <is>
          <t>Y6 Q3</t>
        </is>
      </c>
      <c r="AB40" s="9" t="inlineStr">
        <is>
          <t>Y6 Q4</t>
        </is>
      </c>
    </row>
    <row r="41">
      <c r="B41" s="12" t="inlineStr">
        <is>
          <t>Plan</t>
        </is>
      </c>
      <c r="C41" s="24" t="n">
        <v>1</v>
      </c>
      <c r="D41" s="11" t="inlineStr">
        <is>
          <t>days</t>
        </is>
      </c>
      <c r="E41" s="16" t="n">
        <v>46</v>
      </c>
      <c r="F41" s="16" t="n">
        <v>46</v>
      </c>
      <c r="G41" s="16" t="n">
        <v>46</v>
      </c>
      <c r="H41" s="16" t="n">
        <v>46</v>
      </c>
      <c r="I41" s="16" t="n">
        <v>47</v>
      </c>
      <c r="J41" s="16" t="n">
        <v>47</v>
      </c>
      <c r="K41" s="16" t="n">
        <v>47</v>
      </c>
      <c r="L41" s="16" t="n">
        <v>47</v>
      </c>
      <c r="M41" s="16" t="n">
        <v>48</v>
      </c>
      <c r="N41" s="16" t="n">
        <v>48</v>
      </c>
      <c r="O41" s="16" t="n">
        <v>48</v>
      </c>
      <c r="P41" s="16" t="n">
        <v>48</v>
      </c>
      <c r="Q41" s="16" t="n">
        <v>48</v>
      </c>
      <c r="R41" s="16" t="n">
        <v>48</v>
      </c>
      <c r="S41" s="16" t="n">
        <v>48</v>
      </c>
      <c r="T41" s="16" t="n">
        <v>48</v>
      </c>
      <c r="U41" s="16" t="n">
        <v>48</v>
      </c>
      <c r="V41" s="16" t="n">
        <v>48</v>
      </c>
      <c r="W41" s="16" t="n">
        <v>48</v>
      </c>
      <c r="X41" s="16" t="n">
        <v>48</v>
      </c>
      <c r="Y41" s="16" t="n">
        <v>48</v>
      </c>
      <c r="Z41" s="16" t="n">
        <v>48</v>
      </c>
      <c r="AA41" s="16" t="n">
        <v>48</v>
      </c>
      <c r="AB41" s="16" t="n">
        <v>48</v>
      </c>
    </row>
    <row r="42">
      <c r="B42" s="12" t="inlineStr">
        <is>
          <t>Actual</t>
        </is>
      </c>
      <c r="C42" s="24" t="n">
        <v>2</v>
      </c>
      <c r="D42" s="11" t="inlineStr">
        <is>
          <t>days</t>
        </is>
      </c>
      <c r="E42" s="16" t="n">
        <v>46</v>
      </c>
      <c r="F42" s="16" t="n">
        <v>46</v>
      </c>
      <c r="G42" s="16" t="n">
        <v>46</v>
      </c>
      <c r="H42" s="16" t="n">
        <v>46</v>
      </c>
      <c r="I42" s="16" t="n">
        <v>47</v>
      </c>
      <c r="J42" s="16" t="n">
        <v>47</v>
      </c>
      <c r="K42" s="16" t="n">
        <v>47</v>
      </c>
      <c r="L42" s="16" t="n">
        <v>47</v>
      </c>
      <c r="M42" s="16" t="n">
        <v>47</v>
      </c>
      <c r="N42" s="16" t="n">
        <v>46</v>
      </c>
      <c r="O42" s="16" t="n">
        <v>45</v>
      </c>
      <c r="P42" s="16" t="n">
        <v>47</v>
      </c>
      <c r="Q42" s="16" t="n">
        <v>48</v>
      </c>
      <c r="R42" s="16" t="n">
        <v>48</v>
      </c>
      <c r="S42" s="16" t="n">
        <v>48</v>
      </c>
      <c r="T42" s="16" t="n">
        <v>48</v>
      </c>
      <c r="U42" s="16" t="n">
        <v>48</v>
      </c>
      <c r="V42" s="16" t="n">
        <v>48</v>
      </c>
      <c r="W42" s="16" t="n">
        <v>48</v>
      </c>
      <c r="X42" s="16" t="n">
        <v>48</v>
      </c>
      <c r="Y42" s="16" t="n">
        <v>48</v>
      </c>
      <c r="Z42" s="16" t="n">
        <v>48</v>
      </c>
      <c r="AA42" s="16" t="n">
        <v>48</v>
      </c>
      <c r="AB42" s="16" t="n">
        <v>48</v>
      </c>
    </row>
    <row r="43">
      <c r="B43" s="12" t="inlineStr">
        <is>
          <t>Severe</t>
        </is>
      </c>
      <c r="C43" s="24" t="n">
        <v>3</v>
      </c>
      <c r="D43" s="11" t="inlineStr">
        <is>
          <t>days</t>
        </is>
      </c>
      <c r="E43" s="16" t="n">
        <v>46</v>
      </c>
      <c r="F43" s="16" t="n">
        <v>46</v>
      </c>
      <c r="G43" s="16" t="n">
        <v>46</v>
      </c>
      <c r="H43" s="16" t="n">
        <v>46</v>
      </c>
      <c r="I43" s="16" t="n">
        <v>47</v>
      </c>
      <c r="J43" s="16" t="n">
        <v>47</v>
      </c>
      <c r="K43" s="16" t="n">
        <v>47</v>
      </c>
      <c r="L43" s="16" t="n">
        <v>47</v>
      </c>
      <c r="M43" s="16" t="n">
        <v>47</v>
      </c>
      <c r="N43" s="16" t="n">
        <v>45</v>
      </c>
      <c r="O43" s="16" t="n">
        <v>44</v>
      </c>
      <c r="P43" s="16" t="n">
        <v>45</v>
      </c>
      <c r="Q43" s="16" t="n">
        <v>46</v>
      </c>
      <c r="R43" s="16" t="n">
        <v>47</v>
      </c>
      <c r="S43" s="16" t="n">
        <v>48</v>
      </c>
      <c r="T43" s="16" t="n">
        <v>48</v>
      </c>
      <c r="U43" s="16" t="n">
        <v>48</v>
      </c>
      <c r="V43" s="16" t="n">
        <v>48</v>
      </c>
      <c r="W43" s="16" t="n">
        <v>48</v>
      </c>
      <c r="X43" s="16" t="n">
        <v>48</v>
      </c>
      <c r="Y43" s="16" t="n">
        <v>48</v>
      </c>
      <c r="Z43" s="16" t="n">
        <v>48</v>
      </c>
      <c r="AA43" s="16" t="n">
        <v>48</v>
      </c>
      <c r="AB43" s="16" t="n">
        <v>48</v>
      </c>
    </row>
    <row r="44">
      <c r="B44" s="12" t="inlineStr">
        <is>
          <t>Budget</t>
        </is>
      </c>
      <c r="C44" s="24" t="n">
        <v>4</v>
      </c>
      <c r="D44" s="11" t="inlineStr">
        <is>
          <t>days</t>
        </is>
      </c>
      <c r="E44" s="16" t="n">
        <v>46</v>
      </c>
      <c r="F44" s="16" t="n">
        <v>46</v>
      </c>
      <c r="G44" s="16" t="n">
        <v>46</v>
      </c>
      <c r="H44" s="16" t="n">
        <v>46</v>
      </c>
      <c r="I44" s="16" t="n">
        <v>47</v>
      </c>
      <c r="J44" s="16" t="n">
        <v>47</v>
      </c>
      <c r="K44" s="16" t="n">
        <v>47</v>
      </c>
      <c r="L44" s="16" t="n">
        <v>47</v>
      </c>
      <c r="M44" s="16" t="n">
        <v>48</v>
      </c>
      <c r="N44" s="16" t="n">
        <v>48</v>
      </c>
      <c r="O44" s="16" t="n">
        <v>48</v>
      </c>
      <c r="P44" s="16" t="n">
        <v>48</v>
      </c>
      <c r="Q44" s="16" t="n">
        <v>48</v>
      </c>
      <c r="R44" s="16" t="n">
        <v>48</v>
      </c>
      <c r="S44" s="16" t="n">
        <v>48</v>
      </c>
      <c r="T44" s="16" t="n">
        <v>48</v>
      </c>
      <c r="U44" s="16" t="n">
        <v>48</v>
      </c>
      <c r="V44" s="16" t="n">
        <v>48</v>
      </c>
      <c r="W44" s="16" t="n">
        <v>48</v>
      </c>
      <c r="X44" s="16" t="n">
        <v>48</v>
      </c>
      <c r="Y44" s="16" t="n">
        <v>48</v>
      </c>
      <c r="Z44" s="16" t="n">
        <v>48</v>
      </c>
      <c r="AA44" s="16" t="n">
        <v>48</v>
      </c>
      <c r="AB44" s="16" t="n">
        <v>48</v>
      </c>
    </row>
    <row r="45">
      <c r="B45" s="6" t="inlineStr">
        <is>
          <t>Selected case</t>
        </is>
      </c>
      <c r="C45" s="25">
        <f>'Inputs'!$C$6</f>
        <v/>
      </c>
      <c r="D45" s="26" t="inlineStr">
        <is>
          <t>days</t>
        </is>
      </c>
      <c r="E45" s="31">
        <f>INDEX(E41:E44,$C$45)</f>
        <v/>
      </c>
      <c r="F45" s="31">
        <f>INDEX(F41:F44,$C$45)</f>
        <v/>
      </c>
      <c r="G45" s="31">
        <f>INDEX(G41:G44,$C$45)</f>
        <v/>
      </c>
      <c r="H45" s="31">
        <f>INDEX(H41:H44,$C$45)</f>
        <v/>
      </c>
      <c r="I45" s="31">
        <f>INDEX(I41:I44,$C$45)</f>
        <v/>
      </c>
      <c r="J45" s="31">
        <f>INDEX(J41:J44,$C$45)</f>
        <v/>
      </c>
      <c r="K45" s="31">
        <f>INDEX(K41:K44,$C$45)</f>
        <v/>
      </c>
      <c r="L45" s="31">
        <f>INDEX(L41:L44,$C$45)</f>
        <v/>
      </c>
      <c r="M45" s="31">
        <f>INDEX(M41:M44,$C$45)</f>
        <v/>
      </c>
      <c r="N45" s="31">
        <f>INDEX(N41:N44,$C$45)</f>
        <v/>
      </c>
      <c r="O45" s="31">
        <f>INDEX(O41:O44,$C$45)</f>
        <v/>
      </c>
      <c r="P45" s="31">
        <f>INDEX(P41:P44,$C$45)</f>
        <v/>
      </c>
      <c r="Q45" s="31">
        <f>INDEX(Q41:Q44,$C$45)</f>
        <v/>
      </c>
      <c r="R45" s="31">
        <f>INDEX(R41:R44,$C$45)</f>
        <v/>
      </c>
      <c r="S45" s="31">
        <f>INDEX(S41:S44,$C$45)</f>
        <v/>
      </c>
      <c r="T45" s="31">
        <f>INDEX(T41:T44,$C$45)</f>
        <v/>
      </c>
      <c r="U45" s="31">
        <f>INDEX(U41:U44,$C$45)</f>
        <v/>
      </c>
      <c r="V45" s="31">
        <f>INDEX(V41:V44,$C$45)</f>
        <v/>
      </c>
      <c r="W45" s="31">
        <f>INDEX(W41:W44,$C$45)</f>
        <v/>
      </c>
      <c r="X45" s="31">
        <f>INDEX(X41:X44,$C$45)</f>
        <v/>
      </c>
      <c r="Y45" s="31">
        <f>INDEX(Y41:Y44,$C$45)</f>
        <v/>
      </c>
      <c r="Z45" s="31">
        <f>INDEX(Z41:Z44,$C$45)</f>
        <v/>
      </c>
      <c r="AA45" s="31">
        <f>INDEX(AA41:AA44,$C$45)</f>
        <v/>
      </c>
      <c r="AB45" s="31">
        <f>INDEX(AB41:AB44,$C$45)</f>
        <v/>
      </c>
    </row>
    <row r="46"/>
    <row r="47" ht="29.4" customHeight="1">
      <c r="A47" s="3" t="n"/>
      <c r="B47" s="28" t="inlineStr">
        <is>
          <t>Add-on synergies realized, share of run-rate (Chapter 10)</t>
        </is>
      </c>
      <c r="C47" s="29" t="inlineStr">
        <is>
          <t>Case</t>
        </is>
      </c>
      <c r="D47" s="28" t="inlineStr">
        <is>
          <t>Unit</t>
        </is>
      </c>
      <c r="E47" s="29" t="inlineStr">
        <is>
          <t>Y1 Q1</t>
        </is>
      </c>
      <c r="F47" s="29" t="inlineStr">
        <is>
          <t>Y1 Q2</t>
        </is>
      </c>
      <c r="G47" s="29" t="inlineStr">
        <is>
          <t>Y1 Q3</t>
        </is>
      </c>
      <c r="H47" s="29" t="inlineStr">
        <is>
          <t>Y1 Q4</t>
        </is>
      </c>
      <c r="I47" s="29" t="inlineStr">
        <is>
          <t>Y2 Q1</t>
        </is>
      </c>
      <c r="J47" s="29" t="inlineStr">
        <is>
          <t>Y2 Q2</t>
        </is>
      </c>
      <c r="K47" s="29" t="inlineStr">
        <is>
          <t>Y2 Q3</t>
        </is>
      </c>
      <c r="L47" s="29" t="inlineStr">
        <is>
          <t>Y2 Q4</t>
        </is>
      </c>
      <c r="M47" s="29" t="inlineStr">
        <is>
          <t>Y3 Q1</t>
        </is>
      </c>
      <c r="N47" s="29" t="inlineStr">
        <is>
          <t>Y3 Q2</t>
        </is>
      </c>
      <c r="O47" s="29" t="inlineStr">
        <is>
          <t>Y3 Q3</t>
        </is>
      </c>
      <c r="P47" s="29" t="inlineStr">
        <is>
          <t>Y3 Q4</t>
        </is>
      </c>
      <c r="Q47" s="29" t="inlineStr">
        <is>
          <t>Y4 Q1</t>
        </is>
      </c>
      <c r="R47" s="29" t="inlineStr">
        <is>
          <t>Y4 Q2</t>
        </is>
      </c>
      <c r="S47" s="29" t="inlineStr">
        <is>
          <t>Y4 Q3</t>
        </is>
      </c>
      <c r="T47" s="29" t="inlineStr">
        <is>
          <t>Y4 Q4</t>
        </is>
      </c>
      <c r="U47" s="29" t="inlineStr">
        <is>
          <t>Y5 Q1</t>
        </is>
      </c>
      <c r="V47" s="29" t="inlineStr">
        <is>
          <t>Y5 Q2</t>
        </is>
      </c>
      <c r="W47" s="29" t="inlineStr">
        <is>
          <t>Y5 Q3</t>
        </is>
      </c>
      <c r="X47" s="29" t="inlineStr">
        <is>
          <t>Y5 Q4</t>
        </is>
      </c>
      <c r="Y47" s="29" t="inlineStr">
        <is>
          <t>Y6 Q1</t>
        </is>
      </c>
      <c r="Z47" s="29" t="inlineStr">
        <is>
          <t>Y6 Q2</t>
        </is>
      </c>
      <c r="AA47" s="29" t="inlineStr">
        <is>
          <t>Y6 Q3</t>
        </is>
      </c>
      <c r="AB47" s="29" t="inlineStr">
        <is>
          <t>Y6 Q4</t>
        </is>
      </c>
    </row>
    <row r="48">
      <c r="B48" s="12" t="inlineStr">
        <is>
          <t>Plan</t>
        </is>
      </c>
      <c r="C48" s="24" t="n">
        <v>1</v>
      </c>
      <c r="D48" s="11" t="inlineStr">
        <is>
          <t>%</t>
        </is>
      </c>
      <c r="E48" s="18" t="n">
        <v>0</v>
      </c>
      <c r="F48" s="18" t="n">
        <v>0</v>
      </c>
      <c r="G48" s="18" t="n">
        <v>0</v>
      </c>
      <c r="H48" s="18" t="n">
        <v>0</v>
      </c>
      <c r="I48" s="18" t="n">
        <v>0</v>
      </c>
      <c r="J48" s="18" t="n">
        <v>0</v>
      </c>
      <c r="K48" s="18" t="n">
        <v>0.25</v>
      </c>
      <c r="L48" s="18" t="n">
        <v>0.25</v>
      </c>
      <c r="M48" s="18" t="n">
        <v>0.75</v>
      </c>
      <c r="N48" s="18" t="n">
        <v>0.75</v>
      </c>
      <c r="O48" s="18" t="n">
        <v>0.75</v>
      </c>
      <c r="P48" s="18" t="n">
        <v>0.75</v>
      </c>
      <c r="Q48" s="18" t="n">
        <v>1</v>
      </c>
      <c r="R48" s="18" t="n">
        <v>1</v>
      </c>
      <c r="S48" s="18" t="n">
        <v>1</v>
      </c>
      <c r="T48" s="18" t="n">
        <v>1</v>
      </c>
      <c r="U48" s="18" t="n">
        <v>1</v>
      </c>
      <c r="V48" s="18" t="n">
        <v>1</v>
      </c>
      <c r="W48" s="18" t="n">
        <v>1</v>
      </c>
      <c r="X48" s="18" t="n">
        <v>1</v>
      </c>
      <c r="Y48" s="18" t="n">
        <v>1</v>
      </c>
      <c r="Z48" s="18" t="n">
        <v>1</v>
      </c>
      <c r="AA48" s="18" t="n">
        <v>1</v>
      </c>
      <c r="AB48" s="18" t="n">
        <v>1</v>
      </c>
    </row>
    <row r="49">
      <c r="B49" s="12" t="inlineStr">
        <is>
          <t>Actual</t>
        </is>
      </c>
      <c r="C49" s="24" t="n">
        <v>2</v>
      </c>
      <c r="D49" s="11" t="inlineStr">
        <is>
          <t>%</t>
        </is>
      </c>
      <c r="E49" s="18" t="n">
        <v>0</v>
      </c>
      <c r="F49" s="18" t="n">
        <v>0</v>
      </c>
      <c r="G49" s="18" t="n">
        <v>0</v>
      </c>
      <c r="H49" s="18" t="n">
        <v>0</v>
      </c>
      <c r="I49" s="18" t="n">
        <v>0</v>
      </c>
      <c r="J49" s="18" t="n">
        <v>0</v>
      </c>
      <c r="K49" s="18" t="n">
        <v>0</v>
      </c>
      <c r="L49" s="18" t="n">
        <v>0</v>
      </c>
      <c r="M49" s="18" t="n">
        <v>0.4</v>
      </c>
      <c r="N49" s="18" t="n">
        <v>0.4</v>
      </c>
      <c r="O49" s="18" t="n">
        <v>0.4</v>
      </c>
      <c r="P49" s="18" t="n">
        <v>0.4</v>
      </c>
      <c r="Q49" s="18" t="n">
        <v>0.8</v>
      </c>
      <c r="R49" s="18" t="n">
        <v>0.8</v>
      </c>
      <c r="S49" s="18" t="n">
        <v>0.8</v>
      </c>
      <c r="T49" s="18" t="n">
        <v>0.8</v>
      </c>
      <c r="U49" s="18" t="n">
        <v>1</v>
      </c>
      <c r="V49" s="18" t="n">
        <v>1</v>
      </c>
      <c r="W49" s="18" t="n">
        <v>1</v>
      </c>
      <c r="X49" s="18" t="n">
        <v>1</v>
      </c>
      <c r="Y49" s="18" t="n">
        <v>1</v>
      </c>
      <c r="Z49" s="18" t="n">
        <v>1</v>
      </c>
      <c r="AA49" s="18" t="n">
        <v>1</v>
      </c>
      <c r="AB49" s="18" t="n">
        <v>1</v>
      </c>
    </row>
    <row r="50">
      <c r="B50" s="12" t="inlineStr">
        <is>
          <t>Severe</t>
        </is>
      </c>
      <c r="C50" s="24" t="n">
        <v>3</v>
      </c>
      <c r="D50" s="11" t="inlineStr">
        <is>
          <t>%</t>
        </is>
      </c>
      <c r="E50" s="18" t="n">
        <v>0</v>
      </c>
      <c r="F50" s="18" t="n">
        <v>0</v>
      </c>
      <c r="G50" s="18" t="n">
        <v>0</v>
      </c>
      <c r="H50" s="18" t="n">
        <v>0</v>
      </c>
      <c r="I50" s="18" t="n">
        <v>0</v>
      </c>
      <c r="J50" s="18" t="n">
        <v>0</v>
      </c>
      <c r="K50" s="18" t="n">
        <v>0</v>
      </c>
      <c r="L50" s="18" t="n">
        <v>0</v>
      </c>
      <c r="M50" s="18" t="n">
        <v>0.25</v>
      </c>
      <c r="N50" s="18" t="n">
        <v>0.25</v>
      </c>
      <c r="O50" s="18" t="n">
        <v>0.25</v>
      </c>
      <c r="P50" s="18" t="n">
        <v>0.25</v>
      </c>
      <c r="Q50" s="18" t="n">
        <v>0.6</v>
      </c>
      <c r="R50" s="18" t="n">
        <v>0.6</v>
      </c>
      <c r="S50" s="18" t="n">
        <v>0.6</v>
      </c>
      <c r="T50" s="18" t="n">
        <v>0.6</v>
      </c>
      <c r="U50" s="18" t="n">
        <v>0.8</v>
      </c>
      <c r="V50" s="18" t="n">
        <v>0.8</v>
      </c>
      <c r="W50" s="18" t="n">
        <v>0.8</v>
      </c>
      <c r="X50" s="18" t="n">
        <v>0.8</v>
      </c>
      <c r="Y50" s="18" t="n">
        <v>1</v>
      </c>
      <c r="Z50" s="18" t="n">
        <v>1</v>
      </c>
      <c r="AA50" s="18" t="n">
        <v>1</v>
      </c>
      <c r="AB50" s="18" t="n">
        <v>1</v>
      </c>
    </row>
    <row r="51">
      <c r="B51" s="12" t="inlineStr">
        <is>
          <t>Budget</t>
        </is>
      </c>
      <c r="C51" s="24" t="n">
        <v>4</v>
      </c>
      <c r="D51" s="11" t="inlineStr">
        <is>
          <t>%</t>
        </is>
      </c>
      <c r="E51" s="18" t="n">
        <v>0</v>
      </c>
      <c r="F51" s="18" t="n">
        <v>0</v>
      </c>
      <c r="G51" s="18" t="n">
        <v>0</v>
      </c>
      <c r="H51" s="18" t="n">
        <v>0</v>
      </c>
      <c r="I51" s="18" t="n">
        <v>0</v>
      </c>
      <c r="J51" s="18" t="n">
        <v>0</v>
      </c>
      <c r="K51" s="18" t="n">
        <v>0</v>
      </c>
      <c r="L51" s="18" t="n">
        <v>0</v>
      </c>
      <c r="M51" s="18" t="n">
        <v>0.6</v>
      </c>
      <c r="N51" s="18" t="n">
        <v>0.6</v>
      </c>
      <c r="O51" s="18" t="n">
        <v>0.6</v>
      </c>
      <c r="P51" s="18" t="n">
        <v>0.6</v>
      </c>
      <c r="Q51" s="18" t="n">
        <v>0.9</v>
      </c>
      <c r="R51" s="18" t="n">
        <v>0.9</v>
      </c>
      <c r="S51" s="18" t="n">
        <v>0.9</v>
      </c>
      <c r="T51" s="18" t="n">
        <v>0.9</v>
      </c>
      <c r="U51" s="18" t="n">
        <v>1</v>
      </c>
      <c r="V51" s="18" t="n">
        <v>1</v>
      </c>
      <c r="W51" s="18" t="n">
        <v>1</v>
      </c>
      <c r="X51" s="18" t="n">
        <v>1</v>
      </c>
      <c r="Y51" s="18" t="n">
        <v>1</v>
      </c>
      <c r="Z51" s="18" t="n">
        <v>1</v>
      </c>
      <c r="AA51" s="18" t="n">
        <v>1</v>
      </c>
      <c r="AB51" s="18" t="n">
        <v>1</v>
      </c>
    </row>
    <row r="52">
      <c r="B52" s="6" t="inlineStr">
        <is>
          <t>Selected case</t>
        </is>
      </c>
      <c r="C52" s="25">
        <f>'Inputs'!$C$6</f>
        <v/>
      </c>
      <c r="D52" s="26" t="inlineStr">
        <is>
          <t>%</t>
        </is>
      </c>
      <c r="E52" s="27">
        <f>INDEX(E48:E51,$C$52)</f>
        <v/>
      </c>
      <c r="F52" s="27">
        <f>INDEX(F48:F51,$C$52)</f>
        <v/>
      </c>
      <c r="G52" s="27">
        <f>INDEX(G48:G51,$C$52)</f>
        <v/>
      </c>
      <c r="H52" s="27">
        <f>INDEX(H48:H51,$C$52)</f>
        <v/>
      </c>
      <c r="I52" s="27">
        <f>INDEX(I48:I51,$C$52)</f>
        <v/>
      </c>
      <c r="J52" s="27">
        <f>INDEX(J48:J51,$C$52)</f>
        <v/>
      </c>
      <c r="K52" s="27">
        <f>INDEX(K48:K51,$C$52)</f>
        <v/>
      </c>
      <c r="L52" s="27">
        <f>INDEX(L48:L51,$C$52)</f>
        <v/>
      </c>
      <c r="M52" s="27">
        <f>INDEX(M48:M51,$C$52)</f>
        <v/>
      </c>
      <c r="N52" s="27">
        <f>INDEX(N48:N51,$C$52)</f>
        <v/>
      </c>
      <c r="O52" s="27">
        <f>INDEX(O48:O51,$C$52)</f>
        <v/>
      </c>
      <c r="P52" s="27">
        <f>INDEX(P48:P51,$C$52)</f>
        <v/>
      </c>
      <c r="Q52" s="27">
        <f>INDEX(Q48:Q51,$C$52)</f>
        <v/>
      </c>
      <c r="R52" s="27">
        <f>INDEX(R48:R51,$C$52)</f>
        <v/>
      </c>
      <c r="S52" s="27">
        <f>INDEX(S48:S51,$C$52)</f>
        <v/>
      </c>
      <c r="T52" s="27">
        <f>INDEX(T48:T51,$C$52)</f>
        <v/>
      </c>
      <c r="U52" s="27">
        <f>INDEX(U48:U51,$C$52)</f>
        <v/>
      </c>
      <c r="V52" s="27">
        <f>INDEX(V48:V51,$C$52)</f>
        <v/>
      </c>
      <c r="W52" s="27">
        <f>INDEX(W48:W51,$C$52)</f>
        <v/>
      </c>
      <c r="X52" s="27">
        <f>INDEX(X48:X51,$C$52)</f>
        <v/>
      </c>
      <c r="Y52" s="27">
        <f>INDEX(Y48:Y51,$C$52)</f>
        <v/>
      </c>
      <c r="Z52" s="27">
        <f>INDEX(Z48:Z51,$C$52)</f>
        <v/>
      </c>
      <c r="AA52" s="27">
        <f>INDEX(AA48:AA51,$C$52)</f>
        <v/>
      </c>
      <c r="AB52" s="27">
        <f>INDEX(AB48:AB51,$C$52)</f>
        <v/>
      </c>
    </row>
    <row r="53"/>
    <row r="54">
      <c r="B54" s="8" t="inlineStr">
        <is>
          <t>Overhead actions, $m a year (Chapter 11)</t>
        </is>
      </c>
      <c r="C54" s="9" t="inlineStr">
        <is>
          <t>Case</t>
        </is>
      </c>
      <c r="D54" s="8" t="inlineStr">
        <is>
          <t>Unit</t>
        </is>
      </c>
      <c r="E54" s="9" t="inlineStr">
        <is>
          <t>Y1 Q1</t>
        </is>
      </c>
      <c r="F54" s="9" t="inlineStr">
        <is>
          <t>Y1 Q2</t>
        </is>
      </c>
      <c r="G54" s="9" t="inlineStr">
        <is>
          <t>Y1 Q3</t>
        </is>
      </c>
      <c r="H54" s="9" t="inlineStr">
        <is>
          <t>Y1 Q4</t>
        </is>
      </c>
      <c r="I54" s="9" t="inlineStr">
        <is>
          <t>Y2 Q1</t>
        </is>
      </c>
      <c r="J54" s="9" t="inlineStr">
        <is>
          <t>Y2 Q2</t>
        </is>
      </c>
      <c r="K54" s="9" t="inlineStr">
        <is>
          <t>Y2 Q3</t>
        </is>
      </c>
      <c r="L54" s="9" t="inlineStr">
        <is>
          <t>Y2 Q4</t>
        </is>
      </c>
      <c r="M54" s="9" t="inlineStr">
        <is>
          <t>Y3 Q1</t>
        </is>
      </c>
      <c r="N54" s="9" t="inlineStr">
        <is>
          <t>Y3 Q2</t>
        </is>
      </c>
      <c r="O54" s="9" t="inlineStr">
        <is>
          <t>Y3 Q3</t>
        </is>
      </c>
      <c r="P54" s="9" t="inlineStr">
        <is>
          <t>Y3 Q4</t>
        </is>
      </c>
      <c r="Q54" s="9" t="inlineStr">
        <is>
          <t>Y4 Q1</t>
        </is>
      </c>
      <c r="R54" s="9" t="inlineStr">
        <is>
          <t>Y4 Q2</t>
        </is>
      </c>
      <c r="S54" s="9" t="inlineStr">
        <is>
          <t>Y4 Q3</t>
        </is>
      </c>
      <c r="T54" s="9" t="inlineStr">
        <is>
          <t>Y4 Q4</t>
        </is>
      </c>
      <c r="U54" s="9" t="inlineStr">
        <is>
          <t>Y5 Q1</t>
        </is>
      </c>
      <c r="V54" s="9" t="inlineStr">
        <is>
          <t>Y5 Q2</t>
        </is>
      </c>
      <c r="W54" s="9" t="inlineStr">
        <is>
          <t>Y5 Q3</t>
        </is>
      </c>
      <c r="X54" s="9" t="inlineStr">
        <is>
          <t>Y5 Q4</t>
        </is>
      </c>
      <c r="Y54" s="9" t="inlineStr">
        <is>
          <t>Y6 Q1</t>
        </is>
      </c>
      <c r="Z54" s="9" t="inlineStr">
        <is>
          <t>Y6 Q2</t>
        </is>
      </c>
      <c r="AA54" s="9" t="inlineStr">
        <is>
          <t>Y6 Q3</t>
        </is>
      </c>
      <c r="AB54" s="9" t="inlineStr">
        <is>
          <t>Y6 Q4</t>
        </is>
      </c>
    </row>
    <row r="55">
      <c r="B55" s="12" t="inlineStr">
        <is>
          <t>Plan</t>
        </is>
      </c>
      <c r="C55" s="24" t="n">
        <v>1</v>
      </c>
      <c r="D55" s="11" t="inlineStr">
        <is>
          <t>$m a year</t>
        </is>
      </c>
      <c r="E55" s="15" t="n">
        <v>0</v>
      </c>
      <c r="F55" s="15" t="n">
        <v>0</v>
      </c>
      <c r="G55" s="15" t="n">
        <v>0</v>
      </c>
      <c r="H55" s="15" t="n">
        <v>0</v>
      </c>
      <c r="I55" s="15" t="n">
        <v>0</v>
      </c>
      <c r="J55" s="15" t="n">
        <v>0</v>
      </c>
      <c r="K55" s="15" t="n">
        <v>0</v>
      </c>
      <c r="L55" s="15" t="n">
        <v>0</v>
      </c>
      <c r="M55" s="15" t="n">
        <v>0</v>
      </c>
      <c r="N55" s="15" t="n">
        <v>0</v>
      </c>
      <c r="O55" s="15" t="n">
        <v>0</v>
      </c>
      <c r="P55" s="15" t="n">
        <v>0</v>
      </c>
      <c r="Q55" s="15" t="n">
        <v>0</v>
      </c>
      <c r="R55" s="15" t="n">
        <v>0</v>
      </c>
      <c r="S55" s="15" t="n">
        <v>0</v>
      </c>
      <c r="T55" s="15" t="n">
        <v>0</v>
      </c>
      <c r="U55" s="15" t="n">
        <v>0</v>
      </c>
      <c r="V55" s="15" t="n">
        <v>0</v>
      </c>
      <c r="W55" s="15" t="n">
        <v>0</v>
      </c>
      <c r="X55" s="15" t="n">
        <v>0</v>
      </c>
      <c r="Y55" s="15" t="n">
        <v>0</v>
      </c>
      <c r="Z55" s="15" t="n">
        <v>0</v>
      </c>
      <c r="AA55" s="15" t="n">
        <v>0</v>
      </c>
      <c r="AB55" s="15" t="n">
        <v>0</v>
      </c>
    </row>
    <row r="56">
      <c r="B56" s="12" t="inlineStr">
        <is>
          <t>Actual</t>
        </is>
      </c>
      <c r="C56" s="24" t="n">
        <v>2</v>
      </c>
      <c r="D56" s="11" t="inlineStr">
        <is>
          <t>$m a year</t>
        </is>
      </c>
      <c r="E56" s="15" t="n">
        <v>0</v>
      </c>
      <c r="F56" s="15" t="n">
        <v>0</v>
      </c>
      <c r="G56" s="15" t="n">
        <v>0</v>
      </c>
      <c r="H56" s="15" t="n">
        <v>0</v>
      </c>
      <c r="I56" s="15" t="n">
        <v>0</v>
      </c>
      <c r="J56" s="15" t="n">
        <v>0</v>
      </c>
      <c r="K56" s="15" t="n">
        <v>0</v>
      </c>
      <c r="L56" s="15" t="n">
        <v>0</v>
      </c>
      <c r="M56" s="15" t="n">
        <v>0</v>
      </c>
      <c r="N56" s="15" t="n">
        <v>0</v>
      </c>
      <c r="O56" s="15" t="n">
        <v>0</v>
      </c>
      <c r="P56" s="15" t="n">
        <v>-1</v>
      </c>
      <c r="Q56" s="15" t="n">
        <v>-1</v>
      </c>
      <c r="R56" s="15" t="n">
        <v>-1</v>
      </c>
      <c r="S56" s="15" t="n">
        <v>-1</v>
      </c>
      <c r="T56" s="15" t="n">
        <v>-1</v>
      </c>
      <c r="U56" s="15" t="n">
        <v>-1</v>
      </c>
      <c r="V56" s="15" t="n">
        <v>-1</v>
      </c>
      <c r="W56" s="15" t="n">
        <v>-1</v>
      </c>
      <c r="X56" s="15" t="n">
        <v>-1</v>
      </c>
      <c r="Y56" s="15" t="n">
        <v>-1</v>
      </c>
      <c r="Z56" s="15" t="n">
        <v>-1</v>
      </c>
      <c r="AA56" s="15" t="n">
        <v>-1</v>
      </c>
      <c r="AB56" s="15" t="n">
        <v>-1</v>
      </c>
    </row>
    <row r="57">
      <c r="B57" s="12" t="inlineStr">
        <is>
          <t>Severe</t>
        </is>
      </c>
      <c r="C57" s="24" t="n">
        <v>3</v>
      </c>
      <c r="D57" s="11" t="inlineStr">
        <is>
          <t>$m a year</t>
        </is>
      </c>
      <c r="E57" s="15" t="n">
        <v>0</v>
      </c>
      <c r="F57" s="15" t="n">
        <v>0</v>
      </c>
      <c r="G57" s="15" t="n">
        <v>0</v>
      </c>
      <c r="H57" s="15" t="n">
        <v>0</v>
      </c>
      <c r="I57" s="15" t="n">
        <v>0</v>
      </c>
      <c r="J57" s="15" t="n">
        <v>0</v>
      </c>
      <c r="K57" s="15" t="n">
        <v>0</v>
      </c>
      <c r="L57" s="15" t="n">
        <v>0</v>
      </c>
      <c r="M57" s="15" t="n">
        <v>0</v>
      </c>
      <c r="N57" s="15" t="n">
        <v>0</v>
      </c>
      <c r="O57" s="15" t="n">
        <v>0</v>
      </c>
      <c r="P57" s="15" t="n">
        <v>-1.4</v>
      </c>
      <c r="Q57" s="15" t="n">
        <v>-1.4</v>
      </c>
      <c r="R57" s="15" t="n">
        <v>-1.4</v>
      </c>
      <c r="S57" s="15" t="n">
        <v>-1.4</v>
      </c>
      <c r="T57" s="15" t="n">
        <v>-1.4</v>
      </c>
      <c r="U57" s="15" t="n">
        <v>-1.4</v>
      </c>
      <c r="V57" s="15" t="n">
        <v>-1.4</v>
      </c>
      <c r="W57" s="15" t="n">
        <v>-1.4</v>
      </c>
      <c r="X57" s="15" t="n">
        <v>-1.4</v>
      </c>
      <c r="Y57" s="15" t="n">
        <v>-1.4</v>
      </c>
      <c r="Z57" s="15" t="n">
        <v>-1.4</v>
      </c>
      <c r="AA57" s="15" t="n">
        <v>-1.4</v>
      </c>
      <c r="AB57" s="15" t="n">
        <v>-1.4</v>
      </c>
    </row>
    <row r="58">
      <c r="B58" s="12" t="inlineStr">
        <is>
          <t>Budget</t>
        </is>
      </c>
      <c r="C58" s="24" t="n">
        <v>4</v>
      </c>
      <c r="D58" s="11" t="inlineStr">
        <is>
          <t>$m a year</t>
        </is>
      </c>
      <c r="E58" s="15" t="n">
        <v>0</v>
      </c>
      <c r="F58" s="15" t="n">
        <v>0</v>
      </c>
      <c r="G58" s="15" t="n">
        <v>0</v>
      </c>
      <c r="H58" s="15" t="n">
        <v>0</v>
      </c>
      <c r="I58" s="15" t="n">
        <v>0</v>
      </c>
      <c r="J58" s="15" t="n">
        <v>0</v>
      </c>
      <c r="K58" s="15" t="n">
        <v>0</v>
      </c>
      <c r="L58" s="15" t="n">
        <v>0</v>
      </c>
      <c r="M58" s="15" t="n">
        <v>0</v>
      </c>
      <c r="N58" s="15" t="n">
        <v>0</v>
      </c>
      <c r="O58" s="15" t="n">
        <v>0</v>
      </c>
      <c r="P58" s="15" t="n">
        <v>0</v>
      </c>
      <c r="Q58" s="15" t="n">
        <v>0</v>
      </c>
      <c r="R58" s="15" t="n">
        <v>0</v>
      </c>
      <c r="S58" s="15" t="n">
        <v>0</v>
      </c>
      <c r="T58" s="15" t="n">
        <v>0</v>
      </c>
      <c r="U58" s="15" t="n">
        <v>0</v>
      </c>
      <c r="V58" s="15" t="n">
        <v>0</v>
      </c>
      <c r="W58" s="15" t="n">
        <v>0</v>
      </c>
      <c r="X58" s="15" t="n">
        <v>0</v>
      </c>
      <c r="Y58" s="15" t="n">
        <v>0</v>
      </c>
      <c r="Z58" s="15" t="n">
        <v>0</v>
      </c>
      <c r="AA58" s="15" t="n">
        <v>0</v>
      </c>
      <c r="AB58" s="15" t="n">
        <v>0</v>
      </c>
    </row>
    <row r="59">
      <c r="B59" s="6" t="inlineStr">
        <is>
          <t>Selected case</t>
        </is>
      </c>
      <c r="C59" s="25">
        <f>'Inputs'!$C$6</f>
        <v/>
      </c>
      <c r="D59" s="26" t="inlineStr">
        <is>
          <t>$m a year</t>
        </is>
      </c>
      <c r="E59" s="30">
        <f>INDEX(E55:E58,$C$59)</f>
        <v/>
      </c>
      <c r="F59" s="30">
        <f>INDEX(F55:F58,$C$59)</f>
        <v/>
      </c>
      <c r="G59" s="30">
        <f>INDEX(G55:G58,$C$59)</f>
        <v/>
      </c>
      <c r="H59" s="30">
        <f>INDEX(H55:H58,$C$59)</f>
        <v/>
      </c>
      <c r="I59" s="30">
        <f>INDEX(I55:I58,$C$59)</f>
        <v/>
      </c>
      <c r="J59" s="30">
        <f>INDEX(J55:J58,$C$59)</f>
        <v/>
      </c>
      <c r="K59" s="30">
        <f>INDEX(K55:K58,$C$59)</f>
        <v/>
      </c>
      <c r="L59" s="30">
        <f>INDEX(L55:L58,$C$59)</f>
        <v/>
      </c>
      <c r="M59" s="30">
        <f>INDEX(M55:M58,$C$59)</f>
        <v/>
      </c>
      <c r="N59" s="30">
        <f>INDEX(N55:N58,$C$59)</f>
        <v/>
      </c>
      <c r="O59" s="30">
        <f>INDEX(O55:O58,$C$59)</f>
        <v/>
      </c>
      <c r="P59" s="30">
        <f>INDEX(P55:P58,$C$59)</f>
        <v/>
      </c>
      <c r="Q59" s="30">
        <f>INDEX(Q55:Q58,$C$59)</f>
        <v/>
      </c>
      <c r="R59" s="30">
        <f>INDEX(R55:R58,$C$59)</f>
        <v/>
      </c>
      <c r="S59" s="30">
        <f>INDEX(S55:S58,$C$59)</f>
        <v/>
      </c>
      <c r="T59" s="30">
        <f>INDEX(T55:T58,$C$59)</f>
        <v/>
      </c>
      <c r="U59" s="30">
        <f>INDEX(U55:U58,$C$59)</f>
        <v/>
      </c>
      <c r="V59" s="30">
        <f>INDEX(V55:V58,$C$59)</f>
        <v/>
      </c>
      <c r="W59" s="30">
        <f>INDEX(W55:W58,$C$59)</f>
        <v/>
      </c>
      <c r="X59" s="30">
        <f>INDEX(X55:X58,$C$59)</f>
        <v/>
      </c>
      <c r="Y59" s="30">
        <f>INDEX(Y55:Y58,$C$59)</f>
        <v/>
      </c>
      <c r="Z59" s="30">
        <f>INDEX(Z55:Z58,$C$59)</f>
        <v/>
      </c>
      <c r="AA59" s="30">
        <f>INDEX(AA55:AA58,$C$59)</f>
        <v/>
      </c>
      <c r="AB59" s="30">
        <f>INDEX(AB55:AB58,$C$59)</f>
        <v/>
      </c>
    </row>
    <row r="60"/>
    <row r="61" ht="29.4" customHeight="1">
      <c r="A61" s="3" t="n"/>
      <c r="B61" s="28" t="inlineStr">
        <is>
          <t>Case settings (Chapters 12, 15)</t>
        </is>
      </c>
      <c r="C61" s="29" t="inlineStr">
        <is>
          <t>Case</t>
        </is>
      </c>
      <c r="D61" s="28" t="inlineStr">
        <is>
          <t>Unit</t>
        </is>
      </c>
      <c r="E61" s="29" t="inlineStr">
        <is>
          <t>Exit multiple</t>
        </is>
      </c>
      <c r="F61" s="29" t="inlineStr">
        <is>
          <t>Amend on breach</t>
        </is>
      </c>
      <c r="G61" s="3" t="n"/>
      <c r="H61" s="3" t="n"/>
      <c r="I61" s="3" t="n"/>
      <c r="J61" s="3" t="n"/>
      <c r="K61" s="3" t="n"/>
      <c r="L61" s="3" t="n"/>
      <c r="M61" s="3" t="n"/>
      <c r="N61" s="3" t="n"/>
      <c r="O61" s="3" t="n"/>
      <c r="P61" s="3" t="n"/>
      <c r="Q61" s="3" t="n"/>
      <c r="R61" s="3" t="n"/>
      <c r="S61" s="3" t="n"/>
      <c r="T61" s="3" t="n"/>
      <c r="U61" s="3" t="n"/>
      <c r="V61" s="3" t="n"/>
      <c r="W61" s="3" t="n"/>
      <c r="X61" s="3" t="n"/>
      <c r="Y61" s="3" t="n"/>
      <c r="Z61" s="3" t="n"/>
      <c r="AA61" s="3" t="n"/>
      <c r="AB61" s="3" t="n"/>
    </row>
    <row r="62">
      <c r="B62" s="12" t="inlineStr">
        <is>
          <t>Plan</t>
        </is>
      </c>
      <c r="C62" s="24" t="n">
        <v>1</v>
      </c>
      <c r="D62" s="11" t="inlineStr">
        <is>
          <t>x / 1 = yes</t>
        </is>
      </c>
      <c r="E62" s="17" t="n">
        <v>9</v>
      </c>
      <c r="F62" s="10" t="n">
        <v>0</v>
      </c>
    </row>
    <row r="63">
      <c r="B63" s="12" t="inlineStr">
        <is>
          <t>Actual</t>
        </is>
      </c>
      <c r="C63" s="24" t="n">
        <v>2</v>
      </c>
      <c r="D63" s="11" t="inlineStr">
        <is>
          <t>x / 1 = yes</t>
        </is>
      </c>
      <c r="E63" s="17" t="n">
        <v>9</v>
      </c>
      <c r="F63" s="10" t="n">
        <v>0</v>
      </c>
    </row>
    <row r="64">
      <c r="B64" s="12" t="inlineStr">
        <is>
          <t>Severe</t>
        </is>
      </c>
      <c r="C64" s="24" t="n">
        <v>3</v>
      </c>
      <c r="D64" s="11" t="inlineStr">
        <is>
          <t>x / 1 = yes</t>
        </is>
      </c>
      <c r="E64" s="17" t="n">
        <v>8</v>
      </c>
      <c r="F64" s="10" t="n">
        <v>1</v>
      </c>
    </row>
    <row r="65">
      <c r="B65" s="12" t="inlineStr">
        <is>
          <t>Budget</t>
        </is>
      </c>
      <c r="C65" s="24" t="n">
        <v>4</v>
      </c>
      <c r="D65" s="11" t="inlineStr">
        <is>
          <t>x / 1 = yes</t>
        </is>
      </c>
      <c r="E65" s="17" t="n">
        <v>9</v>
      </c>
      <c r="F65" s="10" t="n">
        <v>0</v>
      </c>
    </row>
    <row r="66" ht="29.4" customHeight="1">
      <c r="A66" s="3" t="n"/>
      <c r="B66" s="32" t="inlineStr">
        <is>
          <t>Selected case</t>
        </is>
      </c>
      <c r="C66" s="33">
        <f>'Inputs'!$C$6</f>
        <v/>
      </c>
      <c r="D66" s="34" t="inlineStr">
        <is>
          <t>x / 1 = yes</t>
        </is>
      </c>
      <c r="E66" s="35">
        <f>INDEX(E62:E65,$C$66)</f>
        <v/>
      </c>
      <c r="F66" s="33">
        <f>INDEX(F62:F65,$C$66)</f>
        <v/>
      </c>
      <c r="G66" s="3" t="n"/>
      <c r="H66" s="3" t="n"/>
      <c r="I66" s="3" t="n"/>
      <c r="J66" s="3" t="n"/>
      <c r="K66" s="3" t="n"/>
      <c r="L66" s="3" t="n"/>
      <c r="M66" s="3" t="n"/>
      <c r="N66" s="3" t="n"/>
      <c r="O66" s="3" t="n"/>
      <c r="P66" s="3" t="n"/>
      <c r="Q66" s="3" t="n"/>
      <c r="R66" s="3" t="n"/>
      <c r="S66" s="3" t="n"/>
      <c r="T66" s="3" t="n"/>
      <c r="U66" s="3" t="n"/>
      <c r="V66" s="3" t="n"/>
      <c r="W66" s="3" t="n"/>
      <c r="X66" s="3" t="n"/>
      <c r="Y66" s="3" t="n"/>
      <c r="Z66" s="3" t="n"/>
      <c r="AA66" s="3" t="n"/>
      <c r="AB66" s="3" t="n"/>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2:AB170"/>
  <sheetViews>
    <sheetView showGridLines="0" tabSelected="0" zoomScale="100" workbookViewId="0">
      <selection activeCell="A1" sqref="A1"/>
    </sheetView>
  </sheetViews>
  <sheetFormatPr baseColWidth="8" defaultRowHeight="15"/>
  <cols>
    <col width="3.428571428571428" customWidth="1" min="1" max="1"/>
    <col width="72" customWidth="1" min="2" max="2"/>
    <col width="10" customWidth="1" min="3" max="3"/>
    <col width="10" customWidth="1" min="4" max="4"/>
    <col width="9.5" customWidth="1" min="5" max="5"/>
    <col width="9.5" customWidth="1" min="6" max="6"/>
    <col width="9.5" customWidth="1" min="7" max="7"/>
    <col width="9.5" customWidth="1" min="8" max="8"/>
    <col width="9.5" customWidth="1" min="9" max="9"/>
    <col width="9.5" customWidth="1" min="10" max="10"/>
    <col width="9.5" customWidth="1" min="11" max="11"/>
    <col width="9.5" customWidth="1" min="12" max="12"/>
    <col width="9.5" customWidth="1" min="13" max="13"/>
    <col width="9.5" customWidth="1" min="14" max="14"/>
    <col width="9.5" customWidth="1" min="15" max="15"/>
    <col width="9.5" customWidth="1" min="16" max="16"/>
    <col width="9.5" customWidth="1" min="17" max="17"/>
    <col width="9.5" customWidth="1" min="18" max="18"/>
    <col width="9.5" customWidth="1" min="19" max="19"/>
    <col width="9.5" customWidth="1" min="20" max="20"/>
    <col width="9.5" customWidth="1" min="21" max="21"/>
    <col width="9.5" customWidth="1" min="22" max="22"/>
    <col width="9.5" customWidth="1" min="23" max="23"/>
    <col width="9.5" customWidth="1" min="24" max="24"/>
    <col width="9.5" customWidth="1" min="25" max="25"/>
    <col width="9.5" customWidth="1" min="26" max="26"/>
    <col width="9.5" customWidth="1" min="27" max="27"/>
    <col width="9.5" customWidth="1" min="28" max="28"/>
  </cols>
  <sheetData>
    <row r="1" ht="18" customHeight="1"/>
    <row r="2" ht="18" customHeight="1">
      <c r="B2" s="1" t="inlineStr">
        <is>
          <t>Quarterly</t>
        </is>
      </c>
    </row>
    <row r="3">
      <c r="B3" s="7" t="inlineStr">
        <is>
          <t>The engine: 24 quarters for the case selected on Inputs. Column D holds the balances at closing. Interest is charged on opening balances, so there is no circular reference.</t>
        </is>
      </c>
    </row>
    <row r="4"/>
    <row r="5">
      <c r="B5" s="8" t="inlineStr">
        <is>
          <t>Year 0 and the entry (Chapters 2, 3)</t>
        </is>
      </c>
      <c r="C5" s="8" t="inlineStr">
        <is>
          <t>Unit</t>
        </is>
      </c>
      <c r="D5" s="9" t="inlineStr">
        <is>
          <t>Value</t>
        </is>
      </c>
    </row>
    <row r="6">
      <c r="B6" s="12" t="inlineStr">
        <is>
          <t>Revenue, year 0</t>
        </is>
      </c>
      <c r="C6" s="11" t="inlineStr">
        <is>
          <t>$m</t>
        </is>
      </c>
      <c r="D6" s="36">
        <f>'Inputs'!$C$31</f>
        <v/>
      </c>
    </row>
    <row r="7">
      <c r="B7" s="12" t="inlineStr">
        <is>
          <t>Cost of goods before rebates</t>
        </is>
      </c>
      <c r="C7" s="11" t="inlineStr">
        <is>
          <t>$m</t>
        </is>
      </c>
      <c r="D7" s="36">
        <f>D6*(1-'Inputs'!$C$32)</f>
        <v/>
      </c>
    </row>
    <row r="8">
      <c r="B8" s="12" t="inlineStr">
        <is>
          <t>Supplier rebates</t>
        </is>
      </c>
      <c r="C8" s="11" t="inlineStr">
        <is>
          <t>$m</t>
        </is>
      </c>
      <c r="D8" s="36">
        <f>'Inputs'!$C$92*'Inputs'!$C$91*D7</f>
        <v/>
      </c>
    </row>
    <row r="9">
      <c r="B9" s="12" t="inlineStr">
        <is>
          <t>Gross profit</t>
        </is>
      </c>
      <c r="C9" s="11" t="inlineStr">
        <is>
          <t>$m</t>
        </is>
      </c>
      <c r="D9" s="36">
        <f>D6-D7+D8</f>
        <v/>
      </c>
    </row>
    <row r="10">
      <c r="B10" s="12" t="inlineStr">
        <is>
          <t>Operating expenses</t>
        </is>
      </c>
      <c r="C10" s="11" t="inlineStr">
        <is>
          <t>$m</t>
        </is>
      </c>
      <c r="D10" s="36">
        <f>'Inputs'!$C$33+'Inputs'!$C$34*D6</f>
        <v/>
      </c>
    </row>
    <row r="11">
      <c r="B11" s="5" t="inlineStr">
        <is>
          <t>Reported EBITDA, year 0</t>
        </is>
      </c>
      <c r="C11" s="37" t="inlineStr">
        <is>
          <t>$m</t>
        </is>
      </c>
      <c r="D11" s="38">
        <f>D9-D10</f>
        <v/>
      </c>
    </row>
    <row r="12">
      <c r="B12" s="5" t="inlineStr">
        <is>
          <t>QoE EBITDA (reported + family pay above market + legal one-off)</t>
        </is>
      </c>
      <c r="C12" s="37" t="inlineStr">
        <is>
          <t>$m</t>
        </is>
      </c>
      <c r="D12" s="38">
        <f>D11+'Inputs'!$C$35+'Inputs'!$C$36</f>
        <v/>
      </c>
    </row>
    <row r="13">
      <c r="B13" s="12" t="inlineStr">
        <is>
          <t>Seller's adjusted EBITDA (QoE + the two rejected run-rate items)</t>
        </is>
      </c>
      <c r="C13" s="11" t="inlineStr">
        <is>
          <t>$m</t>
        </is>
      </c>
      <c r="D13" s="36">
        <f>D12+'Inputs'!$C$37+'Inputs'!$C$38</f>
        <v/>
      </c>
    </row>
    <row r="14">
      <c r="B14" s="12" t="inlineStr">
        <is>
          <t>Gap between the seller's and the QoE EBITDA</t>
        </is>
      </c>
      <c r="C14" s="11" t="inlineStr">
        <is>
          <t>$m</t>
        </is>
      </c>
      <c r="D14" s="36">
        <f>D13-D12</f>
        <v/>
      </c>
    </row>
    <row r="15">
      <c r="B15" s="12" t="inlineStr">
        <is>
          <t>Value of the gap at the entry multiple</t>
        </is>
      </c>
      <c r="C15" s="11" t="inlineStr">
        <is>
          <t>$m</t>
        </is>
      </c>
      <c r="D15" s="36">
        <f>D14*'Inputs'!$C$49</f>
        <v/>
      </c>
    </row>
    <row r="16">
      <c r="B16" s="12" t="inlineStr">
        <is>
          <t>Q4 revenue, annualized (closing balances are measured on it)</t>
        </is>
      </c>
      <c r="C16" s="11" t="inlineStr">
        <is>
          <t>$m</t>
        </is>
      </c>
      <c r="D16" s="36">
        <f>D6*'Inputs'!$F$46*4</f>
        <v/>
      </c>
    </row>
    <row r="17">
      <c r="B17" s="12" t="inlineStr">
        <is>
          <t>Q4 cost of goods, annualized</t>
        </is>
      </c>
      <c r="C17" s="11" t="inlineStr">
        <is>
          <t>$m</t>
        </is>
      </c>
      <c r="D17" s="36">
        <f>D7*'Inputs'!$F$46*4</f>
        <v/>
      </c>
    </row>
    <row r="18">
      <c r="B18" s="12" t="inlineStr">
        <is>
          <t>Receivables at closing</t>
        </is>
      </c>
      <c r="C18" s="11" t="inlineStr">
        <is>
          <t>$m</t>
        </is>
      </c>
      <c r="D18" s="36">
        <f>D16*'Inputs'!$C$39/365</f>
        <v/>
      </c>
    </row>
    <row r="19">
      <c r="B19" s="12" t="inlineStr">
        <is>
          <t>Inventory at closing (as presented)</t>
        </is>
      </c>
      <c r="C19" s="11" t="inlineStr">
        <is>
          <t>$m</t>
        </is>
      </c>
      <c r="D19" s="36">
        <f>D17*'Inputs'!$C$40/365</f>
        <v/>
      </c>
    </row>
    <row r="20">
      <c r="B20" s="12" t="inlineStr">
        <is>
          <t>Supplier rebates receivable (a full year, collected in Q1 of year 1)</t>
        </is>
      </c>
      <c r="C20" s="11" t="inlineStr">
        <is>
          <t>$m</t>
        </is>
      </c>
      <c r="D20" s="36">
        <f>D8</f>
        <v/>
      </c>
    </row>
    <row r="21">
      <c r="B21" s="12" t="inlineStr">
        <is>
          <t>Payables at closing</t>
        </is>
      </c>
      <c r="C21" s="11" t="inlineStr">
        <is>
          <t>$m</t>
        </is>
      </c>
      <c r="D21" s="36">
        <f>D17*'Inputs'!$C$41/365</f>
        <v/>
      </c>
    </row>
    <row r="22">
      <c r="B22" s="5" t="inlineStr">
        <is>
          <t>Working capital at closing, as presented</t>
        </is>
      </c>
      <c r="C22" s="37" t="inlineStr">
        <is>
          <t>$m</t>
        </is>
      </c>
      <c r="D22" s="38">
        <f>D18+D19+D20-D21</f>
        <v/>
      </c>
    </row>
    <row r="23">
      <c r="B23" s="12" t="inlineStr">
        <is>
          <t>Working capital delivered (after the obsolete stock)</t>
        </is>
      </c>
      <c r="C23" s="11" t="inlineStr">
        <is>
          <t>$m</t>
        </is>
      </c>
      <c r="D23" s="36">
        <f>D22-'Inputs'!$C$43</f>
        <v/>
      </c>
    </row>
    <row r="24">
      <c r="B24" s="12" t="inlineStr">
        <is>
          <t>Price adjustment due to the buyer (peg - delivered; received in Q1)</t>
        </is>
      </c>
      <c r="C24" s="11" t="inlineStr">
        <is>
          <t>$m</t>
        </is>
      </c>
      <c r="D24" s="36">
        <f>'Inputs'!$C$42-D23</f>
        <v/>
      </c>
    </row>
    <row r="25">
      <c r="B25" s="12" t="inlineStr">
        <is>
          <t>Shortfall against the peg on the seller's figures</t>
        </is>
      </c>
      <c r="C25" s="11" t="inlineStr">
        <is>
          <t>$m</t>
        </is>
      </c>
      <c r="D25" s="36">
        <f>'Inputs'!$C$42-D22</f>
        <v/>
      </c>
    </row>
    <row r="26">
      <c r="B26" s="12" t="inlineStr">
        <is>
          <t>Enterprise value at entry (entry multiple x QoE EBITDA)</t>
        </is>
      </c>
      <c r="C26" s="11" t="inlineStr">
        <is>
          <t>$m</t>
        </is>
      </c>
      <c r="D26" s="36">
        <f>'Inputs'!$C$49*D12</f>
        <v/>
      </c>
    </row>
    <row r="27">
      <c r="B27" s="12" t="inlineStr">
        <is>
          <t>Total uses (value + costs + cash left in the company)</t>
        </is>
      </c>
      <c r="C27" s="11" t="inlineStr">
        <is>
          <t>$m</t>
        </is>
      </c>
      <c r="D27" s="36">
        <f>D26+'Inputs'!$C$50+'Inputs'!$C$51</f>
        <v/>
      </c>
    </row>
    <row r="28">
      <c r="B28" s="5" t="inlineStr">
        <is>
          <t>Sponsor equity at entry (uses - term loan)</t>
        </is>
      </c>
      <c r="C28" s="37" t="inlineStr">
        <is>
          <t>$m</t>
        </is>
      </c>
      <c r="D28" s="38">
        <f>D26+'Inputs'!$C$50+'Inputs'!$C$51-'Inputs'!$C$52</f>
        <v/>
      </c>
    </row>
    <row r="29">
      <c r="B29" s="12" t="inlineStr">
        <is>
          <t>Equity, share of total sources</t>
        </is>
      </c>
      <c r="C29" s="11" t="inlineStr">
        <is>
          <t>%</t>
        </is>
      </c>
      <c r="D29" s="39">
        <f>D28/D27</f>
        <v/>
      </c>
    </row>
    <row r="30">
      <c r="B30" s="12" t="inlineStr">
        <is>
          <t>Net debt at closing</t>
        </is>
      </c>
      <c r="C30" s="11" t="inlineStr">
        <is>
          <t>$m</t>
        </is>
      </c>
      <c r="D30" s="36">
        <f>'Inputs'!$C$52-'Inputs'!$C$51</f>
        <v/>
      </c>
    </row>
    <row r="31">
      <c r="B31" s="12" t="inlineStr">
        <is>
          <t>Opening net leverage on QoE EBITDA</t>
        </is>
      </c>
      <c r="C31" s="11" t="inlineStr">
        <is>
          <t>x</t>
        </is>
      </c>
      <c r="D31" s="40">
        <f>D30/D12</f>
        <v/>
      </c>
    </row>
    <row r="32"/>
    <row r="33">
      <c r="B33" s="8" t="inlineStr">
        <is>
          <t>Time</t>
        </is>
      </c>
      <c r="C33" s="8" t="inlineStr">
        <is>
          <t>Unit</t>
        </is>
      </c>
      <c r="D33" s="9" t="inlineStr">
        <is>
          <t>Close</t>
        </is>
      </c>
      <c r="E33" s="9" t="inlineStr">
        <is>
          <t>Y1 Q1</t>
        </is>
      </c>
      <c r="F33" s="9" t="inlineStr">
        <is>
          <t>Y1 Q2</t>
        </is>
      </c>
      <c r="G33" s="9" t="inlineStr">
        <is>
          <t>Y1 Q3</t>
        </is>
      </c>
      <c r="H33" s="9" t="inlineStr">
        <is>
          <t>Y1 Q4</t>
        </is>
      </c>
      <c r="I33" s="9" t="inlineStr">
        <is>
          <t>Y2 Q1</t>
        </is>
      </c>
      <c r="J33" s="9" t="inlineStr">
        <is>
          <t>Y2 Q2</t>
        </is>
      </c>
      <c r="K33" s="9" t="inlineStr">
        <is>
          <t>Y2 Q3</t>
        </is>
      </c>
      <c r="L33" s="9" t="inlineStr">
        <is>
          <t>Y2 Q4</t>
        </is>
      </c>
      <c r="M33" s="9" t="inlineStr">
        <is>
          <t>Y3 Q1</t>
        </is>
      </c>
      <c r="N33" s="9" t="inlineStr">
        <is>
          <t>Y3 Q2</t>
        </is>
      </c>
      <c r="O33" s="9" t="inlineStr">
        <is>
          <t>Y3 Q3</t>
        </is>
      </c>
      <c r="P33" s="9" t="inlineStr">
        <is>
          <t>Y3 Q4</t>
        </is>
      </c>
      <c r="Q33" s="9" t="inlineStr">
        <is>
          <t>Y4 Q1</t>
        </is>
      </c>
      <c r="R33" s="9" t="inlineStr">
        <is>
          <t>Y4 Q2</t>
        </is>
      </c>
      <c r="S33" s="9" t="inlineStr">
        <is>
          <t>Y4 Q3</t>
        </is>
      </c>
      <c r="T33" s="9" t="inlineStr">
        <is>
          <t>Y4 Q4</t>
        </is>
      </c>
      <c r="U33" s="9" t="inlineStr">
        <is>
          <t>Y5 Q1</t>
        </is>
      </c>
      <c r="V33" s="9" t="inlineStr">
        <is>
          <t>Y5 Q2</t>
        </is>
      </c>
      <c r="W33" s="9" t="inlineStr">
        <is>
          <t>Y5 Q3</t>
        </is>
      </c>
      <c r="X33" s="9" t="inlineStr">
        <is>
          <t>Y5 Q4</t>
        </is>
      </c>
      <c r="Y33" s="9" t="inlineStr">
        <is>
          <t>Y6 Q1</t>
        </is>
      </c>
      <c r="Z33" s="9" t="inlineStr">
        <is>
          <t>Y6 Q2</t>
        </is>
      </c>
      <c r="AA33" s="9" t="inlineStr">
        <is>
          <t>Y6 Q3</t>
        </is>
      </c>
      <c r="AB33" s="9" t="inlineStr">
        <is>
          <t>Y6 Q4</t>
        </is>
      </c>
    </row>
    <row r="34">
      <c r="B34" s="12" t="inlineStr">
        <is>
          <t>Quarter number</t>
        </is>
      </c>
      <c r="C34" s="11" t="inlineStr"/>
      <c r="D34" s="24">
        <f>0</f>
        <v/>
      </c>
      <c r="E34" s="24">
        <f>D34+1</f>
        <v/>
      </c>
      <c r="F34" s="24">
        <f>E34+1</f>
        <v/>
      </c>
      <c r="G34" s="24">
        <f>F34+1</f>
        <v/>
      </c>
      <c r="H34" s="24">
        <f>G34+1</f>
        <v/>
      </c>
      <c r="I34" s="24">
        <f>H34+1</f>
        <v/>
      </c>
      <c r="J34" s="24">
        <f>I34+1</f>
        <v/>
      </c>
      <c r="K34" s="24">
        <f>J34+1</f>
        <v/>
      </c>
      <c r="L34" s="24">
        <f>K34+1</f>
        <v/>
      </c>
      <c r="M34" s="24">
        <f>L34+1</f>
        <v/>
      </c>
      <c r="N34" s="24">
        <f>M34+1</f>
        <v/>
      </c>
      <c r="O34" s="24">
        <f>N34+1</f>
        <v/>
      </c>
      <c r="P34" s="24">
        <f>O34+1</f>
        <v/>
      </c>
      <c r="Q34" s="24">
        <f>P34+1</f>
        <v/>
      </c>
      <c r="R34" s="24">
        <f>Q34+1</f>
        <v/>
      </c>
      <c r="S34" s="24">
        <f>R34+1</f>
        <v/>
      </c>
      <c r="T34" s="24">
        <f>S34+1</f>
        <v/>
      </c>
      <c r="U34" s="24">
        <f>T34+1</f>
        <v/>
      </c>
      <c r="V34" s="24">
        <f>U34+1</f>
        <v/>
      </c>
      <c r="W34" s="24">
        <f>V34+1</f>
        <v/>
      </c>
      <c r="X34" s="24">
        <f>W34+1</f>
        <v/>
      </c>
      <c r="Y34" s="24">
        <f>X34+1</f>
        <v/>
      </c>
      <c r="Z34" s="24">
        <f>Y34+1</f>
        <v/>
      </c>
      <c r="AA34" s="24">
        <f>Z34+1</f>
        <v/>
      </c>
      <c r="AB34" s="24">
        <f>AA34+1</f>
        <v/>
      </c>
    </row>
    <row r="35">
      <c r="B35" s="12" t="inlineStr">
        <is>
          <t>Year</t>
        </is>
      </c>
      <c r="C35" s="11" t="inlineStr"/>
      <c r="D35" s="12" t="n"/>
      <c r="E35" s="24">
        <f>INT((E34-1)/4)+1</f>
        <v/>
      </c>
      <c r="F35" s="24">
        <f>INT((F34-1)/4)+1</f>
        <v/>
      </c>
      <c r="G35" s="24">
        <f>INT((G34-1)/4)+1</f>
        <v/>
      </c>
      <c r="H35" s="24">
        <f>INT((H34-1)/4)+1</f>
        <v/>
      </c>
      <c r="I35" s="24">
        <f>INT((I34-1)/4)+1</f>
        <v/>
      </c>
      <c r="J35" s="24">
        <f>INT((J34-1)/4)+1</f>
        <v/>
      </c>
      <c r="K35" s="24">
        <f>INT((K34-1)/4)+1</f>
        <v/>
      </c>
      <c r="L35" s="24">
        <f>INT((L34-1)/4)+1</f>
        <v/>
      </c>
      <c r="M35" s="24">
        <f>INT((M34-1)/4)+1</f>
        <v/>
      </c>
      <c r="N35" s="24">
        <f>INT((N34-1)/4)+1</f>
        <v/>
      </c>
      <c r="O35" s="24">
        <f>INT((O34-1)/4)+1</f>
        <v/>
      </c>
      <c r="P35" s="24">
        <f>INT((P34-1)/4)+1</f>
        <v/>
      </c>
      <c r="Q35" s="24">
        <f>INT((Q34-1)/4)+1</f>
        <v/>
      </c>
      <c r="R35" s="24">
        <f>INT((R34-1)/4)+1</f>
        <v/>
      </c>
      <c r="S35" s="24">
        <f>INT((S34-1)/4)+1</f>
        <v/>
      </c>
      <c r="T35" s="24">
        <f>INT((T34-1)/4)+1</f>
        <v/>
      </c>
      <c r="U35" s="24">
        <f>INT((U34-1)/4)+1</f>
        <v/>
      </c>
      <c r="V35" s="24">
        <f>INT((V34-1)/4)+1</f>
        <v/>
      </c>
      <c r="W35" s="24">
        <f>INT((W34-1)/4)+1</f>
        <v/>
      </c>
      <c r="X35" s="24">
        <f>INT((X34-1)/4)+1</f>
        <v/>
      </c>
      <c r="Y35" s="24">
        <f>INT((Y34-1)/4)+1</f>
        <v/>
      </c>
      <c r="Z35" s="24">
        <f>INT((Z34-1)/4)+1</f>
        <v/>
      </c>
      <c r="AA35" s="24">
        <f>INT((AA34-1)/4)+1</f>
        <v/>
      </c>
      <c r="AB35" s="24">
        <f>INT((AB34-1)/4)+1</f>
        <v/>
      </c>
    </row>
    <row r="36">
      <c r="B36" s="12" t="inlineStr">
        <is>
          <t>Quarter of the year</t>
        </is>
      </c>
      <c r="C36" s="11" t="inlineStr"/>
      <c r="D36" s="12" t="n"/>
      <c r="E36" s="24">
        <f>E34-4*(E35-1)</f>
        <v/>
      </c>
      <c r="F36" s="24">
        <f>F34-4*(F35-1)</f>
        <v/>
      </c>
      <c r="G36" s="24">
        <f>G34-4*(G35-1)</f>
        <v/>
      </c>
      <c r="H36" s="24">
        <f>H34-4*(H35-1)</f>
        <v/>
      </c>
      <c r="I36" s="24">
        <f>I34-4*(I35-1)</f>
        <v/>
      </c>
      <c r="J36" s="24">
        <f>J34-4*(J35-1)</f>
        <v/>
      </c>
      <c r="K36" s="24">
        <f>K34-4*(K35-1)</f>
        <v/>
      </c>
      <c r="L36" s="24">
        <f>L34-4*(L35-1)</f>
        <v/>
      </c>
      <c r="M36" s="24">
        <f>M34-4*(M35-1)</f>
        <v/>
      </c>
      <c r="N36" s="24">
        <f>N34-4*(N35-1)</f>
        <v/>
      </c>
      <c r="O36" s="24">
        <f>O34-4*(O35-1)</f>
        <v/>
      </c>
      <c r="P36" s="24">
        <f>P34-4*(P35-1)</f>
        <v/>
      </c>
      <c r="Q36" s="24">
        <f>Q34-4*(Q35-1)</f>
        <v/>
      </c>
      <c r="R36" s="24">
        <f>R34-4*(R35-1)</f>
        <v/>
      </c>
      <c r="S36" s="24">
        <f>S34-4*(S35-1)</f>
        <v/>
      </c>
      <c r="T36" s="24">
        <f>T34-4*(T35-1)</f>
        <v/>
      </c>
      <c r="U36" s="24">
        <f>U34-4*(U35-1)</f>
        <v/>
      </c>
      <c r="V36" s="24">
        <f>V34-4*(V35-1)</f>
        <v/>
      </c>
      <c r="W36" s="24">
        <f>W34-4*(W35-1)</f>
        <v/>
      </c>
      <c r="X36" s="24">
        <f>X34-4*(X35-1)</f>
        <v/>
      </c>
      <c r="Y36" s="24">
        <f>Y34-4*(Y35-1)</f>
        <v/>
      </c>
      <c r="Z36" s="24">
        <f>Z34-4*(Z35-1)</f>
        <v/>
      </c>
      <c r="AA36" s="24">
        <f>AA34-4*(AA35-1)</f>
        <v/>
      </c>
      <c r="AB36" s="24">
        <f>AB34-4*(AB35-1)</f>
        <v/>
      </c>
    </row>
    <row r="37">
      <c r="B37" s="12" t="inlineStr">
        <is>
          <t>Seasonal weight</t>
        </is>
      </c>
      <c r="C37" s="11" t="inlineStr">
        <is>
          <t>%</t>
        </is>
      </c>
      <c r="D37" s="12" t="n"/>
      <c r="E37" s="39">
        <f>INDEX('Inputs'!$C$46:$F$46,E36)</f>
        <v/>
      </c>
      <c r="F37" s="39">
        <f>INDEX('Inputs'!$C$46:$F$46,F36)</f>
        <v/>
      </c>
      <c r="G37" s="39">
        <f>INDEX('Inputs'!$C$46:$F$46,G36)</f>
        <v/>
      </c>
      <c r="H37" s="39">
        <f>INDEX('Inputs'!$C$46:$F$46,H36)</f>
        <v/>
      </c>
      <c r="I37" s="39">
        <f>INDEX('Inputs'!$C$46:$F$46,I36)</f>
        <v/>
      </c>
      <c r="J37" s="39">
        <f>INDEX('Inputs'!$C$46:$F$46,J36)</f>
        <v/>
      </c>
      <c r="K37" s="39">
        <f>INDEX('Inputs'!$C$46:$F$46,K36)</f>
        <v/>
      </c>
      <c r="L37" s="39">
        <f>INDEX('Inputs'!$C$46:$F$46,L36)</f>
        <v/>
      </c>
      <c r="M37" s="39">
        <f>INDEX('Inputs'!$C$46:$F$46,M36)</f>
        <v/>
      </c>
      <c r="N37" s="39">
        <f>INDEX('Inputs'!$C$46:$F$46,N36)</f>
        <v/>
      </c>
      <c r="O37" s="39">
        <f>INDEX('Inputs'!$C$46:$F$46,O36)</f>
        <v/>
      </c>
      <c r="P37" s="39">
        <f>INDEX('Inputs'!$C$46:$F$46,P36)</f>
        <v/>
      </c>
      <c r="Q37" s="39">
        <f>INDEX('Inputs'!$C$46:$F$46,Q36)</f>
        <v/>
      </c>
      <c r="R37" s="39">
        <f>INDEX('Inputs'!$C$46:$F$46,R36)</f>
        <v/>
      </c>
      <c r="S37" s="39">
        <f>INDEX('Inputs'!$C$46:$F$46,S36)</f>
        <v/>
      </c>
      <c r="T37" s="39">
        <f>INDEX('Inputs'!$C$46:$F$46,T36)</f>
        <v/>
      </c>
      <c r="U37" s="39">
        <f>INDEX('Inputs'!$C$46:$F$46,U36)</f>
        <v/>
      </c>
      <c r="V37" s="39">
        <f>INDEX('Inputs'!$C$46:$F$46,V36)</f>
        <v/>
      </c>
      <c r="W37" s="39">
        <f>INDEX('Inputs'!$C$46:$F$46,W36)</f>
        <v/>
      </c>
      <c r="X37" s="39">
        <f>INDEX('Inputs'!$C$46:$F$46,X36)</f>
        <v/>
      </c>
      <c r="Y37" s="39">
        <f>INDEX('Inputs'!$C$46:$F$46,Y36)</f>
        <v/>
      </c>
      <c r="Z37" s="39">
        <f>INDEX('Inputs'!$C$46:$F$46,Z36)</f>
        <v/>
      </c>
      <c r="AA37" s="39">
        <f>INDEX('Inputs'!$C$46:$F$46,AA36)</f>
        <v/>
      </c>
      <c r="AB37" s="39">
        <f>INDEX('Inputs'!$C$46:$F$46,AB36)</f>
        <v/>
      </c>
    </row>
    <row r="38"/>
    <row r="39">
      <c r="B39" s="8" t="inlineStr">
        <is>
          <t>Revenue (Chapters 2, 10, 11)</t>
        </is>
      </c>
      <c r="C39" s="8" t="inlineStr">
        <is>
          <t>Unit</t>
        </is>
      </c>
      <c r="D39" s="9" t="inlineStr">
        <is>
          <t>Close</t>
        </is>
      </c>
      <c r="E39" s="9" t="inlineStr">
        <is>
          <t>Y1 Q1</t>
        </is>
      </c>
      <c r="F39" s="9" t="inlineStr">
        <is>
          <t>Y1 Q2</t>
        </is>
      </c>
      <c r="G39" s="9" t="inlineStr">
        <is>
          <t>Y1 Q3</t>
        </is>
      </c>
      <c r="H39" s="9" t="inlineStr">
        <is>
          <t>Y1 Q4</t>
        </is>
      </c>
      <c r="I39" s="9" t="inlineStr">
        <is>
          <t>Y2 Q1</t>
        </is>
      </c>
      <c r="J39" s="9" t="inlineStr">
        <is>
          <t>Y2 Q2</t>
        </is>
      </c>
      <c r="K39" s="9" t="inlineStr">
        <is>
          <t>Y2 Q3</t>
        </is>
      </c>
      <c r="L39" s="9" t="inlineStr">
        <is>
          <t>Y2 Q4</t>
        </is>
      </c>
      <c r="M39" s="9" t="inlineStr">
        <is>
          <t>Y3 Q1</t>
        </is>
      </c>
      <c r="N39" s="9" t="inlineStr">
        <is>
          <t>Y3 Q2</t>
        </is>
      </c>
      <c r="O39" s="9" t="inlineStr">
        <is>
          <t>Y3 Q3</t>
        </is>
      </c>
      <c r="P39" s="9" t="inlineStr">
        <is>
          <t>Y3 Q4</t>
        </is>
      </c>
      <c r="Q39" s="9" t="inlineStr">
        <is>
          <t>Y4 Q1</t>
        </is>
      </c>
      <c r="R39" s="9" t="inlineStr">
        <is>
          <t>Y4 Q2</t>
        </is>
      </c>
      <c r="S39" s="9" t="inlineStr">
        <is>
          <t>Y4 Q3</t>
        </is>
      </c>
      <c r="T39" s="9" t="inlineStr">
        <is>
          <t>Y4 Q4</t>
        </is>
      </c>
      <c r="U39" s="9" t="inlineStr">
        <is>
          <t>Y5 Q1</t>
        </is>
      </c>
      <c r="V39" s="9" t="inlineStr">
        <is>
          <t>Y5 Q2</t>
        </is>
      </c>
      <c r="W39" s="9" t="inlineStr">
        <is>
          <t>Y5 Q3</t>
        </is>
      </c>
      <c r="X39" s="9" t="inlineStr">
        <is>
          <t>Y5 Q4</t>
        </is>
      </c>
      <c r="Y39" s="9" t="inlineStr">
        <is>
          <t>Y6 Q1</t>
        </is>
      </c>
      <c r="Z39" s="9" t="inlineStr">
        <is>
          <t>Y6 Q2</t>
        </is>
      </c>
      <c r="AA39" s="9" t="inlineStr">
        <is>
          <t>Y6 Q3</t>
        </is>
      </c>
      <c r="AB39" s="9" t="inlineStr">
        <is>
          <t>Y6 Q4</t>
        </is>
      </c>
    </row>
    <row r="40">
      <c r="B40" s="12" t="inlineStr">
        <is>
          <t>Platform revenue growth (case)</t>
        </is>
      </c>
      <c r="C40" s="11" t="inlineStr">
        <is>
          <t>%</t>
        </is>
      </c>
      <c r="D40" s="12" t="n"/>
      <c r="E40" s="39">
        <f>INDEX('Drivers'!$E$10:$J$10,E35)</f>
        <v/>
      </c>
      <c r="F40" s="39">
        <f>INDEX('Drivers'!$E$10:$J$10,F35)</f>
        <v/>
      </c>
      <c r="G40" s="39">
        <f>INDEX('Drivers'!$E$10:$J$10,G35)</f>
        <v/>
      </c>
      <c r="H40" s="39">
        <f>INDEX('Drivers'!$E$10:$J$10,H35)</f>
        <v/>
      </c>
      <c r="I40" s="39">
        <f>INDEX('Drivers'!$E$10:$J$10,I35)</f>
        <v/>
      </c>
      <c r="J40" s="39">
        <f>INDEX('Drivers'!$E$10:$J$10,J35)</f>
        <v/>
      </c>
      <c r="K40" s="39">
        <f>INDEX('Drivers'!$E$10:$J$10,K35)</f>
        <v/>
      </c>
      <c r="L40" s="39">
        <f>INDEX('Drivers'!$E$10:$J$10,L35)</f>
        <v/>
      </c>
      <c r="M40" s="39">
        <f>INDEX('Drivers'!$E$10:$J$10,M35)</f>
        <v/>
      </c>
      <c r="N40" s="39">
        <f>INDEX('Drivers'!$E$10:$J$10,N35)</f>
        <v/>
      </c>
      <c r="O40" s="39">
        <f>INDEX('Drivers'!$E$10:$J$10,O35)</f>
        <v/>
      </c>
      <c r="P40" s="39">
        <f>INDEX('Drivers'!$E$10:$J$10,P35)</f>
        <v/>
      </c>
      <c r="Q40" s="39">
        <f>INDEX('Drivers'!$E$10:$J$10,Q35)</f>
        <v/>
      </c>
      <c r="R40" s="39">
        <f>INDEX('Drivers'!$E$10:$J$10,R35)</f>
        <v/>
      </c>
      <c r="S40" s="39">
        <f>INDEX('Drivers'!$E$10:$J$10,S35)</f>
        <v/>
      </c>
      <c r="T40" s="39">
        <f>INDEX('Drivers'!$E$10:$J$10,T35)</f>
        <v/>
      </c>
      <c r="U40" s="39">
        <f>INDEX('Drivers'!$E$10:$J$10,U35)</f>
        <v/>
      </c>
      <c r="V40" s="39">
        <f>INDEX('Drivers'!$E$10:$J$10,V35)</f>
        <v/>
      </c>
      <c r="W40" s="39">
        <f>INDEX('Drivers'!$E$10:$J$10,W35)</f>
        <v/>
      </c>
      <c r="X40" s="39">
        <f>INDEX('Drivers'!$E$10:$J$10,X35)</f>
        <v/>
      </c>
      <c r="Y40" s="39">
        <f>INDEX('Drivers'!$E$10:$J$10,Y35)</f>
        <v/>
      </c>
      <c r="Z40" s="39">
        <f>INDEX('Drivers'!$E$10:$J$10,Z35)</f>
        <v/>
      </c>
      <c r="AA40" s="39">
        <f>INDEX('Drivers'!$E$10:$J$10,AA35)</f>
        <v/>
      </c>
      <c r="AB40" s="39">
        <f>INDEX('Drivers'!$E$10:$J$10,AB35)</f>
        <v/>
      </c>
    </row>
    <row r="41">
      <c r="B41" s="12" t="inlineStr">
        <is>
          <t>Platform revenue for the year at constant price</t>
        </is>
      </c>
      <c r="C41" s="11" t="inlineStr">
        <is>
          <t>$m a year</t>
        </is>
      </c>
      <c r="D41" s="36">
        <f>'Inputs'!$C$31</f>
        <v/>
      </c>
      <c r="E41" s="36">
        <f>IF(E36=1,D41*(1+E40),D41)</f>
        <v/>
      </c>
      <c r="F41" s="36">
        <f>IF(F36=1,E41*(1+F40),E41)</f>
        <v/>
      </c>
      <c r="G41" s="36">
        <f>IF(G36=1,F41*(1+G40),F41)</f>
        <v/>
      </c>
      <c r="H41" s="36">
        <f>IF(H36=1,G41*(1+H40),G41)</f>
        <v/>
      </c>
      <c r="I41" s="36">
        <f>IF(I36=1,H41*(1+I40),H41)</f>
        <v/>
      </c>
      <c r="J41" s="36">
        <f>IF(J36=1,I41*(1+J40),I41)</f>
        <v/>
      </c>
      <c r="K41" s="36">
        <f>IF(K36=1,J41*(1+K40),J41)</f>
        <v/>
      </c>
      <c r="L41" s="36">
        <f>IF(L36=1,K41*(1+L40),K41)</f>
        <v/>
      </c>
      <c r="M41" s="36">
        <f>IF(M36=1,L41*(1+M40),L41)</f>
        <v/>
      </c>
      <c r="N41" s="36">
        <f>IF(N36=1,M41*(1+N40),M41)</f>
        <v/>
      </c>
      <c r="O41" s="36">
        <f>IF(O36=1,N41*(1+O40),N41)</f>
        <v/>
      </c>
      <c r="P41" s="36">
        <f>IF(P36=1,O41*(1+P40),O41)</f>
        <v/>
      </c>
      <c r="Q41" s="36">
        <f>IF(Q36=1,P41*(1+Q40),P41)</f>
        <v/>
      </c>
      <c r="R41" s="36">
        <f>IF(R36=1,Q41*(1+R40),Q41)</f>
        <v/>
      </c>
      <c r="S41" s="36">
        <f>IF(S36=1,R41*(1+S40),R41)</f>
        <v/>
      </c>
      <c r="T41" s="36">
        <f>IF(T36=1,S41*(1+T40),S41)</f>
        <v/>
      </c>
      <c r="U41" s="36">
        <f>IF(U36=1,T41*(1+U40),T41)</f>
        <v/>
      </c>
      <c r="V41" s="36">
        <f>IF(V36=1,U41*(1+V40),U41)</f>
        <v/>
      </c>
      <c r="W41" s="36">
        <f>IF(W36=1,V41*(1+W40),V41)</f>
        <v/>
      </c>
      <c r="X41" s="36">
        <f>IF(X36=1,W41*(1+X40),W41)</f>
        <v/>
      </c>
      <c r="Y41" s="36">
        <f>IF(Y36=1,X41*(1+Y40),X41)</f>
        <v/>
      </c>
      <c r="Z41" s="36">
        <f>IF(Z36=1,Y41*(1+Z40),Y41)</f>
        <v/>
      </c>
      <c r="AA41" s="36">
        <f>IF(AA36=1,Z41*(1+AA40),Z41)</f>
        <v/>
      </c>
      <c r="AB41" s="36">
        <f>IF(AB36=1,AA41*(1+AB40),AA41)</f>
        <v/>
      </c>
    </row>
    <row r="42">
      <c r="B42" s="12" t="inlineStr">
        <is>
          <t>Platform revenue</t>
        </is>
      </c>
      <c r="C42" s="11" t="inlineStr">
        <is>
          <t>$m</t>
        </is>
      </c>
      <c r="D42" s="12" t="n"/>
      <c r="E42" s="36">
        <f>E41*E37*(1+'Inputs'!$C$8)</f>
        <v/>
      </c>
      <c r="F42" s="36">
        <f>F41*F37*(1+'Inputs'!$C$8)</f>
        <v/>
      </c>
      <c r="G42" s="36">
        <f>G41*G37*(1+'Inputs'!$C$8)</f>
        <v/>
      </c>
      <c r="H42" s="36">
        <f>H41*H37*(1+'Inputs'!$C$8)</f>
        <v/>
      </c>
      <c r="I42" s="36">
        <f>I41*I37*(1+'Inputs'!$C$8)</f>
        <v/>
      </c>
      <c r="J42" s="36">
        <f>J41*J37*(1+'Inputs'!$C$8)</f>
        <v/>
      </c>
      <c r="K42" s="36">
        <f>K41*K37*(1+'Inputs'!$C$8)</f>
        <v/>
      </c>
      <c r="L42" s="36">
        <f>L41*L37*(1+'Inputs'!$C$8)</f>
        <v/>
      </c>
      <c r="M42" s="36">
        <f>M41*M37*(1+'Inputs'!$C$8)</f>
        <v/>
      </c>
      <c r="N42" s="36">
        <f>N41*N37*(1+'Inputs'!$C$8)</f>
        <v/>
      </c>
      <c r="O42" s="36">
        <f>O41*O37*(1+'Inputs'!$C$8)</f>
        <v/>
      </c>
      <c r="P42" s="36">
        <f>P41*P37*(1+'Inputs'!$C$8)</f>
        <v/>
      </c>
      <c r="Q42" s="36">
        <f>Q41*Q37*(1+'Inputs'!$C$8)</f>
        <v/>
      </c>
      <c r="R42" s="36">
        <f>R41*R37*(1+'Inputs'!$C$8)</f>
        <v/>
      </c>
      <c r="S42" s="36">
        <f>S41*S37*(1+'Inputs'!$C$8)</f>
        <v/>
      </c>
      <c r="T42" s="36">
        <f>T41*T37*(1+'Inputs'!$C$8)</f>
        <v/>
      </c>
      <c r="U42" s="36">
        <f>U41*U37*(1+'Inputs'!$C$8)</f>
        <v/>
      </c>
      <c r="V42" s="36">
        <f>V41*V37*(1+'Inputs'!$C$8)</f>
        <v/>
      </c>
      <c r="W42" s="36">
        <f>W41*W37*(1+'Inputs'!$C$8)</f>
        <v/>
      </c>
      <c r="X42" s="36">
        <f>X41*X37*(1+'Inputs'!$C$8)</f>
        <v/>
      </c>
      <c r="Y42" s="36">
        <f>Y41*Y37*(1+'Inputs'!$C$8)</f>
        <v/>
      </c>
      <c r="Z42" s="36">
        <f>Z41*Z37*(1+'Inputs'!$C$8)</f>
        <v/>
      </c>
      <c r="AA42" s="36">
        <f>AA41*AA37*(1+'Inputs'!$C$8)</f>
        <v/>
      </c>
      <c r="AB42" s="36">
        <f>AB41*AB37*(1+'Inputs'!$C$8)</f>
        <v/>
      </c>
    </row>
    <row r="43">
      <c r="B43" s="12" t="inlineStr">
        <is>
          <t>Add-on revenue for the year</t>
        </is>
      </c>
      <c r="C43" s="11" t="inlineStr">
        <is>
          <t>$m a year</t>
        </is>
      </c>
      <c r="D43" s="36">
        <f>0</f>
        <v/>
      </c>
      <c r="E43" s="36">
        <f>IF(E35&lt;(INT(('Inputs'!$C$103-1)/4)+1),0,IF(E35=(INT(('Inputs'!$C$103-1)/4)+1),'Inputs'!$C$104,IF(E36=1,D43*(1+E40),D43)))</f>
        <v/>
      </c>
      <c r="F43" s="36">
        <f>IF(F35&lt;(INT(('Inputs'!$C$103-1)/4)+1),0,IF(F35=(INT(('Inputs'!$C$103-1)/4)+1),'Inputs'!$C$104,IF(F36=1,E43*(1+F40),E43)))</f>
        <v/>
      </c>
      <c r="G43" s="36">
        <f>IF(G35&lt;(INT(('Inputs'!$C$103-1)/4)+1),0,IF(G35=(INT(('Inputs'!$C$103-1)/4)+1),'Inputs'!$C$104,IF(G36=1,F43*(1+G40),F43)))</f>
        <v/>
      </c>
      <c r="H43" s="36">
        <f>IF(H35&lt;(INT(('Inputs'!$C$103-1)/4)+1),0,IF(H35=(INT(('Inputs'!$C$103-1)/4)+1),'Inputs'!$C$104,IF(H36=1,G43*(1+H40),G43)))</f>
        <v/>
      </c>
      <c r="I43" s="36">
        <f>IF(I35&lt;(INT(('Inputs'!$C$103-1)/4)+1),0,IF(I35=(INT(('Inputs'!$C$103-1)/4)+1),'Inputs'!$C$104,IF(I36=1,H43*(1+I40),H43)))</f>
        <v/>
      </c>
      <c r="J43" s="36">
        <f>IF(J35&lt;(INT(('Inputs'!$C$103-1)/4)+1),0,IF(J35=(INT(('Inputs'!$C$103-1)/4)+1),'Inputs'!$C$104,IF(J36=1,I43*(1+J40),I43)))</f>
        <v/>
      </c>
      <c r="K43" s="36">
        <f>IF(K35&lt;(INT(('Inputs'!$C$103-1)/4)+1),0,IF(K35=(INT(('Inputs'!$C$103-1)/4)+1),'Inputs'!$C$104,IF(K36=1,J43*(1+K40),J43)))</f>
        <v/>
      </c>
      <c r="L43" s="36">
        <f>IF(L35&lt;(INT(('Inputs'!$C$103-1)/4)+1),0,IF(L35=(INT(('Inputs'!$C$103-1)/4)+1),'Inputs'!$C$104,IF(L36=1,K43*(1+L40),K43)))</f>
        <v/>
      </c>
      <c r="M43" s="36">
        <f>IF(M35&lt;(INT(('Inputs'!$C$103-1)/4)+1),0,IF(M35=(INT(('Inputs'!$C$103-1)/4)+1),'Inputs'!$C$104,IF(M36=1,L43*(1+M40),L43)))</f>
        <v/>
      </c>
      <c r="N43" s="36">
        <f>IF(N35&lt;(INT(('Inputs'!$C$103-1)/4)+1),0,IF(N35=(INT(('Inputs'!$C$103-1)/4)+1),'Inputs'!$C$104,IF(N36=1,M43*(1+N40),M43)))</f>
        <v/>
      </c>
      <c r="O43" s="36">
        <f>IF(O35&lt;(INT(('Inputs'!$C$103-1)/4)+1),0,IF(O35=(INT(('Inputs'!$C$103-1)/4)+1),'Inputs'!$C$104,IF(O36=1,N43*(1+O40),N43)))</f>
        <v/>
      </c>
      <c r="P43" s="36">
        <f>IF(P35&lt;(INT(('Inputs'!$C$103-1)/4)+1),0,IF(P35=(INT(('Inputs'!$C$103-1)/4)+1),'Inputs'!$C$104,IF(P36=1,O43*(1+P40),O43)))</f>
        <v/>
      </c>
      <c r="Q43" s="36">
        <f>IF(Q35&lt;(INT(('Inputs'!$C$103-1)/4)+1),0,IF(Q35=(INT(('Inputs'!$C$103-1)/4)+1),'Inputs'!$C$104,IF(Q36=1,P43*(1+Q40),P43)))</f>
        <v/>
      </c>
      <c r="R43" s="36">
        <f>IF(R35&lt;(INT(('Inputs'!$C$103-1)/4)+1),0,IF(R35=(INT(('Inputs'!$C$103-1)/4)+1),'Inputs'!$C$104,IF(R36=1,Q43*(1+R40),Q43)))</f>
        <v/>
      </c>
      <c r="S43" s="36">
        <f>IF(S35&lt;(INT(('Inputs'!$C$103-1)/4)+1),0,IF(S35=(INT(('Inputs'!$C$103-1)/4)+1),'Inputs'!$C$104,IF(S36=1,R43*(1+S40),R43)))</f>
        <v/>
      </c>
      <c r="T43" s="36">
        <f>IF(T35&lt;(INT(('Inputs'!$C$103-1)/4)+1),0,IF(T35=(INT(('Inputs'!$C$103-1)/4)+1),'Inputs'!$C$104,IF(T36=1,S43*(1+T40),S43)))</f>
        <v/>
      </c>
      <c r="U43" s="36">
        <f>IF(U35&lt;(INT(('Inputs'!$C$103-1)/4)+1),0,IF(U35=(INT(('Inputs'!$C$103-1)/4)+1),'Inputs'!$C$104,IF(U36=1,T43*(1+U40),T43)))</f>
        <v/>
      </c>
      <c r="V43" s="36">
        <f>IF(V35&lt;(INT(('Inputs'!$C$103-1)/4)+1),0,IF(V35=(INT(('Inputs'!$C$103-1)/4)+1),'Inputs'!$C$104,IF(V36=1,U43*(1+V40),U43)))</f>
        <v/>
      </c>
      <c r="W43" s="36">
        <f>IF(W35&lt;(INT(('Inputs'!$C$103-1)/4)+1),0,IF(W35=(INT(('Inputs'!$C$103-1)/4)+1),'Inputs'!$C$104,IF(W36=1,V43*(1+W40),V43)))</f>
        <v/>
      </c>
      <c r="X43" s="36">
        <f>IF(X35&lt;(INT(('Inputs'!$C$103-1)/4)+1),0,IF(X35=(INT(('Inputs'!$C$103-1)/4)+1),'Inputs'!$C$104,IF(X36=1,W43*(1+X40),W43)))</f>
        <v/>
      </c>
      <c r="Y43" s="36">
        <f>IF(Y35&lt;(INT(('Inputs'!$C$103-1)/4)+1),0,IF(Y35=(INT(('Inputs'!$C$103-1)/4)+1),'Inputs'!$C$104,IF(Y36=1,X43*(1+Y40),X43)))</f>
        <v/>
      </c>
      <c r="Z43" s="36">
        <f>IF(Z35&lt;(INT(('Inputs'!$C$103-1)/4)+1),0,IF(Z35=(INT(('Inputs'!$C$103-1)/4)+1),'Inputs'!$C$104,IF(Z36=1,Y43*(1+Z40),Y43)))</f>
        <v/>
      </c>
      <c r="AA43" s="36">
        <f>IF(AA35&lt;(INT(('Inputs'!$C$103-1)/4)+1),0,IF(AA35=(INT(('Inputs'!$C$103-1)/4)+1),'Inputs'!$C$104,IF(AA36=1,Z43*(1+AA40),Z43)))</f>
        <v/>
      </c>
      <c r="AB43" s="36">
        <f>IF(AB35&lt;(INT(('Inputs'!$C$103-1)/4)+1),0,IF(AB35=(INT(('Inputs'!$C$103-1)/4)+1),'Inputs'!$C$104,IF(AB36=1,AA43*(1+AB40),AA43)))</f>
        <v/>
      </c>
    </row>
    <row r="44">
      <c r="B44" s="12" t="inlineStr">
        <is>
          <t>Add-on revenue (after the acquisition quarter)</t>
        </is>
      </c>
      <c r="C44" s="11" t="inlineStr">
        <is>
          <t>$m</t>
        </is>
      </c>
      <c r="D44" s="12" t="n"/>
      <c r="E44" s="36">
        <f>IF((E34&gt;'Inputs'!$C$103),E43*E37,0)</f>
        <v/>
      </c>
      <c r="F44" s="36">
        <f>IF((F34&gt;'Inputs'!$C$103),F43*F37,0)</f>
        <v/>
      </c>
      <c r="G44" s="36">
        <f>IF((G34&gt;'Inputs'!$C$103),G43*G37,0)</f>
        <v/>
      </c>
      <c r="H44" s="36">
        <f>IF((H34&gt;'Inputs'!$C$103),H43*H37,0)</f>
        <v/>
      </c>
      <c r="I44" s="36">
        <f>IF((I34&gt;'Inputs'!$C$103),I43*I37,0)</f>
        <v/>
      </c>
      <c r="J44" s="36">
        <f>IF((J34&gt;'Inputs'!$C$103),J43*J37,0)</f>
        <v/>
      </c>
      <c r="K44" s="36">
        <f>IF((K34&gt;'Inputs'!$C$103),K43*K37,0)</f>
        <v/>
      </c>
      <c r="L44" s="36">
        <f>IF((L34&gt;'Inputs'!$C$103),L43*L37,0)</f>
        <v/>
      </c>
      <c r="M44" s="36">
        <f>IF((M34&gt;'Inputs'!$C$103),M43*M37,0)</f>
        <v/>
      </c>
      <c r="N44" s="36">
        <f>IF((N34&gt;'Inputs'!$C$103),N43*N37,0)</f>
        <v/>
      </c>
      <c r="O44" s="36">
        <f>IF((O34&gt;'Inputs'!$C$103),O43*O37,0)</f>
        <v/>
      </c>
      <c r="P44" s="36">
        <f>IF((P34&gt;'Inputs'!$C$103),P43*P37,0)</f>
        <v/>
      </c>
      <c r="Q44" s="36">
        <f>IF((Q34&gt;'Inputs'!$C$103),Q43*Q37,0)</f>
        <v/>
      </c>
      <c r="R44" s="36">
        <f>IF((R34&gt;'Inputs'!$C$103),R43*R37,0)</f>
        <v/>
      </c>
      <c r="S44" s="36">
        <f>IF((S34&gt;'Inputs'!$C$103),S43*S37,0)</f>
        <v/>
      </c>
      <c r="T44" s="36">
        <f>IF((T34&gt;'Inputs'!$C$103),T43*T37,0)</f>
        <v/>
      </c>
      <c r="U44" s="36">
        <f>IF((U34&gt;'Inputs'!$C$103),U43*U37,0)</f>
        <v/>
      </c>
      <c r="V44" s="36">
        <f>IF((V34&gt;'Inputs'!$C$103),V43*V37,0)</f>
        <v/>
      </c>
      <c r="W44" s="36">
        <f>IF((W34&gt;'Inputs'!$C$103),W43*W37,0)</f>
        <v/>
      </c>
      <c r="X44" s="36">
        <f>IF((X34&gt;'Inputs'!$C$103),X43*X37,0)</f>
        <v/>
      </c>
      <c r="Y44" s="36">
        <f>IF((Y34&gt;'Inputs'!$C$103),Y43*Y37,0)</f>
        <v/>
      </c>
      <c r="Z44" s="36">
        <f>IF((Z34&gt;'Inputs'!$C$103),Z43*Z37,0)</f>
        <v/>
      </c>
      <c r="AA44" s="36">
        <f>IF((AA34&gt;'Inputs'!$C$103),AA43*AA37,0)</f>
        <v/>
      </c>
      <c r="AB44" s="36">
        <f>IF((AB34&gt;'Inputs'!$C$103),AB43*AB37,0)</f>
        <v/>
      </c>
    </row>
    <row r="45">
      <c r="B45" s="5" t="inlineStr">
        <is>
          <t>Revenue</t>
        </is>
      </c>
      <c r="C45" s="37" t="inlineStr">
        <is>
          <t>$m</t>
        </is>
      </c>
      <c r="D45" s="5" t="n"/>
      <c r="E45" s="38">
        <f>E42+E44</f>
        <v/>
      </c>
      <c r="F45" s="38">
        <f>F42+F44</f>
        <v/>
      </c>
      <c r="G45" s="38">
        <f>G42+G44</f>
        <v/>
      </c>
      <c r="H45" s="38">
        <f>H42+H44</f>
        <v/>
      </c>
      <c r="I45" s="38">
        <f>I42+I44</f>
        <v/>
      </c>
      <c r="J45" s="38">
        <f>J42+J44</f>
        <v/>
      </c>
      <c r="K45" s="38">
        <f>K42+K44</f>
        <v/>
      </c>
      <c r="L45" s="38">
        <f>L42+L44</f>
        <v/>
      </c>
      <c r="M45" s="38">
        <f>M42+M44</f>
        <v/>
      </c>
      <c r="N45" s="38">
        <f>N42+N44</f>
        <v/>
      </c>
      <c r="O45" s="38">
        <f>O42+O44</f>
        <v/>
      </c>
      <c r="P45" s="38">
        <f>P42+P44</f>
        <v/>
      </c>
      <c r="Q45" s="38">
        <f>Q42+Q44</f>
        <v/>
      </c>
      <c r="R45" s="38">
        <f>R42+R44</f>
        <v/>
      </c>
      <c r="S45" s="38">
        <f>S42+S44</f>
        <v/>
      </c>
      <c r="T45" s="38">
        <f>T42+T44</f>
        <v/>
      </c>
      <c r="U45" s="38">
        <f>U42+U44</f>
        <v/>
      </c>
      <c r="V45" s="38">
        <f>V42+V44</f>
        <v/>
      </c>
      <c r="W45" s="38">
        <f>W42+W44</f>
        <v/>
      </c>
      <c r="X45" s="38">
        <f>X42+X44</f>
        <v/>
      </c>
      <c r="Y45" s="38">
        <f>Y42+Y44</f>
        <v/>
      </c>
      <c r="Z45" s="38">
        <f>Z42+Z44</f>
        <v/>
      </c>
      <c r="AA45" s="38">
        <f>AA42+AA44</f>
        <v/>
      </c>
      <c r="AB45" s="38">
        <f>AB42+AB44</f>
        <v/>
      </c>
    </row>
    <row r="46"/>
    <row r="47">
      <c r="B47" s="8" t="inlineStr">
        <is>
          <t>Purchases, supplier rebates and gross profit (Chapter 11)</t>
        </is>
      </c>
      <c r="C47" s="8" t="inlineStr">
        <is>
          <t>Unit</t>
        </is>
      </c>
      <c r="D47" s="9" t="inlineStr">
        <is>
          <t>Close</t>
        </is>
      </c>
      <c r="E47" s="9" t="inlineStr">
        <is>
          <t>Y1 Q1</t>
        </is>
      </c>
      <c r="F47" s="9" t="inlineStr">
        <is>
          <t>Y1 Q2</t>
        </is>
      </c>
      <c r="G47" s="9" t="inlineStr">
        <is>
          <t>Y1 Q3</t>
        </is>
      </c>
      <c r="H47" s="9" t="inlineStr">
        <is>
          <t>Y1 Q4</t>
        </is>
      </c>
      <c r="I47" s="9" t="inlineStr">
        <is>
          <t>Y2 Q1</t>
        </is>
      </c>
      <c r="J47" s="9" t="inlineStr">
        <is>
          <t>Y2 Q2</t>
        </is>
      </c>
      <c r="K47" s="9" t="inlineStr">
        <is>
          <t>Y2 Q3</t>
        </is>
      </c>
      <c r="L47" s="9" t="inlineStr">
        <is>
          <t>Y2 Q4</t>
        </is>
      </c>
      <c r="M47" s="9" t="inlineStr">
        <is>
          <t>Y3 Q1</t>
        </is>
      </c>
      <c r="N47" s="9" t="inlineStr">
        <is>
          <t>Y3 Q2</t>
        </is>
      </c>
      <c r="O47" s="9" t="inlineStr">
        <is>
          <t>Y3 Q3</t>
        </is>
      </c>
      <c r="P47" s="9" t="inlineStr">
        <is>
          <t>Y3 Q4</t>
        </is>
      </c>
      <c r="Q47" s="9" t="inlineStr">
        <is>
          <t>Y4 Q1</t>
        </is>
      </c>
      <c r="R47" s="9" t="inlineStr">
        <is>
          <t>Y4 Q2</t>
        </is>
      </c>
      <c r="S47" s="9" t="inlineStr">
        <is>
          <t>Y4 Q3</t>
        </is>
      </c>
      <c r="T47" s="9" t="inlineStr">
        <is>
          <t>Y4 Q4</t>
        </is>
      </c>
      <c r="U47" s="9" t="inlineStr">
        <is>
          <t>Y5 Q1</t>
        </is>
      </c>
      <c r="V47" s="9" t="inlineStr">
        <is>
          <t>Y5 Q2</t>
        </is>
      </c>
      <c r="W47" s="9" t="inlineStr">
        <is>
          <t>Y5 Q3</t>
        </is>
      </c>
      <c r="X47" s="9" t="inlineStr">
        <is>
          <t>Y5 Q4</t>
        </is>
      </c>
      <c r="Y47" s="9" t="inlineStr">
        <is>
          <t>Y6 Q1</t>
        </is>
      </c>
      <c r="Z47" s="9" t="inlineStr">
        <is>
          <t>Y6 Q2</t>
        </is>
      </c>
      <c r="AA47" s="9" t="inlineStr">
        <is>
          <t>Y6 Q3</t>
        </is>
      </c>
      <c r="AB47" s="9" t="inlineStr">
        <is>
          <t>Y6 Q4</t>
        </is>
      </c>
    </row>
    <row r="48">
      <c r="B48" s="12" t="inlineStr">
        <is>
          <t>Platform gross margin before rebates (case + lever)</t>
        </is>
      </c>
      <c r="C48" s="11" t="inlineStr">
        <is>
          <t>%</t>
        </is>
      </c>
      <c r="D48" s="12" t="n"/>
      <c r="E48" s="41">
        <f>INDEX('Drivers'!$E$17:$J$17,E35)-'Inputs'!$C$9</f>
        <v/>
      </c>
      <c r="F48" s="41">
        <f>INDEX('Drivers'!$E$17:$J$17,F35)-'Inputs'!$C$9</f>
        <v/>
      </c>
      <c r="G48" s="41">
        <f>INDEX('Drivers'!$E$17:$J$17,G35)-'Inputs'!$C$9</f>
        <v/>
      </c>
      <c r="H48" s="41">
        <f>INDEX('Drivers'!$E$17:$J$17,H35)-'Inputs'!$C$9</f>
        <v/>
      </c>
      <c r="I48" s="41">
        <f>INDEX('Drivers'!$E$17:$J$17,I35)-'Inputs'!$C$9</f>
        <v/>
      </c>
      <c r="J48" s="41">
        <f>INDEX('Drivers'!$E$17:$J$17,J35)-'Inputs'!$C$9</f>
        <v/>
      </c>
      <c r="K48" s="41">
        <f>INDEX('Drivers'!$E$17:$J$17,K35)-'Inputs'!$C$9</f>
        <v/>
      </c>
      <c r="L48" s="41">
        <f>INDEX('Drivers'!$E$17:$J$17,L35)-'Inputs'!$C$9</f>
        <v/>
      </c>
      <c r="M48" s="41">
        <f>INDEX('Drivers'!$E$17:$J$17,M35)-'Inputs'!$C$9</f>
        <v/>
      </c>
      <c r="N48" s="41">
        <f>INDEX('Drivers'!$E$17:$J$17,N35)-'Inputs'!$C$9</f>
        <v/>
      </c>
      <c r="O48" s="41">
        <f>INDEX('Drivers'!$E$17:$J$17,O35)-'Inputs'!$C$9</f>
        <v/>
      </c>
      <c r="P48" s="41">
        <f>INDEX('Drivers'!$E$17:$J$17,P35)-'Inputs'!$C$9</f>
        <v/>
      </c>
      <c r="Q48" s="41">
        <f>INDEX('Drivers'!$E$17:$J$17,Q35)-'Inputs'!$C$9</f>
        <v/>
      </c>
      <c r="R48" s="41">
        <f>INDEX('Drivers'!$E$17:$J$17,R35)-'Inputs'!$C$9</f>
        <v/>
      </c>
      <c r="S48" s="41">
        <f>INDEX('Drivers'!$E$17:$J$17,S35)-'Inputs'!$C$9</f>
        <v/>
      </c>
      <c r="T48" s="41">
        <f>INDEX('Drivers'!$E$17:$J$17,T35)-'Inputs'!$C$9</f>
        <v/>
      </c>
      <c r="U48" s="41">
        <f>INDEX('Drivers'!$E$17:$J$17,U35)-'Inputs'!$C$9</f>
        <v/>
      </c>
      <c r="V48" s="41">
        <f>INDEX('Drivers'!$E$17:$J$17,V35)-'Inputs'!$C$9</f>
        <v/>
      </c>
      <c r="W48" s="41">
        <f>INDEX('Drivers'!$E$17:$J$17,W35)-'Inputs'!$C$9</f>
        <v/>
      </c>
      <c r="X48" s="41">
        <f>INDEX('Drivers'!$E$17:$J$17,X35)-'Inputs'!$C$9</f>
        <v/>
      </c>
      <c r="Y48" s="41">
        <f>INDEX('Drivers'!$E$17:$J$17,Y35)-'Inputs'!$C$9</f>
        <v/>
      </c>
      <c r="Z48" s="41">
        <f>INDEX('Drivers'!$E$17:$J$17,Z35)-'Inputs'!$C$9</f>
        <v/>
      </c>
      <c r="AA48" s="41">
        <f>INDEX('Drivers'!$E$17:$J$17,AA35)-'Inputs'!$C$9</f>
        <v/>
      </c>
      <c r="AB48" s="41">
        <f>INDEX('Drivers'!$E$17:$J$17,AB35)-'Inputs'!$C$9</f>
        <v/>
      </c>
    </row>
    <row r="49">
      <c r="B49" s="12" t="inlineStr">
        <is>
          <t>Platform purchases (cost of goods before rebates)</t>
        </is>
      </c>
      <c r="C49" s="11" t="inlineStr">
        <is>
          <t>$m</t>
        </is>
      </c>
      <c r="D49" s="12" t="n"/>
      <c r="E49" s="36">
        <f>E41*E37*(1-E48)</f>
        <v/>
      </c>
      <c r="F49" s="36">
        <f>F41*F37*(1-F48)</f>
        <v/>
      </c>
      <c r="G49" s="36">
        <f>G41*G37*(1-G48)</f>
        <v/>
      </c>
      <c r="H49" s="36">
        <f>H41*H37*(1-H48)</f>
        <v/>
      </c>
      <c r="I49" s="36">
        <f>I41*I37*(1-I48)</f>
        <v/>
      </c>
      <c r="J49" s="36">
        <f>J41*J37*(1-J48)</f>
        <v/>
      </c>
      <c r="K49" s="36">
        <f>K41*K37*(1-K48)</f>
        <v/>
      </c>
      <c r="L49" s="36">
        <f>L41*L37*(1-L48)</f>
        <v/>
      </c>
      <c r="M49" s="36">
        <f>M41*M37*(1-M48)</f>
        <v/>
      </c>
      <c r="N49" s="36">
        <f>N41*N37*(1-N48)</f>
        <v/>
      </c>
      <c r="O49" s="36">
        <f>O41*O37*(1-O48)</f>
        <v/>
      </c>
      <c r="P49" s="36">
        <f>P41*P37*(1-P48)</f>
        <v/>
      </c>
      <c r="Q49" s="36">
        <f>Q41*Q37*(1-Q48)</f>
        <v/>
      </c>
      <c r="R49" s="36">
        <f>R41*R37*(1-R48)</f>
        <v/>
      </c>
      <c r="S49" s="36">
        <f>S41*S37*(1-S48)</f>
        <v/>
      </c>
      <c r="T49" s="36">
        <f>T41*T37*(1-T48)</f>
        <v/>
      </c>
      <c r="U49" s="36">
        <f>U41*U37*(1-U48)</f>
        <v/>
      </c>
      <c r="V49" s="36">
        <f>V41*V37*(1-V48)</f>
        <v/>
      </c>
      <c r="W49" s="36">
        <f>W41*W37*(1-W48)</f>
        <v/>
      </c>
      <c r="X49" s="36">
        <f>X41*X37*(1-X48)</f>
        <v/>
      </c>
      <c r="Y49" s="36">
        <f>Y41*Y37*(1-Y48)</f>
        <v/>
      </c>
      <c r="Z49" s="36">
        <f>Z41*Z37*(1-Z48)</f>
        <v/>
      </c>
      <c r="AA49" s="36">
        <f>AA41*AA37*(1-AA48)</f>
        <v/>
      </c>
      <c r="AB49" s="36">
        <f>AB41*AB37*(1-AB48)</f>
        <v/>
      </c>
    </row>
    <row r="50">
      <c r="B50" s="12" t="inlineStr">
        <is>
          <t>Synergies realized, share of run-rate</t>
        </is>
      </c>
      <c r="C50" s="11" t="inlineStr">
        <is>
          <t>%</t>
        </is>
      </c>
      <c r="D50" s="12" t="n"/>
      <c r="E50" s="39">
        <f>IF((E34&gt;'Inputs'!$C$103),'Drivers'!E$52,0)</f>
        <v/>
      </c>
      <c r="F50" s="39">
        <f>IF((F34&gt;'Inputs'!$C$103),'Drivers'!F$52,0)</f>
        <v/>
      </c>
      <c r="G50" s="39">
        <f>IF((G34&gt;'Inputs'!$C$103),'Drivers'!G$52,0)</f>
        <v/>
      </c>
      <c r="H50" s="39">
        <f>IF((H34&gt;'Inputs'!$C$103),'Drivers'!H$52,0)</f>
        <v/>
      </c>
      <c r="I50" s="39">
        <f>IF((I34&gt;'Inputs'!$C$103),'Drivers'!I$52,0)</f>
        <v/>
      </c>
      <c r="J50" s="39">
        <f>IF((J34&gt;'Inputs'!$C$103),'Drivers'!J$52,0)</f>
        <v/>
      </c>
      <c r="K50" s="39">
        <f>IF((K34&gt;'Inputs'!$C$103),'Drivers'!K$52,0)</f>
        <v/>
      </c>
      <c r="L50" s="39">
        <f>IF((L34&gt;'Inputs'!$C$103),'Drivers'!L$52,0)</f>
        <v/>
      </c>
      <c r="M50" s="39">
        <f>IF((M34&gt;'Inputs'!$C$103),'Drivers'!M$52,0)</f>
        <v/>
      </c>
      <c r="N50" s="39">
        <f>IF((N34&gt;'Inputs'!$C$103),'Drivers'!N$52,0)</f>
        <v/>
      </c>
      <c r="O50" s="39">
        <f>IF((O34&gt;'Inputs'!$C$103),'Drivers'!O$52,0)</f>
        <v/>
      </c>
      <c r="P50" s="39">
        <f>IF((P34&gt;'Inputs'!$C$103),'Drivers'!P$52,0)</f>
        <v/>
      </c>
      <c r="Q50" s="39">
        <f>IF((Q34&gt;'Inputs'!$C$103),'Drivers'!Q$52,0)</f>
        <v/>
      </c>
      <c r="R50" s="39">
        <f>IF((R34&gt;'Inputs'!$C$103),'Drivers'!R$52,0)</f>
        <v/>
      </c>
      <c r="S50" s="39">
        <f>IF((S34&gt;'Inputs'!$C$103),'Drivers'!S$52,0)</f>
        <v/>
      </c>
      <c r="T50" s="39">
        <f>IF((T34&gt;'Inputs'!$C$103),'Drivers'!T$52,0)</f>
        <v/>
      </c>
      <c r="U50" s="39">
        <f>IF((U34&gt;'Inputs'!$C$103),'Drivers'!U$52,0)</f>
        <v/>
      </c>
      <c r="V50" s="39">
        <f>IF((V34&gt;'Inputs'!$C$103),'Drivers'!V$52,0)</f>
        <v/>
      </c>
      <c r="W50" s="39">
        <f>IF((W34&gt;'Inputs'!$C$103),'Drivers'!W$52,0)</f>
        <v/>
      </c>
      <c r="X50" s="39">
        <f>IF((X34&gt;'Inputs'!$C$103),'Drivers'!X$52,0)</f>
        <v/>
      </c>
      <c r="Y50" s="39">
        <f>IF((Y34&gt;'Inputs'!$C$103),'Drivers'!Y$52,0)</f>
        <v/>
      </c>
      <c r="Z50" s="39">
        <f>IF((Z34&gt;'Inputs'!$C$103),'Drivers'!Z$52,0)</f>
        <v/>
      </c>
      <c r="AA50" s="39">
        <f>IF((AA34&gt;'Inputs'!$C$103),'Drivers'!AA$52,0)</f>
        <v/>
      </c>
      <c r="AB50" s="39">
        <f>IF((AB34&gt;'Inputs'!$C$103),'Drivers'!AB$52,0)</f>
        <v/>
      </c>
    </row>
    <row r="51">
      <c r="B51" s="12" t="inlineStr">
        <is>
          <t>Add-on cost of goods (less purchasing synergies)</t>
        </is>
      </c>
      <c r="C51" s="11" t="inlineStr">
        <is>
          <t>$m</t>
        </is>
      </c>
      <c r="D51" s="12" t="n"/>
      <c r="E51" s="36">
        <f>IF((E34&gt;'Inputs'!$C$103),E44*(1-'Inputs'!$C$105)-'Inputs'!$C$110*E50/4,0)</f>
        <v/>
      </c>
      <c r="F51" s="36">
        <f>IF((F34&gt;'Inputs'!$C$103),F44*(1-'Inputs'!$C$105)-'Inputs'!$C$110*F50/4,0)</f>
        <v/>
      </c>
      <c r="G51" s="36">
        <f>IF((G34&gt;'Inputs'!$C$103),G44*(1-'Inputs'!$C$105)-'Inputs'!$C$110*G50/4,0)</f>
        <v/>
      </c>
      <c r="H51" s="36">
        <f>IF((H34&gt;'Inputs'!$C$103),H44*(1-'Inputs'!$C$105)-'Inputs'!$C$110*H50/4,0)</f>
        <v/>
      </c>
      <c r="I51" s="36">
        <f>IF((I34&gt;'Inputs'!$C$103),I44*(1-'Inputs'!$C$105)-'Inputs'!$C$110*I50/4,0)</f>
        <v/>
      </c>
      <c r="J51" s="36">
        <f>IF((J34&gt;'Inputs'!$C$103),J44*(1-'Inputs'!$C$105)-'Inputs'!$C$110*J50/4,0)</f>
        <v/>
      </c>
      <c r="K51" s="36">
        <f>IF((K34&gt;'Inputs'!$C$103),K44*(1-'Inputs'!$C$105)-'Inputs'!$C$110*K50/4,0)</f>
        <v/>
      </c>
      <c r="L51" s="36">
        <f>IF((L34&gt;'Inputs'!$C$103),L44*(1-'Inputs'!$C$105)-'Inputs'!$C$110*L50/4,0)</f>
        <v/>
      </c>
      <c r="M51" s="36">
        <f>IF((M34&gt;'Inputs'!$C$103),M44*(1-'Inputs'!$C$105)-'Inputs'!$C$110*M50/4,0)</f>
        <v/>
      </c>
      <c r="N51" s="36">
        <f>IF((N34&gt;'Inputs'!$C$103),N44*(1-'Inputs'!$C$105)-'Inputs'!$C$110*N50/4,0)</f>
        <v/>
      </c>
      <c r="O51" s="36">
        <f>IF((O34&gt;'Inputs'!$C$103),O44*(1-'Inputs'!$C$105)-'Inputs'!$C$110*O50/4,0)</f>
        <v/>
      </c>
      <c r="P51" s="36">
        <f>IF((P34&gt;'Inputs'!$C$103),P44*(1-'Inputs'!$C$105)-'Inputs'!$C$110*P50/4,0)</f>
        <v/>
      </c>
      <c r="Q51" s="36">
        <f>IF((Q34&gt;'Inputs'!$C$103),Q44*(1-'Inputs'!$C$105)-'Inputs'!$C$110*Q50/4,0)</f>
        <v/>
      </c>
      <c r="R51" s="36">
        <f>IF((R34&gt;'Inputs'!$C$103),R44*(1-'Inputs'!$C$105)-'Inputs'!$C$110*R50/4,0)</f>
        <v/>
      </c>
      <c r="S51" s="36">
        <f>IF((S34&gt;'Inputs'!$C$103),S44*(1-'Inputs'!$C$105)-'Inputs'!$C$110*S50/4,0)</f>
        <v/>
      </c>
      <c r="T51" s="36">
        <f>IF((T34&gt;'Inputs'!$C$103),T44*(1-'Inputs'!$C$105)-'Inputs'!$C$110*T50/4,0)</f>
        <v/>
      </c>
      <c r="U51" s="36">
        <f>IF((U34&gt;'Inputs'!$C$103),U44*(1-'Inputs'!$C$105)-'Inputs'!$C$110*U50/4,0)</f>
        <v/>
      </c>
      <c r="V51" s="36">
        <f>IF((V34&gt;'Inputs'!$C$103),V44*(1-'Inputs'!$C$105)-'Inputs'!$C$110*V50/4,0)</f>
        <v/>
      </c>
      <c r="W51" s="36">
        <f>IF((W34&gt;'Inputs'!$C$103),W44*(1-'Inputs'!$C$105)-'Inputs'!$C$110*W50/4,0)</f>
        <v/>
      </c>
      <c r="X51" s="36">
        <f>IF((X34&gt;'Inputs'!$C$103),X44*(1-'Inputs'!$C$105)-'Inputs'!$C$110*X50/4,0)</f>
        <v/>
      </c>
      <c r="Y51" s="36">
        <f>IF((Y34&gt;'Inputs'!$C$103),Y44*(1-'Inputs'!$C$105)-'Inputs'!$C$110*Y50/4,0)</f>
        <v/>
      </c>
      <c r="Z51" s="36">
        <f>IF((Z34&gt;'Inputs'!$C$103),Z44*(1-'Inputs'!$C$105)-'Inputs'!$C$110*Z50/4,0)</f>
        <v/>
      </c>
      <c r="AA51" s="36">
        <f>IF((AA34&gt;'Inputs'!$C$103),AA44*(1-'Inputs'!$C$105)-'Inputs'!$C$110*AA50/4,0)</f>
        <v/>
      </c>
      <c r="AB51" s="36">
        <f>IF((AB34&gt;'Inputs'!$C$103),AB44*(1-'Inputs'!$C$105)-'Inputs'!$C$110*AB50/4,0)</f>
        <v/>
      </c>
    </row>
    <row r="52">
      <c r="B52" s="5" t="inlineStr">
        <is>
          <t>Cost of goods before rebates</t>
        </is>
      </c>
      <c r="C52" s="37" t="inlineStr">
        <is>
          <t>$m</t>
        </is>
      </c>
      <c r="D52" s="5" t="n"/>
      <c r="E52" s="38">
        <f>E49+E51</f>
        <v/>
      </c>
      <c r="F52" s="38">
        <f>F49+F51</f>
        <v/>
      </c>
      <c r="G52" s="38">
        <f>G49+G51</f>
        <v/>
      </c>
      <c r="H52" s="38">
        <f>H49+H51</f>
        <v/>
      </c>
      <c r="I52" s="38">
        <f>I49+I51</f>
        <v/>
      </c>
      <c r="J52" s="38">
        <f>J49+J51</f>
        <v/>
      </c>
      <c r="K52" s="38">
        <f>K49+K51</f>
        <v/>
      </c>
      <c r="L52" s="38">
        <f>L49+L51</f>
        <v/>
      </c>
      <c r="M52" s="38">
        <f>M49+M51</f>
        <v/>
      </c>
      <c r="N52" s="38">
        <f>N49+N51</f>
        <v/>
      </c>
      <c r="O52" s="38">
        <f>O49+O51</f>
        <v/>
      </c>
      <c r="P52" s="38">
        <f>P49+P51</f>
        <v/>
      </c>
      <c r="Q52" s="38">
        <f>Q49+Q51</f>
        <v/>
      </c>
      <c r="R52" s="38">
        <f>R49+R51</f>
        <v/>
      </c>
      <c r="S52" s="38">
        <f>S49+S51</f>
        <v/>
      </c>
      <c r="T52" s="38">
        <f>T49+T51</f>
        <v/>
      </c>
      <c r="U52" s="38">
        <f>U49+U51</f>
        <v/>
      </c>
      <c r="V52" s="38">
        <f>V49+V51</f>
        <v/>
      </c>
      <c r="W52" s="38">
        <f>W49+W51</f>
        <v/>
      </c>
      <c r="X52" s="38">
        <f>X49+X51</f>
        <v/>
      </c>
      <c r="Y52" s="38">
        <f>Y49+Y51</f>
        <v/>
      </c>
      <c r="Z52" s="38">
        <f>Z49+Z51</f>
        <v/>
      </c>
      <c r="AA52" s="38">
        <f>AA49+AA51</f>
        <v/>
      </c>
      <c r="AB52" s="38">
        <f>AB49+AB51</f>
        <v/>
      </c>
    </row>
    <row r="53">
      <c r="B53" s="12" t="inlineStr">
        <is>
          <t>Platform purchases, year to date</t>
        </is>
      </c>
      <c r="C53" s="11" t="inlineStr">
        <is>
          <t>$m</t>
        </is>
      </c>
      <c r="D53" s="12" t="n"/>
      <c r="E53" s="36">
        <f>IF(E36=1,0,D53)+E49</f>
        <v/>
      </c>
      <c r="F53" s="36">
        <f>IF(F36=1,0,E53)+F49</f>
        <v/>
      </c>
      <c r="G53" s="36">
        <f>IF(G36=1,0,F53)+G49</f>
        <v/>
      </c>
      <c r="H53" s="36">
        <f>IF(H36=1,0,G53)+H49</f>
        <v/>
      </c>
      <c r="I53" s="36">
        <f>IF(I36=1,0,H53)+I49</f>
        <v/>
      </c>
      <c r="J53" s="36">
        <f>IF(J36=1,0,I53)+J49</f>
        <v/>
      </c>
      <c r="K53" s="36">
        <f>IF(K36=1,0,J53)+K49</f>
        <v/>
      </c>
      <c r="L53" s="36">
        <f>IF(L36=1,0,K53)+L49</f>
        <v/>
      </c>
      <c r="M53" s="36">
        <f>IF(M36=1,0,L53)+M49</f>
        <v/>
      </c>
      <c r="N53" s="36">
        <f>IF(N36=1,0,M53)+N49</f>
        <v/>
      </c>
      <c r="O53" s="36">
        <f>IF(O36=1,0,N53)+O49</f>
        <v/>
      </c>
      <c r="P53" s="36">
        <f>IF(P36=1,0,O53)+P49</f>
        <v/>
      </c>
      <c r="Q53" s="36">
        <f>IF(Q36=1,0,P53)+Q49</f>
        <v/>
      </c>
      <c r="R53" s="36">
        <f>IF(R36=1,0,Q53)+R49</f>
        <v/>
      </c>
      <c r="S53" s="36">
        <f>IF(S36=1,0,R53)+S49</f>
        <v/>
      </c>
      <c r="T53" s="36">
        <f>IF(T36=1,0,S53)+T49</f>
        <v/>
      </c>
      <c r="U53" s="36">
        <f>IF(U36=1,0,T53)+U49</f>
        <v/>
      </c>
      <c r="V53" s="36">
        <f>IF(V36=1,0,U53)+V49</f>
        <v/>
      </c>
      <c r="W53" s="36">
        <f>IF(W36=1,0,V53)+W49</f>
        <v/>
      </c>
      <c r="X53" s="36">
        <f>IF(X36=1,0,W53)+X49</f>
        <v/>
      </c>
      <c r="Y53" s="36">
        <f>IF(Y36=1,0,X53)+Y49</f>
        <v/>
      </c>
      <c r="Z53" s="36">
        <f>IF(Z36=1,0,Y53)+Z49</f>
        <v/>
      </c>
      <c r="AA53" s="36">
        <f>IF(AA36=1,0,Z53)+AA49</f>
        <v/>
      </c>
      <c r="AB53" s="36">
        <f>IF(AB36=1,0,AA53)+AB49</f>
        <v/>
      </c>
    </row>
    <row r="54">
      <c r="B54" s="12" t="inlineStr">
        <is>
          <t>Prior year's platform purchases, same period</t>
        </is>
      </c>
      <c r="C54" s="11" t="inlineStr">
        <is>
          <t>$m</t>
        </is>
      </c>
      <c r="D54" s="12" t="n"/>
      <c r="E54" s="36">
        <f>IF(E36=1,0,D54)+'Quarterly'!$D$7*E37</f>
        <v/>
      </c>
      <c r="F54" s="36">
        <f>IF(F36=1,0,E54)+'Quarterly'!$D$7*F37</f>
        <v/>
      </c>
      <c r="G54" s="36">
        <f>IF(G36=1,0,F54)+'Quarterly'!$D$7*G37</f>
        <v/>
      </c>
      <c r="H54" s="36">
        <f>IF(H36=1,0,G54)+'Quarterly'!$D$7*H37</f>
        <v/>
      </c>
      <c r="I54" s="36">
        <f>IF(I36=1,0,H54)+E49</f>
        <v/>
      </c>
      <c r="J54" s="36">
        <f>IF(J36=1,0,I54)+F49</f>
        <v/>
      </c>
      <c r="K54" s="36">
        <f>IF(K36=1,0,J54)+G49</f>
        <v/>
      </c>
      <c r="L54" s="36">
        <f>IF(L36=1,0,K54)+H49</f>
        <v/>
      </c>
      <c r="M54" s="36">
        <f>IF(M36=1,0,L54)+I49</f>
        <v/>
      </c>
      <c r="N54" s="36">
        <f>IF(N36=1,0,M54)+J49</f>
        <v/>
      </c>
      <c r="O54" s="36">
        <f>IF(O36=1,0,N54)+K49</f>
        <v/>
      </c>
      <c r="P54" s="36">
        <f>IF(P36=1,0,O54)+L49</f>
        <v/>
      </c>
      <c r="Q54" s="36">
        <f>IF(Q36=1,0,P54)+M49</f>
        <v/>
      </c>
      <c r="R54" s="36">
        <f>IF(R36=1,0,Q54)+N49</f>
        <v/>
      </c>
      <c r="S54" s="36">
        <f>IF(S36=1,0,R54)+O49</f>
        <v/>
      </c>
      <c r="T54" s="36">
        <f>IF(T36=1,0,S54)+P49</f>
        <v/>
      </c>
      <c r="U54" s="36">
        <f>IF(U36=1,0,T54)+Q49</f>
        <v/>
      </c>
      <c r="V54" s="36">
        <f>IF(V36=1,0,U54)+R49</f>
        <v/>
      </c>
      <c r="W54" s="36">
        <f>IF(W36=1,0,V54)+S49</f>
        <v/>
      </c>
      <c r="X54" s="36">
        <f>IF(X36=1,0,W54)+T49</f>
        <v/>
      </c>
      <c r="Y54" s="36">
        <f>IF(Y36=1,0,X54)+U49</f>
        <v/>
      </c>
      <c r="Z54" s="36">
        <f>IF(Z36=1,0,Y54)+V49</f>
        <v/>
      </c>
      <c r="AA54" s="36">
        <f>IF(AA36=1,0,Z54)+W49</f>
        <v/>
      </c>
      <c r="AB54" s="36">
        <f>IF(AB36=1,0,AA54)+X49</f>
        <v/>
      </c>
    </row>
    <row r="55">
      <c r="B55" s="12" t="inlineStr">
        <is>
          <t>Prior year's platform purchases, full year</t>
        </is>
      </c>
      <c r="C55" s="11" t="inlineStr">
        <is>
          <t>$m</t>
        </is>
      </c>
      <c r="D55" s="12" t="n"/>
      <c r="E55" s="36">
        <f>'Quarterly'!$D$7</f>
        <v/>
      </c>
      <c r="F55" s="36">
        <f>'Quarterly'!$D$7</f>
        <v/>
      </c>
      <c r="G55" s="36">
        <f>'Quarterly'!$D$7</f>
        <v/>
      </c>
      <c r="H55" s="36">
        <f>'Quarterly'!$D$7</f>
        <v/>
      </c>
      <c r="I55" s="36">
        <f>H53</f>
        <v/>
      </c>
      <c r="J55" s="36">
        <f>H53</f>
        <v/>
      </c>
      <c r="K55" s="36">
        <f>H53</f>
        <v/>
      </c>
      <c r="L55" s="36">
        <f>H53</f>
        <v/>
      </c>
      <c r="M55" s="36">
        <f>L53</f>
        <v/>
      </c>
      <c r="N55" s="36">
        <f>L53</f>
        <v/>
      </c>
      <c r="O55" s="36">
        <f>L53</f>
        <v/>
      </c>
      <c r="P55" s="36">
        <f>L53</f>
        <v/>
      </c>
      <c r="Q55" s="36">
        <f>P53</f>
        <v/>
      </c>
      <c r="R55" s="36">
        <f>P53</f>
        <v/>
      </c>
      <c r="S55" s="36">
        <f>P53</f>
        <v/>
      </c>
      <c r="T55" s="36">
        <f>P53</f>
        <v/>
      </c>
      <c r="U55" s="36">
        <f>T53</f>
        <v/>
      </c>
      <c r="V55" s="36">
        <f>T53</f>
        <v/>
      </c>
      <c r="W55" s="36">
        <f>T53</f>
        <v/>
      </c>
      <c r="X55" s="36">
        <f>T53</f>
        <v/>
      </c>
      <c r="Y55" s="36">
        <f>X53</f>
        <v/>
      </c>
      <c r="Z55" s="36">
        <f>X53</f>
        <v/>
      </c>
      <c r="AA55" s="36">
        <f>X53</f>
        <v/>
      </c>
      <c r="AB55" s="36">
        <f>X53</f>
        <v/>
      </c>
    </row>
    <row r="56">
      <c r="B56" s="12" t="inlineStr">
        <is>
          <t>Rebate rate accrued (Q1: high tier; from Q2: the tier purchases point to)</t>
        </is>
      </c>
      <c r="C56" s="11" t="inlineStr">
        <is>
          <t>%</t>
        </is>
      </c>
      <c r="D56" s="12" t="n"/>
      <c r="E56" s="41">
        <f>IF(E36=1,'Inputs'!$C$92,IF(E36&lt;4,IF(E53&gt;=E54-1E-9,'Inputs'!$C$92,'Inputs'!$C$93),IF(E53&gt;=E55-1E-9,'Inputs'!$C$92,'Inputs'!$C$93)))</f>
        <v/>
      </c>
      <c r="F56" s="41">
        <f>IF(F36=1,'Inputs'!$C$92,IF(F36&lt;4,IF(F53&gt;=F54-1E-9,'Inputs'!$C$92,'Inputs'!$C$93),IF(F53&gt;=F55-1E-9,'Inputs'!$C$92,'Inputs'!$C$93)))</f>
        <v/>
      </c>
      <c r="G56" s="41">
        <f>IF(G36=1,'Inputs'!$C$92,IF(G36&lt;4,IF(G53&gt;=G54-1E-9,'Inputs'!$C$92,'Inputs'!$C$93),IF(G53&gt;=G55-1E-9,'Inputs'!$C$92,'Inputs'!$C$93)))</f>
        <v/>
      </c>
      <c r="H56" s="41">
        <f>IF(H36=1,'Inputs'!$C$92,IF(H36&lt;4,IF(H53&gt;=H54-1E-9,'Inputs'!$C$92,'Inputs'!$C$93),IF(H53&gt;=H55-1E-9,'Inputs'!$C$92,'Inputs'!$C$93)))</f>
        <v/>
      </c>
      <c r="I56" s="41">
        <f>IF(I36=1,'Inputs'!$C$92,IF(I36&lt;4,IF(I53&gt;=I54-1E-9,'Inputs'!$C$92,'Inputs'!$C$93),IF(I53&gt;=I55-1E-9,'Inputs'!$C$92,'Inputs'!$C$93)))</f>
        <v/>
      </c>
      <c r="J56" s="41">
        <f>IF(J36=1,'Inputs'!$C$92,IF(J36&lt;4,IF(J53&gt;=J54-1E-9,'Inputs'!$C$92,'Inputs'!$C$93),IF(J53&gt;=J55-1E-9,'Inputs'!$C$92,'Inputs'!$C$93)))</f>
        <v/>
      </c>
      <c r="K56" s="41">
        <f>IF(K36=1,'Inputs'!$C$92,IF(K36&lt;4,IF(K53&gt;=K54-1E-9,'Inputs'!$C$92,'Inputs'!$C$93),IF(K53&gt;=K55-1E-9,'Inputs'!$C$92,'Inputs'!$C$93)))</f>
        <v/>
      </c>
      <c r="L56" s="41">
        <f>IF(L36=1,'Inputs'!$C$92,IF(L36&lt;4,IF(L53&gt;=L54-1E-9,'Inputs'!$C$92,'Inputs'!$C$93),IF(L53&gt;=L55-1E-9,'Inputs'!$C$92,'Inputs'!$C$93)))</f>
        <v/>
      </c>
      <c r="M56" s="41">
        <f>IF(M36=1,'Inputs'!$C$92,IF(M36&lt;4,IF(M53&gt;=M54-1E-9,'Inputs'!$C$92,'Inputs'!$C$93),IF(M53&gt;=M55-1E-9,'Inputs'!$C$92,'Inputs'!$C$93)))</f>
        <v/>
      </c>
      <c r="N56" s="41">
        <f>IF(N36=1,'Inputs'!$C$92,IF(N36&lt;4,IF(N53&gt;=N54-1E-9,'Inputs'!$C$92,'Inputs'!$C$93),IF(N53&gt;=N55-1E-9,'Inputs'!$C$92,'Inputs'!$C$93)))</f>
        <v/>
      </c>
      <c r="O56" s="41">
        <f>IF(O36=1,'Inputs'!$C$92,IF(O36&lt;4,IF(O53&gt;=O54-1E-9,'Inputs'!$C$92,'Inputs'!$C$93),IF(O53&gt;=O55-1E-9,'Inputs'!$C$92,'Inputs'!$C$93)))</f>
        <v/>
      </c>
      <c r="P56" s="41">
        <f>IF(P36=1,'Inputs'!$C$92,IF(P36&lt;4,IF(P53&gt;=P54-1E-9,'Inputs'!$C$92,'Inputs'!$C$93),IF(P53&gt;=P55-1E-9,'Inputs'!$C$92,'Inputs'!$C$93)))</f>
        <v/>
      </c>
      <c r="Q56" s="41">
        <f>IF(Q36=1,'Inputs'!$C$92,IF(Q36&lt;4,IF(Q53&gt;=Q54-1E-9,'Inputs'!$C$92,'Inputs'!$C$93),IF(Q53&gt;=Q55-1E-9,'Inputs'!$C$92,'Inputs'!$C$93)))</f>
        <v/>
      </c>
      <c r="R56" s="41">
        <f>IF(R36=1,'Inputs'!$C$92,IF(R36&lt;4,IF(R53&gt;=R54-1E-9,'Inputs'!$C$92,'Inputs'!$C$93),IF(R53&gt;=R55-1E-9,'Inputs'!$C$92,'Inputs'!$C$93)))</f>
        <v/>
      </c>
      <c r="S56" s="41">
        <f>IF(S36=1,'Inputs'!$C$92,IF(S36&lt;4,IF(S53&gt;=S54-1E-9,'Inputs'!$C$92,'Inputs'!$C$93),IF(S53&gt;=S55-1E-9,'Inputs'!$C$92,'Inputs'!$C$93)))</f>
        <v/>
      </c>
      <c r="T56" s="41">
        <f>IF(T36=1,'Inputs'!$C$92,IF(T36&lt;4,IF(T53&gt;=T54-1E-9,'Inputs'!$C$92,'Inputs'!$C$93),IF(T53&gt;=T55-1E-9,'Inputs'!$C$92,'Inputs'!$C$93)))</f>
        <v/>
      </c>
      <c r="U56" s="41">
        <f>IF(U36=1,'Inputs'!$C$92,IF(U36&lt;4,IF(U53&gt;=U54-1E-9,'Inputs'!$C$92,'Inputs'!$C$93),IF(U53&gt;=U55-1E-9,'Inputs'!$C$92,'Inputs'!$C$93)))</f>
        <v/>
      </c>
      <c r="V56" s="41">
        <f>IF(V36=1,'Inputs'!$C$92,IF(V36&lt;4,IF(V53&gt;=V54-1E-9,'Inputs'!$C$92,'Inputs'!$C$93),IF(V53&gt;=V55-1E-9,'Inputs'!$C$92,'Inputs'!$C$93)))</f>
        <v/>
      </c>
      <c r="W56" s="41">
        <f>IF(W36=1,'Inputs'!$C$92,IF(W36&lt;4,IF(W53&gt;=W54-1E-9,'Inputs'!$C$92,'Inputs'!$C$93),IF(W53&gt;=W55-1E-9,'Inputs'!$C$92,'Inputs'!$C$93)))</f>
        <v/>
      </c>
      <c r="X56" s="41">
        <f>IF(X36=1,'Inputs'!$C$92,IF(X36&lt;4,IF(X53&gt;=X54-1E-9,'Inputs'!$C$92,'Inputs'!$C$93),IF(X53&gt;=X55-1E-9,'Inputs'!$C$92,'Inputs'!$C$93)))</f>
        <v/>
      </c>
      <c r="Y56" s="41">
        <f>IF(Y36=1,'Inputs'!$C$92,IF(Y36&lt;4,IF(Y53&gt;=Y54-1E-9,'Inputs'!$C$92,'Inputs'!$C$93),IF(Y53&gt;=Y55-1E-9,'Inputs'!$C$92,'Inputs'!$C$93)))</f>
        <v/>
      </c>
      <c r="Z56" s="41">
        <f>IF(Z36=1,'Inputs'!$C$92,IF(Z36&lt;4,IF(Z53&gt;=Z54-1E-9,'Inputs'!$C$92,'Inputs'!$C$93),IF(Z53&gt;=Z55-1E-9,'Inputs'!$C$92,'Inputs'!$C$93)))</f>
        <v/>
      </c>
      <c r="AA56" s="41">
        <f>IF(AA36=1,'Inputs'!$C$92,IF(AA36&lt;4,IF(AA53&gt;=AA54-1E-9,'Inputs'!$C$92,'Inputs'!$C$93),IF(AA53&gt;=AA55-1E-9,'Inputs'!$C$92,'Inputs'!$C$93)))</f>
        <v/>
      </c>
      <c r="AB56" s="41">
        <f>IF(AB36=1,'Inputs'!$C$92,IF(AB36&lt;4,IF(AB53&gt;=AB54-1E-9,'Inputs'!$C$92,'Inputs'!$C$93),IF(AB53&gt;=AB55-1E-9,'Inputs'!$C$92,'Inputs'!$C$93)))</f>
        <v/>
      </c>
    </row>
    <row r="57">
      <c r="B57" s="12" t="inlineStr">
        <is>
          <t>Rebates accrued, year to date (the rebate receivable)</t>
        </is>
      </c>
      <c r="C57" s="11" t="inlineStr">
        <is>
          <t>$m</t>
        </is>
      </c>
      <c r="D57" s="36">
        <f>'Quarterly'!$D$20</f>
        <v/>
      </c>
      <c r="E57" s="36">
        <f>E56*'Inputs'!$C$91*E53</f>
        <v/>
      </c>
      <c r="F57" s="36">
        <f>F56*'Inputs'!$C$91*F53</f>
        <v/>
      </c>
      <c r="G57" s="36">
        <f>G56*'Inputs'!$C$91*G53</f>
        <v/>
      </c>
      <c r="H57" s="36">
        <f>H56*'Inputs'!$C$91*H53</f>
        <v/>
      </c>
      <c r="I57" s="36">
        <f>I56*'Inputs'!$C$91*I53</f>
        <v/>
      </c>
      <c r="J57" s="36">
        <f>J56*'Inputs'!$C$91*J53</f>
        <v/>
      </c>
      <c r="K57" s="36">
        <f>K56*'Inputs'!$C$91*K53</f>
        <v/>
      </c>
      <c r="L57" s="36">
        <f>L56*'Inputs'!$C$91*L53</f>
        <v/>
      </c>
      <c r="M57" s="36">
        <f>M56*'Inputs'!$C$91*M53</f>
        <v/>
      </c>
      <c r="N57" s="36">
        <f>N56*'Inputs'!$C$91*N53</f>
        <v/>
      </c>
      <c r="O57" s="36">
        <f>O56*'Inputs'!$C$91*O53</f>
        <v/>
      </c>
      <c r="P57" s="36">
        <f>P56*'Inputs'!$C$91*P53</f>
        <v/>
      </c>
      <c r="Q57" s="36">
        <f>Q56*'Inputs'!$C$91*Q53</f>
        <v/>
      </c>
      <c r="R57" s="36">
        <f>R56*'Inputs'!$C$91*R53</f>
        <v/>
      </c>
      <c r="S57" s="36">
        <f>S56*'Inputs'!$C$91*S53</f>
        <v/>
      </c>
      <c r="T57" s="36">
        <f>T56*'Inputs'!$C$91*T53</f>
        <v/>
      </c>
      <c r="U57" s="36">
        <f>U56*'Inputs'!$C$91*U53</f>
        <v/>
      </c>
      <c r="V57" s="36">
        <f>V56*'Inputs'!$C$91*V53</f>
        <v/>
      </c>
      <c r="W57" s="36">
        <f>W56*'Inputs'!$C$91*W53</f>
        <v/>
      </c>
      <c r="X57" s="36">
        <f>X56*'Inputs'!$C$91*X53</f>
        <v/>
      </c>
      <c r="Y57" s="36">
        <f>Y56*'Inputs'!$C$91*Y53</f>
        <v/>
      </c>
      <c r="Z57" s="36">
        <f>Z56*'Inputs'!$C$91*Z53</f>
        <v/>
      </c>
      <c r="AA57" s="36">
        <f>AA56*'Inputs'!$C$91*AA53</f>
        <v/>
      </c>
      <c r="AB57" s="36">
        <f>AB56*'Inputs'!$C$91*AB53</f>
        <v/>
      </c>
    </row>
    <row r="58">
      <c r="B58" s="12" t="inlineStr">
        <is>
          <t>Rebates in the quarter (with the catch-up when the tier changes)</t>
        </is>
      </c>
      <c r="C58" s="11" t="inlineStr">
        <is>
          <t>$m</t>
        </is>
      </c>
      <c r="D58" s="12" t="n"/>
      <c r="E58" s="42">
        <f>E57-IF(E36=1,0,D57)</f>
        <v/>
      </c>
      <c r="F58" s="42">
        <f>F57-IF(F36=1,0,E57)</f>
        <v/>
      </c>
      <c r="G58" s="42">
        <f>G57-IF(G36=1,0,F57)</f>
        <v/>
      </c>
      <c r="H58" s="42">
        <f>H57-IF(H36=1,0,G57)</f>
        <v/>
      </c>
      <c r="I58" s="42">
        <f>I57-IF(I36=1,0,H57)</f>
        <v/>
      </c>
      <c r="J58" s="42">
        <f>J57-IF(J36=1,0,I57)</f>
        <v/>
      </c>
      <c r="K58" s="42">
        <f>K57-IF(K36=1,0,J57)</f>
        <v/>
      </c>
      <c r="L58" s="42">
        <f>L57-IF(L36=1,0,K57)</f>
        <v/>
      </c>
      <c r="M58" s="42">
        <f>M57-IF(M36=1,0,L57)</f>
        <v/>
      </c>
      <c r="N58" s="42">
        <f>N57-IF(N36=1,0,M57)</f>
        <v/>
      </c>
      <c r="O58" s="42">
        <f>O57-IF(O36=1,0,N57)</f>
        <v/>
      </c>
      <c r="P58" s="42">
        <f>P57-IF(P36=1,0,O57)</f>
        <v/>
      </c>
      <c r="Q58" s="42">
        <f>Q57-IF(Q36=1,0,P57)</f>
        <v/>
      </c>
      <c r="R58" s="42">
        <f>R57-IF(R36=1,0,Q57)</f>
        <v/>
      </c>
      <c r="S58" s="42">
        <f>S57-IF(S36=1,0,R57)</f>
        <v/>
      </c>
      <c r="T58" s="42">
        <f>T57-IF(T36=1,0,S57)</f>
        <v/>
      </c>
      <c r="U58" s="42">
        <f>U57-IF(U36=1,0,T57)</f>
        <v/>
      </c>
      <c r="V58" s="42">
        <f>V57-IF(V36=1,0,U57)</f>
        <v/>
      </c>
      <c r="W58" s="42">
        <f>W57-IF(W36=1,0,V57)</f>
        <v/>
      </c>
      <c r="X58" s="42">
        <f>X57-IF(X36=1,0,W57)</f>
        <v/>
      </c>
      <c r="Y58" s="42">
        <f>Y57-IF(Y36=1,0,X57)</f>
        <v/>
      </c>
      <c r="Z58" s="42">
        <f>Z57-IF(Z36=1,0,Y57)</f>
        <v/>
      </c>
      <c r="AA58" s="42">
        <f>AA57-IF(AA36=1,0,Z57)</f>
        <v/>
      </c>
      <c r="AB58" s="42">
        <f>AB57-IF(AB36=1,0,AA57)</f>
        <v/>
      </c>
    </row>
    <row r="59">
      <c r="B59" s="5" t="inlineStr">
        <is>
          <t>Gross profit</t>
        </is>
      </c>
      <c r="C59" s="37" t="inlineStr">
        <is>
          <t>$m</t>
        </is>
      </c>
      <c r="D59" s="5" t="n"/>
      <c r="E59" s="38">
        <f>E42-E49+E58+E44-E51</f>
        <v/>
      </c>
      <c r="F59" s="38">
        <f>F42-F49+F58+F44-F51</f>
        <v/>
      </c>
      <c r="G59" s="38">
        <f>G42-G49+G58+G44-G51</f>
        <v/>
      </c>
      <c r="H59" s="38">
        <f>H42-H49+H58+H44-H51</f>
        <v/>
      </c>
      <c r="I59" s="38">
        <f>I42-I49+I58+I44-I51</f>
        <v/>
      </c>
      <c r="J59" s="38">
        <f>J42-J49+J58+J44-J51</f>
        <v/>
      </c>
      <c r="K59" s="38">
        <f>K42-K49+K58+K44-K51</f>
        <v/>
      </c>
      <c r="L59" s="38">
        <f>L42-L49+L58+L44-L51</f>
        <v/>
      </c>
      <c r="M59" s="38">
        <f>M42-M49+M58+M44-M51</f>
        <v/>
      </c>
      <c r="N59" s="38">
        <f>N42-N49+N58+N44-N51</f>
        <v/>
      </c>
      <c r="O59" s="38">
        <f>O42-O49+O58+O44-O51</f>
        <v/>
      </c>
      <c r="P59" s="38">
        <f>P42-P49+P58+P44-P51</f>
        <v/>
      </c>
      <c r="Q59" s="38">
        <f>Q42-Q49+Q58+Q44-Q51</f>
        <v/>
      </c>
      <c r="R59" s="38">
        <f>R42-R49+R58+R44-R51</f>
        <v/>
      </c>
      <c r="S59" s="38">
        <f>S42-S49+S58+S44-S51</f>
        <v/>
      </c>
      <c r="T59" s="38">
        <f>T42-T49+T58+T44-T51</f>
        <v/>
      </c>
      <c r="U59" s="38">
        <f>U42-U49+U58+U44-U51</f>
        <v/>
      </c>
      <c r="V59" s="38">
        <f>V42-V49+V58+V44-V51</f>
        <v/>
      </c>
      <c r="W59" s="38">
        <f>W42-W49+W58+W44-W51</f>
        <v/>
      </c>
      <c r="X59" s="38">
        <f>X42-X49+X58+X44-X51</f>
        <v/>
      </c>
      <c r="Y59" s="38">
        <f>Y42-Y49+Y58+Y44-Y51</f>
        <v/>
      </c>
      <c r="Z59" s="38">
        <f>Z42-Z49+Z58+Z44-Z51</f>
        <v/>
      </c>
      <c r="AA59" s="38">
        <f>AA42-AA49+AA58+AA44-AA51</f>
        <v/>
      </c>
      <c r="AB59" s="38">
        <f>AB42-AB49+AB58+AB44-AB51</f>
        <v/>
      </c>
    </row>
    <row r="60">
      <c r="B60" s="12" t="inlineStr">
        <is>
          <t>Gross margin</t>
        </is>
      </c>
      <c r="C60" s="11" t="inlineStr">
        <is>
          <t>%</t>
        </is>
      </c>
      <c r="D60" s="12" t="n"/>
      <c r="E60" s="39">
        <f>E59/E45</f>
        <v/>
      </c>
      <c r="F60" s="39">
        <f>F59/F45</f>
        <v/>
      </c>
      <c r="G60" s="39">
        <f>G59/G45</f>
        <v/>
      </c>
      <c r="H60" s="39">
        <f>H59/H45</f>
        <v/>
      </c>
      <c r="I60" s="39">
        <f>I59/I45</f>
        <v/>
      </c>
      <c r="J60" s="39">
        <f>J59/J45</f>
        <v/>
      </c>
      <c r="K60" s="39">
        <f>K59/K45</f>
        <v/>
      </c>
      <c r="L60" s="39">
        <f>L59/L45</f>
        <v/>
      </c>
      <c r="M60" s="39">
        <f>M59/M45</f>
        <v/>
      </c>
      <c r="N60" s="39">
        <f>N59/N45</f>
        <v/>
      </c>
      <c r="O60" s="39">
        <f>O59/O45</f>
        <v/>
      </c>
      <c r="P60" s="39">
        <f>P59/P45</f>
        <v/>
      </c>
      <c r="Q60" s="39">
        <f>Q59/Q45</f>
        <v/>
      </c>
      <c r="R60" s="39">
        <f>R59/R45</f>
        <v/>
      </c>
      <c r="S60" s="39">
        <f>S59/S45</f>
        <v/>
      </c>
      <c r="T60" s="39">
        <f>T59/T45</f>
        <v/>
      </c>
      <c r="U60" s="39">
        <f>U59/U45</f>
        <v/>
      </c>
      <c r="V60" s="39">
        <f>V59/V45</f>
        <v/>
      </c>
      <c r="W60" s="39">
        <f>W59/W45</f>
        <v/>
      </c>
      <c r="X60" s="39">
        <f>X59/X45</f>
        <v/>
      </c>
      <c r="Y60" s="39">
        <f>Y59/Y45</f>
        <v/>
      </c>
      <c r="Z60" s="39">
        <f>Z59/Z45</f>
        <v/>
      </c>
      <c r="AA60" s="39">
        <f>AA59/AA45</f>
        <v/>
      </c>
      <c r="AB60" s="39">
        <f>AB59/AB45</f>
        <v/>
      </c>
    </row>
    <row r="61"/>
    <row r="62">
      <c r="B62" s="8" t="inlineStr">
        <is>
          <t>Operating expenses, one-offs and EBITDA (Chapters 3, 9)</t>
        </is>
      </c>
      <c r="C62" s="8" t="inlineStr">
        <is>
          <t>Unit</t>
        </is>
      </c>
      <c r="D62" s="9" t="inlineStr">
        <is>
          <t>Close</t>
        </is>
      </c>
      <c r="E62" s="9" t="inlineStr">
        <is>
          <t>Y1 Q1</t>
        </is>
      </c>
      <c r="F62" s="9" t="inlineStr">
        <is>
          <t>Y1 Q2</t>
        </is>
      </c>
      <c r="G62" s="9" t="inlineStr">
        <is>
          <t>Y1 Q3</t>
        </is>
      </c>
      <c r="H62" s="9" t="inlineStr">
        <is>
          <t>Y1 Q4</t>
        </is>
      </c>
      <c r="I62" s="9" t="inlineStr">
        <is>
          <t>Y2 Q1</t>
        </is>
      </c>
      <c r="J62" s="9" t="inlineStr">
        <is>
          <t>Y2 Q2</t>
        </is>
      </c>
      <c r="K62" s="9" t="inlineStr">
        <is>
          <t>Y2 Q3</t>
        </is>
      </c>
      <c r="L62" s="9" t="inlineStr">
        <is>
          <t>Y2 Q4</t>
        </is>
      </c>
      <c r="M62" s="9" t="inlineStr">
        <is>
          <t>Y3 Q1</t>
        </is>
      </c>
      <c r="N62" s="9" t="inlineStr">
        <is>
          <t>Y3 Q2</t>
        </is>
      </c>
      <c r="O62" s="9" t="inlineStr">
        <is>
          <t>Y3 Q3</t>
        </is>
      </c>
      <c r="P62" s="9" t="inlineStr">
        <is>
          <t>Y3 Q4</t>
        </is>
      </c>
      <c r="Q62" s="9" t="inlineStr">
        <is>
          <t>Y4 Q1</t>
        </is>
      </c>
      <c r="R62" s="9" t="inlineStr">
        <is>
          <t>Y4 Q2</t>
        </is>
      </c>
      <c r="S62" s="9" t="inlineStr">
        <is>
          <t>Y4 Q3</t>
        </is>
      </c>
      <c r="T62" s="9" t="inlineStr">
        <is>
          <t>Y4 Q4</t>
        </is>
      </c>
      <c r="U62" s="9" t="inlineStr">
        <is>
          <t>Y5 Q1</t>
        </is>
      </c>
      <c r="V62" s="9" t="inlineStr">
        <is>
          <t>Y5 Q2</t>
        </is>
      </c>
      <c r="W62" s="9" t="inlineStr">
        <is>
          <t>Y5 Q3</t>
        </is>
      </c>
      <c r="X62" s="9" t="inlineStr">
        <is>
          <t>Y5 Q4</t>
        </is>
      </c>
      <c r="Y62" s="9" t="inlineStr">
        <is>
          <t>Y6 Q1</t>
        </is>
      </c>
      <c r="Z62" s="9" t="inlineStr">
        <is>
          <t>Y6 Q2</t>
        </is>
      </c>
      <c r="AA62" s="9" t="inlineStr">
        <is>
          <t>Y6 Q3</t>
        </is>
      </c>
      <c r="AB62" s="9" t="inlineStr">
        <is>
          <t>Y6 Q4</t>
        </is>
      </c>
    </row>
    <row r="63">
      <c r="B63" s="12" t="inlineStr">
        <is>
          <t>Overhead actions (case)</t>
        </is>
      </c>
      <c r="C63" s="11" t="inlineStr">
        <is>
          <t>$m a year</t>
        </is>
      </c>
      <c r="D63" s="12" t="n"/>
      <c r="E63" s="36">
        <f>'Drivers'!E$59</f>
        <v/>
      </c>
      <c r="F63" s="36">
        <f>'Drivers'!F$59</f>
        <v/>
      </c>
      <c r="G63" s="36">
        <f>'Drivers'!G$59</f>
        <v/>
      </c>
      <c r="H63" s="36">
        <f>'Drivers'!H$59</f>
        <v/>
      </c>
      <c r="I63" s="36">
        <f>'Drivers'!I$59</f>
        <v/>
      </c>
      <c r="J63" s="36">
        <f>'Drivers'!J$59</f>
        <v/>
      </c>
      <c r="K63" s="36">
        <f>'Drivers'!K$59</f>
        <v/>
      </c>
      <c r="L63" s="36">
        <f>'Drivers'!L$59</f>
        <v/>
      </c>
      <c r="M63" s="36">
        <f>'Drivers'!M$59</f>
        <v/>
      </c>
      <c r="N63" s="36">
        <f>'Drivers'!N$59</f>
        <v/>
      </c>
      <c r="O63" s="36">
        <f>'Drivers'!O$59</f>
        <v/>
      </c>
      <c r="P63" s="36">
        <f>'Drivers'!P$59</f>
        <v/>
      </c>
      <c r="Q63" s="36">
        <f>'Drivers'!Q$59</f>
        <v/>
      </c>
      <c r="R63" s="36">
        <f>'Drivers'!R$59</f>
        <v/>
      </c>
      <c r="S63" s="36">
        <f>'Drivers'!S$59</f>
        <v/>
      </c>
      <c r="T63" s="36">
        <f>'Drivers'!T$59</f>
        <v/>
      </c>
      <c r="U63" s="36">
        <f>'Drivers'!U$59</f>
        <v/>
      </c>
      <c r="V63" s="36">
        <f>'Drivers'!V$59</f>
        <v/>
      </c>
      <c r="W63" s="36">
        <f>'Drivers'!W$59</f>
        <v/>
      </c>
      <c r="X63" s="36">
        <f>'Drivers'!X$59</f>
        <v/>
      </c>
      <c r="Y63" s="36">
        <f>'Drivers'!Y$59</f>
        <v/>
      </c>
      <c r="Z63" s="36">
        <f>'Drivers'!Z$59</f>
        <v/>
      </c>
      <c r="AA63" s="36">
        <f>'Drivers'!AA$59</f>
        <v/>
      </c>
      <c r="AB63" s="36">
        <f>'Drivers'!AB$59</f>
        <v/>
      </c>
    </row>
    <row r="64">
      <c r="B64" s="12" t="inlineStr">
        <is>
          <t>Fixed costs, annual rate (inflated base + finance team + actions + lever)</t>
        </is>
      </c>
      <c r="C64" s="11" t="inlineStr">
        <is>
          <t>$m a year</t>
        </is>
      </c>
      <c r="D64" s="12" t="n"/>
      <c r="E64" s="36">
        <f>(('Inputs'!$C$33-'Inputs'!$C$35)*(1+'Inputs'!$C$65)^E35+'Inputs'!$C$66)+(E63+'Inputs'!$C$10)</f>
        <v/>
      </c>
      <c r="F64" s="36">
        <f>(('Inputs'!$C$33-'Inputs'!$C$35)*(1+'Inputs'!$C$65)^F35+'Inputs'!$C$66)+(F63+'Inputs'!$C$10)</f>
        <v/>
      </c>
      <c r="G64" s="36">
        <f>(('Inputs'!$C$33-'Inputs'!$C$35)*(1+'Inputs'!$C$65)^G35+'Inputs'!$C$66)+(G63+'Inputs'!$C$10)</f>
        <v/>
      </c>
      <c r="H64" s="36">
        <f>(('Inputs'!$C$33-'Inputs'!$C$35)*(1+'Inputs'!$C$65)^H35+'Inputs'!$C$66)+(H63+'Inputs'!$C$10)</f>
        <v/>
      </c>
      <c r="I64" s="36">
        <f>(('Inputs'!$C$33-'Inputs'!$C$35)*(1+'Inputs'!$C$65)^I35+'Inputs'!$C$66)+(I63+'Inputs'!$C$10)</f>
        <v/>
      </c>
      <c r="J64" s="36">
        <f>(('Inputs'!$C$33-'Inputs'!$C$35)*(1+'Inputs'!$C$65)^J35+'Inputs'!$C$66)+(J63+'Inputs'!$C$10)</f>
        <v/>
      </c>
      <c r="K64" s="36">
        <f>(('Inputs'!$C$33-'Inputs'!$C$35)*(1+'Inputs'!$C$65)^K35+'Inputs'!$C$66)+(K63+'Inputs'!$C$10)</f>
        <v/>
      </c>
      <c r="L64" s="36">
        <f>(('Inputs'!$C$33-'Inputs'!$C$35)*(1+'Inputs'!$C$65)^L35+'Inputs'!$C$66)+(L63+'Inputs'!$C$10)</f>
        <v/>
      </c>
      <c r="M64" s="36">
        <f>(('Inputs'!$C$33-'Inputs'!$C$35)*(1+'Inputs'!$C$65)^M35+'Inputs'!$C$66)+(M63+'Inputs'!$C$10)</f>
        <v/>
      </c>
      <c r="N64" s="36">
        <f>(('Inputs'!$C$33-'Inputs'!$C$35)*(1+'Inputs'!$C$65)^N35+'Inputs'!$C$66)+(N63+'Inputs'!$C$10)</f>
        <v/>
      </c>
      <c r="O64" s="36">
        <f>(('Inputs'!$C$33-'Inputs'!$C$35)*(1+'Inputs'!$C$65)^O35+'Inputs'!$C$66)+(O63+'Inputs'!$C$10)</f>
        <v/>
      </c>
      <c r="P64" s="36">
        <f>(('Inputs'!$C$33-'Inputs'!$C$35)*(1+'Inputs'!$C$65)^P35+'Inputs'!$C$66)+(P63+'Inputs'!$C$10)</f>
        <v/>
      </c>
      <c r="Q64" s="36">
        <f>(('Inputs'!$C$33-'Inputs'!$C$35)*(1+'Inputs'!$C$65)^Q35+'Inputs'!$C$66)+(Q63+'Inputs'!$C$10)</f>
        <v/>
      </c>
      <c r="R64" s="36">
        <f>(('Inputs'!$C$33-'Inputs'!$C$35)*(1+'Inputs'!$C$65)^R35+'Inputs'!$C$66)+(R63+'Inputs'!$C$10)</f>
        <v/>
      </c>
      <c r="S64" s="36">
        <f>(('Inputs'!$C$33-'Inputs'!$C$35)*(1+'Inputs'!$C$65)^S35+'Inputs'!$C$66)+(S63+'Inputs'!$C$10)</f>
        <v/>
      </c>
      <c r="T64" s="36">
        <f>(('Inputs'!$C$33-'Inputs'!$C$35)*(1+'Inputs'!$C$65)^T35+'Inputs'!$C$66)+(T63+'Inputs'!$C$10)</f>
        <v/>
      </c>
      <c r="U64" s="36">
        <f>(('Inputs'!$C$33-'Inputs'!$C$35)*(1+'Inputs'!$C$65)^U35+'Inputs'!$C$66)+(U63+'Inputs'!$C$10)</f>
        <v/>
      </c>
      <c r="V64" s="36">
        <f>(('Inputs'!$C$33-'Inputs'!$C$35)*(1+'Inputs'!$C$65)^V35+'Inputs'!$C$66)+(V63+'Inputs'!$C$10)</f>
        <v/>
      </c>
      <c r="W64" s="36">
        <f>(('Inputs'!$C$33-'Inputs'!$C$35)*(1+'Inputs'!$C$65)^W35+'Inputs'!$C$66)+(W63+'Inputs'!$C$10)</f>
        <v/>
      </c>
      <c r="X64" s="36">
        <f>(('Inputs'!$C$33-'Inputs'!$C$35)*(1+'Inputs'!$C$65)^X35+'Inputs'!$C$66)+(X63+'Inputs'!$C$10)</f>
        <v/>
      </c>
      <c r="Y64" s="36">
        <f>(('Inputs'!$C$33-'Inputs'!$C$35)*(1+'Inputs'!$C$65)^Y35+'Inputs'!$C$66)+(Y63+'Inputs'!$C$10)</f>
        <v/>
      </c>
      <c r="Z64" s="36">
        <f>(('Inputs'!$C$33-'Inputs'!$C$35)*(1+'Inputs'!$C$65)^Z35+'Inputs'!$C$66)+(Z63+'Inputs'!$C$10)</f>
        <v/>
      </c>
      <c r="AA64" s="36">
        <f>(('Inputs'!$C$33-'Inputs'!$C$35)*(1+'Inputs'!$C$65)^AA35+'Inputs'!$C$66)+(AA63+'Inputs'!$C$10)</f>
        <v/>
      </c>
      <c r="AB64" s="36">
        <f>(('Inputs'!$C$33-'Inputs'!$C$35)*(1+'Inputs'!$C$65)^AB35+'Inputs'!$C$66)+(AB63+'Inputs'!$C$10)</f>
        <v/>
      </c>
    </row>
    <row r="65">
      <c r="B65" s="12" t="inlineStr">
        <is>
          <t>Variable costs</t>
        </is>
      </c>
      <c r="C65" s="11" t="inlineStr">
        <is>
          <t>$m</t>
        </is>
      </c>
      <c r="D65" s="12" t="n"/>
      <c r="E65" s="36">
        <f>'Inputs'!$C$34*E42</f>
        <v/>
      </c>
      <c r="F65" s="36">
        <f>'Inputs'!$C$34*F42</f>
        <v/>
      </c>
      <c r="G65" s="36">
        <f>'Inputs'!$C$34*G42</f>
        <v/>
      </c>
      <c r="H65" s="36">
        <f>'Inputs'!$C$34*H42</f>
        <v/>
      </c>
      <c r="I65" s="36">
        <f>'Inputs'!$C$34*I42</f>
        <v/>
      </c>
      <c r="J65" s="36">
        <f>'Inputs'!$C$34*J42</f>
        <v/>
      </c>
      <c r="K65" s="36">
        <f>'Inputs'!$C$34*K42</f>
        <v/>
      </c>
      <c r="L65" s="36">
        <f>'Inputs'!$C$34*L42</f>
        <v/>
      </c>
      <c r="M65" s="36">
        <f>'Inputs'!$C$34*M42</f>
        <v/>
      </c>
      <c r="N65" s="36">
        <f>'Inputs'!$C$34*N42</f>
        <v/>
      </c>
      <c r="O65" s="36">
        <f>'Inputs'!$C$34*O42</f>
        <v/>
      </c>
      <c r="P65" s="36">
        <f>'Inputs'!$C$34*P42</f>
        <v/>
      </c>
      <c r="Q65" s="36">
        <f>'Inputs'!$C$34*Q42</f>
        <v/>
      </c>
      <c r="R65" s="36">
        <f>'Inputs'!$C$34*R42</f>
        <v/>
      </c>
      <c r="S65" s="36">
        <f>'Inputs'!$C$34*S42</f>
        <v/>
      </c>
      <c r="T65" s="36">
        <f>'Inputs'!$C$34*T42</f>
        <v/>
      </c>
      <c r="U65" s="36">
        <f>'Inputs'!$C$34*U42</f>
        <v/>
      </c>
      <c r="V65" s="36">
        <f>'Inputs'!$C$34*V42</f>
        <v/>
      </c>
      <c r="W65" s="36">
        <f>'Inputs'!$C$34*W42</f>
        <v/>
      </c>
      <c r="X65" s="36">
        <f>'Inputs'!$C$34*X42</f>
        <v/>
      </c>
      <c r="Y65" s="36">
        <f>'Inputs'!$C$34*Y42</f>
        <v/>
      </c>
      <c r="Z65" s="36">
        <f>'Inputs'!$C$34*Z42</f>
        <v/>
      </c>
      <c r="AA65" s="36">
        <f>'Inputs'!$C$34*AA42</f>
        <v/>
      </c>
      <c r="AB65" s="36">
        <f>'Inputs'!$C$34*AB42</f>
        <v/>
      </c>
    </row>
    <row r="66">
      <c r="B66" s="12" t="inlineStr">
        <is>
          <t>Add-on operating costs (less overhead synergies)</t>
        </is>
      </c>
      <c r="C66" s="11" t="inlineStr">
        <is>
          <t>$m</t>
        </is>
      </c>
      <c r="D66" s="12" t="n"/>
      <c r="E66" s="36">
        <f>IF((E34&gt;'Inputs'!$C$103),('Inputs'!$C$104*'Inputs'!$C$105-'Inputs'!$C$106)/'Inputs'!$C$104*E44-'Inputs'!$C$111*E50/4,0)</f>
        <v/>
      </c>
      <c r="F66" s="36">
        <f>IF((F34&gt;'Inputs'!$C$103),('Inputs'!$C$104*'Inputs'!$C$105-'Inputs'!$C$106)/'Inputs'!$C$104*F44-'Inputs'!$C$111*F50/4,0)</f>
        <v/>
      </c>
      <c r="G66" s="36">
        <f>IF((G34&gt;'Inputs'!$C$103),('Inputs'!$C$104*'Inputs'!$C$105-'Inputs'!$C$106)/'Inputs'!$C$104*G44-'Inputs'!$C$111*G50/4,0)</f>
        <v/>
      </c>
      <c r="H66" s="36">
        <f>IF((H34&gt;'Inputs'!$C$103),('Inputs'!$C$104*'Inputs'!$C$105-'Inputs'!$C$106)/'Inputs'!$C$104*H44-'Inputs'!$C$111*H50/4,0)</f>
        <v/>
      </c>
      <c r="I66" s="36">
        <f>IF((I34&gt;'Inputs'!$C$103),('Inputs'!$C$104*'Inputs'!$C$105-'Inputs'!$C$106)/'Inputs'!$C$104*I44-'Inputs'!$C$111*I50/4,0)</f>
        <v/>
      </c>
      <c r="J66" s="36">
        <f>IF((J34&gt;'Inputs'!$C$103),('Inputs'!$C$104*'Inputs'!$C$105-'Inputs'!$C$106)/'Inputs'!$C$104*J44-'Inputs'!$C$111*J50/4,0)</f>
        <v/>
      </c>
      <c r="K66" s="36">
        <f>IF((K34&gt;'Inputs'!$C$103),('Inputs'!$C$104*'Inputs'!$C$105-'Inputs'!$C$106)/'Inputs'!$C$104*K44-'Inputs'!$C$111*K50/4,0)</f>
        <v/>
      </c>
      <c r="L66" s="36">
        <f>IF((L34&gt;'Inputs'!$C$103),('Inputs'!$C$104*'Inputs'!$C$105-'Inputs'!$C$106)/'Inputs'!$C$104*L44-'Inputs'!$C$111*L50/4,0)</f>
        <v/>
      </c>
      <c r="M66" s="36">
        <f>IF((M34&gt;'Inputs'!$C$103),('Inputs'!$C$104*'Inputs'!$C$105-'Inputs'!$C$106)/'Inputs'!$C$104*M44-'Inputs'!$C$111*M50/4,0)</f>
        <v/>
      </c>
      <c r="N66" s="36">
        <f>IF((N34&gt;'Inputs'!$C$103),('Inputs'!$C$104*'Inputs'!$C$105-'Inputs'!$C$106)/'Inputs'!$C$104*N44-'Inputs'!$C$111*N50/4,0)</f>
        <v/>
      </c>
      <c r="O66" s="36">
        <f>IF((O34&gt;'Inputs'!$C$103),('Inputs'!$C$104*'Inputs'!$C$105-'Inputs'!$C$106)/'Inputs'!$C$104*O44-'Inputs'!$C$111*O50/4,0)</f>
        <v/>
      </c>
      <c r="P66" s="36">
        <f>IF((P34&gt;'Inputs'!$C$103),('Inputs'!$C$104*'Inputs'!$C$105-'Inputs'!$C$106)/'Inputs'!$C$104*P44-'Inputs'!$C$111*P50/4,0)</f>
        <v/>
      </c>
      <c r="Q66" s="36">
        <f>IF((Q34&gt;'Inputs'!$C$103),('Inputs'!$C$104*'Inputs'!$C$105-'Inputs'!$C$106)/'Inputs'!$C$104*Q44-'Inputs'!$C$111*Q50/4,0)</f>
        <v/>
      </c>
      <c r="R66" s="36">
        <f>IF((R34&gt;'Inputs'!$C$103),('Inputs'!$C$104*'Inputs'!$C$105-'Inputs'!$C$106)/'Inputs'!$C$104*R44-'Inputs'!$C$111*R50/4,0)</f>
        <v/>
      </c>
      <c r="S66" s="36">
        <f>IF((S34&gt;'Inputs'!$C$103),('Inputs'!$C$104*'Inputs'!$C$105-'Inputs'!$C$106)/'Inputs'!$C$104*S44-'Inputs'!$C$111*S50/4,0)</f>
        <v/>
      </c>
      <c r="T66" s="36">
        <f>IF((T34&gt;'Inputs'!$C$103),('Inputs'!$C$104*'Inputs'!$C$105-'Inputs'!$C$106)/'Inputs'!$C$104*T44-'Inputs'!$C$111*T50/4,0)</f>
        <v/>
      </c>
      <c r="U66" s="36">
        <f>IF((U34&gt;'Inputs'!$C$103),('Inputs'!$C$104*'Inputs'!$C$105-'Inputs'!$C$106)/'Inputs'!$C$104*U44-'Inputs'!$C$111*U50/4,0)</f>
        <v/>
      </c>
      <c r="V66" s="36">
        <f>IF((V34&gt;'Inputs'!$C$103),('Inputs'!$C$104*'Inputs'!$C$105-'Inputs'!$C$106)/'Inputs'!$C$104*V44-'Inputs'!$C$111*V50/4,0)</f>
        <v/>
      </c>
      <c r="W66" s="36">
        <f>IF((W34&gt;'Inputs'!$C$103),('Inputs'!$C$104*'Inputs'!$C$105-'Inputs'!$C$106)/'Inputs'!$C$104*W44-'Inputs'!$C$111*W50/4,0)</f>
        <v/>
      </c>
      <c r="X66" s="36">
        <f>IF((X34&gt;'Inputs'!$C$103),('Inputs'!$C$104*'Inputs'!$C$105-'Inputs'!$C$106)/'Inputs'!$C$104*X44-'Inputs'!$C$111*X50/4,0)</f>
        <v/>
      </c>
      <c r="Y66" s="36">
        <f>IF((Y34&gt;'Inputs'!$C$103),('Inputs'!$C$104*'Inputs'!$C$105-'Inputs'!$C$106)/'Inputs'!$C$104*Y44-'Inputs'!$C$111*Y50/4,0)</f>
        <v/>
      </c>
      <c r="Z66" s="36">
        <f>IF((Z34&gt;'Inputs'!$C$103),('Inputs'!$C$104*'Inputs'!$C$105-'Inputs'!$C$106)/'Inputs'!$C$104*Z44-'Inputs'!$C$111*Z50/4,0)</f>
        <v/>
      </c>
      <c r="AA66" s="36">
        <f>IF((AA34&gt;'Inputs'!$C$103),('Inputs'!$C$104*'Inputs'!$C$105-'Inputs'!$C$106)/'Inputs'!$C$104*AA44-'Inputs'!$C$111*AA50/4,0)</f>
        <v/>
      </c>
      <c r="AB66" s="36">
        <f>IF((AB34&gt;'Inputs'!$C$103),('Inputs'!$C$104*'Inputs'!$C$105-'Inputs'!$C$106)/'Inputs'!$C$104*AB44-'Inputs'!$C$111*AB50/4,0)</f>
        <v/>
      </c>
    </row>
    <row r="67">
      <c r="B67" s="12" t="inlineStr">
        <is>
          <t>Monitoring fee</t>
        </is>
      </c>
      <c r="C67" s="11" t="inlineStr">
        <is>
          <t>$m</t>
        </is>
      </c>
      <c r="D67" s="12" t="n"/>
      <c r="E67" s="36">
        <f>'Inputs'!$C$67/4</f>
        <v/>
      </c>
      <c r="F67" s="36">
        <f>'Inputs'!$C$67/4</f>
        <v/>
      </c>
      <c r="G67" s="36">
        <f>'Inputs'!$C$67/4</f>
        <v/>
      </c>
      <c r="H67" s="36">
        <f>'Inputs'!$C$67/4</f>
        <v/>
      </c>
      <c r="I67" s="36">
        <f>'Inputs'!$C$67/4</f>
        <v/>
      </c>
      <c r="J67" s="36">
        <f>'Inputs'!$C$67/4</f>
        <v/>
      </c>
      <c r="K67" s="36">
        <f>'Inputs'!$C$67/4</f>
        <v/>
      </c>
      <c r="L67" s="36">
        <f>'Inputs'!$C$67/4</f>
        <v/>
      </c>
      <c r="M67" s="36">
        <f>'Inputs'!$C$67/4</f>
        <v/>
      </c>
      <c r="N67" s="36">
        <f>'Inputs'!$C$67/4</f>
        <v/>
      </c>
      <c r="O67" s="36">
        <f>'Inputs'!$C$67/4</f>
        <v/>
      </c>
      <c r="P67" s="36">
        <f>'Inputs'!$C$67/4</f>
        <v/>
      </c>
      <c r="Q67" s="36">
        <f>'Inputs'!$C$67/4</f>
        <v/>
      </c>
      <c r="R67" s="36">
        <f>'Inputs'!$C$67/4</f>
        <v/>
      </c>
      <c r="S67" s="36">
        <f>'Inputs'!$C$67/4</f>
        <v/>
      </c>
      <c r="T67" s="36">
        <f>'Inputs'!$C$67/4</f>
        <v/>
      </c>
      <c r="U67" s="36">
        <f>'Inputs'!$C$67/4</f>
        <v/>
      </c>
      <c r="V67" s="36">
        <f>'Inputs'!$C$67/4</f>
        <v/>
      </c>
      <c r="W67" s="36">
        <f>'Inputs'!$C$67/4</f>
        <v/>
      </c>
      <c r="X67" s="36">
        <f>'Inputs'!$C$67/4</f>
        <v/>
      </c>
      <c r="Y67" s="36">
        <f>'Inputs'!$C$67/4</f>
        <v/>
      </c>
      <c r="Z67" s="36">
        <f>'Inputs'!$C$67/4</f>
        <v/>
      </c>
      <c r="AA67" s="36">
        <f>'Inputs'!$C$67/4</f>
        <v/>
      </c>
      <c r="AB67" s="36">
        <f>'Inputs'!$C$67/4</f>
        <v/>
      </c>
    </row>
    <row r="68">
      <c r="B68" s="5" t="inlineStr">
        <is>
          <t>Operating expenses</t>
        </is>
      </c>
      <c r="C68" s="37" t="inlineStr">
        <is>
          <t>$m</t>
        </is>
      </c>
      <c r="D68" s="5" t="n"/>
      <c r="E68" s="38">
        <f>E64/4+E65+E66+E67</f>
        <v/>
      </c>
      <c r="F68" s="38">
        <f>F64/4+F65+F66+F67</f>
        <v/>
      </c>
      <c r="G68" s="38">
        <f>G64/4+G65+G66+G67</f>
        <v/>
      </c>
      <c r="H68" s="38">
        <f>H64/4+H65+H66+H67</f>
        <v/>
      </c>
      <c r="I68" s="38">
        <f>I64/4+I65+I66+I67</f>
        <v/>
      </c>
      <c r="J68" s="38">
        <f>J64/4+J65+J66+J67</f>
        <v/>
      </c>
      <c r="K68" s="38">
        <f>K64/4+K65+K66+K67</f>
        <v/>
      </c>
      <c r="L68" s="38">
        <f>L64/4+L65+L66+L67</f>
        <v/>
      </c>
      <c r="M68" s="38">
        <f>M64/4+M65+M66+M67</f>
        <v/>
      </c>
      <c r="N68" s="38">
        <f>N64/4+N65+N66+N67</f>
        <v/>
      </c>
      <c r="O68" s="38">
        <f>O64/4+O65+O66+O67</f>
        <v/>
      </c>
      <c r="P68" s="38">
        <f>P64/4+P65+P66+P67</f>
        <v/>
      </c>
      <c r="Q68" s="38">
        <f>Q64/4+Q65+Q66+Q67</f>
        <v/>
      </c>
      <c r="R68" s="38">
        <f>R64/4+R65+R66+R67</f>
        <v/>
      </c>
      <c r="S68" s="38">
        <f>S64/4+S65+S66+S67</f>
        <v/>
      </c>
      <c r="T68" s="38">
        <f>T64/4+T65+T66+T67</f>
        <v/>
      </c>
      <c r="U68" s="38">
        <f>U64/4+U65+U66+U67</f>
        <v/>
      </c>
      <c r="V68" s="38">
        <f>V64/4+V65+V66+V67</f>
        <v/>
      </c>
      <c r="W68" s="38">
        <f>W64/4+W65+W66+W67</f>
        <v/>
      </c>
      <c r="X68" s="38">
        <f>X64/4+X65+X66+X67</f>
        <v/>
      </c>
      <c r="Y68" s="38">
        <f>Y64/4+Y65+Y66+Y67</f>
        <v/>
      </c>
      <c r="Z68" s="38">
        <f>Z64/4+Z65+Z66+Z67</f>
        <v/>
      </c>
      <c r="AA68" s="38">
        <f>AA64/4+AA65+AA66+AA67</f>
        <v/>
      </c>
      <c r="AB68" s="38">
        <f>AB64/4+AB65+AB66+AB67</f>
        <v/>
      </c>
    </row>
    <row r="69">
      <c r="B69" s="12" t="inlineStr">
        <is>
          <t>One-offs for the year (incl. acquisition costs; exit costs in the exit year)</t>
        </is>
      </c>
      <c r="C69" s="11" t="inlineStr">
        <is>
          <t>$m a year</t>
        </is>
      </c>
      <c r="D69" s="12" t="n"/>
      <c r="E69" s="36">
        <f>INDEX('Drivers'!$E$24:$J$24,E35)+IF(E35=(INT(('Inputs'!$C$103-1)/4)+1),'Inputs'!$C$108,0)-IF(AND(E35=5,(INT(('Inputs'!$C$17-1)/4)+1)&lt;&gt;5),'Inputs'!$C$73,0)+IF(AND(E35=(INT(('Inputs'!$C$17-1)/4)+1),(INT(('Inputs'!$C$17-1)/4)+1)&lt;&gt;5),'Inputs'!$C$73,0)</f>
        <v/>
      </c>
      <c r="F69" s="36">
        <f>INDEX('Drivers'!$E$24:$J$24,F35)+IF(F35=(INT(('Inputs'!$C$103-1)/4)+1),'Inputs'!$C$108,0)-IF(AND(F35=5,(INT(('Inputs'!$C$17-1)/4)+1)&lt;&gt;5),'Inputs'!$C$73,0)+IF(AND(F35=(INT(('Inputs'!$C$17-1)/4)+1),(INT(('Inputs'!$C$17-1)/4)+1)&lt;&gt;5),'Inputs'!$C$73,0)</f>
        <v/>
      </c>
      <c r="G69" s="36">
        <f>INDEX('Drivers'!$E$24:$J$24,G35)+IF(G35=(INT(('Inputs'!$C$103-1)/4)+1),'Inputs'!$C$108,0)-IF(AND(G35=5,(INT(('Inputs'!$C$17-1)/4)+1)&lt;&gt;5),'Inputs'!$C$73,0)+IF(AND(G35=(INT(('Inputs'!$C$17-1)/4)+1),(INT(('Inputs'!$C$17-1)/4)+1)&lt;&gt;5),'Inputs'!$C$73,0)</f>
        <v/>
      </c>
      <c r="H69" s="36">
        <f>INDEX('Drivers'!$E$24:$J$24,H35)+IF(H35=(INT(('Inputs'!$C$103-1)/4)+1),'Inputs'!$C$108,0)-IF(AND(H35=5,(INT(('Inputs'!$C$17-1)/4)+1)&lt;&gt;5),'Inputs'!$C$73,0)+IF(AND(H35=(INT(('Inputs'!$C$17-1)/4)+1),(INT(('Inputs'!$C$17-1)/4)+1)&lt;&gt;5),'Inputs'!$C$73,0)</f>
        <v/>
      </c>
      <c r="I69" s="36">
        <f>INDEX('Drivers'!$E$24:$J$24,I35)+IF(I35=(INT(('Inputs'!$C$103-1)/4)+1),'Inputs'!$C$108,0)-IF(AND(I35=5,(INT(('Inputs'!$C$17-1)/4)+1)&lt;&gt;5),'Inputs'!$C$73,0)+IF(AND(I35=(INT(('Inputs'!$C$17-1)/4)+1),(INT(('Inputs'!$C$17-1)/4)+1)&lt;&gt;5),'Inputs'!$C$73,0)</f>
        <v/>
      </c>
      <c r="J69" s="36">
        <f>INDEX('Drivers'!$E$24:$J$24,J35)+IF(J35=(INT(('Inputs'!$C$103-1)/4)+1),'Inputs'!$C$108,0)-IF(AND(J35=5,(INT(('Inputs'!$C$17-1)/4)+1)&lt;&gt;5),'Inputs'!$C$73,0)+IF(AND(J35=(INT(('Inputs'!$C$17-1)/4)+1),(INT(('Inputs'!$C$17-1)/4)+1)&lt;&gt;5),'Inputs'!$C$73,0)</f>
        <v/>
      </c>
      <c r="K69" s="36">
        <f>INDEX('Drivers'!$E$24:$J$24,K35)+IF(K35=(INT(('Inputs'!$C$103-1)/4)+1),'Inputs'!$C$108,0)-IF(AND(K35=5,(INT(('Inputs'!$C$17-1)/4)+1)&lt;&gt;5),'Inputs'!$C$73,0)+IF(AND(K35=(INT(('Inputs'!$C$17-1)/4)+1),(INT(('Inputs'!$C$17-1)/4)+1)&lt;&gt;5),'Inputs'!$C$73,0)</f>
        <v/>
      </c>
      <c r="L69" s="36">
        <f>INDEX('Drivers'!$E$24:$J$24,L35)+IF(L35=(INT(('Inputs'!$C$103-1)/4)+1),'Inputs'!$C$108,0)-IF(AND(L35=5,(INT(('Inputs'!$C$17-1)/4)+1)&lt;&gt;5),'Inputs'!$C$73,0)+IF(AND(L35=(INT(('Inputs'!$C$17-1)/4)+1),(INT(('Inputs'!$C$17-1)/4)+1)&lt;&gt;5),'Inputs'!$C$73,0)</f>
        <v/>
      </c>
      <c r="M69" s="36">
        <f>INDEX('Drivers'!$E$24:$J$24,M35)+IF(M35=(INT(('Inputs'!$C$103-1)/4)+1),'Inputs'!$C$108,0)-IF(AND(M35=5,(INT(('Inputs'!$C$17-1)/4)+1)&lt;&gt;5),'Inputs'!$C$73,0)+IF(AND(M35=(INT(('Inputs'!$C$17-1)/4)+1),(INT(('Inputs'!$C$17-1)/4)+1)&lt;&gt;5),'Inputs'!$C$73,0)</f>
        <v/>
      </c>
      <c r="N69" s="36">
        <f>INDEX('Drivers'!$E$24:$J$24,N35)+IF(N35=(INT(('Inputs'!$C$103-1)/4)+1),'Inputs'!$C$108,0)-IF(AND(N35=5,(INT(('Inputs'!$C$17-1)/4)+1)&lt;&gt;5),'Inputs'!$C$73,0)+IF(AND(N35=(INT(('Inputs'!$C$17-1)/4)+1),(INT(('Inputs'!$C$17-1)/4)+1)&lt;&gt;5),'Inputs'!$C$73,0)</f>
        <v/>
      </c>
      <c r="O69" s="36">
        <f>INDEX('Drivers'!$E$24:$J$24,O35)+IF(O35=(INT(('Inputs'!$C$103-1)/4)+1),'Inputs'!$C$108,0)-IF(AND(O35=5,(INT(('Inputs'!$C$17-1)/4)+1)&lt;&gt;5),'Inputs'!$C$73,0)+IF(AND(O35=(INT(('Inputs'!$C$17-1)/4)+1),(INT(('Inputs'!$C$17-1)/4)+1)&lt;&gt;5),'Inputs'!$C$73,0)</f>
        <v/>
      </c>
      <c r="P69" s="36">
        <f>INDEX('Drivers'!$E$24:$J$24,P35)+IF(P35=(INT(('Inputs'!$C$103-1)/4)+1),'Inputs'!$C$108,0)-IF(AND(P35=5,(INT(('Inputs'!$C$17-1)/4)+1)&lt;&gt;5),'Inputs'!$C$73,0)+IF(AND(P35=(INT(('Inputs'!$C$17-1)/4)+1),(INT(('Inputs'!$C$17-1)/4)+1)&lt;&gt;5),'Inputs'!$C$73,0)</f>
        <v/>
      </c>
      <c r="Q69" s="36">
        <f>INDEX('Drivers'!$E$24:$J$24,Q35)+IF(Q35=(INT(('Inputs'!$C$103-1)/4)+1),'Inputs'!$C$108,0)-IF(AND(Q35=5,(INT(('Inputs'!$C$17-1)/4)+1)&lt;&gt;5),'Inputs'!$C$73,0)+IF(AND(Q35=(INT(('Inputs'!$C$17-1)/4)+1),(INT(('Inputs'!$C$17-1)/4)+1)&lt;&gt;5),'Inputs'!$C$73,0)</f>
        <v/>
      </c>
      <c r="R69" s="36">
        <f>INDEX('Drivers'!$E$24:$J$24,R35)+IF(R35=(INT(('Inputs'!$C$103-1)/4)+1),'Inputs'!$C$108,0)-IF(AND(R35=5,(INT(('Inputs'!$C$17-1)/4)+1)&lt;&gt;5),'Inputs'!$C$73,0)+IF(AND(R35=(INT(('Inputs'!$C$17-1)/4)+1),(INT(('Inputs'!$C$17-1)/4)+1)&lt;&gt;5),'Inputs'!$C$73,0)</f>
        <v/>
      </c>
      <c r="S69" s="36">
        <f>INDEX('Drivers'!$E$24:$J$24,S35)+IF(S35=(INT(('Inputs'!$C$103-1)/4)+1),'Inputs'!$C$108,0)-IF(AND(S35=5,(INT(('Inputs'!$C$17-1)/4)+1)&lt;&gt;5),'Inputs'!$C$73,0)+IF(AND(S35=(INT(('Inputs'!$C$17-1)/4)+1),(INT(('Inputs'!$C$17-1)/4)+1)&lt;&gt;5),'Inputs'!$C$73,0)</f>
        <v/>
      </c>
      <c r="T69" s="36">
        <f>INDEX('Drivers'!$E$24:$J$24,T35)+IF(T35=(INT(('Inputs'!$C$103-1)/4)+1),'Inputs'!$C$108,0)-IF(AND(T35=5,(INT(('Inputs'!$C$17-1)/4)+1)&lt;&gt;5),'Inputs'!$C$73,0)+IF(AND(T35=(INT(('Inputs'!$C$17-1)/4)+1),(INT(('Inputs'!$C$17-1)/4)+1)&lt;&gt;5),'Inputs'!$C$73,0)</f>
        <v/>
      </c>
      <c r="U69" s="36">
        <f>INDEX('Drivers'!$E$24:$J$24,U35)+IF(U35=(INT(('Inputs'!$C$103-1)/4)+1),'Inputs'!$C$108,0)-IF(AND(U35=5,(INT(('Inputs'!$C$17-1)/4)+1)&lt;&gt;5),'Inputs'!$C$73,0)+IF(AND(U35=(INT(('Inputs'!$C$17-1)/4)+1),(INT(('Inputs'!$C$17-1)/4)+1)&lt;&gt;5),'Inputs'!$C$73,0)</f>
        <v/>
      </c>
      <c r="V69" s="36">
        <f>INDEX('Drivers'!$E$24:$J$24,V35)+IF(V35=(INT(('Inputs'!$C$103-1)/4)+1),'Inputs'!$C$108,0)-IF(AND(V35=5,(INT(('Inputs'!$C$17-1)/4)+1)&lt;&gt;5),'Inputs'!$C$73,0)+IF(AND(V35=(INT(('Inputs'!$C$17-1)/4)+1),(INT(('Inputs'!$C$17-1)/4)+1)&lt;&gt;5),'Inputs'!$C$73,0)</f>
        <v/>
      </c>
      <c r="W69" s="36">
        <f>INDEX('Drivers'!$E$24:$J$24,W35)+IF(W35=(INT(('Inputs'!$C$103-1)/4)+1),'Inputs'!$C$108,0)-IF(AND(W35=5,(INT(('Inputs'!$C$17-1)/4)+1)&lt;&gt;5),'Inputs'!$C$73,0)+IF(AND(W35=(INT(('Inputs'!$C$17-1)/4)+1),(INT(('Inputs'!$C$17-1)/4)+1)&lt;&gt;5),'Inputs'!$C$73,0)</f>
        <v/>
      </c>
      <c r="X69" s="36">
        <f>INDEX('Drivers'!$E$24:$J$24,X35)+IF(X35=(INT(('Inputs'!$C$103-1)/4)+1),'Inputs'!$C$108,0)-IF(AND(X35=5,(INT(('Inputs'!$C$17-1)/4)+1)&lt;&gt;5),'Inputs'!$C$73,0)+IF(AND(X35=(INT(('Inputs'!$C$17-1)/4)+1),(INT(('Inputs'!$C$17-1)/4)+1)&lt;&gt;5),'Inputs'!$C$73,0)</f>
        <v/>
      </c>
      <c r="Y69" s="36">
        <f>INDEX('Drivers'!$E$24:$J$24,Y35)+IF(Y35=(INT(('Inputs'!$C$103-1)/4)+1),'Inputs'!$C$108,0)-IF(AND(Y35=5,(INT(('Inputs'!$C$17-1)/4)+1)&lt;&gt;5),'Inputs'!$C$73,0)+IF(AND(Y35=(INT(('Inputs'!$C$17-1)/4)+1),(INT(('Inputs'!$C$17-1)/4)+1)&lt;&gt;5),'Inputs'!$C$73,0)</f>
        <v/>
      </c>
      <c r="Z69" s="36">
        <f>INDEX('Drivers'!$E$24:$J$24,Z35)+IF(Z35=(INT(('Inputs'!$C$103-1)/4)+1),'Inputs'!$C$108,0)-IF(AND(Z35=5,(INT(('Inputs'!$C$17-1)/4)+1)&lt;&gt;5),'Inputs'!$C$73,0)+IF(AND(Z35=(INT(('Inputs'!$C$17-1)/4)+1),(INT(('Inputs'!$C$17-1)/4)+1)&lt;&gt;5),'Inputs'!$C$73,0)</f>
        <v/>
      </c>
      <c r="AA69" s="36">
        <f>INDEX('Drivers'!$E$24:$J$24,AA35)+IF(AA35=(INT(('Inputs'!$C$103-1)/4)+1),'Inputs'!$C$108,0)-IF(AND(AA35=5,(INT(('Inputs'!$C$17-1)/4)+1)&lt;&gt;5),'Inputs'!$C$73,0)+IF(AND(AA35=(INT(('Inputs'!$C$17-1)/4)+1),(INT(('Inputs'!$C$17-1)/4)+1)&lt;&gt;5),'Inputs'!$C$73,0)</f>
        <v/>
      </c>
      <c r="AB69" s="36">
        <f>INDEX('Drivers'!$E$24:$J$24,AB35)+IF(AB35=(INT(('Inputs'!$C$103-1)/4)+1),'Inputs'!$C$108,0)-IF(AND(AB35=5,(INT(('Inputs'!$C$17-1)/4)+1)&lt;&gt;5),'Inputs'!$C$73,0)+IF(AND(AB35=(INT(('Inputs'!$C$17-1)/4)+1),(INT(('Inputs'!$C$17-1)/4)+1)&lt;&gt;5),'Inputs'!$C$73,0)</f>
        <v/>
      </c>
    </row>
    <row r="70">
      <c r="B70" s="12" t="inlineStr">
        <is>
          <t>One-off phasing, share of the year</t>
        </is>
      </c>
      <c r="C70" s="11" t="inlineStr">
        <is>
          <t>%</t>
        </is>
      </c>
      <c r="D70" s="12" t="n"/>
      <c r="E70" s="39">
        <f>IF(E35=(INT(('Inputs'!$C$17-1)/4)+1),INDEX('Inputs'!$C$87:$F$87,E36),IF(AND(E35=5,(INT(('Inputs'!$C$17-1)/4)+1)&lt;&gt;5),INDEX('Inputs'!$C$88:$F$88,E36),INDEX('Inputs'!$C$81:$F$86,E35,E36)))</f>
        <v/>
      </c>
      <c r="F70" s="39">
        <f>IF(F35=(INT(('Inputs'!$C$17-1)/4)+1),INDEX('Inputs'!$C$87:$F$87,F36),IF(AND(F35=5,(INT(('Inputs'!$C$17-1)/4)+1)&lt;&gt;5),INDEX('Inputs'!$C$88:$F$88,F36),INDEX('Inputs'!$C$81:$F$86,F35,F36)))</f>
        <v/>
      </c>
      <c r="G70" s="39">
        <f>IF(G35=(INT(('Inputs'!$C$17-1)/4)+1),INDEX('Inputs'!$C$87:$F$87,G36),IF(AND(G35=5,(INT(('Inputs'!$C$17-1)/4)+1)&lt;&gt;5),INDEX('Inputs'!$C$88:$F$88,G36),INDEX('Inputs'!$C$81:$F$86,G35,G36)))</f>
        <v/>
      </c>
      <c r="H70" s="39">
        <f>IF(H35=(INT(('Inputs'!$C$17-1)/4)+1),INDEX('Inputs'!$C$87:$F$87,H36),IF(AND(H35=5,(INT(('Inputs'!$C$17-1)/4)+1)&lt;&gt;5),INDEX('Inputs'!$C$88:$F$88,H36),INDEX('Inputs'!$C$81:$F$86,H35,H36)))</f>
        <v/>
      </c>
      <c r="I70" s="39">
        <f>IF(I35=(INT(('Inputs'!$C$17-1)/4)+1),INDEX('Inputs'!$C$87:$F$87,I36),IF(AND(I35=5,(INT(('Inputs'!$C$17-1)/4)+1)&lt;&gt;5),INDEX('Inputs'!$C$88:$F$88,I36),INDEX('Inputs'!$C$81:$F$86,I35,I36)))</f>
        <v/>
      </c>
      <c r="J70" s="39">
        <f>IF(J35=(INT(('Inputs'!$C$17-1)/4)+1),INDEX('Inputs'!$C$87:$F$87,J36),IF(AND(J35=5,(INT(('Inputs'!$C$17-1)/4)+1)&lt;&gt;5),INDEX('Inputs'!$C$88:$F$88,J36),INDEX('Inputs'!$C$81:$F$86,J35,J36)))</f>
        <v/>
      </c>
      <c r="K70" s="39">
        <f>IF(K35=(INT(('Inputs'!$C$17-1)/4)+1),INDEX('Inputs'!$C$87:$F$87,K36),IF(AND(K35=5,(INT(('Inputs'!$C$17-1)/4)+1)&lt;&gt;5),INDEX('Inputs'!$C$88:$F$88,K36),INDEX('Inputs'!$C$81:$F$86,K35,K36)))</f>
        <v/>
      </c>
      <c r="L70" s="39">
        <f>IF(L35=(INT(('Inputs'!$C$17-1)/4)+1),INDEX('Inputs'!$C$87:$F$87,L36),IF(AND(L35=5,(INT(('Inputs'!$C$17-1)/4)+1)&lt;&gt;5),INDEX('Inputs'!$C$88:$F$88,L36),INDEX('Inputs'!$C$81:$F$86,L35,L36)))</f>
        <v/>
      </c>
      <c r="M70" s="39">
        <f>IF(M35=(INT(('Inputs'!$C$17-1)/4)+1),INDEX('Inputs'!$C$87:$F$87,M36),IF(AND(M35=5,(INT(('Inputs'!$C$17-1)/4)+1)&lt;&gt;5),INDEX('Inputs'!$C$88:$F$88,M36),INDEX('Inputs'!$C$81:$F$86,M35,M36)))</f>
        <v/>
      </c>
      <c r="N70" s="39">
        <f>IF(N35=(INT(('Inputs'!$C$17-1)/4)+1),INDEX('Inputs'!$C$87:$F$87,N36),IF(AND(N35=5,(INT(('Inputs'!$C$17-1)/4)+1)&lt;&gt;5),INDEX('Inputs'!$C$88:$F$88,N36),INDEX('Inputs'!$C$81:$F$86,N35,N36)))</f>
        <v/>
      </c>
      <c r="O70" s="39">
        <f>IF(O35=(INT(('Inputs'!$C$17-1)/4)+1),INDEX('Inputs'!$C$87:$F$87,O36),IF(AND(O35=5,(INT(('Inputs'!$C$17-1)/4)+1)&lt;&gt;5),INDEX('Inputs'!$C$88:$F$88,O36),INDEX('Inputs'!$C$81:$F$86,O35,O36)))</f>
        <v/>
      </c>
      <c r="P70" s="39">
        <f>IF(P35=(INT(('Inputs'!$C$17-1)/4)+1),INDEX('Inputs'!$C$87:$F$87,P36),IF(AND(P35=5,(INT(('Inputs'!$C$17-1)/4)+1)&lt;&gt;5),INDEX('Inputs'!$C$88:$F$88,P36),INDEX('Inputs'!$C$81:$F$86,P35,P36)))</f>
        <v/>
      </c>
      <c r="Q70" s="39">
        <f>IF(Q35=(INT(('Inputs'!$C$17-1)/4)+1),INDEX('Inputs'!$C$87:$F$87,Q36),IF(AND(Q35=5,(INT(('Inputs'!$C$17-1)/4)+1)&lt;&gt;5),INDEX('Inputs'!$C$88:$F$88,Q36),INDEX('Inputs'!$C$81:$F$86,Q35,Q36)))</f>
        <v/>
      </c>
      <c r="R70" s="39">
        <f>IF(R35=(INT(('Inputs'!$C$17-1)/4)+1),INDEX('Inputs'!$C$87:$F$87,R36),IF(AND(R35=5,(INT(('Inputs'!$C$17-1)/4)+1)&lt;&gt;5),INDEX('Inputs'!$C$88:$F$88,R36),INDEX('Inputs'!$C$81:$F$86,R35,R36)))</f>
        <v/>
      </c>
      <c r="S70" s="39">
        <f>IF(S35=(INT(('Inputs'!$C$17-1)/4)+1),INDEX('Inputs'!$C$87:$F$87,S36),IF(AND(S35=5,(INT(('Inputs'!$C$17-1)/4)+1)&lt;&gt;5),INDEX('Inputs'!$C$88:$F$88,S36),INDEX('Inputs'!$C$81:$F$86,S35,S36)))</f>
        <v/>
      </c>
      <c r="T70" s="39">
        <f>IF(T35=(INT(('Inputs'!$C$17-1)/4)+1),INDEX('Inputs'!$C$87:$F$87,T36),IF(AND(T35=5,(INT(('Inputs'!$C$17-1)/4)+1)&lt;&gt;5),INDEX('Inputs'!$C$88:$F$88,T36),INDEX('Inputs'!$C$81:$F$86,T35,T36)))</f>
        <v/>
      </c>
      <c r="U70" s="39">
        <f>IF(U35=(INT(('Inputs'!$C$17-1)/4)+1),INDEX('Inputs'!$C$87:$F$87,U36),IF(AND(U35=5,(INT(('Inputs'!$C$17-1)/4)+1)&lt;&gt;5),INDEX('Inputs'!$C$88:$F$88,U36),INDEX('Inputs'!$C$81:$F$86,U35,U36)))</f>
        <v/>
      </c>
      <c r="V70" s="39">
        <f>IF(V35=(INT(('Inputs'!$C$17-1)/4)+1),INDEX('Inputs'!$C$87:$F$87,V36),IF(AND(V35=5,(INT(('Inputs'!$C$17-1)/4)+1)&lt;&gt;5),INDEX('Inputs'!$C$88:$F$88,V36),INDEX('Inputs'!$C$81:$F$86,V35,V36)))</f>
        <v/>
      </c>
      <c r="W70" s="39">
        <f>IF(W35=(INT(('Inputs'!$C$17-1)/4)+1),INDEX('Inputs'!$C$87:$F$87,W36),IF(AND(W35=5,(INT(('Inputs'!$C$17-1)/4)+1)&lt;&gt;5),INDEX('Inputs'!$C$88:$F$88,W36),INDEX('Inputs'!$C$81:$F$86,W35,W36)))</f>
        <v/>
      </c>
      <c r="X70" s="39">
        <f>IF(X35=(INT(('Inputs'!$C$17-1)/4)+1),INDEX('Inputs'!$C$87:$F$87,X36),IF(AND(X35=5,(INT(('Inputs'!$C$17-1)/4)+1)&lt;&gt;5),INDEX('Inputs'!$C$88:$F$88,X36),INDEX('Inputs'!$C$81:$F$86,X35,X36)))</f>
        <v/>
      </c>
      <c r="Y70" s="39">
        <f>IF(Y35=(INT(('Inputs'!$C$17-1)/4)+1),INDEX('Inputs'!$C$87:$F$87,Y36),IF(AND(Y35=5,(INT(('Inputs'!$C$17-1)/4)+1)&lt;&gt;5),INDEX('Inputs'!$C$88:$F$88,Y36),INDEX('Inputs'!$C$81:$F$86,Y35,Y36)))</f>
        <v/>
      </c>
      <c r="Z70" s="39">
        <f>IF(Z35=(INT(('Inputs'!$C$17-1)/4)+1),INDEX('Inputs'!$C$87:$F$87,Z36),IF(AND(Z35=5,(INT(('Inputs'!$C$17-1)/4)+1)&lt;&gt;5),INDEX('Inputs'!$C$88:$F$88,Z36),INDEX('Inputs'!$C$81:$F$86,Z35,Z36)))</f>
        <v/>
      </c>
      <c r="AA70" s="39">
        <f>IF(AA35=(INT(('Inputs'!$C$17-1)/4)+1),INDEX('Inputs'!$C$87:$F$87,AA36),IF(AND(AA35=5,(INT(('Inputs'!$C$17-1)/4)+1)&lt;&gt;5),INDEX('Inputs'!$C$88:$F$88,AA36),INDEX('Inputs'!$C$81:$F$86,AA35,AA36)))</f>
        <v/>
      </c>
      <c r="AB70" s="39">
        <f>IF(AB35=(INT(('Inputs'!$C$17-1)/4)+1),INDEX('Inputs'!$C$87:$F$87,AB36),IF(AND(AB35=5,(INT(('Inputs'!$C$17-1)/4)+1)&lt;&gt;5),INDEX('Inputs'!$C$88:$F$88,AB36),INDEX('Inputs'!$C$81:$F$86,AB35,AB36)))</f>
        <v/>
      </c>
    </row>
    <row r="71">
      <c r="B71" s="12" t="inlineStr">
        <is>
          <t>One-off costs</t>
        </is>
      </c>
      <c r="C71" s="11" t="inlineStr">
        <is>
          <t>$m</t>
        </is>
      </c>
      <c r="D71" s="12" t="n"/>
      <c r="E71" s="36">
        <f>E69*E70</f>
        <v/>
      </c>
      <c r="F71" s="36">
        <f>F69*F70</f>
        <v/>
      </c>
      <c r="G71" s="36">
        <f>G69*G70</f>
        <v/>
      </c>
      <c r="H71" s="36">
        <f>H69*H70</f>
        <v/>
      </c>
      <c r="I71" s="36">
        <f>I69*I70</f>
        <v/>
      </c>
      <c r="J71" s="36">
        <f>J69*J70</f>
        <v/>
      </c>
      <c r="K71" s="36">
        <f>K69*K70</f>
        <v/>
      </c>
      <c r="L71" s="36">
        <f>L69*L70</f>
        <v/>
      </c>
      <c r="M71" s="36">
        <f>M69*M70</f>
        <v/>
      </c>
      <c r="N71" s="36">
        <f>N69*N70</f>
        <v/>
      </c>
      <c r="O71" s="36">
        <f>O69*O70</f>
        <v/>
      </c>
      <c r="P71" s="36">
        <f>P69*P70</f>
        <v/>
      </c>
      <c r="Q71" s="36">
        <f>Q69*Q70</f>
        <v/>
      </c>
      <c r="R71" s="36">
        <f>R69*R70</f>
        <v/>
      </c>
      <c r="S71" s="36">
        <f>S69*S70</f>
        <v/>
      </c>
      <c r="T71" s="36">
        <f>T69*T70</f>
        <v/>
      </c>
      <c r="U71" s="36">
        <f>U69*U70</f>
        <v/>
      </c>
      <c r="V71" s="36">
        <f>V69*V70</f>
        <v/>
      </c>
      <c r="W71" s="36">
        <f>W69*W70</f>
        <v/>
      </c>
      <c r="X71" s="36">
        <f>X69*X70</f>
        <v/>
      </c>
      <c r="Y71" s="36">
        <f>Y69*Y70</f>
        <v/>
      </c>
      <c r="Z71" s="36">
        <f>Z69*Z70</f>
        <v/>
      </c>
      <c r="AA71" s="36">
        <f>AA69*AA70</f>
        <v/>
      </c>
      <c r="AB71" s="36">
        <f>AB69*AB70</f>
        <v/>
      </c>
    </row>
    <row r="72">
      <c r="B72" s="5" t="inlineStr">
        <is>
          <t>Reported EBITDA</t>
        </is>
      </c>
      <c r="C72" s="37" t="inlineStr">
        <is>
          <t>$m</t>
        </is>
      </c>
      <c r="D72" s="5" t="n"/>
      <c r="E72" s="38">
        <f>E59-E68-E71</f>
        <v/>
      </c>
      <c r="F72" s="38">
        <f>F59-F68-F71</f>
        <v/>
      </c>
      <c r="G72" s="38">
        <f>G59-G68-G71</f>
        <v/>
      </c>
      <c r="H72" s="38">
        <f>H59-H68-H71</f>
        <v/>
      </c>
      <c r="I72" s="38">
        <f>I59-I68-I71</f>
        <v/>
      </c>
      <c r="J72" s="38">
        <f>J59-J68-J71</f>
        <v/>
      </c>
      <c r="K72" s="38">
        <f>K59-K68-K71</f>
        <v/>
      </c>
      <c r="L72" s="38">
        <f>L59-L68-L71</f>
        <v/>
      </c>
      <c r="M72" s="38">
        <f>M59-M68-M71</f>
        <v/>
      </c>
      <c r="N72" s="38">
        <f>N59-N68-N71</f>
        <v/>
      </c>
      <c r="O72" s="38">
        <f>O59-O68-O71</f>
        <v/>
      </c>
      <c r="P72" s="38">
        <f>P59-P68-P71</f>
        <v/>
      </c>
      <c r="Q72" s="38">
        <f>Q59-Q68-Q71</f>
        <v/>
      </c>
      <c r="R72" s="38">
        <f>R59-R68-R71</f>
        <v/>
      </c>
      <c r="S72" s="38">
        <f>S59-S68-S71</f>
        <v/>
      </c>
      <c r="T72" s="38">
        <f>T59-T68-T71</f>
        <v/>
      </c>
      <c r="U72" s="38">
        <f>U59-U68-U71</f>
        <v/>
      </c>
      <c r="V72" s="38">
        <f>V59-V68-V71</f>
        <v/>
      </c>
      <c r="W72" s="38">
        <f>W59-W68-W71</f>
        <v/>
      </c>
      <c r="X72" s="38">
        <f>X59-X68-X71</f>
        <v/>
      </c>
      <c r="Y72" s="38">
        <f>Y59-Y68-Y71</f>
        <v/>
      </c>
      <c r="Z72" s="38">
        <f>Z59-Z68-Z71</f>
        <v/>
      </c>
      <c r="AA72" s="38">
        <f>AA59-AA68-AA71</f>
        <v/>
      </c>
      <c r="AB72" s="38">
        <f>AB59-AB68-AB71</f>
        <v/>
      </c>
    </row>
    <row r="73">
      <c r="B73" s="12" t="inlineStr">
        <is>
          <t>Synergies realized in the quarter</t>
        </is>
      </c>
      <c r="C73" s="11" t="inlineStr">
        <is>
          <t>$m</t>
        </is>
      </c>
      <c r="D73" s="12" t="n"/>
      <c r="E73" s="42">
        <f>('Inputs'!$C$110+'Inputs'!$C$111)*E50/4</f>
        <v/>
      </c>
      <c r="F73" s="42">
        <f>('Inputs'!$C$110+'Inputs'!$C$111)*F50/4</f>
        <v/>
      </c>
      <c r="G73" s="42">
        <f>('Inputs'!$C$110+'Inputs'!$C$111)*G50/4</f>
        <v/>
      </c>
      <c r="H73" s="42">
        <f>('Inputs'!$C$110+'Inputs'!$C$111)*H50/4</f>
        <v/>
      </c>
      <c r="I73" s="42">
        <f>('Inputs'!$C$110+'Inputs'!$C$111)*I50/4</f>
        <v/>
      </c>
      <c r="J73" s="42">
        <f>('Inputs'!$C$110+'Inputs'!$C$111)*J50/4</f>
        <v/>
      </c>
      <c r="K73" s="42">
        <f>('Inputs'!$C$110+'Inputs'!$C$111)*K50/4</f>
        <v/>
      </c>
      <c r="L73" s="42">
        <f>('Inputs'!$C$110+'Inputs'!$C$111)*L50/4</f>
        <v/>
      </c>
      <c r="M73" s="42">
        <f>('Inputs'!$C$110+'Inputs'!$C$111)*M50/4</f>
        <v/>
      </c>
      <c r="N73" s="42">
        <f>('Inputs'!$C$110+'Inputs'!$C$111)*N50/4</f>
        <v/>
      </c>
      <c r="O73" s="42">
        <f>('Inputs'!$C$110+'Inputs'!$C$111)*O50/4</f>
        <v/>
      </c>
      <c r="P73" s="42">
        <f>('Inputs'!$C$110+'Inputs'!$C$111)*P50/4</f>
        <v/>
      </c>
      <c r="Q73" s="42">
        <f>('Inputs'!$C$110+'Inputs'!$C$111)*Q50/4</f>
        <v/>
      </c>
      <c r="R73" s="42">
        <f>('Inputs'!$C$110+'Inputs'!$C$111)*R50/4</f>
        <v/>
      </c>
      <c r="S73" s="42">
        <f>('Inputs'!$C$110+'Inputs'!$C$111)*S50/4</f>
        <v/>
      </c>
      <c r="T73" s="42">
        <f>('Inputs'!$C$110+'Inputs'!$C$111)*T50/4</f>
        <v/>
      </c>
      <c r="U73" s="42">
        <f>('Inputs'!$C$110+'Inputs'!$C$111)*U50/4</f>
        <v/>
      </c>
      <c r="V73" s="42">
        <f>('Inputs'!$C$110+'Inputs'!$C$111)*V50/4</f>
        <v/>
      </c>
      <c r="W73" s="42">
        <f>('Inputs'!$C$110+'Inputs'!$C$111)*W50/4</f>
        <v/>
      </c>
      <c r="X73" s="42">
        <f>('Inputs'!$C$110+'Inputs'!$C$111)*X50/4</f>
        <v/>
      </c>
      <c r="Y73" s="42">
        <f>('Inputs'!$C$110+'Inputs'!$C$111)*Y50/4</f>
        <v/>
      </c>
      <c r="Z73" s="42">
        <f>('Inputs'!$C$110+'Inputs'!$C$111)*Z50/4</f>
        <v/>
      </c>
      <c r="AA73" s="42">
        <f>('Inputs'!$C$110+'Inputs'!$C$111)*AA50/4</f>
        <v/>
      </c>
      <c r="AB73" s="42">
        <f>('Inputs'!$C$110+'Inputs'!$C$111)*AB50/4</f>
        <v/>
      </c>
    </row>
    <row r="74"/>
    <row r="75">
      <c r="B75" s="8" t="inlineStr">
        <is>
          <t>Working capital (Chapter 6)</t>
        </is>
      </c>
      <c r="C75" s="8" t="inlineStr">
        <is>
          <t>Unit</t>
        </is>
      </c>
      <c r="D75" s="9" t="inlineStr">
        <is>
          <t>Close</t>
        </is>
      </c>
      <c r="E75" s="9" t="inlineStr">
        <is>
          <t>Y1 Q1</t>
        </is>
      </c>
      <c r="F75" s="9" t="inlineStr">
        <is>
          <t>Y1 Q2</t>
        </is>
      </c>
      <c r="G75" s="9" t="inlineStr">
        <is>
          <t>Y1 Q3</t>
        </is>
      </c>
      <c r="H75" s="9" t="inlineStr">
        <is>
          <t>Y1 Q4</t>
        </is>
      </c>
      <c r="I75" s="9" t="inlineStr">
        <is>
          <t>Y2 Q1</t>
        </is>
      </c>
      <c r="J75" s="9" t="inlineStr">
        <is>
          <t>Y2 Q2</t>
        </is>
      </c>
      <c r="K75" s="9" t="inlineStr">
        <is>
          <t>Y2 Q3</t>
        </is>
      </c>
      <c r="L75" s="9" t="inlineStr">
        <is>
          <t>Y2 Q4</t>
        </is>
      </c>
      <c r="M75" s="9" t="inlineStr">
        <is>
          <t>Y3 Q1</t>
        </is>
      </c>
      <c r="N75" s="9" t="inlineStr">
        <is>
          <t>Y3 Q2</t>
        </is>
      </c>
      <c r="O75" s="9" t="inlineStr">
        <is>
          <t>Y3 Q3</t>
        </is>
      </c>
      <c r="P75" s="9" t="inlineStr">
        <is>
          <t>Y3 Q4</t>
        </is>
      </c>
      <c r="Q75" s="9" t="inlineStr">
        <is>
          <t>Y4 Q1</t>
        </is>
      </c>
      <c r="R75" s="9" t="inlineStr">
        <is>
          <t>Y4 Q2</t>
        </is>
      </c>
      <c r="S75" s="9" t="inlineStr">
        <is>
          <t>Y4 Q3</t>
        </is>
      </c>
      <c r="T75" s="9" t="inlineStr">
        <is>
          <t>Y4 Q4</t>
        </is>
      </c>
      <c r="U75" s="9" t="inlineStr">
        <is>
          <t>Y5 Q1</t>
        </is>
      </c>
      <c r="V75" s="9" t="inlineStr">
        <is>
          <t>Y5 Q2</t>
        </is>
      </c>
      <c r="W75" s="9" t="inlineStr">
        <is>
          <t>Y5 Q3</t>
        </is>
      </c>
      <c r="X75" s="9" t="inlineStr">
        <is>
          <t>Y5 Q4</t>
        </is>
      </c>
      <c r="Y75" s="9" t="inlineStr">
        <is>
          <t>Y6 Q1</t>
        </is>
      </c>
      <c r="Z75" s="9" t="inlineStr">
        <is>
          <t>Y6 Q2</t>
        </is>
      </c>
      <c r="AA75" s="9" t="inlineStr">
        <is>
          <t>Y6 Q3</t>
        </is>
      </c>
      <c r="AB75" s="9" t="inlineStr">
        <is>
          <t>Y6 Q4</t>
        </is>
      </c>
    </row>
    <row r="76">
      <c r="B76" s="12" t="inlineStr">
        <is>
          <t>Receivable days (case + lever)</t>
        </is>
      </c>
      <c r="C76" s="11" t="inlineStr">
        <is>
          <t>days</t>
        </is>
      </c>
      <c r="D76" s="43">
        <f>'Inputs'!$C$39</f>
        <v/>
      </c>
      <c r="E76" s="43">
        <f>'Drivers'!E$31+'Inputs'!$C$11</f>
        <v/>
      </c>
      <c r="F76" s="43">
        <f>'Drivers'!F$31+'Inputs'!$C$11</f>
        <v/>
      </c>
      <c r="G76" s="43">
        <f>'Drivers'!G$31+'Inputs'!$C$11</f>
        <v/>
      </c>
      <c r="H76" s="43">
        <f>'Drivers'!H$31+'Inputs'!$C$11</f>
        <v/>
      </c>
      <c r="I76" s="43">
        <f>'Drivers'!I$31+'Inputs'!$C$11</f>
        <v/>
      </c>
      <c r="J76" s="43">
        <f>'Drivers'!J$31+'Inputs'!$C$11</f>
        <v/>
      </c>
      <c r="K76" s="43">
        <f>'Drivers'!K$31+'Inputs'!$C$11</f>
        <v/>
      </c>
      <c r="L76" s="43">
        <f>'Drivers'!L$31+'Inputs'!$C$11</f>
        <v/>
      </c>
      <c r="M76" s="43">
        <f>'Drivers'!M$31+'Inputs'!$C$11</f>
        <v/>
      </c>
      <c r="N76" s="43">
        <f>'Drivers'!N$31+'Inputs'!$C$11</f>
        <v/>
      </c>
      <c r="O76" s="43">
        <f>'Drivers'!O$31+'Inputs'!$C$11</f>
        <v/>
      </c>
      <c r="P76" s="43">
        <f>'Drivers'!P$31+'Inputs'!$C$11</f>
        <v/>
      </c>
      <c r="Q76" s="43">
        <f>'Drivers'!Q$31+'Inputs'!$C$11</f>
        <v/>
      </c>
      <c r="R76" s="43">
        <f>'Drivers'!R$31+'Inputs'!$C$11</f>
        <v/>
      </c>
      <c r="S76" s="43">
        <f>'Drivers'!S$31+'Inputs'!$C$11</f>
        <v/>
      </c>
      <c r="T76" s="43">
        <f>'Drivers'!T$31+'Inputs'!$C$11</f>
        <v/>
      </c>
      <c r="U76" s="43">
        <f>'Drivers'!U$31+'Inputs'!$C$11</f>
        <v/>
      </c>
      <c r="V76" s="43">
        <f>'Drivers'!V$31+'Inputs'!$C$11</f>
        <v/>
      </c>
      <c r="W76" s="43">
        <f>'Drivers'!W$31+'Inputs'!$C$11</f>
        <v/>
      </c>
      <c r="X76" s="43">
        <f>'Drivers'!X$31+'Inputs'!$C$11</f>
        <v/>
      </c>
      <c r="Y76" s="43">
        <f>'Drivers'!Y$31+'Inputs'!$C$11</f>
        <v/>
      </c>
      <c r="Z76" s="43">
        <f>'Drivers'!Z$31+'Inputs'!$C$11</f>
        <v/>
      </c>
      <c r="AA76" s="43">
        <f>'Drivers'!AA$31+'Inputs'!$C$11</f>
        <v/>
      </c>
      <c r="AB76" s="43">
        <f>'Drivers'!AB$31+'Inputs'!$C$11</f>
        <v/>
      </c>
    </row>
    <row r="77">
      <c r="B77" s="12" t="inlineStr">
        <is>
          <t>Inventory days (case + lever)</t>
        </is>
      </c>
      <c r="C77" s="11" t="inlineStr">
        <is>
          <t>days</t>
        </is>
      </c>
      <c r="D77" s="43">
        <f>'Inputs'!$C$40</f>
        <v/>
      </c>
      <c r="E77" s="43">
        <f>'Drivers'!E$38+'Inputs'!$C$12</f>
        <v/>
      </c>
      <c r="F77" s="43">
        <f>'Drivers'!F$38+'Inputs'!$C$12</f>
        <v/>
      </c>
      <c r="G77" s="43">
        <f>'Drivers'!G$38+'Inputs'!$C$12</f>
        <v/>
      </c>
      <c r="H77" s="43">
        <f>'Drivers'!H$38+'Inputs'!$C$12</f>
        <v/>
      </c>
      <c r="I77" s="43">
        <f>'Drivers'!I$38+'Inputs'!$C$12</f>
        <v/>
      </c>
      <c r="J77" s="43">
        <f>'Drivers'!J$38+'Inputs'!$C$12</f>
        <v/>
      </c>
      <c r="K77" s="43">
        <f>'Drivers'!K$38+'Inputs'!$C$12</f>
        <v/>
      </c>
      <c r="L77" s="43">
        <f>'Drivers'!L$38+'Inputs'!$C$12</f>
        <v/>
      </c>
      <c r="M77" s="43">
        <f>'Drivers'!M$38+'Inputs'!$C$12</f>
        <v/>
      </c>
      <c r="N77" s="43">
        <f>'Drivers'!N$38+'Inputs'!$C$12</f>
        <v/>
      </c>
      <c r="O77" s="43">
        <f>'Drivers'!O$38+'Inputs'!$C$12</f>
        <v/>
      </c>
      <c r="P77" s="43">
        <f>'Drivers'!P$38+'Inputs'!$C$12</f>
        <v/>
      </c>
      <c r="Q77" s="43">
        <f>'Drivers'!Q$38+'Inputs'!$C$12</f>
        <v/>
      </c>
      <c r="R77" s="43">
        <f>'Drivers'!R$38+'Inputs'!$C$12</f>
        <v/>
      </c>
      <c r="S77" s="43">
        <f>'Drivers'!S$38+'Inputs'!$C$12</f>
        <v/>
      </c>
      <c r="T77" s="43">
        <f>'Drivers'!T$38+'Inputs'!$C$12</f>
        <v/>
      </c>
      <c r="U77" s="43">
        <f>'Drivers'!U$38+'Inputs'!$C$12</f>
        <v/>
      </c>
      <c r="V77" s="43">
        <f>'Drivers'!V$38+'Inputs'!$C$12</f>
        <v/>
      </c>
      <c r="W77" s="43">
        <f>'Drivers'!W$38+'Inputs'!$C$12</f>
        <v/>
      </c>
      <c r="X77" s="43">
        <f>'Drivers'!X$38+'Inputs'!$C$12</f>
        <v/>
      </c>
      <c r="Y77" s="43">
        <f>'Drivers'!Y$38+'Inputs'!$C$12</f>
        <v/>
      </c>
      <c r="Z77" s="43">
        <f>'Drivers'!Z$38+'Inputs'!$C$12</f>
        <v/>
      </c>
      <c r="AA77" s="43">
        <f>'Drivers'!AA$38+'Inputs'!$C$12</f>
        <v/>
      </c>
      <c r="AB77" s="43">
        <f>'Drivers'!AB$38+'Inputs'!$C$12</f>
        <v/>
      </c>
    </row>
    <row r="78">
      <c r="B78" s="12" t="inlineStr">
        <is>
          <t>Payable days (case + lever)</t>
        </is>
      </c>
      <c r="C78" s="11" t="inlineStr">
        <is>
          <t>days</t>
        </is>
      </c>
      <c r="D78" s="43">
        <f>'Inputs'!$C$41</f>
        <v/>
      </c>
      <c r="E78" s="43">
        <f>'Drivers'!E$45+'Inputs'!$C$13</f>
        <v/>
      </c>
      <c r="F78" s="43">
        <f>'Drivers'!F$45+'Inputs'!$C$13</f>
        <v/>
      </c>
      <c r="G78" s="43">
        <f>'Drivers'!G$45+'Inputs'!$C$13</f>
        <v/>
      </c>
      <c r="H78" s="43">
        <f>'Drivers'!H$45+'Inputs'!$C$13</f>
        <v/>
      </c>
      <c r="I78" s="43">
        <f>'Drivers'!I$45+'Inputs'!$C$13</f>
        <v/>
      </c>
      <c r="J78" s="43">
        <f>'Drivers'!J$45+'Inputs'!$C$13</f>
        <v/>
      </c>
      <c r="K78" s="43">
        <f>'Drivers'!K$45+'Inputs'!$C$13</f>
        <v/>
      </c>
      <c r="L78" s="43">
        <f>'Drivers'!L$45+'Inputs'!$C$13</f>
        <v/>
      </c>
      <c r="M78" s="43">
        <f>'Drivers'!M$45+'Inputs'!$C$13</f>
        <v/>
      </c>
      <c r="N78" s="43">
        <f>'Drivers'!N$45+'Inputs'!$C$13</f>
        <v/>
      </c>
      <c r="O78" s="43">
        <f>'Drivers'!O$45+'Inputs'!$C$13</f>
        <v/>
      </c>
      <c r="P78" s="43">
        <f>'Drivers'!P$45+'Inputs'!$C$13</f>
        <v/>
      </c>
      <c r="Q78" s="43">
        <f>'Drivers'!Q$45+'Inputs'!$C$13</f>
        <v/>
      </c>
      <c r="R78" s="43">
        <f>'Drivers'!R$45+'Inputs'!$C$13</f>
        <v/>
      </c>
      <c r="S78" s="43">
        <f>'Drivers'!S$45+'Inputs'!$C$13</f>
        <v/>
      </c>
      <c r="T78" s="43">
        <f>'Drivers'!T$45+'Inputs'!$C$13</f>
        <v/>
      </c>
      <c r="U78" s="43">
        <f>'Drivers'!U$45+'Inputs'!$C$13</f>
        <v/>
      </c>
      <c r="V78" s="43">
        <f>'Drivers'!V$45+'Inputs'!$C$13</f>
        <v/>
      </c>
      <c r="W78" s="43">
        <f>'Drivers'!W$45+'Inputs'!$C$13</f>
        <v/>
      </c>
      <c r="X78" s="43">
        <f>'Drivers'!X$45+'Inputs'!$C$13</f>
        <v/>
      </c>
      <c r="Y78" s="43">
        <f>'Drivers'!Y$45+'Inputs'!$C$13</f>
        <v/>
      </c>
      <c r="Z78" s="43">
        <f>'Drivers'!Z$45+'Inputs'!$C$13</f>
        <v/>
      </c>
      <c r="AA78" s="43">
        <f>'Drivers'!AA$45+'Inputs'!$C$13</f>
        <v/>
      </c>
      <c r="AB78" s="43">
        <f>'Drivers'!AB$45+'Inputs'!$C$13</f>
        <v/>
      </c>
    </row>
    <row r="79">
      <c r="B79" s="12" t="inlineStr">
        <is>
          <t>Receivables</t>
        </is>
      </c>
      <c r="C79" s="11" t="inlineStr">
        <is>
          <t>$m</t>
        </is>
      </c>
      <c r="D79" s="36">
        <f>'Quarterly'!$D$18</f>
        <v/>
      </c>
      <c r="E79" s="36">
        <f>E45*4*E76/365</f>
        <v/>
      </c>
      <c r="F79" s="36">
        <f>F45*4*F76/365</f>
        <v/>
      </c>
      <c r="G79" s="36">
        <f>G45*4*G76/365</f>
        <v/>
      </c>
      <c r="H79" s="36">
        <f>H45*4*H76/365</f>
        <v/>
      </c>
      <c r="I79" s="36">
        <f>I45*4*I76/365</f>
        <v/>
      </c>
      <c r="J79" s="36">
        <f>J45*4*J76/365</f>
        <v/>
      </c>
      <c r="K79" s="36">
        <f>K45*4*K76/365</f>
        <v/>
      </c>
      <c r="L79" s="36">
        <f>L45*4*L76/365</f>
        <v/>
      </c>
      <c r="M79" s="36">
        <f>M45*4*M76/365</f>
        <v/>
      </c>
      <c r="N79" s="36">
        <f>N45*4*N76/365</f>
        <v/>
      </c>
      <c r="O79" s="36">
        <f>O45*4*O76/365</f>
        <v/>
      </c>
      <c r="P79" s="36">
        <f>P45*4*P76/365</f>
        <v/>
      </c>
      <c r="Q79" s="36">
        <f>Q45*4*Q76/365</f>
        <v/>
      </c>
      <c r="R79" s="36">
        <f>R45*4*R76/365</f>
        <v/>
      </c>
      <c r="S79" s="36">
        <f>S45*4*S76/365</f>
        <v/>
      </c>
      <c r="T79" s="36">
        <f>T45*4*T76/365</f>
        <v/>
      </c>
      <c r="U79" s="36">
        <f>U45*4*U76/365</f>
        <v/>
      </c>
      <c r="V79" s="36">
        <f>V45*4*V76/365</f>
        <v/>
      </c>
      <c r="W79" s="36">
        <f>W45*4*W76/365</f>
        <v/>
      </c>
      <c r="X79" s="36">
        <f>X45*4*X76/365</f>
        <v/>
      </c>
      <c r="Y79" s="36">
        <f>Y45*4*Y76/365</f>
        <v/>
      </c>
      <c r="Z79" s="36">
        <f>Z45*4*Z76/365</f>
        <v/>
      </c>
      <c r="AA79" s="36">
        <f>AA45*4*AA76/365</f>
        <v/>
      </c>
      <c r="AB79" s="36">
        <f>AB45*4*AB76/365</f>
        <v/>
      </c>
    </row>
    <row r="80">
      <c r="B80" s="12" t="inlineStr">
        <is>
          <t>Inventory (closing: after the obsolete stock)</t>
        </is>
      </c>
      <c r="C80" s="11" t="inlineStr">
        <is>
          <t>$m</t>
        </is>
      </c>
      <c r="D80" s="36">
        <f>'Quarterly'!$D$19-'Inputs'!$C$43</f>
        <v/>
      </c>
      <c r="E80" s="36">
        <f>E52*4*E77/365</f>
        <v/>
      </c>
      <c r="F80" s="36">
        <f>F52*4*F77/365</f>
        <v/>
      </c>
      <c r="G80" s="36">
        <f>G52*4*G77/365</f>
        <v/>
      </c>
      <c r="H80" s="36">
        <f>H52*4*H77/365</f>
        <v/>
      </c>
      <c r="I80" s="36">
        <f>I52*4*I77/365</f>
        <v/>
      </c>
      <c r="J80" s="36">
        <f>J52*4*J77/365</f>
        <v/>
      </c>
      <c r="K80" s="36">
        <f>K52*4*K77/365</f>
        <v/>
      </c>
      <c r="L80" s="36">
        <f>L52*4*L77/365</f>
        <v/>
      </c>
      <c r="M80" s="36">
        <f>M52*4*M77/365</f>
        <v/>
      </c>
      <c r="N80" s="36">
        <f>N52*4*N77/365</f>
        <v/>
      </c>
      <c r="O80" s="36">
        <f>O52*4*O77/365</f>
        <v/>
      </c>
      <c r="P80" s="36">
        <f>P52*4*P77/365</f>
        <v/>
      </c>
      <c r="Q80" s="36">
        <f>Q52*4*Q77/365</f>
        <v/>
      </c>
      <c r="R80" s="36">
        <f>R52*4*R77/365</f>
        <v/>
      </c>
      <c r="S80" s="36">
        <f>S52*4*S77/365</f>
        <v/>
      </c>
      <c r="T80" s="36">
        <f>T52*4*T77/365</f>
        <v/>
      </c>
      <c r="U80" s="36">
        <f>U52*4*U77/365</f>
        <v/>
      </c>
      <c r="V80" s="36">
        <f>V52*4*V77/365</f>
        <v/>
      </c>
      <c r="W80" s="36">
        <f>W52*4*W77/365</f>
        <v/>
      </c>
      <c r="X80" s="36">
        <f>X52*4*X77/365</f>
        <v/>
      </c>
      <c r="Y80" s="36">
        <f>Y52*4*Y77/365</f>
        <v/>
      </c>
      <c r="Z80" s="36">
        <f>Z52*4*Z77/365</f>
        <v/>
      </c>
      <c r="AA80" s="36">
        <f>AA52*4*AA77/365</f>
        <v/>
      </c>
      <c r="AB80" s="36">
        <f>AB52*4*AB77/365</f>
        <v/>
      </c>
    </row>
    <row r="81">
      <c r="B81" s="12" t="inlineStr">
        <is>
          <t>Payables</t>
        </is>
      </c>
      <c r="C81" s="11" t="inlineStr">
        <is>
          <t>$m</t>
        </is>
      </c>
      <c r="D81" s="36">
        <f>'Quarterly'!$D$21</f>
        <v/>
      </c>
      <c r="E81" s="36">
        <f>E52*4*E78/365</f>
        <v/>
      </c>
      <c r="F81" s="36">
        <f>F52*4*F78/365</f>
        <v/>
      </c>
      <c r="G81" s="36">
        <f>G52*4*G78/365</f>
        <v/>
      </c>
      <c r="H81" s="36">
        <f>H52*4*H78/365</f>
        <v/>
      </c>
      <c r="I81" s="36">
        <f>I52*4*I78/365</f>
        <v/>
      </c>
      <c r="J81" s="36">
        <f>J52*4*J78/365</f>
        <v/>
      </c>
      <c r="K81" s="36">
        <f>K52*4*K78/365</f>
        <v/>
      </c>
      <c r="L81" s="36">
        <f>L52*4*L78/365</f>
        <v/>
      </c>
      <c r="M81" s="36">
        <f>M52*4*M78/365</f>
        <v/>
      </c>
      <c r="N81" s="36">
        <f>N52*4*N78/365</f>
        <v/>
      </c>
      <c r="O81" s="36">
        <f>O52*4*O78/365</f>
        <v/>
      </c>
      <c r="P81" s="36">
        <f>P52*4*P78/365</f>
        <v/>
      </c>
      <c r="Q81" s="36">
        <f>Q52*4*Q78/365</f>
        <v/>
      </c>
      <c r="R81" s="36">
        <f>R52*4*R78/365</f>
        <v/>
      </c>
      <c r="S81" s="36">
        <f>S52*4*S78/365</f>
        <v/>
      </c>
      <c r="T81" s="36">
        <f>T52*4*T78/365</f>
        <v/>
      </c>
      <c r="U81" s="36">
        <f>U52*4*U78/365</f>
        <v/>
      </c>
      <c r="V81" s="36">
        <f>V52*4*V78/365</f>
        <v/>
      </c>
      <c r="W81" s="36">
        <f>W52*4*W78/365</f>
        <v/>
      </c>
      <c r="X81" s="36">
        <f>X52*4*X78/365</f>
        <v/>
      </c>
      <c r="Y81" s="36">
        <f>Y52*4*Y78/365</f>
        <v/>
      </c>
      <c r="Z81" s="36">
        <f>Z52*4*Z78/365</f>
        <v/>
      </c>
      <c r="AA81" s="36">
        <f>AA52*4*AA78/365</f>
        <v/>
      </c>
      <c r="AB81" s="36">
        <f>AB52*4*AB78/365</f>
        <v/>
      </c>
    </row>
    <row r="82">
      <c r="B82" s="12" t="inlineStr">
        <is>
          <t>Rebates receivable</t>
        </is>
      </c>
      <c r="C82" s="11" t="inlineStr">
        <is>
          <t>$m</t>
        </is>
      </c>
      <c r="D82" s="36">
        <f>'Quarterly'!$D$20</f>
        <v/>
      </c>
      <c r="E82" s="36">
        <f>E57</f>
        <v/>
      </c>
      <c r="F82" s="36">
        <f>F57</f>
        <v/>
      </c>
      <c r="G82" s="36">
        <f>G57</f>
        <v/>
      </c>
      <c r="H82" s="36">
        <f>H57</f>
        <v/>
      </c>
      <c r="I82" s="36">
        <f>I57</f>
        <v/>
      </c>
      <c r="J82" s="36">
        <f>J57</f>
        <v/>
      </c>
      <c r="K82" s="36">
        <f>K57</f>
        <v/>
      </c>
      <c r="L82" s="36">
        <f>L57</f>
        <v/>
      </c>
      <c r="M82" s="36">
        <f>M57</f>
        <v/>
      </c>
      <c r="N82" s="36">
        <f>N57</f>
        <v/>
      </c>
      <c r="O82" s="36">
        <f>O57</f>
        <v/>
      </c>
      <c r="P82" s="36">
        <f>P57</f>
        <v/>
      </c>
      <c r="Q82" s="36">
        <f>Q57</f>
        <v/>
      </c>
      <c r="R82" s="36">
        <f>R57</f>
        <v/>
      </c>
      <c r="S82" s="36">
        <f>S57</f>
        <v/>
      </c>
      <c r="T82" s="36">
        <f>T57</f>
        <v/>
      </c>
      <c r="U82" s="36">
        <f>U57</f>
        <v/>
      </c>
      <c r="V82" s="36">
        <f>V57</f>
        <v/>
      </c>
      <c r="W82" s="36">
        <f>W57</f>
        <v/>
      </c>
      <c r="X82" s="36">
        <f>X57</f>
        <v/>
      </c>
      <c r="Y82" s="36">
        <f>Y57</f>
        <v/>
      </c>
      <c r="Z82" s="36">
        <f>Z57</f>
        <v/>
      </c>
      <c r="AA82" s="36">
        <f>AA57</f>
        <v/>
      </c>
      <c r="AB82" s="36">
        <f>AB57</f>
        <v/>
      </c>
    </row>
    <row r="83">
      <c r="B83" s="5" t="inlineStr">
        <is>
          <t>Net working capital</t>
        </is>
      </c>
      <c r="C83" s="37" t="inlineStr">
        <is>
          <t>$m</t>
        </is>
      </c>
      <c r="D83" s="38">
        <f>D79+D80+D82-D81</f>
        <v/>
      </c>
      <c r="E83" s="38">
        <f>E79+E80+E82-E81</f>
        <v/>
      </c>
      <c r="F83" s="38">
        <f>F79+F80+F82-F81</f>
        <v/>
      </c>
      <c r="G83" s="38">
        <f>G79+G80+G82-G81</f>
        <v/>
      </c>
      <c r="H83" s="38">
        <f>H79+H80+H82-H81</f>
        <v/>
      </c>
      <c r="I83" s="38">
        <f>I79+I80+I82-I81</f>
        <v/>
      </c>
      <c r="J83" s="38">
        <f>J79+J80+J82-J81</f>
        <v/>
      </c>
      <c r="K83" s="38">
        <f>K79+K80+K82-K81</f>
        <v/>
      </c>
      <c r="L83" s="38">
        <f>L79+L80+L82-L81</f>
        <v/>
      </c>
      <c r="M83" s="38">
        <f>M79+M80+M82-M81</f>
        <v/>
      </c>
      <c r="N83" s="38">
        <f>N79+N80+N82-N81</f>
        <v/>
      </c>
      <c r="O83" s="38">
        <f>O79+O80+O82-O81</f>
        <v/>
      </c>
      <c r="P83" s="38">
        <f>P79+P80+P82-P81</f>
        <v/>
      </c>
      <c r="Q83" s="38">
        <f>Q79+Q80+Q82-Q81</f>
        <v/>
      </c>
      <c r="R83" s="38">
        <f>R79+R80+R82-R81</f>
        <v/>
      </c>
      <c r="S83" s="38">
        <f>S79+S80+S82-S81</f>
        <v/>
      </c>
      <c r="T83" s="38">
        <f>T79+T80+T82-T81</f>
        <v/>
      </c>
      <c r="U83" s="38">
        <f>U79+U80+U82-U81</f>
        <v/>
      </c>
      <c r="V83" s="38">
        <f>V79+V80+V82-V81</f>
        <v/>
      </c>
      <c r="W83" s="38">
        <f>W79+W80+W82-W81</f>
        <v/>
      </c>
      <c r="X83" s="38">
        <f>X79+X80+X82-X81</f>
        <v/>
      </c>
      <c r="Y83" s="38">
        <f>Y79+Y80+Y82-Y81</f>
        <v/>
      </c>
      <c r="Z83" s="38">
        <f>Z79+Z80+Z82-Z81</f>
        <v/>
      </c>
      <c r="AA83" s="38">
        <f>AA79+AA80+AA82-AA81</f>
        <v/>
      </c>
      <c r="AB83" s="38">
        <f>AB79+AB80+AB82-AB81</f>
        <v/>
      </c>
    </row>
    <row r="84">
      <c r="B84" s="12" t="inlineStr">
        <is>
          <t>Receivables taken over with the add-on (no cash paid)</t>
        </is>
      </c>
      <c r="C84" s="11" t="inlineStr">
        <is>
          <t>$m</t>
        </is>
      </c>
      <c r="D84" s="12" t="n"/>
      <c r="E84" s="36">
        <f>IF(E34='Inputs'!$C$103+1,E44*4*E76/365,0)</f>
        <v/>
      </c>
      <c r="F84" s="36">
        <f>IF(F34='Inputs'!$C$103+1,F44*4*F76/365,0)</f>
        <v/>
      </c>
      <c r="G84" s="36">
        <f>IF(G34='Inputs'!$C$103+1,G44*4*G76/365,0)</f>
        <v/>
      </c>
      <c r="H84" s="36">
        <f>IF(H34='Inputs'!$C$103+1,H44*4*H76/365,0)</f>
        <v/>
      </c>
      <c r="I84" s="36">
        <f>IF(I34='Inputs'!$C$103+1,I44*4*I76/365,0)</f>
        <v/>
      </c>
      <c r="J84" s="36">
        <f>IF(J34='Inputs'!$C$103+1,J44*4*J76/365,0)</f>
        <v/>
      </c>
      <c r="K84" s="36">
        <f>IF(K34='Inputs'!$C$103+1,K44*4*K76/365,0)</f>
        <v/>
      </c>
      <c r="L84" s="36">
        <f>IF(L34='Inputs'!$C$103+1,L44*4*L76/365,0)</f>
        <v/>
      </c>
      <c r="M84" s="36">
        <f>IF(M34='Inputs'!$C$103+1,M44*4*M76/365,0)</f>
        <v/>
      </c>
      <c r="N84" s="36">
        <f>IF(N34='Inputs'!$C$103+1,N44*4*N76/365,0)</f>
        <v/>
      </c>
      <c r="O84" s="36">
        <f>IF(O34='Inputs'!$C$103+1,O44*4*O76/365,0)</f>
        <v/>
      </c>
      <c r="P84" s="36">
        <f>IF(P34='Inputs'!$C$103+1,P44*4*P76/365,0)</f>
        <v/>
      </c>
      <c r="Q84" s="36">
        <f>IF(Q34='Inputs'!$C$103+1,Q44*4*Q76/365,0)</f>
        <v/>
      </c>
      <c r="R84" s="36">
        <f>IF(R34='Inputs'!$C$103+1,R44*4*R76/365,0)</f>
        <v/>
      </c>
      <c r="S84" s="36">
        <f>IF(S34='Inputs'!$C$103+1,S44*4*S76/365,0)</f>
        <v/>
      </c>
      <c r="T84" s="36">
        <f>IF(T34='Inputs'!$C$103+1,T44*4*T76/365,0)</f>
        <v/>
      </c>
      <c r="U84" s="36">
        <f>IF(U34='Inputs'!$C$103+1,U44*4*U76/365,0)</f>
        <v/>
      </c>
      <c r="V84" s="36">
        <f>IF(V34='Inputs'!$C$103+1,V44*4*V76/365,0)</f>
        <v/>
      </c>
      <c r="W84" s="36">
        <f>IF(W34='Inputs'!$C$103+1,W44*4*W76/365,0)</f>
        <v/>
      </c>
      <c r="X84" s="36">
        <f>IF(X34='Inputs'!$C$103+1,X44*4*X76/365,0)</f>
        <v/>
      </c>
      <c r="Y84" s="36">
        <f>IF(Y34='Inputs'!$C$103+1,Y44*4*Y76/365,0)</f>
        <v/>
      </c>
      <c r="Z84" s="36">
        <f>IF(Z34='Inputs'!$C$103+1,Z44*4*Z76/365,0)</f>
        <v/>
      </c>
      <c r="AA84" s="36">
        <f>IF(AA34='Inputs'!$C$103+1,AA44*4*AA76/365,0)</f>
        <v/>
      </c>
      <c r="AB84" s="36">
        <f>IF(AB34='Inputs'!$C$103+1,AB44*4*AB76/365,0)</f>
        <v/>
      </c>
    </row>
    <row r="85">
      <c r="B85" s="12" t="inlineStr">
        <is>
          <t>Inventory less payables taken over with the add-on</t>
        </is>
      </c>
      <c r="C85" s="11" t="inlineStr">
        <is>
          <t>$m</t>
        </is>
      </c>
      <c r="D85" s="12" t="n"/>
      <c r="E85" s="36">
        <f>IF(E34='Inputs'!$C$103+1,E44*(1-'Inputs'!$C$105)*4*E77/365-E44*(1-'Inputs'!$C$105)*4*E78/365,0)</f>
        <v/>
      </c>
      <c r="F85" s="36">
        <f>IF(F34='Inputs'!$C$103+1,F44*(1-'Inputs'!$C$105)*4*F77/365-F44*(1-'Inputs'!$C$105)*4*F78/365,0)</f>
        <v/>
      </c>
      <c r="G85" s="36">
        <f>IF(G34='Inputs'!$C$103+1,G44*(1-'Inputs'!$C$105)*4*G77/365-G44*(1-'Inputs'!$C$105)*4*G78/365,0)</f>
        <v/>
      </c>
      <c r="H85" s="36">
        <f>IF(H34='Inputs'!$C$103+1,H44*(1-'Inputs'!$C$105)*4*H77/365-H44*(1-'Inputs'!$C$105)*4*H78/365,0)</f>
        <v/>
      </c>
      <c r="I85" s="36">
        <f>IF(I34='Inputs'!$C$103+1,I44*(1-'Inputs'!$C$105)*4*I77/365-I44*(1-'Inputs'!$C$105)*4*I78/365,0)</f>
        <v/>
      </c>
      <c r="J85" s="36">
        <f>IF(J34='Inputs'!$C$103+1,J44*(1-'Inputs'!$C$105)*4*J77/365-J44*(1-'Inputs'!$C$105)*4*J78/365,0)</f>
        <v/>
      </c>
      <c r="K85" s="36">
        <f>IF(K34='Inputs'!$C$103+1,K44*(1-'Inputs'!$C$105)*4*K77/365-K44*(1-'Inputs'!$C$105)*4*K78/365,0)</f>
        <v/>
      </c>
      <c r="L85" s="36">
        <f>IF(L34='Inputs'!$C$103+1,L44*(1-'Inputs'!$C$105)*4*L77/365-L44*(1-'Inputs'!$C$105)*4*L78/365,0)</f>
        <v/>
      </c>
      <c r="M85" s="36">
        <f>IF(M34='Inputs'!$C$103+1,M44*(1-'Inputs'!$C$105)*4*M77/365-M44*(1-'Inputs'!$C$105)*4*M78/365,0)</f>
        <v/>
      </c>
      <c r="N85" s="36">
        <f>IF(N34='Inputs'!$C$103+1,N44*(1-'Inputs'!$C$105)*4*N77/365-N44*(1-'Inputs'!$C$105)*4*N78/365,0)</f>
        <v/>
      </c>
      <c r="O85" s="36">
        <f>IF(O34='Inputs'!$C$103+1,O44*(1-'Inputs'!$C$105)*4*O77/365-O44*(1-'Inputs'!$C$105)*4*O78/365,0)</f>
        <v/>
      </c>
      <c r="P85" s="36">
        <f>IF(P34='Inputs'!$C$103+1,P44*(1-'Inputs'!$C$105)*4*P77/365-P44*(1-'Inputs'!$C$105)*4*P78/365,0)</f>
        <v/>
      </c>
      <c r="Q85" s="36">
        <f>IF(Q34='Inputs'!$C$103+1,Q44*(1-'Inputs'!$C$105)*4*Q77/365-Q44*(1-'Inputs'!$C$105)*4*Q78/365,0)</f>
        <v/>
      </c>
      <c r="R85" s="36">
        <f>IF(R34='Inputs'!$C$103+1,R44*(1-'Inputs'!$C$105)*4*R77/365-R44*(1-'Inputs'!$C$105)*4*R78/365,0)</f>
        <v/>
      </c>
      <c r="S85" s="36">
        <f>IF(S34='Inputs'!$C$103+1,S44*(1-'Inputs'!$C$105)*4*S77/365-S44*(1-'Inputs'!$C$105)*4*S78/365,0)</f>
        <v/>
      </c>
      <c r="T85" s="36">
        <f>IF(T34='Inputs'!$C$103+1,T44*(1-'Inputs'!$C$105)*4*T77/365-T44*(1-'Inputs'!$C$105)*4*T78/365,0)</f>
        <v/>
      </c>
      <c r="U85" s="36">
        <f>IF(U34='Inputs'!$C$103+1,U44*(1-'Inputs'!$C$105)*4*U77/365-U44*(1-'Inputs'!$C$105)*4*U78/365,0)</f>
        <v/>
      </c>
      <c r="V85" s="36">
        <f>IF(V34='Inputs'!$C$103+1,V44*(1-'Inputs'!$C$105)*4*V77/365-V44*(1-'Inputs'!$C$105)*4*V78/365,0)</f>
        <v/>
      </c>
      <c r="W85" s="36">
        <f>IF(W34='Inputs'!$C$103+1,W44*(1-'Inputs'!$C$105)*4*W77/365-W44*(1-'Inputs'!$C$105)*4*W78/365,0)</f>
        <v/>
      </c>
      <c r="X85" s="36">
        <f>IF(X34='Inputs'!$C$103+1,X44*(1-'Inputs'!$C$105)*4*X77/365-X44*(1-'Inputs'!$C$105)*4*X78/365,0)</f>
        <v/>
      </c>
      <c r="Y85" s="36">
        <f>IF(Y34='Inputs'!$C$103+1,Y44*(1-'Inputs'!$C$105)*4*Y77/365-Y44*(1-'Inputs'!$C$105)*4*Y78/365,0)</f>
        <v/>
      </c>
      <c r="Z85" s="36">
        <f>IF(Z34='Inputs'!$C$103+1,Z44*(1-'Inputs'!$C$105)*4*Z77/365-Z44*(1-'Inputs'!$C$105)*4*Z78/365,0)</f>
        <v/>
      </c>
      <c r="AA85" s="36">
        <f>IF(AA34='Inputs'!$C$103+1,AA44*(1-'Inputs'!$C$105)*4*AA77/365-AA44*(1-'Inputs'!$C$105)*4*AA78/365,0)</f>
        <v/>
      </c>
      <c r="AB85" s="36">
        <f>IF(AB34='Inputs'!$C$103+1,AB44*(1-'Inputs'!$C$105)*4*AB77/365-AB44*(1-'Inputs'!$C$105)*4*AB78/365,0)</f>
        <v/>
      </c>
    </row>
    <row r="86">
      <c r="B86" s="12" t="inlineStr">
        <is>
          <t>Increase in working capital, excluding rebates</t>
        </is>
      </c>
      <c r="C86" s="11" t="inlineStr">
        <is>
          <t>$m</t>
        </is>
      </c>
      <c r="D86" s="12" t="n"/>
      <c r="E86" s="36">
        <f>(E79-D79)+(E80-D80)-(E81-D81)-(E84+E85)</f>
        <v/>
      </c>
      <c r="F86" s="36">
        <f>(F79-E79)+(F80-E80)-(F81-E81)-(F84+F85)</f>
        <v/>
      </c>
      <c r="G86" s="36">
        <f>(G79-F79)+(G80-F80)-(G81-F81)-(G84+G85)</f>
        <v/>
      </c>
      <c r="H86" s="36">
        <f>(H79-G79)+(H80-G80)-(H81-G81)-(H84+H85)</f>
        <v/>
      </c>
      <c r="I86" s="36">
        <f>(I79-H79)+(I80-H80)-(I81-H81)-(I84+I85)</f>
        <v/>
      </c>
      <c r="J86" s="36">
        <f>(J79-I79)+(J80-I80)-(J81-I81)-(J84+J85)</f>
        <v/>
      </c>
      <c r="K86" s="36">
        <f>(K79-J79)+(K80-J80)-(K81-J81)-(K84+K85)</f>
        <v/>
      </c>
      <c r="L86" s="36">
        <f>(L79-K79)+(L80-K80)-(L81-K81)-(L84+L85)</f>
        <v/>
      </c>
      <c r="M86" s="36">
        <f>(M79-L79)+(M80-L80)-(M81-L81)-(M84+M85)</f>
        <v/>
      </c>
      <c r="N86" s="36">
        <f>(N79-M79)+(N80-M80)-(N81-M81)-(N84+N85)</f>
        <v/>
      </c>
      <c r="O86" s="36">
        <f>(O79-N79)+(O80-N80)-(O81-N81)-(O84+O85)</f>
        <v/>
      </c>
      <c r="P86" s="36">
        <f>(P79-O79)+(P80-O80)-(P81-O81)-(P84+P85)</f>
        <v/>
      </c>
      <c r="Q86" s="36">
        <f>(Q79-P79)+(Q80-P80)-(Q81-P81)-(Q84+Q85)</f>
        <v/>
      </c>
      <c r="R86" s="36">
        <f>(R79-Q79)+(R80-Q80)-(R81-Q81)-(R84+R85)</f>
        <v/>
      </c>
      <c r="S86" s="36">
        <f>(S79-R79)+(S80-R80)-(S81-R81)-(S84+S85)</f>
        <v/>
      </c>
      <c r="T86" s="36">
        <f>(T79-S79)+(T80-S80)-(T81-S81)-(T84+T85)</f>
        <v/>
      </c>
      <c r="U86" s="36">
        <f>(U79-T79)+(U80-T80)-(U81-T81)-(U84+U85)</f>
        <v/>
      </c>
      <c r="V86" s="36">
        <f>(V79-U79)+(V80-U80)-(V81-U81)-(V84+V85)</f>
        <v/>
      </c>
      <c r="W86" s="36">
        <f>(W79-V79)+(W80-V80)-(W81-V81)-(W84+W85)</f>
        <v/>
      </c>
      <c r="X86" s="36">
        <f>(X79-W79)+(X80-W80)-(X81-W81)-(X84+X85)</f>
        <v/>
      </c>
      <c r="Y86" s="36">
        <f>(Y79-X79)+(Y80-X80)-(Y81-X81)-(Y84+Y85)</f>
        <v/>
      </c>
      <c r="Z86" s="36">
        <f>(Z79-Y79)+(Z80-Y80)-(Z81-Y81)-(Z84+Z85)</f>
        <v/>
      </c>
      <c r="AA86" s="36">
        <f>(AA79-Z79)+(AA80-Z80)-(AA81-Z81)-(AA84+AA85)</f>
        <v/>
      </c>
      <c r="AB86" s="36">
        <f>(AB79-AA79)+(AB80-AA80)-(AB81-AA81)-(AB84+AB85)</f>
        <v/>
      </c>
    </row>
    <row r="87">
      <c r="B87" s="12" t="inlineStr">
        <is>
          <t>Rebates collected in cash (last year's receivable, in Q1)</t>
        </is>
      </c>
      <c r="C87" s="11" t="inlineStr">
        <is>
          <t>$m</t>
        </is>
      </c>
      <c r="D87" s="12" t="n"/>
      <c r="E87" s="36">
        <f>IF(E36=1,D82,0)</f>
        <v/>
      </c>
      <c r="F87" s="36">
        <f>IF(F36=1,E82,0)</f>
        <v/>
      </c>
      <c r="G87" s="36">
        <f>IF(G36=1,F82,0)</f>
        <v/>
      </c>
      <c r="H87" s="36">
        <f>IF(H36=1,G82,0)</f>
        <v/>
      </c>
      <c r="I87" s="36">
        <f>IF(I36=1,H82,0)</f>
        <v/>
      </c>
      <c r="J87" s="36">
        <f>IF(J36=1,I82,0)</f>
        <v/>
      </c>
      <c r="K87" s="36">
        <f>IF(K36=1,J82,0)</f>
        <v/>
      </c>
      <c r="L87" s="36">
        <f>IF(L36=1,K82,0)</f>
        <v/>
      </c>
      <c r="M87" s="36">
        <f>IF(M36=1,L82,0)</f>
        <v/>
      </c>
      <c r="N87" s="36">
        <f>IF(N36=1,M82,0)</f>
        <v/>
      </c>
      <c r="O87" s="36">
        <f>IF(O36=1,N82,0)</f>
        <v/>
      </c>
      <c r="P87" s="36">
        <f>IF(P36=1,O82,0)</f>
        <v/>
      </c>
      <c r="Q87" s="36">
        <f>IF(Q36=1,P82,0)</f>
        <v/>
      </c>
      <c r="R87" s="36">
        <f>IF(R36=1,Q82,0)</f>
        <v/>
      </c>
      <c r="S87" s="36">
        <f>IF(S36=1,R82,0)</f>
        <v/>
      </c>
      <c r="T87" s="36">
        <f>IF(T36=1,S82,0)</f>
        <v/>
      </c>
      <c r="U87" s="36">
        <f>IF(U36=1,T82,0)</f>
        <v/>
      </c>
      <c r="V87" s="36">
        <f>IF(V36=1,U82,0)</f>
        <v/>
      </c>
      <c r="W87" s="36">
        <f>IF(W36=1,V82,0)</f>
        <v/>
      </c>
      <c r="X87" s="36">
        <f>IF(X36=1,W82,0)</f>
        <v/>
      </c>
      <c r="Y87" s="36">
        <f>IF(Y36=1,X82,0)</f>
        <v/>
      </c>
      <c r="Z87" s="36">
        <f>IF(Z36=1,Y82,0)</f>
        <v/>
      </c>
      <c r="AA87" s="36">
        <f>IF(AA36=1,Z82,0)</f>
        <v/>
      </c>
      <c r="AB87" s="36">
        <f>IF(AB36=1,AA82,0)</f>
        <v/>
      </c>
    </row>
    <row r="88">
      <c r="B88" s="12" t="inlineStr">
        <is>
          <t>Rebates accrued but not yet collected</t>
        </is>
      </c>
      <c r="C88" s="11" t="inlineStr">
        <is>
          <t>$m</t>
        </is>
      </c>
      <c r="D88" s="12" t="n"/>
      <c r="E88" s="36">
        <f>E58-E87</f>
        <v/>
      </c>
      <c r="F88" s="36">
        <f>F58-F87</f>
        <v/>
      </c>
      <c r="G88" s="36">
        <f>G58-G87</f>
        <v/>
      </c>
      <c r="H88" s="36">
        <f>H58-H87</f>
        <v/>
      </c>
      <c r="I88" s="36">
        <f>I58-I87</f>
        <v/>
      </c>
      <c r="J88" s="36">
        <f>J58-J87</f>
        <v/>
      </c>
      <c r="K88" s="36">
        <f>K58-K87</f>
        <v/>
      </c>
      <c r="L88" s="36">
        <f>L58-L87</f>
        <v/>
      </c>
      <c r="M88" s="36">
        <f>M58-M87</f>
        <v/>
      </c>
      <c r="N88" s="36">
        <f>N58-N87</f>
        <v/>
      </c>
      <c r="O88" s="36">
        <f>O58-O87</f>
        <v/>
      </c>
      <c r="P88" s="36">
        <f>P58-P87</f>
        <v/>
      </c>
      <c r="Q88" s="36">
        <f>Q58-Q87</f>
        <v/>
      </c>
      <c r="R88" s="36">
        <f>R58-R87</f>
        <v/>
      </c>
      <c r="S88" s="36">
        <f>S58-S87</f>
        <v/>
      </c>
      <c r="T88" s="36">
        <f>T58-T87</f>
        <v/>
      </c>
      <c r="U88" s="36">
        <f>U58-U87</f>
        <v/>
      </c>
      <c r="V88" s="36">
        <f>V58-V87</f>
        <v/>
      </c>
      <c r="W88" s="36">
        <f>W58-W87</f>
        <v/>
      </c>
      <c r="X88" s="36">
        <f>X58-X87</f>
        <v/>
      </c>
      <c r="Y88" s="36">
        <f>Y58-Y87</f>
        <v/>
      </c>
      <c r="Z88" s="36">
        <f>Z58-Z87</f>
        <v/>
      </c>
      <c r="AA88" s="36">
        <f>AA58-AA87</f>
        <v/>
      </c>
      <c r="AB88" s="36">
        <f>AB58-AB87</f>
        <v/>
      </c>
    </row>
    <row r="89"/>
    <row r="90">
      <c r="B90" s="8" t="inlineStr">
        <is>
          <t>Cash flow before the acquisition and debt repayment</t>
        </is>
      </c>
      <c r="C90" s="8" t="inlineStr">
        <is>
          <t>Unit</t>
        </is>
      </c>
      <c r="D90" s="9" t="inlineStr">
        <is>
          <t>Close</t>
        </is>
      </c>
      <c r="E90" s="9" t="inlineStr">
        <is>
          <t>Y1 Q1</t>
        </is>
      </c>
      <c r="F90" s="9" t="inlineStr">
        <is>
          <t>Y1 Q2</t>
        </is>
      </c>
      <c r="G90" s="9" t="inlineStr">
        <is>
          <t>Y1 Q3</t>
        </is>
      </c>
      <c r="H90" s="9" t="inlineStr">
        <is>
          <t>Y1 Q4</t>
        </is>
      </c>
      <c r="I90" s="9" t="inlineStr">
        <is>
          <t>Y2 Q1</t>
        </is>
      </c>
      <c r="J90" s="9" t="inlineStr">
        <is>
          <t>Y2 Q2</t>
        </is>
      </c>
      <c r="K90" s="9" t="inlineStr">
        <is>
          <t>Y2 Q3</t>
        </is>
      </c>
      <c r="L90" s="9" t="inlineStr">
        <is>
          <t>Y2 Q4</t>
        </is>
      </c>
      <c r="M90" s="9" t="inlineStr">
        <is>
          <t>Y3 Q1</t>
        </is>
      </c>
      <c r="N90" s="9" t="inlineStr">
        <is>
          <t>Y3 Q2</t>
        </is>
      </c>
      <c r="O90" s="9" t="inlineStr">
        <is>
          <t>Y3 Q3</t>
        </is>
      </c>
      <c r="P90" s="9" t="inlineStr">
        <is>
          <t>Y3 Q4</t>
        </is>
      </c>
      <c r="Q90" s="9" t="inlineStr">
        <is>
          <t>Y4 Q1</t>
        </is>
      </c>
      <c r="R90" s="9" t="inlineStr">
        <is>
          <t>Y4 Q2</t>
        </is>
      </c>
      <c r="S90" s="9" t="inlineStr">
        <is>
          <t>Y4 Q3</t>
        </is>
      </c>
      <c r="T90" s="9" t="inlineStr">
        <is>
          <t>Y4 Q4</t>
        </is>
      </c>
      <c r="U90" s="9" t="inlineStr">
        <is>
          <t>Y5 Q1</t>
        </is>
      </c>
      <c r="V90" s="9" t="inlineStr">
        <is>
          <t>Y5 Q2</t>
        </is>
      </c>
      <c r="W90" s="9" t="inlineStr">
        <is>
          <t>Y5 Q3</t>
        </is>
      </c>
      <c r="X90" s="9" t="inlineStr">
        <is>
          <t>Y5 Q4</t>
        </is>
      </c>
      <c r="Y90" s="9" t="inlineStr">
        <is>
          <t>Y6 Q1</t>
        </is>
      </c>
      <c r="Z90" s="9" t="inlineStr">
        <is>
          <t>Y6 Q2</t>
        </is>
      </c>
      <c r="AA90" s="9" t="inlineStr">
        <is>
          <t>Y6 Q3</t>
        </is>
      </c>
      <c r="AB90" s="9" t="inlineStr">
        <is>
          <t>Y6 Q4</t>
        </is>
      </c>
    </row>
    <row r="91">
      <c r="B91" s="12" t="inlineStr">
        <is>
          <t>Capex (routine + ERP)</t>
        </is>
      </c>
      <c r="C91" s="11" t="inlineStr">
        <is>
          <t>$m</t>
        </is>
      </c>
      <c r="D91" s="12" t="n"/>
      <c r="E91" s="36">
        <f>('Inputs'!$C$68+'Inputs'!$C$14)*E45+INDEX('Inputs'!$C$76:$H$76,E35)/4</f>
        <v/>
      </c>
      <c r="F91" s="36">
        <f>('Inputs'!$C$68+'Inputs'!$C$14)*F45+INDEX('Inputs'!$C$76:$H$76,F35)/4</f>
        <v/>
      </c>
      <c r="G91" s="36">
        <f>('Inputs'!$C$68+'Inputs'!$C$14)*G45+INDEX('Inputs'!$C$76:$H$76,G35)/4</f>
        <v/>
      </c>
      <c r="H91" s="36">
        <f>('Inputs'!$C$68+'Inputs'!$C$14)*H45+INDEX('Inputs'!$C$76:$H$76,H35)/4</f>
        <v/>
      </c>
      <c r="I91" s="36">
        <f>('Inputs'!$C$68+'Inputs'!$C$14)*I45+INDEX('Inputs'!$C$76:$H$76,I35)/4</f>
        <v/>
      </c>
      <c r="J91" s="36">
        <f>('Inputs'!$C$68+'Inputs'!$C$14)*J45+INDEX('Inputs'!$C$76:$H$76,J35)/4</f>
        <v/>
      </c>
      <c r="K91" s="36">
        <f>('Inputs'!$C$68+'Inputs'!$C$14)*K45+INDEX('Inputs'!$C$76:$H$76,K35)/4</f>
        <v/>
      </c>
      <c r="L91" s="36">
        <f>('Inputs'!$C$68+'Inputs'!$C$14)*L45+INDEX('Inputs'!$C$76:$H$76,L35)/4</f>
        <v/>
      </c>
      <c r="M91" s="36">
        <f>('Inputs'!$C$68+'Inputs'!$C$14)*M45+INDEX('Inputs'!$C$76:$H$76,M35)/4</f>
        <v/>
      </c>
      <c r="N91" s="36">
        <f>('Inputs'!$C$68+'Inputs'!$C$14)*N45+INDEX('Inputs'!$C$76:$H$76,N35)/4</f>
        <v/>
      </c>
      <c r="O91" s="36">
        <f>('Inputs'!$C$68+'Inputs'!$C$14)*O45+INDEX('Inputs'!$C$76:$H$76,O35)/4</f>
        <v/>
      </c>
      <c r="P91" s="36">
        <f>('Inputs'!$C$68+'Inputs'!$C$14)*P45+INDEX('Inputs'!$C$76:$H$76,P35)/4</f>
        <v/>
      </c>
      <c r="Q91" s="36">
        <f>('Inputs'!$C$68+'Inputs'!$C$14)*Q45+INDEX('Inputs'!$C$76:$H$76,Q35)/4</f>
        <v/>
      </c>
      <c r="R91" s="36">
        <f>('Inputs'!$C$68+'Inputs'!$C$14)*R45+INDEX('Inputs'!$C$76:$H$76,R35)/4</f>
        <v/>
      </c>
      <c r="S91" s="36">
        <f>('Inputs'!$C$68+'Inputs'!$C$14)*S45+INDEX('Inputs'!$C$76:$H$76,S35)/4</f>
        <v/>
      </c>
      <c r="T91" s="36">
        <f>('Inputs'!$C$68+'Inputs'!$C$14)*T45+INDEX('Inputs'!$C$76:$H$76,T35)/4</f>
        <v/>
      </c>
      <c r="U91" s="36">
        <f>('Inputs'!$C$68+'Inputs'!$C$14)*U45+INDEX('Inputs'!$C$76:$H$76,U35)/4</f>
        <v/>
      </c>
      <c r="V91" s="36">
        <f>('Inputs'!$C$68+'Inputs'!$C$14)*V45+INDEX('Inputs'!$C$76:$H$76,V35)/4</f>
        <v/>
      </c>
      <c r="W91" s="36">
        <f>('Inputs'!$C$68+'Inputs'!$C$14)*W45+INDEX('Inputs'!$C$76:$H$76,W35)/4</f>
        <v/>
      </c>
      <c r="X91" s="36">
        <f>('Inputs'!$C$68+'Inputs'!$C$14)*X45+INDEX('Inputs'!$C$76:$H$76,X35)/4</f>
        <v/>
      </c>
      <c r="Y91" s="36">
        <f>('Inputs'!$C$68+'Inputs'!$C$14)*Y45+INDEX('Inputs'!$C$76:$H$76,Y35)/4</f>
        <v/>
      </c>
      <c r="Z91" s="36">
        <f>('Inputs'!$C$68+'Inputs'!$C$14)*Z45+INDEX('Inputs'!$C$76:$H$76,Z35)/4</f>
        <v/>
      </c>
      <c r="AA91" s="36">
        <f>('Inputs'!$C$68+'Inputs'!$C$14)*AA45+INDEX('Inputs'!$C$76:$H$76,AA35)/4</f>
        <v/>
      </c>
      <c r="AB91" s="36">
        <f>('Inputs'!$C$68+'Inputs'!$C$14)*AB45+INDEX('Inputs'!$C$76:$H$76,AB35)/4</f>
        <v/>
      </c>
    </row>
    <row r="92">
      <c r="B92" s="12" t="inlineStr">
        <is>
          <t>Amendment in force (1 = yes)</t>
        </is>
      </c>
      <c r="C92" s="11" t="inlineStr"/>
      <c r="D92" s="12" t="n"/>
      <c r="E92" s="24">
        <f>IF(D136&gt;0,1,0)</f>
        <v/>
      </c>
      <c r="F92" s="24">
        <f>IF(E136&gt;0,1,0)</f>
        <v/>
      </c>
      <c r="G92" s="24">
        <f>IF(F136&gt;0,1,0)</f>
        <v/>
      </c>
      <c r="H92" s="24">
        <f>IF(G136&gt;0,1,0)</f>
        <v/>
      </c>
      <c r="I92" s="24">
        <f>IF(H136&gt;0,1,0)</f>
        <v/>
      </c>
      <c r="J92" s="24">
        <f>IF(I136&gt;0,1,0)</f>
        <v/>
      </c>
      <c r="K92" s="24">
        <f>IF(J136&gt;0,1,0)</f>
        <v/>
      </c>
      <c r="L92" s="24">
        <f>IF(K136&gt;0,1,0)</f>
        <v/>
      </c>
      <c r="M92" s="24">
        <f>IF(L136&gt;0,1,0)</f>
        <v/>
      </c>
      <c r="N92" s="24">
        <f>IF(M136&gt;0,1,0)</f>
        <v/>
      </c>
      <c r="O92" s="24">
        <f>IF(N136&gt;0,1,0)</f>
        <v/>
      </c>
      <c r="P92" s="24">
        <f>IF(O136&gt;0,1,0)</f>
        <v/>
      </c>
      <c r="Q92" s="24">
        <f>IF(P136&gt;0,1,0)</f>
        <v/>
      </c>
      <c r="R92" s="24">
        <f>IF(Q136&gt;0,1,0)</f>
        <v/>
      </c>
      <c r="S92" s="24">
        <f>IF(R136&gt;0,1,0)</f>
        <v/>
      </c>
      <c r="T92" s="24">
        <f>IF(S136&gt;0,1,0)</f>
        <v/>
      </c>
      <c r="U92" s="24">
        <f>IF(T136&gt;0,1,0)</f>
        <v/>
      </c>
      <c r="V92" s="24">
        <f>IF(U136&gt;0,1,0)</f>
        <v/>
      </c>
      <c r="W92" s="24">
        <f>IF(V136&gt;0,1,0)</f>
        <v/>
      </c>
      <c r="X92" s="24">
        <f>IF(W136&gt;0,1,0)</f>
        <v/>
      </c>
      <c r="Y92" s="24">
        <f>IF(X136&gt;0,1,0)</f>
        <v/>
      </c>
      <c r="Z92" s="24">
        <f>IF(Y136&gt;0,1,0)</f>
        <v/>
      </c>
      <c r="AA92" s="24">
        <f>IF(Z136&gt;0,1,0)</f>
        <v/>
      </c>
      <c r="AB92" s="24">
        <f>IF(AA136&gt;0,1,0)</f>
        <v/>
      </c>
    </row>
    <row r="93">
      <c r="B93" s="12" t="inlineStr">
        <is>
          <t>Interest rate on term debt</t>
        </is>
      </c>
      <c r="C93" s="11" t="inlineStr">
        <is>
          <t>%</t>
        </is>
      </c>
      <c r="D93" s="12" t="n"/>
      <c r="E93" s="41">
        <f>'Inputs'!$C$55+IF(E92=1,'Inputs'!$C$100,0)</f>
        <v/>
      </c>
      <c r="F93" s="41">
        <f>'Inputs'!$C$55+IF(F92=1,'Inputs'!$C$100,0)</f>
        <v/>
      </c>
      <c r="G93" s="41">
        <f>'Inputs'!$C$55+IF(G92=1,'Inputs'!$C$100,0)</f>
        <v/>
      </c>
      <c r="H93" s="41">
        <f>'Inputs'!$C$55+IF(H92=1,'Inputs'!$C$100,0)</f>
        <v/>
      </c>
      <c r="I93" s="41">
        <f>'Inputs'!$C$55+IF(I92=1,'Inputs'!$C$100,0)</f>
        <v/>
      </c>
      <c r="J93" s="41">
        <f>'Inputs'!$C$55+IF(J92=1,'Inputs'!$C$100,0)</f>
        <v/>
      </c>
      <c r="K93" s="41">
        <f>'Inputs'!$C$55+IF(K92=1,'Inputs'!$C$100,0)</f>
        <v/>
      </c>
      <c r="L93" s="41">
        <f>'Inputs'!$C$55+IF(L92=1,'Inputs'!$C$100,0)</f>
        <v/>
      </c>
      <c r="M93" s="41">
        <f>'Inputs'!$C$55+IF(M92=1,'Inputs'!$C$100,0)</f>
        <v/>
      </c>
      <c r="N93" s="41">
        <f>'Inputs'!$C$55+IF(N92=1,'Inputs'!$C$100,0)</f>
        <v/>
      </c>
      <c r="O93" s="41">
        <f>'Inputs'!$C$55+IF(O92=1,'Inputs'!$C$100,0)</f>
        <v/>
      </c>
      <c r="P93" s="41">
        <f>'Inputs'!$C$55+IF(P92=1,'Inputs'!$C$100,0)</f>
        <v/>
      </c>
      <c r="Q93" s="41">
        <f>'Inputs'!$C$55+IF(Q92=1,'Inputs'!$C$100,0)</f>
        <v/>
      </c>
      <c r="R93" s="41">
        <f>'Inputs'!$C$55+IF(R92=1,'Inputs'!$C$100,0)</f>
        <v/>
      </c>
      <c r="S93" s="41">
        <f>'Inputs'!$C$55+IF(S92=1,'Inputs'!$C$100,0)</f>
        <v/>
      </c>
      <c r="T93" s="41">
        <f>'Inputs'!$C$55+IF(T92=1,'Inputs'!$C$100,0)</f>
        <v/>
      </c>
      <c r="U93" s="41">
        <f>'Inputs'!$C$55+IF(U92=1,'Inputs'!$C$100,0)</f>
        <v/>
      </c>
      <c r="V93" s="41">
        <f>'Inputs'!$C$55+IF(V92=1,'Inputs'!$C$100,0)</f>
        <v/>
      </c>
      <c r="W93" s="41">
        <f>'Inputs'!$C$55+IF(W92=1,'Inputs'!$C$100,0)</f>
        <v/>
      </c>
      <c r="X93" s="41">
        <f>'Inputs'!$C$55+IF(X92=1,'Inputs'!$C$100,0)</f>
        <v/>
      </c>
      <c r="Y93" s="41">
        <f>'Inputs'!$C$55+IF(Y92=1,'Inputs'!$C$100,0)</f>
        <v/>
      </c>
      <c r="Z93" s="41">
        <f>'Inputs'!$C$55+IF(Z92=1,'Inputs'!$C$100,0)</f>
        <v/>
      </c>
      <c r="AA93" s="41">
        <f>'Inputs'!$C$55+IF(AA92=1,'Inputs'!$C$100,0)</f>
        <v/>
      </c>
      <c r="AB93" s="41">
        <f>'Inputs'!$C$55+IF(AB92=1,'Inputs'!$C$100,0)</f>
        <v/>
      </c>
    </row>
    <row r="94">
      <c r="B94" s="12" t="inlineStr">
        <is>
          <t>Interest on the term loan and the DDTL (opening balances)</t>
        </is>
      </c>
      <c r="C94" s="11" t="inlineStr">
        <is>
          <t>$m</t>
        </is>
      </c>
      <c r="D94" s="12" t="n"/>
      <c r="E94" s="36">
        <f>D140*E93/4+D141*E93/4</f>
        <v/>
      </c>
      <c r="F94" s="36">
        <f>E140*F93/4+E141*F93/4</f>
        <v/>
      </c>
      <c r="G94" s="36">
        <f>F140*G93/4+F141*G93/4</f>
        <v/>
      </c>
      <c r="H94" s="36">
        <f>G140*H93/4+G141*H93/4</f>
        <v/>
      </c>
      <c r="I94" s="36">
        <f>H140*I93/4+H141*I93/4</f>
        <v/>
      </c>
      <c r="J94" s="36">
        <f>I140*J93/4+I141*J93/4</f>
        <v/>
      </c>
      <c r="K94" s="36">
        <f>J140*K93/4+J141*K93/4</f>
        <v/>
      </c>
      <c r="L94" s="36">
        <f>K140*L93/4+K141*L93/4</f>
        <v/>
      </c>
      <c r="M94" s="36">
        <f>L140*M93/4+L141*M93/4</f>
        <v/>
      </c>
      <c r="N94" s="36">
        <f>M140*N93/4+M141*N93/4</f>
        <v/>
      </c>
      <c r="O94" s="36">
        <f>N140*O93/4+N141*O93/4</f>
        <v/>
      </c>
      <c r="P94" s="36">
        <f>O140*P93/4+O141*P93/4</f>
        <v/>
      </c>
      <c r="Q94" s="36">
        <f>P140*Q93/4+P141*Q93/4</f>
        <v/>
      </c>
      <c r="R94" s="36">
        <f>Q140*R93/4+Q141*R93/4</f>
        <v/>
      </c>
      <c r="S94" s="36">
        <f>R140*S93/4+R141*S93/4</f>
        <v/>
      </c>
      <c r="T94" s="36">
        <f>S140*T93/4+S141*T93/4</f>
        <v/>
      </c>
      <c r="U94" s="36">
        <f>T140*U93/4+T141*U93/4</f>
        <v/>
      </c>
      <c r="V94" s="36">
        <f>U140*V93/4+U141*V93/4</f>
        <v/>
      </c>
      <c r="W94" s="36">
        <f>V140*W93/4+V141*W93/4</f>
        <v/>
      </c>
      <c r="X94" s="36">
        <f>W140*X93/4+W141*X93/4</f>
        <v/>
      </c>
      <c r="Y94" s="36">
        <f>X140*Y93/4+X141*Y93/4</f>
        <v/>
      </c>
      <c r="Z94" s="36">
        <f>Y140*Z93/4+Y141*Z93/4</f>
        <v/>
      </c>
      <c r="AA94" s="36">
        <f>Z140*AA93/4+Z141*AA93/4</f>
        <v/>
      </c>
      <c r="AB94" s="36">
        <f>AA140*AB93/4+AA141*AB93/4</f>
        <v/>
      </c>
    </row>
    <row r="95">
      <c r="B95" s="12" t="inlineStr">
        <is>
          <t>Revolver interest and commitment fee (opening balance)</t>
        </is>
      </c>
      <c r="C95" s="11" t="inlineStr">
        <is>
          <t>$m</t>
        </is>
      </c>
      <c r="D95" s="12" t="n"/>
      <c r="E95" s="36">
        <f>D142*'Inputs'!$C$56/4+('Inputs'!$C$54-D142)*'Inputs'!$C$57/4</f>
        <v/>
      </c>
      <c r="F95" s="36">
        <f>E142*'Inputs'!$C$56/4+('Inputs'!$C$54-E142)*'Inputs'!$C$57/4</f>
        <v/>
      </c>
      <c r="G95" s="36">
        <f>F142*'Inputs'!$C$56/4+('Inputs'!$C$54-F142)*'Inputs'!$C$57/4</f>
        <v/>
      </c>
      <c r="H95" s="36">
        <f>G142*'Inputs'!$C$56/4+('Inputs'!$C$54-G142)*'Inputs'!$C$57/4</f>
        <v/>
      </c>
      <c r="I95" s="36">
        <f>H142*'Inputs'!$C$56/4+('Inputs'!$C$54-H142)*'Inputs'!$C$57/4</f>
        <v/>
      </c>
      <c r="J95" s="36">
        <f>I142*'Inputs'!$C$56/4+('Inputs'!$C$54-I142)*'Inputs'!$C$57/4</f>
        <v/>
      </c>
      <c r="K95" s="36">
        <f>J142*'Inputs'!$C$56/4+('Inputs'!$C$54-J142)*'Inputs'!$C$57/4</f>
        <v/>
      </c>
      <c r="L95" s="36">
        <f>K142*'Inputs'!$C$56/4+('Inputs'!$C$54-K142)*'Inputs'!$C$57/4</f>
        <v/>
      </c>
      <c r="M95" s="36">
        <f>L142*'Inputs'!$C$56/4+('Inputs'!$C$54-L142)*'Inputs'!$C$57/4</f>
        <v/>
      </c>
      <c r="N95" s="36">
        <f>M142*'Inputs'!$C$56/4+('Inputs'!$C$54-M142)*'Inputs'!$C$57/4</f>
        <v/>
      </c>
      <c r="O95" s="36">
        <f>N142*'Inputs'!$C$56/4+('Inputs'!$C$54-N142)*'Inputs'!$C$57/4</f>
        <v/>
      </c>
      <c r="P95" s="36">
        <f>O142*'Inputs'!$C$56/4+('Inputs'!$C$54-O142)*'Inputs'!$C$57/4</f>
        <v/>
      </c>
      <c r="Q95" s="36">
        <f>P142*'Inputs'!$C$56/4+('Inputs'!$C$54-P142)*'Inputs'!$C$57/4</f>
        <v/>
      </c>
      <c r="R95" s="36">
        <f>Q142*'Inputs'!$C$56/4+('Inputs'!$C$54-Q142)*'Inputs'!$C$57/4</f>
        <v/>
      </c>
      <c r="S95" s="36">
        <f>R142*'Inputs'!$C$56/4+('Inputs'!$C$54-R142)*'Inputs'!$C$57/4</f>
        <v/>
      </c>
      <c r="T95" s="36">
        <f>S142*'Inputs'!$C$56/4+('Inputs'!$C$54-S142)*'Inputs'!$C$57/4</f>
        <v/>
      </c>
      <c r="U95" s="36">
        <f>T142*'Inputs'!$C$56/4+('Inputs'!$C$54-T142)*'Inputs'!$C$57/4</f>
        <v/>
      </c>
      <c r="V95" s="36">
        <f>U142*'Inputs'!$C$56/4+('Inputs'!$C$54-U142)*'Inputs'!$C$57/4</f>
        <v/>
      </c>
      <c r="W95" s="36">
        <f>V142*'Inputs'!$C$56/4+('Inputs'!$C$54-V142)*'Inputs'!$C$57/4</f>
        <v/>
      </c>
      <c r="X95" s="36">
        <f>W142*'Inputs'!$C$56/4+('Inputs'!$C$54-W142)*'Inputs'!$C$57/4</f>
        <v/>
      </c>
      <c r="Y95" s="36">
        <f>X142*'Inputs'!$C$56/4+('Inputs'!$C$54-X142)*'Inputs'!$C$57/4</f>
        <v/>
      </c>
      <c r="Z95" s="36">
        <f>Y142*'Inputs'!$C$56/4+('Inputs'!$C$54-Y142)*'Inputs'!$C$57/4</f>
        <v/>
      </c>
      <c r="AA95" s="36">
        <f>Z142*'Inputs'!$C$56/4+('Inputs'!$C$54-Z142)*'Inputs'!$C$57/4</f>
        <v/>
      </c>
      <c r="AB95" s="36">
        <f>AA142*'Inputs'!$C$56/4+('Inputs'!$C$54-AA142)*'Inputs'!$C$57/4</f>
        <v/>
      </c>
    </row>
    <row r="96">
      <c r="B96" s="12" t="inlineStr">
        <is>
          <t>Amendment fee (quarter after the amendment)</t>
        </is>
      </c>
      <c r="C96" s="11" t="inlineStr">
        <is>
          <t>$m</t>
        </is>
      </c>
      <c r="D96" s="12" t="n"/>
      <c r="E96" s="36">
        <f>IF(AND(D136&gt;0,D136=E34-1),'Inputs'!$C$99*(D140+D141),0)</f>
        <v/>
      </c>
      <c r="F96" s="36">
        <f>IF(AND(E136&gt;0,E136=F34-1),'Inputs'!$C$99*(E140+E141),0)</f>
        <v/>
      </c>
      <c r="G96" s="36">
        <f>IF(AND(F136&gt;0,F136=G34-1),'Inputs'!$C$99*(F140+F141),0)</f>
        <v/>
      </c>
      <c r="H96" s="36">
        <f>IF(AND(G136&gt;0,G136=H34-1),'Inputs'!$C$99*(G140+G141),0)</f>
        <v/>
      </c>
      <c r="I96" s="36">
        <f>IF(AND(H136&gt;0,H136=I34-1),'Inputs'!$C$99*(H140+H141),0)</f>
        <v/>
      </c>
      <c r="J96" s="36">
        <f>IF(AND(I136&gt;0,I136=J34-1),'Inputs'!$C$99*(I140+I141),0)</f>
        <v/>
      </c>
      <c r="K96" s="36">
        <f>IF(AND(J136&gt;0,J136=K34-1),'Inputs'!$C$99*(J140+J141),0)</f>
        <v/>
      </c>
      <c r="L96" s="36">
        <f>IF(AND(K136&gt;0,K136=L34-1),'Inputs'!$C$99*(K140+K141),0)</f>
        <v/>
      </c>
      <c r="M96" s="36">
        <f>IF(AND(L136&gt;0,L136=M34-1),'Inputs'!$C$99*(L140+L141),0)</f>
        <v/>
      </c>
      <c r="N96" s="36">
        <f>IF(AND(M136&gt;0,M136=N34-1),'Inputs'!$C$99*(M140+M141),0)</f>
        <v/>
      </c>
      <c r="O96" s="36">
        <f>IF(AND(N136&gt;0,N136=O34-1),'Inputs'!$C$99*(N140+N141),0)</f>
        <v/>
      </c>
      <c r="P96" s="36">
        <f>IF(AND(O136&gt;0,O136=P34-1),'Inputs'!$C$99*(O140+O141),0)</f>
        <v/>
      </c>
      <c r="Q96" s="36">
        <f>IF(AND(P136&gt;0,P136=Q34-1),'Inputs'!$C$99*(P140+P141),0)</f>
        <v/>
      </c>
      <c r="R96" s="36">
        <f>IF(AND(Q136&gt;0,Q136=R34-1),'Inputs'!$C$99*(Q140+Q141),0)</f>
        <v/>
      </c>
      <c r="S96" s="36">
        <f>IF(AND(R136&gt;0,R136=S34-1),'Inputs'!$C$99*(R140+R141),0)</f>
        <v/>
      </c>
      <c r="T96" s="36">
        <f>IF(AND(S136&gt;0,S136=T34-1),'Inputs'!$C$99*(S140+S141),0)</f>
        <v/>
      </c>
      <c r="U96" s="36">
        <f>IF(AND(T136&gt;0,T136=U34-1),'Inputs'!$C$99*(T140+T141),0)</f>
        <v/>
      </c>
      <c r="V96" s="36">
        <f>IF(AND(U136&gt;0,U136=V34-1),'Inputs'!$C$99*(U140+U141),0)</f>
        <v/>
      </c>
      <c r="W96" s="36">
        <f>IF(AND(V136&gt;0,V136=W34-1),'Inputs'!$C$99*(V140+V141),0)</f>
        <v/>
      </c>
      <c r="X96" s="36">
        <f>IF(AND(W136&gt;0,W136=X34-1),'Inputs'!$C$99*(W140+W141),0)</f>
        <v/>
      </c>
      <c r="Y96" s="36">
        <f>IF(AND(X136&gt;0,X136=Y34-1),'Inputs'!$C$99*(X140+X141),0)</f>
        <v/>
      </c>
      <c r="Z96" s="36">
        <f>IF(AND(Y136&gt;0,Y136=Z34-1),'Inputs'!$C$99*(Y140+Y141),0)</f>
        <v/>
      </c>
      <c r="AA96" s="36">
        <f>IF(AND(Z136&gt;0,Z136=AA34-1),'Inputs'!$C$99*(Z140+Z141),0)</f>
        <v/>
      </c>
      <c r="AB96" s="36">
        <f>IF(AND(AA136&gt;0,AA136=AB34-1),'Inputs'!$C$99*(AA140+AA141),0)</f>
        <v/>
      </c>
    </row>
    <row r="97">
      <c r="B97" s="12" t="inlineStr">
        <is>
          <t>DDTL ticking fee (until the acquisition quarter)</t>
        </is>
      </c>
      <c r="C97" s="11" t="inlineStr">
        <is>
          <t>$m</t>
        </is>
      </c>
      <c r="D97" s="12" t="n"/>
      <c r="E97" s="36">
        <f>IF(E34&lt;='Inputs'!$C$103,'Inputs'!$C$53*'Inputs'!$C$58/4,0)</f>
        <v/>
      </c>
      <c r="F97" s="36">
        <f>IF(F34&lt;='Inputs'!$C$103,'Inputs'!$C$53*'Inputs'!$C$58/4,0)</f>
        <v/>
      </c>
      <c r="G97" s="36">
        <f>IF(G34&lt;='Inputs'!$C$103,'Inputs'!$C$53*'Inputs'!$C$58/4,0)</f>
        <v/>
      </c>
      <c r="H97" s="36">
        <f>IF(H34&lt;='Inputs'!$C$103,'Inputs'!$C$53*'Inputs'!$C$58/4,0)</f>
        <v/>
      </c>
      <c r="I97" s="36">
        <f>IF(I34&lt;='Inputs'!$C$103,'Inputs'!$C$53*'Inputs'!$C$58/4,0)</f>
        <v/>
      </c>
      <c r="J97" s="36">
        <f>IF(J34&lt;='Inputs'!$C$103,'Inputs'!$C$53*'Inputs'!$C$58/4,0)</f>
        <v/>
      </c>
      <c r="K97" s="36">
        <f>IF(K34&lt;='Inputs'!$C$103,'Inputs'!$C$53*'Inputs'!$C$58/4,0)</f>
        <v/>
      </c>
      <c r="L97" s="36">
        <f>IF(L34&lt;='Inputs'!$C$103,'Inputs'!$C$53*'Inputs'!$C$58/4,0)</f>
        <v/>
      </c>
      <c r="M97" s="36">
        <f>IF(M34&lt;='Inputs'!$C$103,'Inputs'!$C$53*'Inputs'!$C$58/4,0)</f>
        <v/>
      </c>
      <c r="N97" s="36">
        <f>IF(N34&lt;='Inputs'!$C$103,'Inputs'!$C$53*'Inputs'!$C$58/4,0)</f>
        <v/>
      </c>
      <c r="O97" s="36">
        <f>IF(O34&lt;='Inputs'!$C$103,'Inputs'!$C$53*'Inputs'!$C$58/4,0)</f>
        <v/>
      </c>
      <c r="P97" s="36">
        <f>IF(P34&lt;='Inputs'!$C$103,'Inputs'!$C$53*'Inputs'!$C$58/4,0)</f>
        <v/>
      </c>
      <c r="Q97" s="36">
        <f>IF(Q34&lt;='Inputs'!$C$103,'Inputs'!$C$53*'Inputs'!$C$58/4,0)</f>
        <v/>
      </c>
      <c r="R97" s="36">
        <f>IF(R34&lt;='Inputs'!$C$103,'Inputs'!$C$53*'Inputs'!$C$58/4,0)</f>
        <v/>
      </c>
      <c r="S97" s="36">
        <f>IF(S34&lt;='Inputs'!$C$103,'Inputs'!$C$53*'Inputs'!$C$58/4,0)</f>
        <v/>
      </c>
      <c r="T97" s="36">
        <f>IF(T34&lt;='Inputs'!$C$103,'Inputs'!$C$53*'Inputs'!$C$58/4,0)</f>
        <v/>
      </c>
      <c r="U97" s="36">
        <f>IF(U34&lt;='Inputs'!$C$103,'Inputs'!$C$53*'Inputs'!$C$58/4,0)</f>
        <v/>
      </c>
      <c r="V97" s="36">
        <f>IF(V34&lt;='Inputs'!$C$103,'Inputs'!$C$53*'Inputs'!$C$58/4,0)</f>
        <v/>
      </c>
      <c r="W97" s="36">
        <f>IF(W34&lt;='Inputs'!$C$103,'Inputs'!$C$53*'Inputs'!$C$58/4,0)</f>
        <v/>
      </c>
      <c r="X97" s="36">
        <f>IF(X34&lt;='Inputs'!$C$103,'Inputs'!$C$53*'Inputs'!$C$58/4,0)</f>
        <v/>
      </c>
      <c r="Y97" s="36">
        <f>IF(Y34&lt;='Inputs'!$C$103,'Inputs'!$C$53*'Inputs'!$C$58/4,0)</f>
        <v/>
      </c>
      <c r="Z97" s="36">
        <f>IF(Z34&lt;='Inputs'!$C$103,'Inputs'!$C$53*'Inputs'!$C$58/4,0)</f>
        <v/>
      </c>
      <c r="AA97" s="36">
        <f>IF(AA34&lt;='Inputs'!$C$103,'Inputs'!$C$53*'Inputs'!$C$58/4,0)</f>
        <v/>
      </c>
      <c r="AB97" s="36">
        <f>IF(AB34&lt;='Inputs'!$C$103,'Inputs'!$C$53*'Inputs'!$C$58/4,0)</f>
        <v/>
      </c>
    </row>
    <row r="98">
      <c r="B98" s="5" t="inlineStr">
        <is>
          <t>Interest and fees</t>
        </is>
      </c>
      <c r="C98" s="37" t="inlineStr">
        <is>
          <t>$m</t>
        </is>
      </c>
      <c r="D98" s="5" t="n"/>
      <c r="E98" s="38">
        <f>E94+E95+E96+E97</f>
        <v/>
      </c>
      <c r="F98" s="38">
        <f>F94+F95+F96+F97</f>
        <v/>
      </c>
      <c r="G98" s="38">
        <f>G94+G95+G96+G97</f>
        <v/>
      </c>
      <c r="H98" s="38">
        <f>H94+H95+H96+H97</f>
        <v/>
      </c>
      <c r="I98" s="38">
        <f>I94+I95+I96+I97</f>
        <v/>
      </c>
      <c r="J98" s="38">
        <f>J94+J95+J96+J97</f>
        <v/>
      </c>
      <c r="K98" s="38">
        <f>K94+K95+K96+K97</f>
        <v/>
      </c>
      <c r="L98" s="38">
        <f>L94+L95+L96+L97</f>
        <v/>
      </c>
      <c r="M98" s="38">
        <f>M94+M95+M96+M97</f>
        <v/>
      </c>
      <c r="N98" s="38">
        <f>N94+N95+N96+N97</f>
        <v/>
      </c>
      <c r="O98" s="38">
        <f>O94+O95+O96+O97</f>
        <v/>
      </c>
      <c r="P98" s="38">
        <f>P94+P95+P96+P97</f>
        <v/>
      </c>
      <c r="Q98" s="38">
        <f>Q94+Q95+Q96+Q97</f>
        <v/>
      </c>
      <c r="R98" s="38">
        <f>R94+R95+R96+R97</f>
        <v/>
      </c>
      <c r="S98" s="38">
        <f>S94+S95+S96+S97</f>
        <v/>
      </c>
      <c r="T98" s="38">
        <f>T94+T95+T96+T97</f>
        <v/>
      </c>
      <c r="U98" s="38">
        <f>U94+U95+U96+U97</f>
        <v/>
      </c>
      <c r="V98" s="38">
        <f>V94+V95+V96+V97</f>
        <v/>
      </c>
      <c r="W98" s="38">
        <f>W94+W95+W96+W97</f>
        <v/>
      </c>
      <c r="X98" s="38">
        <f>X94+X95+X96+X97</f>
        <v/>
      </c>
      <c r="Y98" s="38">
        <f>Y94+Y95+Y96+Y97</f>
        <v/>
      </c>
      <c r="Z98" s="38">
        <f>Z94+Z95+Z96+Z97</f>
        <v/>
      </c>
      <c r="AA98" s="38">
        <f>AA94+AA95+AA96+AA97</f>
        <v/>
      </c>
      <c r="AB98" s="38">
        <f>AB94+AB95+AB96+AB97</f>
        <v/>
      </c>
    </row>
    <row r="99">
      <c r="B99" s="12" t="inlineStr">
        <is>
          <t>Tax depreciation and amortization</t>
        </is>
      </c>
      <c r="C99" s="11" t="inlineStr">
        <is>
          <t>$m</t>
        </is>
      </c>
      <c r="D99" s="12" t="n"/>
      <c r="E99" s="36">
        <f>'Inputs'!$C$69*E45+'Inputs'!$C$71/4+IF((E34&gt;'Inputs'!$C$103),'Inputs'!$C$72/4,0)</f>
        <v/>
      </c>
      <c r="F99" s="36">
        <f>'Inputs'!$C$69*F45+'Inputs'!$C$71/4+IF((F34&gt;'Inputs'!$C$103),'Inputs'!$C$72/4,0)</f>
        <v/>
      </c>
      <c r="G99" s="36">
        <f>'Inputs'!$C$69*G45+'Inputs'!$C$71/4+IF((G34&gt;'Inputs'!$C$103),'Inputs'!$C$72/4,0)</f>
        <v/>
      </c>
      <c r="H99" s="36">
        <f>'Inputs'!$C$69*H45+'Inputs'!$C$71/4+IF((H34&gt;'Inputs'!$C$103),'Inputs'!$C$72/4,0)</f>
        <v/>
      </c>
      <c r="I99" s="36">
        <f>'Inputs'!$C$69*I45+'Inputs'!$C$71/4+IF((I34&gt;'Inputs'!$C$103),'Inputs'!$C$72/4,0)</f>
        <v/>
      </c>
      <c r="J99" s="36">
        <f>'Inputs'!$C$69*J45+'Inputs'!$C$71/4+IF((J34&gt;'Inputs'!$C$103),'Inputs'!$C$72/4,0)</f>
        <v/>
      </c>
      <c r="K99" s="36">
        <f>'Inputs'!$C$69*K45+'Inputs'!$C$71/4+IF((K34&gt;'Inputs'!$C$103),'Inputs'!$C$72/4,0)</f>
        <v/>
      </c>
      <c r="L99" s="36">
        <f>'Inputs'!$C$69*L45+'Inputs'!$C$71/4+IF((L34&gt;'Inputs'!$C$103),'Inputs'!$C$72/4,0)</f>
        <v/>
      </c>
      <c r="M99" s="36">
        <f>'Inputs'!$C$69*M45+'Inputs'!$C$71/4+IF((M34&gt;'Inputs'!$C$103),'Inputs'!$C$72/4,0)</f>
        <v/>
      </c>
      <c r="N99" s="36">
        <f>'Inputs'!$C$69*N45+'Inputs'!$C$71/4+IF((N34&gt;'Inputs'!$C$103),'Inputs'!$C$72/4,0)</f>
        <v/>
      </c>
      <c r="O99" s="36">
        <f>'Inputs'!$C$69*O45+'Inputs'!$C$71/4+IF((O34&gt;'Inputs'!$C$103),'Inputs'!$C$72/4,0)</f>
        <v/>
      </c>
      <c r="P99" s="36">
        <f>'Inputs'!$C$69*P45+'Inputs'!$C$71/4+IF((P34&gt;'Inputs'!$C$103),'Inputs'!$C$72/4,0)</f>
        <v/>
      </c>
      <c r="Q99" s="36">
        <f>'Inputs'!$C$69*Q45+'Inputs'!$C$71/4+IF((Q34&gt;'Inputs'!$C$103),'Inputs'!$C$72/4,0)</f>
        <v/>
      </c>
      <c r="R99" s="36">
        <f>'Inputs'!$C$69*R45+'Inputs'!$C$71/4+IF((R34&gt;'Inputs'!$C$103),'Inputs'!$C$72/4,0)</f>
        <v/>
      </c>
      <c r="S99" s="36">
        <f>'Inputs'!$C$69*S45+'Inputs'!$C$71/4+IF((S34&gt;'Inputs'!$C$103),'Inputs'!$C$72/4,0)</f>
        <v/>
      </c>
      <c r="T99" s="36">
        <f>'Inputs'!$C$69*T45+'Inputs'!$C$71/4+IF((T34&gt;'Inputs'!$C$103),'Inputs'!$C$72/4,0)</f>
        <v/>
      </c>
      <c r="U99" s="36">
        <f>'Inputs'!$C$69*U45+'Inputs'!$C$71/4+IF((U34&gt;'Inputs'!$C$103),'Inputs'!$C$72/4,0)</f>
        <v/>
      </c>
      <c r="V99" s="36">
        <f>'Inputs'!$C$69*V45+'Inputs'!$C$71/4+IF((V34&gt;'Inputs'!$C$103),'Inputs'!$C$72/4,0)</f>
        <v/>
      </c>
      <c r="W99" s="36">
        <f>'Inputs'!$C$69*W45+'Inputs'!$C$71/4+IF((W34&gt;'Inputs'!$C$103),'Inputs'!$C$72/4,0)</f>
        <v/>
      </c>
      <c r="X99" s="36">
        <f>'Inputs'!$C$69*X45+'Inputs'!$C$71/4+IF((X34&gt;'Inputs'!$C$103),'Inputs'!$C$72/4,0)</f>
        <v/>
      </c>
      <c r="Y99" s="36">
        <f>'Inputs'!$C$69*Y45+'Inputs'!$C$71/4+IF((Y34&gt;'Inputs'!$C$103),'Inputs'!$C$72/4,0)</f>
        <v/>
      </c>
      <c r="Z99" s="36">
        <f>'Inputs'!$C$69*Z45+'Inputs'!$C$71/4+IF((Z34&gt;'Inputs'!$C$103),'Inputs'!$C$72/4,0)</f>
        <v/>
      </c>
      <c r="AA99" s="36">
        <f>'Inputs'!$C$69*AA45+'Inputs'!$C$71/4+IF((AA34&gt;'Inputs'!$C$103),'Inputs'!$C$72/4,0)</f>
        <v/>
      </c>
      <c r="AB99" s="36">
        <f>'Inputs'!$C$69*AB45+'Inputs'!$C$71/4+IF((AB34&gt;'Inputs'!$C$103),'Inputs'!$C$72/4,0)</f>
        <v/>
      </c>
    </row>
    <row r="100">
      <c r="B100" s="12" t="inlineStr">
        <is>
          <t>Taxable income</t>
        </is>
      </c>
      <c r="C100" s="11" t="inlineStr">
        <is>
          <t>$m</t>
        </is>
      </c>
      <c r="D100" s="12" t="n"/>
      <c r="E100" s="36">
        <f>E72-E98-E99</f>
        <v/>
      </c>
      <c r="F100" s="36">
        <f>F72-F98-F99</f>
        <v/>
      </c>
      <c r="G100" s="36">
        <f>G72-G98-G99</f>
        <v/>
      </c>
      <c r="H100" s="36">
        <f>H72-H98-H99</f>
        <v/>
      </c>
      <c r="I100" s="36">
        <f>I72-I98-I99</f>
        <v/>
      </c>
      <c r="J100" s="36">
        <f>J72-J98-J99</f>
        <v/>
      </c>
      <c r="K100" s="36">
        <f>K72-K98-K99</f>
        <v/>
      </c>
      <c r="L100" s="36">
        <f>L72-L98-L99</f>
        <v/>
      </c>
      <c r="M100" s="36">
        <f>M72-M98-M99</f>
        <v/>
      </c>
      <c r="N100" s="36">
        <f>N72-N98-N99</f>
        <v/>
      </c>
      <c r="O100" s="36">
        <f>O72-O98-O99</f>
        <v/>
      </c>
      <c r="P100" s="36">
        <f>P72-P98-P99</f>
        <v/>
      </c>
      <c r="Q100" s="36">
        <f>Q72-Q98-Q99</f>
        <v/>
      </c>
      <c r="R100" s="36">
        <f>R72-R98-R99</f>
        <v/>
      </c>
      <c r="S100" s="36">
        <f>S72-S98-S99</f>
        <v/>
      </c>
      <c r="T100" s="36">
        <f>T72-T98-T99</f>
        <v/>
      </c>
      <c r="U100" s="36">
        <f>U72-U98-U99</f>
        <v/>
      </c>
      <c r="V100" s="36">
        <f>V72-V98-V99</f>
        <v/>
      </c>
      <c r="W100" s="36">
        <f>W72-W98-W99</f>
        <v/>
      </c>
      <c r="X100" s="36">
        <f>X72-X98-X99</f>
        <v/>
      </c>
      <c r="Y100" s="36">
        <f>Y72-Y98-Y99</f>
        <v/>
      </c>
      <c r="Z100" s="36">
        <f>Z72-Z98-Z99</f>
        <v/>
      </c>
      <c r="AA100" s="36">
        <f>AA72-AA98-AA99</f>
        <v/>
      </c>
      <c r="AB100" s="36">
        <f>AB72-AB98-AB99</f>
        <v/>
      </c>
    </row>
    <row r="101">
      <c r="B101" s="12" t="inlineStr">
        <is>
          <t>Tax paid (never negative)</t>
        </is>
      </c>
      <c r="C101" s="11" t="inlineStr">
        <is>
          <t>$m</t>
        </is>
      </c>
      <c r="D101" s="12" t="n"/>
      <c r="E101" s="36">
        <f>MAX(0,'Inputs'!$C$70*E100)</f>
        <v/>
      </c>
      <c r="F101" s="36">
        <f>MAX(0,'Inputs'!$C$70*F100)</f>
        <v/>
      </c>
      <c r="G101" s="36">
        <f>MAX(0,'Inputs'!$C$70*G100)</f>
        <v/>
      </c>
      <c r="H101" s="36">
        <f>MAX(0,'Inputs'!$C$70*H100)</f>
        <v/>
      </c>
      <c r="I101" s="36">
        <f>MAX(0,'Inputs'!$C$70*I100)</f>
        <v/>
      </c>
      <c r="J101" s="36">
        <f>MAX(0,'Inputs'!$C$70*J100)</f>
        <v/>
      </c>
      <c r="K101" s="36">
        <f>MAX(0,'Inputs'!$C$70*K100)</f>
        <v/>
      </c>
      <c r="L101" s="36">
        <f>MAX(0,'Inputs'!$C$70*L100)</f>
        <v/>
      </c>
      <c r="M101" s="36">
        <f>MAX(0,'Inputs'!$C$70*M100)</f>
        <v/>
      </c>
      <c r="N101" s="36">
        <f>MAX(0,'Inputs'!$C$70*N100)</f>
        <v/>
      </c>
      <c r="O101" s="36">
        <f>MAX(0,'Inputs'!$C$70*O100)</f>
        <v/>
      </c>
      <c r="P101" s="36">
        <f>MAX(0,'Inputs'!$C$70*P100)</f>
        <v/>
      </c>
      <c r="Q101" s="36">
        <f>MAX(0,'Inputs'!$C$70*Q100)</f>
        <v/>
      </c>
      <c r="R101" s="36">
        <f>MAX(0,'Inputs'!$C$70*R100)</f>
        <v/>
      </c>
      <c r="S101" s="36">
        <f>MAX(0,'Inputs'!$C$70*S100)</f>
        <v/>
      </c>
      <c r="T101" s="36">
        <f>MAX(0,'Inputs'!$C$70*T100)</f>
        <v/>
      </c>
      <c r="U101" s="36">
        <f>MAX(0,'Inputs'!$C$70*U100)</f>
        <v/>
      </c>
      <c r="V101" s="36">
        <f>MAX(0,'Inputs'!$C$70*V100)</f>
        <v/>
      </c>
      <c r="W101" s="36">
        <f>MAX(0,'Inputs'!$C$70*W100)</f>
        <v/>
      </c>
      <c r="X101" s="36">
        <f>MAX(0,'Inputs'!$C$70*X100)</f>
        <v/>
      </c>
      <c r="Y101" s="36">
        <f>MAX(0,'Inputs'!$C$70*Y100)</f>
        <v/>
      </c>
      <c r="Z101" s="36">
        <f>MAX(0,'Inputs'!$C$70*Z100)</f>
        <v/>
      </c>
      <c r="AA101" s="36">
        <f>MAX(0,'Inputs'!$C$70*AA100)</f>
        <v/>
      </c>
      <c r="AB101" s="36">
        <f>MAX(0,'Inputs'!$C$70*AB100)</f>
        <v/>
      </c>
    </row>
    <row r="102">
      <c r="B102" s="12" t="inlineStr">
        <is>
          <t>Working capital price adjustment received</t>
        </is>
      </c>
      <c r="C102" s="11" t="inlineStr">
        <is>
          <t>$m</t>
        </is>
      </c>
      <c r="D102" s="12" t="n"/>
      <c r="E102" s="36">
        <f>IF(E34=1,'Quarterly'!$D$24,0)</f>
        <v/>
      </c>
      <c r="F102" s="36">
        <f>IF(F34=1,'Quarterly'!$D$24,0)</f>
        <v/>
      </c>
      <c r="G102" s="36">
        <f>IF(G34=1,'Quarterly'!$D$24,0)</f>
        <v/>
      </c>
      <c r="H102" s="36">
        <f>IF(H34=1,'Quarterly'!$D$24,0)</f>
        <v/>
      </c>
      <c r="I102" s="36">
        <f>IF(I34=1,'Quarterly'!$D$24,0)</f>
        <v/>
      </c>
      <c r="J102" s="36">
        <f>IF(J34=1,'Quarterly'!$D$24,0)</f>
        <v/>
      </c>
      <c r="K102" s="36">
        <f>IF(K34=1,'Quarterly'!$D$24,0)</f>
        <v/>
      </c>
      <c r="L102" s="36">
        <f>IF(L34=1,'Quarterly'!$D$24,0)</f>
        <v/>
      </c>
      <c r="M102" s="36">
        <f>IF(M34=1,'Quarterly'!$D$24,0)</f>
        <v/>
      </c>
      <c r="N102" s="36">
        <f>IF(N34=1,'Quarterly'!$D$24,0)</f>
        <v/>
      </c>
      <c r="O102" s="36">
        <f>IF(O34=1,'Quarterly'!$D$24,0)</f>
        <v/>
      </c>
      <c r="P102" s="36">
        <f>IF(P34=1,'Quarterly'!$D$24,0)</f>
        <v/>
      </c>
      <c r="Q102" s="36">
        <f>IF(Q34=1,'Quarterly'!$D$24,0)</f>
        <v/>
      </c>
      <c r="R102" s="36">
        <f>IF(R34=1,'Quarterly'!$D$24,0)</f>
        <v/>
      </c>
      <c r="S102" s="36">
        <f>IF(S34=1,'Quarterly'!$D$24,0)</f>
        <v/>
      </c>
      <c r="T102" s="36">
        <f>IF(T34=1,'Quarterly'!$D$24,0)</f>
        <v/>
      </c>
      <c r="U102" s="36">
        <f>IF(U34=1,'Quarterly'!$D$24,0)</f>
        <v/>
      </c>
      <c r="V102" s="36">
        <f>IF(V34=1,'Quarterly'!$D$24,0)</f>
        <v/>
      </c>
      <c r="W102" s="36">
        <f>IF(W34=1,'Quarterly'!$D$24,0)</f>
        <v/>
      </c>
      <c r="X102" s="36">
        <f>IF(X34=1,'Quarterly'!$D$24,0)</f>
        <v/>
      </c>
      <c r="Y102" s="36">
        <f>IF(Y34=1,'Quarterly'!$D$24,0)</f>
        <v/>
      </c>
      <c r="Z102" s="36">
        <f>IF(Z34=1,'Quarterly'!$D$24,0)</f>
        <v/>
      </c>
      <c r="AA102" s="36">
        <f>IF(AA34=1,'Quarterly'!$D$24,0)</f>
        <v/>
      </c>
      <c r="AB102" s="36">
        <f>IF(AB34=1,'Quarterly'!$D$24,0)</f>
        <v/>
      </c>
    </row>
    <row r="103">
      <c r="B103" s="5" t="inlineStr">
        <is>
          <t>Free cash flow (after capex, interest and tax)</t>
        </is>
      </c>
      <c r="C103" s="37" t="inlineStr">
        <is>
          <t>$m</t>
        </is>
      </c>
      <c r="D103" s="5" t="n"/>
      <c r="E103" s="38">
        <f>E72-E86-E88-E91-E101-E98+E102</f>
        <v/>
      </c>
      <c r="F103" s="38">
        <f>F72-F86-F88-F91-F101-F98+F102</f>
        <v/>
      </c>
      <c r="G103" s="38">
        <f>G72-G86-G88-G91-G101-G98+G102</f>
        <v/>
      </c>
      <c r="H103" s="38">
        <f>H72-H86-H88-H91-H101-H98+H102</f>
        <v/>
      </c>
      <c r="I103" s="38">
        <f>I72-I86-I88-I91-I101-I98+I102</f>
        <v/>
      </c>
      <c r="J103" s="38">
        <f>J72-J86-J88-J91-J101-J98+J102</f>
        <v/>
      </c>
      <c r="K103" s="38">
        <f>K72-K86-K88-K91-K101-K98+K102</f>
        <v/>
      </c>
      <c r="L103" s="38">
        <f>L72-L86-L88-L91-L101-L98+L102</f>
        <v/>
      </c>
      <c r="M103" s="38">
        <f>M72-M86-M88-M91-M101-M98+M102</f>
        <v/>
      </c>
      <c r="N103" s="38">
        <f>N72-N86-N88-N91-N101-N98+N102</f>
        <v/>
      </c>
      <c r="O103" s="38">
        <f>O72-O86-O88-O91-O101-O98+O102</f>
        <v/>
      </c>
      <c r="P103" s="38">
        <f>P72-P86-P88-P91-P101-P98+P102</f>
        <v/>
      </c>
      <c r="Q103" s="38">
        <f>Q72-Q86-Q88-Q91-Q101-Q98+Q102</f>
        <v/>
      </c>
      <c r="R103" s="38">
        <f>R72-R86-R88-R91-R101-R98+R102</f>
        <v/>
      </c>
      <c r="S103" s="38">
        <f>S72-S86-S88-S91-S101-S98+S102</f>
        <v/>
      </c>
      <c r="T103" s="38">
        <f>T72-T86-T88-T91-T101-T98+T102</f>
        <v/>
      </c>
      <c r="U103" s="38">
        <f>U72-U86-U88-U91-U101-U98+U102</f>
        <v/>
      </c>
      <c r="V103" s="38">
        <f>V72-V86-V88-V91-V101-V98+V102</f>
        <v/>
      </c>
      <c r="W103" s="38">
        <f>W72-W86-W88-W91-W101-W98+W102</f>
        <v/>
      </c>
      <c r="X103" s="38">
        <f>X72-X86-X88-X91-X101-X98+X102</f>
        <v/>
      </c>
      <c r="Y103" s="38">
        <f>Y72-Y86-Y88-Y91-Y101-Y98+Y102</f>
        <v/>
      </c>
      <c r="Z103" s="38">
        <f>Z72-Z86-Z88-Z91-Z101-Z98+Z102</f>
        <v/>
      </c>
      <c r="AA103" s="38">
        <f>AA72-AA86-AA88-AA91-AA101-AA98+AA102</f>
        <v/>
      </c>
      <c r="AB103" s="38">
        <f>AB72-AB86-AB88-AB91-AB101-AB98+AB102</f>
        <v/>
      </c>
    </row>
    <row r="104">
      <c r="B104" s="12" t="inlineStr">
        <is>
          <t>Customer receipts (for the 13-week)</t>
        </is>
      </c>
      <c r="C104" s="11" t="inlineStr">
        <is>
          <t>$m</t>
        </is>
      </c>
      <c r="D104" s="12" t="n"/>
      <c r="E104" s="36">
        <f>E45-(E79-D79)+E84</f>
        <v/>
      </c>
      <c r="F104" s="36">
        <f>F45-(F79-E79)+F84</f>
        <v/>
      </c>
      <c r="G104" s="36">
        <f>G45-(G79-F79)+G84</f>
        <v/>
      </c>
      <c r="H104" s="36">
        <f>H45-(H79-G79)+H84</f>
        <v/>
      </c>
      <c r="I104" s="36">
        <f>I45-(I79-H79)+I84</f>
        <v/>
      </c>
      <c r="J104" s="36">
        <f>J45-(J79-I79)+J84</f>
        <v/>
      </c>
      <c r="K104" s="36">
        <f>K45-(K79-J79)+K84</f>
        <v/>
      </c>
      <c r="L104" s="36">
        <f>L45-(L79-K79)+L84</f>
        <v/>
      </c>
      <c r="M104" s="36">
        <f>M45-(M79-L79)+M84</f>
        <v/>
      </c>
      <c r="N104" s="36">
        <f>N45-(N79-M79)+N84</f>
        <v/>
      </c>
      <c r="O104" s="36">
        <f>O45-(O79-N79)+O84</f>
        <v/>
      </c>
      <c r="P104" s="36">
        <f>P45-(P79-O79)+P84</f>
        <v/>
      </c>
      <c r="Q104" s="36">
        <f>Q45-(Q79-P79)+Q84</f>
        <v/>
      </c>
      <c r="R104" s="36">
        <f>R45-(R79-Q79)+R84</f>
        <v/>
      </c>
      <c r="S104" s="36">
        <f>S45-(S79-R79)+S84</f>
        <v/>
      </c>
      <c r="T104" s="36">
        <f>T45-(T79-S79)+T84</f>
        <v/>
      </c>
      <c r="U104" s="36">
        <f>U45-(U79-T79)+U84</f>
        <v/>
      </c>
      <c r="V104" s="36">
        <f>V45-(V79-U79)+V84</f>
        <v/>
      </c>
      <c r="W104" s="36">
        <f>W45-(W79-V79)+W84</f>
        <v/>
      </c>
      <c r="X104" s="36">
        <f>X45-(X79-W79)+X84</f>
        <v/>
      </c>
      <c r="Y104" s="36">
        <f>Y45-(Y79-X79)+Y84</f>
        <v/>
      </c>
      <c r="Z104" s="36">
        <f>Z45-(Z79-Y79)+Z84</f>
        <v/>
      </c>
      <c r="AA104" s="36">
        <f>AA45-(AA79-Z79)+AA84</f>
        <v/>
      </c>
      <c r="AB104" s="36">
        <f>AB45-(AB79-AA79)+AB84</f>
        <v/>
      </c>
    </row>
    <row r="105">
      <c r="B105" s="12" t="inlineStr">
        <is>
          <t>Supplier payments (for the 13-week)</t>
        </is>
      </c>
      <c r="C105" s="11" t="inlineStr">
        <is>
          <t>$m</t>
        </is>
      </c>
      <c r="D105" s="12" t="n"/>
      <c r="E105" s="36">
        <f>E52+(E80-D80)-(E81-D81)-E85</f>
        <v/>
      </c>
      <c r="F105" s="36">
        <f>F52+(F80-E80)-(F81-E81)-F85</f>
        <v/>
      </c>
      <c r="G105" s="36">
        <f>G52+(G80-F80)-(G81-F81)-G85</f>
        <v/>
      </c>
      <c r="H105" s="36">
        <f>H52+(H80-G80)-(H81-G81)-H85</f>
        <v/>
      </c>
      <c r="I105" s="36">
        <f>I52+(I80-H80)-(I81-H81)-I85</f>
        <v/>
      </c>
      <c r="J105" s="36">
        <f>J52+(J80-I80)-(J81-I81)-J85</f>
        <v/>
      </c>
      <c r="K105" s="36">
        <f>K52+(K80-J80)-(K81-J81)-K85</f>
        <v/>
      </c>
      <c r="L105" s="36">
        <f>L52+(L80-K80)-(L81-K81)-L85</f>
        <v/>
      </c>
      <c r="M105" s="36">
        <f>M52+(M80-L80)-(M81-L81)-M85</f>
        <v/>
      </c>
      <c r="N105" s="36">
        <f>N52+(N80-M80)-(N81-M81)-N85</f>
        <v/>
      </c>
      <c r="O105" s="36">
        <f>O52+(O80-N80)-(O81-N81)-O85</f>
        <v/>
      </c>
      <c r="P105" s="36">
        <f>P52+(P80-O80)-(P81-O81)-P85</f>
        <v/>
      </c>
      <c r="Q105" s="36">
        <f>Q52+(Q80-P80)-(Q81-P81)-Q85</f>
        <v/>
      </c>
      <c r="R105" s="36">
        <f>R52+(R80-Q80)-(R81-Q81)-R85</f>
        <v/>
      </c>
      <c r="S105" s="36">
        <f>S52+(S80-R80)-(S81-R81)-S85</f>
        <v/>
      </c>
      <c r="T105" s="36">
        <f>T52+(T80-S80)-(T81-S81)-T85</f>
        <v/>
      </c>
      <c r="U105" s="36">
        <f>U52+(U80-T80)-(U81-T81)-U85</f>
        <v/>
      </c>
      <c r="V105" s="36">
        <f>V52+(V80-U80)-(V81-U81)-V85</f>
        <v/>
      </c>
      <c r="W105" s="36">
        <f>W52+(W80-V80)-(W81-V81)-W85</f>
        <v/>
      </c>
      <c r="X105" s="36">
        <f>X52+(X80-W80)-(X81-W81)-X85</f>
        <v/>
      </c>
      <c r="Y105" s="36">
        <f>Y52+(Y80-X80)-(Y81-X81)-Y85</f>
        <v/>
      </c>
      <c r="Z105" s="36">
        <f>Z52+(Z80-Y80)-(Z81-Y81)-Z85</f>
        <v/>
      </c>
      <c r="AA105" s="36">
        <f>AA52+(AA80-Z80)-(AA81-Z81)-AA85</f>
        <v/>
      </c>
      <c r="AB105" s="36">
        <f>AB52+(AB80-AA80)-(AB81-AA81)-AB85</f>
        <v/>
      </c>
    </row>
    <row r="106"/>
    <row r="107">
      <c r="B107" s="8" t="inlineStr">
        <is>
          <t>Add-on, debt service, revolver, sweep and prepayment (Chapters 4, 10)</t>
        </is>
      </c>
      <c r="C107" s="8" t="inlineStr">
        <is>
          <t>Unit</t>
        </is>
      </c>
      <c r="D107" s="9" t="inlineStr">
        <is>
          <t>Close</t>
        </is>
      </c>
      <c r="E107" s="9" t="inlineStr">
        <is>
          <t>Y1 Q1</t>
        </is>
      </c>
      <c r="F107" s="9" t="inlineStr">
        <is>
          <t>Y1 Q2</t>
        </is>
      </c>
      <c r="G107" s="9" t="inlineStr">
        <is>
          <t>Y1 Q3</t>
        </is>
      </c>
      <c r="H107" s="9" t="inlineStr">
        <is>
          <t>Y1 Q4</t>
        </is>
      </c>
      <c r="I107" s="9" t="inlineStr">
        <is>
          <t>Y2 Q1</t>
        </is>
      </c>
      <c r="J107" s="9" t="inlineStr">
        <is>
          <t>Y2 Q2</t>
        </is>
      </c>
      <c r="K107" s="9" t="inlineStr">
        <is>
          <t>Y2 Q3</t>
        </is>
      </c>
      <c r="L107" s="9" t="inlineStr">
        <is>
          <t>Y2 Q4</t>
        </is>
      </c>
      <c r="M107" s="9" t="inlineStr">
        <is>
          <t>Y3 Q1</t>
        </is>
      </c>
      <c r="N107" s="9" t="inlineStr">
        <is>
          <t>Y3 Q2</t>
        </is>
      </c>
      <c r="O107" s="9" t="inlineStr">
        <is>
          <t>Y3 Q3</t>
        </is>
      </c>
      <c r="P107" s="9" t="inlineStr">
        <is>
          <t>Y3 Q4</t>
        </is>
      </c>
      <c r="Q107" s="9" t="inlineStr">
        <is>
          <t>Y4 Q1</t>
        </is>
      </c>
      <c r="R107" s="9" t="inlineStr">
        <is>
          <t>Y4 Q2</t>
        </is>
      </c>
      <c r="S107" s="9" t="inlineStr">
        <is>
          <t>Y4 Q3</t>
        </is>
      </c>
      <c r="T107" s="9" t="inlineStr">
        <is>
          <t>Y4 Q4</t>
        </is>
      </c>
      <c r="U107" s="9" t="inlineStr">
        <is>
          <t>Y5 Q1</t>
        </is>
      </c>
      <c r="V107" s="9" t="inlineStr">
        <is>
          <t>Y5 Q2</t>
        </is>
      </c>
      <c r="W107" s="9" t="inlineStr">
        <is>
          <t>Y5 Q3</t>
        </is>
      </c>
      <c r="X107" s="9" t="inlineStr">
        <is>
          <t>Y5 Q4</t>
        </is>
      </c>
      <c r="Y107" s="9" t="inlineStr">
        <is>
          <t>Y6 Q1</t>
        </is>
      </c>
      <c r="Z107" s="9" t="inlineStr">
        <is>
          <t>Y6 Q2</t>
        </is>
      </c>
      <c r="AA107" s="9" t="inlineStr">
        <is>
          <t>Y6 Q3</t>
        </is>
      </c>
      <c r="AB107" s="9" t="inlineStr">
        <is>
          <t>Y6 Q4</t>
        </is>
      </c>
    </row>
    <row r="108">
      <c r="B108" s="12" t="inlineStr">
        <is>
          <t>Add-on price paid</t>
        </is>
      </c>
      <c r="C108" s="11" t="inlineStr">
        <is>
          <t>$m</t>
        </is>
      </c>
      <c r="D108" s="12" t="n"/>
      <c r="E108" s="36">
        <f>IF(E34='Inputs'!$C$103,'Inputs'!$C$107*'Inputs'!$C$106,0)</f>
        <v/>
      </c>
      <c r="F108" s="36">
        <f>IF(F34='Inputs'!$C$103,'Inputs'!$C$107*'Inputs'!$C$106,0)</f>
        <v/>
      </c>
      <c r="G108" s="36">
        <f>IF(G34='Inputs'!$C$103,'Inputs'!$C$107*'Inputs'!$C$106,0)</f>
        <v/>
      </c>
      <c r="H108" s="36">
        <f>IF(H34='Inputs'!$C$103,'Inputs'!$C$107*'Inputs'!$C$106,0)</f>
        <v/>
      </c>
      <c r="I108" s="36">
        <f>IF(I34='Inputs'!$C$103,'Inputs'!$C$107*'Inputs'!$C$106,0)</f>
        <v/>
      </c>
      <c r="J108" s="36">
        <f>IF(J34='Inputs'!$C$103,'Inputs'!$C$107*'Inputs'!$C$106,0)</f>
        <v/>
      </c>
      <c r="K108" s="36">
        <f>IF(K34='Inputs'!$C$103,'Inputs'!$C$107*'Inputs'!$C$106,0)</f>
        <v/>
      </c>
      <c r="L108" s="36">
        <f>IF(L34='Inputs'!$C$103,'Inputs'!$C$107*'Inputs'!$C$106,0)</f>
        <v/>
      </c>
      <c r="M108" s="36">
        <f>IF(M34='Inputs'!$C$103,'Inputs'!$C$107*'Inputs'!$C$106,0)</f>
        <v/>
      </c>
      <c r="N108" s="36">
        <f>IF(N34='Inputs'!$C$103,'Inputs'!$C$107*'Inputs'!$C$106,0)</f>
        <v/>
      </c>
      <c r="O108" s="36">
        <f>IF(O34='Inputs'!$C$103,'Inputs'!$C$107*'Inputs'!$C$106,0)</f>
        <v/>
      </c>
      <c r="P108" s="36">
        <f>IF(P34='Inputs'!$C$103,'Inputs'!$C$107*'Inputs'!$C$106,0)</f>
        <v/>
      </c>
      <c r="Q108" s="36">
        <f>IF(Q34='Inputs'!$C$103,'Inputs'!$C$107*'Inputs'!$C$106,0)</f>
        <v/>
      </c>
      <c r="R108" s="36">
        <f>IF(R34='Inputs'!$C$103,'Inputs'!$C$107*'Inputs'!$C$106,0)</f>
        <v/>
      </c>
      <c r="S108" s="36">
        <f>IF(S34='Inputs'!$C$103,'Inputs'!$C$107*'Inputs'!$C$106,0)</f>
        <v/>
      </c>
      <c r="T108" s="36">
        <f>IF(T34='Inputs'!$C$103,'Inputs'!$C$107*'Inputs'!$C$106,0)</f>
        <v/>
      </c>
      <c r="U108" s="36">
        <f>IF(U34='Inputs'!$C$103,'Inputs'!$C$107*'Inputs'!$C$106,0)</f>
        <v/>
      </c>
      <c r="V108" s="36">
        <f>IF(V34='Inputs'!$C$103,'Inputs'!$C$107*'Inputs'!$C$106,0)</f>
        <v/>
      </c>
      <c r="W108" s="36">
        <f>IF(W34='Inputs'!$C$103,'Inputs'!$C$107*'Inputs'!$C$106,0)</f>
        <v/>
      </c>
      <c r="X108" s="36">
        <f>IF(X34='Inputs'!$C$103,'Inputs'!$C$107*'Inputs'!$C$106,0)</f>
        <v/>
      </c>
      <c r="Y108" s="36">
        <f>IF(Y34='Inputs'!$C$103,'Inputs'!$C$107*'Inputs'!$C$106,0)</f>
        <v/>
      </c>
      <c r="Z108" s="36">
        <f>IF(Z34='Inputs'!$C$103,'Inputs'!$C$107*'Inputs'!$C$106,0)</f>
        <v/>
      </c>
      <c r="AA108" s="36">
        <f>IF(AA34='Inputs'!$C$103,'Inputs'!$C$107*'Inputs'!$C$106,0)</f>
        <v/>
      </c>
      <c r="AB108" s="36">
        <f>IF(AB34='Inputs'!$C$103,'Inputs'!$C$107*'Inputs'!$C$106,0)</f>
        <v/>
      </c>
    </row>
    <row r="109">
      <c r="B109" s="12" t="inlineStr">
        <is>
          <t>DDTL drawn</t>
        </is>
      </c>
      <c r="C109" s="11" t="inlineStr">
        <is>
          <t>$m</t>
        </is>
      </c>
      <c r="D109" s="12" t="n"/>
      <c r="E109" s="36">
        <f>IF(E34='Inputs'!$C$103,'Inputs'!$C$109,0)</f>
        <v/>
      </c>
      <c r="F109" s="36">
        <f>IF(F34='Inputs'!$C$103,'Inputs'!$C$109,0)</f>
        <v/>
      </c>
      <c r="G109" s="36">
        <f>IF(G34='Inputs'!$C$103,'Inputs'!$C$109,0)</f>
        <v/>
      </c>
      <c r="H109" s="36">
        <f>IF(H34='Inputs'!$C$103,'Inputs'!$C$109,0)</f>
        <v/>
      </c>
      <c r="I109" s="36">
        <f>IF(I34='Inputs'!$C$103,'Inputs'!$C$109,0)</f>
        <v/>
      </c>
      <c r="J109" s="36">
        <f>IF(J34='Inputs'!$C$103,'Inputs'!$C$109,0)</f>
        <v/>
      </c>
      <c r="K109" s="36">
        <f>IF(K34='Inputs'!$C$103,'Inputs'!$C$109,0)</f>
        <v/>
      </c>
      <c r="L109" s="36">
        <f>IF(L34='Inputs'!$C$103,'Inputs'!$C$109,0)</f>
        <v/>
      </c>
      <c r="M109" s="36">
        <f>IF(M34='Inputs'!$C$103,'Inputs'!$C$109,0)</f>
        <v/>
      </c>
      <c r="N109" s="36">
        <f>IF(N34='Inputs'!$C$103,'Inputs'!$C$109,0)</f>
        <v/>
      </c>
      <c r="O109" s="36">
        <f>IF(O34='Inputs'!$C$103,'Inputs'!$C$109,0)</f>
        <v/>
      </c>
      <c r="P109" s="36">
        <f>IF(P34='Inputs'!$C$103,'Inputs'!$C$109,0)</f>
        <v/>
      </c>
      <c r="Q109" s="36">
        <f>IF(Q34='Inputs'!$C$103,'Inputs'!$C$109,0)</f>
        <v/>
      </c>
      <c r="R109" s="36">
        <f>IF(R34='Inputs'!$C$103,'Inputs'!$C$109,0)</f>
        <v/>
      </c>
      <c r="S109" s="36">
        <f>IF(S34='Inputs'!$C$103,'Inputs'!$C$109,0)</f>
        <v/>
      </c>
      <c r="T109" s="36">
        <f>IF(T34='Inputs'!$C$103,'Inputs'!$C$109,0)</f>
        <v/>
      </c>
      <c r="U109" s="36">
        <f>IF(U34='Inputs'!$C$103,'Inputs'!$C$109,0)</f>
        <v/>
      </c>
      <c r="V109" s="36">
        <f>IF(V34='Inputs'!$C$103,'Inputs'!$C$109,0)</f>
        <v/>
      </c>
      <c r="W109" s="36">
        <f>IF(W34='Inputs'!$C$103,'Inputs'!$C$109,0)</f>
        <v/>
      </c>
      <c r="X109" s="36">
        <f>IF(X34='Inputs'!$C$103,'Inputs'!$C$109,0)</f>
        <v/>
      </c>
      <c r="Y109" s="36">
        <f>IF(Y34='Inputs'!$C$103,'Inputs'!$C$109,0)</f>
        <v/>
      </c>
      <c r="Z109" s="36">
        <f>IF(Z34='Inputs'!$C$103,'Inputs'!$C$109,0)</f>
        <v/>
      </c>
      <c r="AA109" s="36">
        <f>IF(AA34='Inputs'!$C$103,'Inputs'!$C$109,0)</f>
        <v/>
      </c>
      <c r="AB109" s="36">
        <f>IF(AB34='Inputs'!$C$103,'Inputs'!$C$109,0)</f>
        <v/>
      </c>
    </row>
    <row r="110">
      <c r="B110" s="12" t="inlineStr">
        <is>
          <t>Scheduled amortization, term loan</t>
        </is>
      </c>
      <c r="C110" s="11" t="inlineStr">
        <is>
          <t>$m</t>
        </is>
      </c>
      <c r="D110" s="12" t="n"/>
      <c r="E110" s="36">
        <f>MIN('Inputs'!$C$52*'Inputs'!$C$59/4,D140)</f>
        <v/>
      </c>
      <c r="F110" s="36">
        <f>MIN('Inputs'!$C$52*'Inputs'!$C$59/4,E140)</f>
        <v/>
      </c>
      <c r="G110" s="36">
        <f>MIN('Inputs'!$C$52*'Inputs'!$C$59/4,F140)</f>
        <v/>
      </c>
      <c r="H110" s="36">
        <f>MIN('Inputs'!$C$52*'Inputs'!$C$59/4,G140)</f>
        <v/>
      </c>
      <c r="I110" s="36">
        <f>MIN('Inputs'!$C$52*'Inputs'!$C$59/4,H140)</f>
        <v/>
      </c>
      <c r="J110" s="36">
        <f>MIN('Inputs'!$C$52*'Inputs'!$C$59/4,I140)</f>
        <v/>
      </c>
      <c r="K110" s="36">
        <f>MIN('Inputs'!$C$52*'Inputs'!$C$59/4,J140)</f>
        <v/>
      </c>
      <c r="L110" s="36">
        <f>MIN('Inputs'!$C$52*'Inputs'!$C$59/4,K140)</f>
        <v/>
      </c>
      <c r="M110" s="36">
        <f>MIN('Inputs'!$C$52*'Inputs'!$C$59/4,L140)</f>
        <v/>
      </c>
      <c r="N110" s="36">
        <f>MIN('Inputs'!$C$52*'Inputs'!$C$59/4,M140)</f>
        <v/>
      </c>
      <c r="O110" s="36">
        <f>MIN('Inputs'!$C$52*'Inputs'!$C$59/4,N140)</f>
        <v/>
      </c>
      <c r="P110" s="36">
        <f>MIN('Inputs'!$C$52*'Inputs'!$C$59/4,O140)</f>
        <v/>
      </c>
      <c r="Q110" s="36">
        <f>MIN('Inputs'!$C$52*'Inputs'!$C$59/4,P140)</f>
        <v/>
      </c>
      <c r="R110" s="36">
        <f>MIN('Inputs'!$C$52*'Inputs'!$C$59/4,Q140)</f>
        <v/>
      </c>
      <c r="S110" s="36">
        <f>MIN('Inputs'!$C$52*'Inputs'!$C$59/4,R140)</f>
        <v/>
      </c>
      <c r="T110" s="36">
        <f>MIN('Inputs'!$C$52*'Inputs'!$C$59/4,S140)</f>
        <v/>
      </c>
      <c r="U110" s="36">
        <f>MIN('Inputs'!$C$52*'Inputs'!$C$59/4,T140)</f>
        <v/>
      </c>
      <c r="V110" s="36">
        <f>MIN('Inputs'!$C$52*'Inputs'!$C$59/4,U140)</f>
        <v/>
      </c>
      <c r="W110" s="36">
        <f>MIN('Inputs'!$C$52*'Inputs'!$C$59/4,V140)</f>
        <v/>
      </c>
      <c r="X110" s="36">
        <f>MIN('Inputs'!$C$52*'Inputs'!$C$59/4,W140)</f>
        <v/>
      </c>
      <c r="Y110" s="36">
        <f>MIN('Inputs'!$C$52*'Inputs'!$C$59/4,X140)</f>
        <v/>
      </c>
      <c r="Z110" s="36">
        <f>MIN('Inputs'!$C$52*'Inputs'!$C$59/4,Y140)</f>
        <v/>
      </c>
      <c r="AA110" s="36">
        <f>MIN('Inputs'!$C$52*'Inputs'!$C$59/4,Z140)</f>
        <v/>
      </c>
      <c r="AB110" s="36">
        <f>MIN('Inputs'!$C$52*'Inputs'!$C$59/4,AA140)</f>
        <v/>
      </c>
    </row>
    <row r="111">
      <c r="B111" s="12" t="inlineStr">
        <is>
          <t>Scheduled amortization, DDTL</t>
        </is>
      </c>
      <c r="C111" s="11" t="inlineStr">
        <is>
          <t>$m</t>
        </is>
      </c>
      <c r="D111" s="12" t="n"/>
      <c r="E111" s="36">
        <f>MIN(IF((E34&gt;'Inputs'!$C$103),'Inputs'!$C$109*'Inputs'!$C$59/4,0),D141+E109)</f>
        <v/>
      </c>
      <c r="F111" s="36">
        <f>MIN(IF((F34&gt;'Inputs'!$C$103),'Inputs'!$C$109*'Inputs'!$C$59/4,0),E141+F109)</f>
        <v/>
      </c>
      <c r="G111" s="36">
        <f>MIN(IF((G34&gt;'Inputs'!$C$103),'Inputs'!$C$109*'Inputs'!$C$59/4,0),F141+G109)</f>
        <v/>
      </c>
      <c r="H111" s="36">
        <f>MIN(IF((H34&gt;'Inputs'!$C$103),'Inputs'!$C$109*'Inputs'!$C$59/4,0),G141+H109)</f>
        <v/>
      </c>
      <c r="I111" s="36">
        <f>MIN(IF((I34&gt;'Inputs'!$C$103),'Inputs'!$C$109*'Inputs'!$C$59/4,0),H141+I109)</f>
        <v/>
      </c>
      <c r="J111" s="36">
        <f>MIN(IF((J34&gt;'Inputs'!$C$103),'Inputs'!$C$109*'Inputs'!$C$59/4,0),I141+J109)</f>
        <v/>
      </c>
      <c r="K111" s="36">
        <f>MIN(IF((K34&gt;'Inputs'!$C$103),'Inputs'!$C$109*'Inputs'!$C$59/4,0),J141+K109)</f>
        <v/>
      </c>
      <c r="L111" s="36">
        <f>MIN(IF((L34&gt;'Inputs'!$C$103),'Inputs'!$C$109*'Inputs'!$C$59/4,0),K141+L109)</f>
        <v/>
      </c>
      <c r="M111" s="36">
        <f>MIN(IF((M34&gt;'Inputs'!$C$103),'Inputs'!$C$109*'Inputs'!$C$59/4,0),L141+M109)</f>
        <v/>
      </c>
      <c r="N111" s="36">
        <f>MIN(IF((N34&gt;'Inputs'!$C$103),'Inputs'!$C$109*'Inputs'!$C$59/4,0),M141+N109)</f>
        <v/>
      </c>
      <c r="O111" s="36">
        <f>MIN(IF((O34&gt;'Inputs'!$C$103),'Inputs'!$C$109*'Inputs'!$C$59/4,0),N141+O109)</f>
        <v/>
      </c>
      <c r="P111" s="36">
        <f>MIN(IF((P34&gt;'Inputs'!$C$103),'Inputs'!$C$109*'Inputs'!$C$59/4,0),O141+P109)</f>
        <v/>
      </c>
      <c r="Q111" s="36">
        <f>MIN(IF((Q34&gt;'Inputs'!$C$103),'Inputs'!$C$109*'Inputs'!$C$59/4,0),P141+Q109)</f>
        <v/>
      </c>
      <c r="R111" s="36">
        <f>MIN(IF((R34&gt;'Inputs'!$C$103),'Inputs'!$C$109*'Inputs'!$C$59/4,0),Q141+R109)</f>
        <v/>
      </c>
      <c r="S111" s="36">
        <f>MIN(IF((S34&gt;'Inputs'!$C$103),'Inputs'!$C$109*'Inputs'!$C$59/4,0),R141+S109)</f>
        <v/>
      </c>
      <c r="T111" s="36">
        <f>MIN(IF((T34&gt;'Inputs'!$C$103),'Inputs'!$C$109*'Inputs'!$C$59/4,0),S141+T109)</f>
        <v/>
      </c>
      <c r="U111" s="36">
        <f>MIN(IF((U34&gt;'Inputs'!$C$103),'Inputs'!$C$109*'Inputs'!$C$59/4,0),T141+U109)</f>
        <v/>
      </c>
      <c r="V111" s="36">
        <f>MIN(IF((V34&gt;'Inputs'!$C$103),'Inputs'!$C$109*'Inputs'!$C$59/4,0),U141+V109)</f>
        <v/>
      </c>
      <c r="W111" s="36">
        <f>MIN(IF((W34&gt;'Inputs'!$C$103),'Inputs'!$C$109*'Inputs'!$C$59/4,0),V141+W109)</f>
        <v/>
      </c>
      <c r="X111" s="36">
        <f>MIN(IF((X34&gt;'Inputs'!$C$103),'Inputs'!$C$109*'Inputs'!$C$59/4,0),W141+X109)</f>
        <v/>
      </c>
      <c r="Y111" s="36">
        <f>MIN(IF((Y34&gt;'Inputs'!$C$103),'Inputs'!$C$109*'Inputs'!$C$59/4,0),X141+Y109)</f>
        <v/>
      </c>
      <c r="Z111" s="36">
        <f>MIN(IF((Z34&gt;'Inputs'!$C$103),'Inputs'!$C$109*'Inputs'!$C$59/4,0),Y141+Z109)</f>
        <v/>
      </c>
      <c r="AA111" s="36">
        <f>MIN(IF((AA34&gt;'Inputs'!$C$103),'Inputs'!$C$109*'Inputs'!$C$59/4,0),Z141+AA109)</f>
        <v/>
      </c>
      <c r="AB111" s="36">
        <f>MIN(IF((AB34&gt;'Inputs'!$C$103),'Inputs'!$C$109*'Inputs'!$C$59/4,0),AA141+AB109)</f>
        <v/>
      </c>
    </row>
    <row r="112">
      <c r="B112" s="12" t="inlineStr">
        <is>
          <t>Cash before the revolver</t>
        </is>
      </c>
      <c r="C112" s="11" t="inlineStr">
        <is>
          <t>$m</t>
        </is>
      </c>
      <c r="D112" s="12" t="n"/>
      <c r="E112" s="36">
        <f>D143+(E103-E108-E110-E111+E109)</f>
        <v/>
      </c>
      <c r="F112" s="36">
        <f>E143+(F103-F108-F110-F111+F109)</f>
        <v/>
      </c>
      <c r="G112" s="36">
        <f>F143+(G103-G108-G110-G111+G109)</f>
        <v/>
      </c>
      <c r="H112" s="36">
        <f>G143+(H103-H108-H110-H111+H109)</f>
        <v/>
      </c>
      <c r="I112" s="36">
        <f>H143+(I103-I108-I110-I111+I109)</f>
        <v/>
      </c>
      <c r="J112" s="36">
        <f>I143+(J103-J108-J110-J111+J109)</f>
        <v/>
      </c>
      <c r="K112" s="36">
        <f>J143+(K103-K108-K110-K111+K109)</f>
        <v/>
      </c>
      <c r="L112" s="36">
        <f>K143+(L103-L108-L110-L111+L109)</f>
        <v/>
      </c>
      <c r="M112" s="36">
        <f>L143+(M103-M108-M110-M111+M109)</f>
        <v/>
      </c>
      <c r="N112" s="36">
        <f>M143+(N103-N108-N110-N111+N109)</f>
        <v/>
      </c>
      <c r="O112" s="36">
        <f>N143+(O103-O108-O110-O111+O109)</f>
        <v/>
      </c>
      <c r="P112" s="36">
        <f>O143+(P103-P108-P110-P111+P109)</f>
        <v/>
      </c>
      <c r="Q112" s="36">
        <f>P143+(Q103-Q108-Q110-Q111+Q109)</f>
        <v/>
      </c>
      <c r="R112" s="36">
        <f>Q143+(R103-R108-R110-R111+R109)</f>
        <v/>
      </c>
      <c r="S112" s="36">
        <f>R143+(S103-S108-S110-S111+S109)</f>
        <v/>
      </c>
      <c r="T112" s="36">
        <f>S143+(T103-T108-T110-T111+T109)</f>
        <v/>
      </c>
      <c r="U112" s="36">
        <f>T143+(U103-U108-U110-U111+U109)</f>
        <v/>
      </c>
      <c r="V112" s="36">
        <f>U143+(V103-V108-V110-V111+V109)</f>
        <v/>
      </c>
      <c r="W112" s="36">
        <f>V143+(W103-W108-W110-W111+W109)</f>
        <v/>
      </c>
      <c r="X112" s="36">
        <f>W143+(X103-X108-X110-X111+X109)</f>
        <v/>
      </c>
      <c r="Y112" s="36">
        <f>X143+(Y103-Y108-Y110-Y111+Y109)</f>
        <v/>
      </c>
      <c r="Z112" s="36">
        <f>Y143+(Z103-Z108-Z110-Z111+Z109)</f>
        <v/>
      </c>
      <c r="AA112" s="36">
        <f>Z143+(AA103-AA108-AA110-AA111+AA109)</f>
        <v/>
      </c>
      <c r="AB112" s="36">
        <f>AA143+(AB103-AB108-AB110-AB111+AB109)</f>
        <v/>
      </c>
    </row>
    <row r="113">
      <c r="B113" s="12" t="inlineStr">
        <is>
          <t>Revolver drawn (+) or repaid (-)</t>
        </is>
      </c>
      <c r="C113" s="11" t="inlineStr">
        <is>
          <t>$m</t>
        </is>
      </c>
      <c r="D113" s="12" t="n"/>
      <c r="E113" s="36">
        <f>IF(E112&lt;'Inputs'!$C$61,'Inputs'!$C$61-E112,-MIN(D142,E112-'Inputs'!$C$61))</f>
        <v/>
      </c>
      <c r="F113" s="36">
        <f>IF(F112&lt;'Inputs'!$C$61,'Inputs'!$C$61-F112,-MIN(E142,F112-'Inputs'!$C$61))</f>
        <v/>
      </c>
      <c r="G113" s="36">
        <f>IF(G112&lt;'Inputs'!$C$61,'Inputs'!$C$61-G112,-MIN(F142,G112-'Inputs'!$C$61))</f>
        <v/>
      </c>
      <c r="H113" s="36">
        <f>IF(H112&lt;'Inputs'!$C$61,'Inputs'!$C$61-H112,-MIN(G142,H112-'Inputs'!$C$61))</f>
        <v/>
      </c>
      <c r="I113" s="36">
        <f>IF(I112&lt;'Inputs'!$C$61,'Inputs'!$C$61-I112,-MIN(H142,I112-'Inputs'!$C$61))</f>
        <v/>
      </c>
      <c r="J113" s="36">
        <f>IF(J112&lt;'Inputs'!$C$61,'Inputs'!$C$61-J112,-MIN(I142,J112-'Inputs'!$C$61))</f>
        <v/>
      </c>
      <c r="K113" s="36">
        <f>IF(K112&lt;'Inputs'!$C$61,'Inputs'!$C$61-K112,-MIN(J142,K112-'Inputs'!$C$61))</f>
        <v/>
      </c>
      <c r="L113" s="36">
        <f>IF(L112&lt;'Inputs'!$C$61,'Inputs'!$C$61-L112,-MIN(K142,L112-'Inputs'!$C$61))</f>
        <v/>
      </c>
      <c r="M113" s="36">
        <f>IF(M112&lt;'Inputs'!$C$61,'Inputs'!$C$61-M112,-MIN(L142,M112-'Inputs'!$C$61))</f>
        <v/>
      </c>
      <c r="N113" s="36">
        <f>IF(N112&lt;'Inputs'!$C$61,'Inputs'!$C$61-N112,-MIN(M142,N112-'Inputs'!$C$61))</f>
        <v/>
      </c>
      <c r="O113" s="36">
        <f>IF(O112&lt;'Inputs'!$C$61,'Inputs'!$C$61-O112,-MIN(N142,O112-'Inputs'!$C$61))</f>
        <v/>
      </c>
      <c r="P113" s="36">
        <f>IF(P112&lt;'Inputs'!$C$61,'Inputs'!$C$61-P112,-MIN(O142,P112-'Inputs'!$C$61))</f>
        <v/>
      </c>
      <c r="Q113" s="36">
        <f>IF(Q112&lt;'Inputs'!$C$61,'Inputs'!$C$61-Q112,-MIN(P142,Q112-'Inputs'!$C$61))</f>
        <v/>
      </c>
      <c r="R113" s="36">
        <f>IF(R112&lt;'Inputs'!$C$61,'Inputs'!$C$61-R112,-MIN(Q142,R112-'Inputs'!$C$61))</f>
        <v/>
      </c>
      <c r="S113" s="36">
        <f>IF(S112&lt;'Inputs'!$C$61,'Inputs'!$C$61-S112,-MIN(R142,S112-'Inputs'!$C$61))</f>
        <v/>
      </c>
      <c r="T113" s="36">
        <f>IF(T112&lt;'Inputs'!$C$61,'Inputs'!$C$61-T112,-MIN(S142,T112-'Inputs'!$C$61))</f>
        <v/>
      </c>
      <c r="U113" s="36">
        <f>IF(U112&lt;'Inputs'!$C$61,'Inputs'!$C$61-U112,-MIN(T142,U112-'Inputs'!$C$61))</f>
        <v/>
      </c>
      <c r="V113" s="36">
        <f>IF(V112&lt;'Inputs'!$C$61,'Inputs'!$C$61-V112,-MIN(U142,V112-'Inputs'!$C$61))</f>
        <v/>
      </c>
      <c r="W113" s="36">
        <f>IF(W112&lt;'Inputs'!$C$61,'Inputs'!$C$61-W112,-MIN(V142,W112-'Inputs'!$C$61))</f>
        <v/>
      </c>
      <c r="X113" s="36">
        <f>IF(X112&lt;'Inputs'!$C$61,'Inputs'!$C$61-X112,-MIN(W142,X112-'Inputs'!$C$61))</f>
        <v/>
      </c>
      <c r="Y113" s="36">
        <f>IF(Y112&lt;'Inputs'!$C$61,'Inputs'!$C$61-Y112,-MIN(X142,Y112-'Inputs'!$C$61))</f>
        <v/>
      </c>
      <c r="Z113" s="36">
        <f>IF(Z112&lt;'Inputs'!$C$61,'Inputs'!$C$61-Z112,-MIN(Y142,Z112-'Inputs'!$C$61))</f>
        <v/>
      </c>
      <c r="AA113" s="36">
        <f>IF(AA112&lt;'Inputs'!$C$61,'Inputs'!$C$61-AA112,-MIN(Z142,AA112-'Inputs'!$C$61))</f>
        <v/>
      </c>
      <c r="AB113" s="36">
        <f>IF(AB112&lt;'Inputs'!$C$61,'Inputs'!$C$61-AB112,-MIN(AA142,AB112-'Inputs'!$C$61))</f>
        <v/>
      </c>
    </row>
    <row r="114">
      <c r="B114" s="12" t="inlineStr">
        <is>
          <t>Cash after the revolver</t>
        </is>
      </c>
      <c r="C114" s="11" t="inlineStr">
        <is>
          <t>$m</t>
        </is>
      </c>
      <c r="D114" s="12" t="n"/>
      <c r="E114" s="36">
        <f>E112+E113</f>
        <v/>
      </c>
      <c r="F114" s="36">
        <f>F112+F113</f>
        <v/>
      </c>
      <c r="G114" s="36">
        <f>G112+G113</f>
        <v/>
      </c>
      <c r="H114" s="36">
        <f>H112+H113</f>
        <v/>
      </c>
      <c r="I114" s="36">
        <f>I112+I113</f>
        <v/>
      </c>
      <c r="J114" s="36">
        <f>J112+J113</f>
        <v/>
      </c>
      <c r="K114" s="36">
        <f>K112+K113</f>
        <v/>
      </c>
      <c r="L114" s="36">
        <f>L112+L113</f>
        <v/>
      </c>
      <c r="M114" s="36">
        <f>M112+M113</f>
        <v/>
      </c>
      <c r="N114" s="36">
        <f>N112+N113</f>
        <v/>
      </c>
      <c r="O114" s="36">
        <f>O112+O113</f>
        <v/>
      </c>
      <c r="P114" s="36">
        <f>P112+P113</f>
        <v/>
      </c>
      <c r="Q114" s="36">
        <f>Q112+Q113</f>
        <v/>
      </c>
      <c r="R114" s="36">
        <f>R112+R113</f>
        <v/>
      </c>
      <c r="S114" s="36">
        <f>S112+S113</f>
        <v/>
      </c>
      <c r="T114" s="36">
        <f>T112+T113</f>
        <v/>
      </c>
      <c r="U114" s="36">
        <f>U112+U113</f>
        <v/>
      </c>
      <c r="V114" s="36">
        <f>V112+V113</f>
        <v/>
      </c>
      <c r="W114" s="36">
        <f>W112+W113</f>
        <v/>
      </c>
      <c r="X114" s="36">
        <f>X112+X113</f>
        <v/>
      </c>
      <c r="Y114" s="36">
        <f>Y112+Y113</f>
        <v/>
      </c>
      <c r="Z114" s="36">
        <f>Z112+Z113</f>
        <v/>
      </c>
      <c r="AA114" s="36">
        <f>AA112+AA113</f>
        <v/>
      </c>
      <c r="AB114" s="36">
        <f>AB112+AB113</f>
        <v/>
      </c>
    </row>
    <row r="115">
      <c r="B115" s="12" t="inlineStr">
        <is>
          <t>Year-end sweep applies (Q4, no revolver, cash above minimum, before exit)</t>
        </is>
      </c>
      <c r="C115" s="11" t="inlineStr"/>
      <c r="D115" s="12" t="n"/>
      <c r="E115" s="24">
        <f>IF(AND(E36=4,E142=0,E114&gt;'Inputs'!$C$61,E34&lt;'Inputs'!$C$17),1,0)</f>
        <v/>
      </c>
      <c r="F115" s="24">
        <f>IF(AND(F36=4,F142=0,F114&gt;'Inputs'!$C$61,F34&lt;'Inputs'!$C$17),1,0)</f>
        <v/>
      </c>
      <c r="G115" s="24">
        <f>IF(AND(G36=4,G142=0,G114&gt;'Inputs'!$C$61,G34&lt;'Inputs'!$C$17),1,0)</f>
        <v/>
      </c>
      <c r="H115" s="24">
        <f>IF(AND(H36=4,H142=0,H114&gt;'Inputs'!$C$61,H34&lt;'Inputs'!$C$17),1,0)</f>
        <v/>
      </c>
      <c r="I115" s="24">
        <f>IF(AND(I36=4,I142=0,I114&gt;'Inputs'!$C$61,I34&lt;'Inputs'!$C$17),1,0)</f>
        <v/>
      </c>
      <c r="J115" s="24">
        <f>IF(AND(J36=4,J142=0,J114&gt;'Inputs'!$C$61,J34&lt;'Inputs'!$C$17),1,0)</f>
        <v/>
      </c>
      <c r="K115" s="24">
        <f>IF(AND(K36=4,K142=0,K114&gt;'Inputs'!$C$61,K34&lt;'Inputs'!$C$17),1,0)</f>
        <v/>
      </c>
      <c r="L115" s="24">
        <f>IF(AND(L36=4,L142=0,L114&gt;'Inputs'!$C$61,L34&lt;'Inputs'!$C$17),1,0)</f>
        <v/>
      </c>
      <c r="M115" s="24">
        <f>IF(AND(M36=4,M142=0,M114&gt;'Inputs'!$C$61,M34&lt;'Inputs'!$C$17),1,0)</f>
        <v/>
      </c>
      <c r="N115" s="24">
        <f>IF(AND(N36=4,N142=0,N114&gt;'Inputs'!$C$61,N34&lt;'Inputs'!$C$17),1,0)</f>
        <v/>
      </c>
      <c r="O115" s="24">
        <f>IF(AND(O36=4,O142=0,O114&gt;'Inputs'!$C$61,O34&lt;'Inputs'!$C$17),1,0)</f>
        <v/>
      </c>
      <c r="P115" s="24">
        <f>IF(AND(P36=4,P142=0,P114&gt;'Inputs'!$C$61,P34&lt;'Inputs'!$C$17),1,0)</f>
        <v/>
      </c>
      <c r="Q115" s="24">
        <f>IF(AND(Q36=4,Q142=0,Q114&gt;'Inputs'!$C$61,Q34&lt;'Inputs'!$C$17),1,0)</f>
        <v/>
      </c>
      <c r="R115" s="24">
        <f>IF(AND(R36=4,R142=0,R114&gt;'Inputs'!$C$61,R34&lt;'Inputs'!$C$17),1,0)</f>
        <v/>
      </c>
      <c r="S115" s="24">
        <f>IF(AND(S36=4,S142=0,S114&gt;'Inputs'!$C$61,S34&lt;'Inputs'!$C$17),1,0)</f>
        <v/>
      </c>
      <c r="T115" s="24">
        <f>IF(AND(T36=4,T142=0,T114&gt;'Inputs'!$C$61,T34&lt;'Inputs'!$C$17),1,0)</f>
        <v/>
      </c>
      <c r="U115" s="24">
        <f>IF(AND(U36=4,U142=0,U114&gt;'Inputs'!$C$61,U34&lt;'Inputs'!$C$17),1,0)</f>
        <v/>
      </c>
      <c r="V115" s="24">
        <f>IF(AND(V36=4,V142=0,V114&gt;'Inputs'!$C$61,V34&lt;'Inputs'!$C$17),1,0)</f>
        <v/>
      </c>
      <c r="W115" s="24">
        <f>IF(AND(W36=4,W142=0,W114&gt;'Inputs'!$C$61,W34&lt;'Inputs'!$C$17),1,0)</f>
        <v/>
      </c>
      <c r="X115" s="24">
        <f>IF(AND(X36=4,X142=0,X114&gt;'Inputs'!$C$61,X34&lt;'Inputs'!$C$17),1,0)</f>
        <v/>
      </c>
      <c r="Y115" s="24">
        <f>IF(AND(Y36=4,Y142=0,Y114&gt;'Inputs'!$C$61,Y34&lt;'Inputs'!$C$17),1,0)</f>
        <v/>
      </c>
      <c r="Z115" s="24">
        <f>IF(AND(Z36=4,Z142=0,Z114&gt;'Inputs'!$C$61,Z34&lt;'Inputs'!$C$17),1,0)</f>
        <v/>
      </c>
      <c r="AA115" s="24">
        <f>IF(AND(AA36=4,AA142=0,AA114&gt;'Inputs'!$C$61,AA34&lt;'Inputs'!$C$17),1,0)</f>
        <v/>
      </c>
      <c r="AB115" s="24">
        <f>IF(AND(AB36=4,AB142=0,AB114&gt;'Inputs'!$C$61,AB34&lt;'Inputs'!$C$17),1,0)</f>
        <v/>
      </c>
    </row>
    <row r="116">
      <c r="B116" s="12" t="inlineStr">
        <is>
          <t>Excess cash sweep (term loan prepaid)</t>
        </is>
      </c>
      <c r="C116" s="11" t="inlineStr">
        <is>
          <t>$m</t>
        </is>
      </c>
      <c r="D116" s="12" t="n"/>
      <c r="E116" s="36">
        <f>IF(E115=1,MIN('Inputs'!$C$60*(E114-'Inputs'!$C$61),D140-E110),0)</f>
        <v/>
      </c>
      <c r="F116" s="36">
        <f>IF(F115=1,MIN('Inputs'!$C$60*(F114-'Inputs'!$C$61),E140-F110),0)</f>
        <v/>
      </c>
      <c r="G116" s="36">
        <f>IF(G115=1,MIN('Inputs'!$C$60*(G114-'Inputs'!$C$61),F140-G110),0)</f>
        <v/>
      </c>
      <c r="H116" s="36">
        <f>IF(H115=1,MIN('Inputs'!$C$60*(H114-'Inputs'!$C$61),G140-H110),0)</f>
        <v/>
      </c>
      <c r="I116" s="36">
        <f>IF(I115=1,MIN('Inputs'!$C$60*(I114-'Inputs'!$C$61),H140-I110),0)</f>
        <v/>
      </c>
      <c r="J116" s="36">
        <f>IF(J115=1,MIN('Inputs'!$C$60*(J114-'Inputs'!$C$61),I140-J110),0)</f>
        <v/>
      </c>
      <c r="K116" s="36">
        <f>IF(K115=1,MIN('Inputs'!$C$60*(K114-'Inputs'!$C$61),J140-K110),0)</f>
        <v/>
      </c>
      <c r="L116" s="36">
        <f>IF(L115=1,MIN('Inputs'!$C$60*(L114-'Inputs'!$C$61),K140-L110),0)</f>
        <v/>
      </c>
      <c r="M116" s="36">
        <f>IF(M115=1,MIN('Inputs'!$C$60*(M114-'Inputs'!$C$61),L140-M110),0)</f>
        <v/>
      </c>
      <c r="N116" s="36">
        <f>IF(N115=1,MIN('Inputs'!$C$60*(N114-'Inputs'!$C$61),M140-N110),0)</f>
        <v/>
      </c>
      <c r="O116" s="36">
        <f>IF(O115=1,MIN('Inputs'!$C$60*(O114-'Inputs'!$C$61),N140-O110),0)</f>
        <v/>
      </c>
      <c r="P116" s="36">
        <f>IF(P115=1,MIN('Inputs'!$C$60*(P114-'Inputs'!$C$61),O140-P110),0)</f>
        <v/>
      </c>
      <c r="Q116" s="36">
        <f>IF(Q115=1,MIN('Inputs'!$C$60*(Q114-'Inputs'!$C$61),P140-Q110),0)</f>
        <v/>
      </c>
      <c r="R116" s="36">
        <f>IF(R115=1,MIN('Inputs'!$C$60*(R114-'Inputs'!$C$61),Q140-R110),0)</f>
        <v/>
      </c>
      <c r="S116" s="36">
        <f>IF(S115=1,MIN('Inputs'!$C$60*(S114-'Inputs'!$C$61),R140-S110),0)</f>
        <v/>
      </c>
      <c r="T116" s="36">
        <f>IF(T115=1,MIN('Inputs'!$C$60*(T114-'Inputs'!$C$61),S140-T110),0)</f>
        <v/>
      </c>
      <c r="U116" s="36">
        <f>IF(U115=1,MIN('Inputs'!$C$60*(U114-'Inputs'!$C$61),T140-U110),0)</f>
        <v/>
      </c>
      <c r="V116" s="36">
        <f>IF(V115=1,MIN('Inputs'!$C$60*(V114-'Inputs'!$C$61),U140-V110),0)</f>
        <v/>
      </c>
      <c r="W116" s="36">
        <f>IF(W115=1,MIN('Inputs'!$C$60*(W114-'Inputs'!$C$61),V140-W110),0)</f>
        <v/>
      </c>
      <c r="X116" s="36">
        <f>IF(X115=1,MIN('Inputs'!$C$60*(X114-'Inputs'!$C$61),W140-X110),0)</f>
        <v/>
      </c>
      <c r="Y116" s="36">
        <f>IF(Y115=1,MIN('Inputs'!$C$60*(Y114-'Inputs'!$C$61),X140-Y110),0)</f>
        <v/>
      </c>
      <c r="Z116" s="36">
        <f>IF(Z115=1,MIN('Inputs'!$C$60*(Z114-'Inputs'!$C$61),Y140-Z110),0)</f>
        <v/>
      </c>
      <c r="AA116" s="36">
        <f>IF(AA115=1,MIN('Inputs'!$C$60*(AA114-'Inputs'!$C$61),Z140-AA110),0)</f>
        <v/>
      </c>
      <c r="AB116" s="36">
        <f>IF(AB115=1,MIN('Inputs'!$C$60*(AB114-'Inputs'!$C$61),AA140-AB110),0)</f>
        <v/>
      </c>
    </row>
    <row r="117">
      <c r="B117" s="12" t="inlineStr">
        <is>
          <t>Voluntary prepayment (cash above the maximum after the sweep)</t>
        </is>
      </c>
      <c r="C117" s="11" t="inlineStr">
        <is>
          <t>$m</t>
        </is>
      </c>
      <c r="D117" s="12" t="n"/>
      <c r="E117" s="36">
        <f>IF(AND(E115=1,E114-E116&gt;'Inputs'!$C$62),MIN(E114-E116-'Inputs'!$C$62,D140-E110-E116),0)</f>
        <v/>
      </c>
      <c r="F117" s="36">
        <f>IF(AND(F115=1,F114-F116&gt;'Inputs'!$C$62),MIN(F114-F116-'Inputs'!$C$62,E140-F110-F116),0)</f>
        <v/>
      </c>
      <c r="G117" s="36">
        <f>IF(AND(G115=1,G114-G116&gt;'Inputs'!$C$62),MIN(G114-G116-'Inputs'!$C$62,F140-G110-G116),0)</f>
        <v/>
      </c>
      <c r="H117" s="36">
        <f>IF(AND(H115=1,H114-H116&gt;'Inputs'!$C$62),MIN(H114-H116-'Inputs'!$C$62,G140-H110-H116),0)</f>
        <v/>
      </c>
      <c r="I117" s="36">
        <f>IF(AND(I115=1,I114-I116&gt;'Inputs'!$C$62),MIN(I114-I116-'Inputs'!$C$62,H140-I110-I116),0)</f>
        <v/>
      </c>
      <c r="J117" s="36">
        <f>IF(AND(J115=1,J114-J116&gt;'Inputs'!$C$62),MIN(J114-J116-'Inputs'!$C$62,I140-J110-J116),0)</f>
        <v/>
      </c>
      <c r="K117" s="36">
        <f>IF(AND(K115=1,K114-K116&gt;'Inputs'!$C$62),MIN(K114-K116-'Inputs'!$C$62,J140-K110-K116),0)</f>
        <v/>
      </c>
      <c r="L117" s="36">
        <f>IF(AND(L115=1,L114-L116&gt;'Inputs'!$C$62),MIN(L114-L116-'Inputs'!$C$62,K140-L110-L116),0)</f>
        <v/>
      </c>
      <c r="M117" s="36">
        <f>IF(AND(M115=1,M114-M116&gt;'Inputs'!$C$62),MIN(M114-M116-'Inputs'!$C$62,L140-M110-M116),0)</f>
        <v/>
      </c>
      <c r="N117" s="36">
        <f>IF(AND(N115=1,N114-N116&gt;'Inputs'!$C$62),MIN(N114-N116-'Inputs'!$C$62,M140-N110-N116),0)</f>
        <v/>
      </c>
      <c r="O117" s="36">
        <f>IF(AND(O115=1,O114-O116&gt;'Inputs'!$C$62),MIN(O114-O116-'Inputs'!$C$62,N140-O110-O116),0)</f>
        <v/>
      </c>
      <c r="P117" s="36">
        <f>IF(AND(P115=1,P114-P116&gt;'Inputs'!$C$62),MIN(P114-P116-'Inputs'!$C$62,O140-P110-P116),0)</f>
        <v/>
      </c>
      <c r="Q117" s="36">
        <f>IF(AND(Q115=1,Q114-Q116&gt;'Inputs'!$C$62),MIN(Q114-Q116-'Inputs'!$C$62,P140-Q110-Q116),0)</f>
        <v/>
      </c>
      <c r="R117" s="36">
        <f>IF(AND(R115=1,R114-R116&gt;'Inputs'!$C$62),MIN(R114-R116-'Inputs'!$C$62,Q140-R110-R116),0)</f>
        <v/>
      </c>
      <c r="S117" s="36">
        <f>IF(AND(S115=1,S114-S116&gt;'Inputs'!$C$62),MIN(S114-S116-'Inputs'!$C$62,R140-S110-S116),0)</f>
        <v/>
      </c>
      <c r="T117" s="36">
        <f>IF(AND(T115=1,T114-T116&gt;'Inputs'!$C$62),MIN(T114-T116-'Inputs'!$C$62,S140-T110-T116),0)</f>
        <v/>
      </c>
      <c r="U117" s="36">
        <f>IF(AND(U115=1,U114-U116&gt;'Inputs'!$C$62),MIN(U114-U116-'Inputs'!$C$62,T140-U110-U116),0)</f>
        <v/>
      </c>
      <c r="V117" s="36">
        <f>IF(AND(V115=1,V114-V116&gt;'Inputs'!$C$62),MIN(V114-V116-'Inputs'!$C$62,U140-V110-V116),0)</f>
        <v/>
      </c>
      <c r="W117" s="36">
        <f>IF(AND(W115=1,W114-W116&gt;'Inputs'!$C$62),MIN(W114-W116-'Inputs'!$C$62,V140-W110-W116),0)</f>
        <v/>
      </c>
      <c r="X117" s="36">
        <f>IF(AND(X115=1,X114-X116&gt;'Inputs'!$C$62),MIN(X114-X116-'Inputs'!$C$62,W140-X110-X116),0)</f>
        <v/>
      </c>
      <c r="Y117" s="36">
        <f>IF(AND(Y115=1,Y114-Y116&gt;'Inputs'!$C$62),MIN(Y114-Y116-'Inputs'!$C$62,X140-Y110-Y116),0)</f>
        <v/>
      </c>
      <c r="Z117" s="36">
        <f>IF(AND(Z115=1,Z114-Z116&gt;'Inputs'!$C$62),MIN(Z114-Z116-'Inputs'!$C$62,Y140-Z110-Z116),0)</f>
        <v/>
      </c>
      <c r="AA117" s="36">
        <f>IF(AND(AA115=1,AA114-AA116&gt;'Inputs'!$C$62),MIN(AA114-AA116-'Inputs'!$C$62,Z140-AA110-AA116),0)</f>
        <v/>
      </c>
      <c r="AB117" s="36">
        <f>IF(AND(AB115=1,AB114-AB116&gt;'Inputs'!$C$62),MIN(AB114-AB116-'Inputs'!$C$62,AA140-AB110-AB116),0)</f>
        <v/>
      </c>
    </row>
    <row r="118">
      <c r="B118" s="12" t="inlineStr">
        <is>
          <t>Sweep and voluntary prepayment</t>
        </is>
      </c>
      <c r="C118" s="11" t="inlineStr">
        <is>
          <t>$m</t>
        </is>
      </c>
      <c r="D118" s="12" t="n"/>
      <c r="E118" s="36">
        <f>E116+E117</f>
        <v/>
      </c>
      <c r="F118" s="36">
        <f>F116+F117</f>
        <v/>
      </c>
      <c r="G118" s="36">
        <f>G116+G117</f>
        <v/>
      </c>
      <c r="H118" s="36">
        <f>H116+H117</f>
        <v/>
      </c>
      <c r="I118" s="36">
        <f>I116+I117</f>
        <v/>
      </c>
      <c r="J118" s="36">
        <f>J116+J117</f>
        <v/>
      </c>
      <c r="K118" s="36">
        <f>K116+K117</f>
        <v/>
      </c>
      <c r="L118" s="36">
        <f>L116+L117</f>
        <v/>
      </c>
      <c r="M118" s="36">
        <f>M116+M117</f>
        <v/>
      </c>
      <c r="N118" s="36">
        <f>N116+N117</f>
        <v/>
      </c>
      <c r="O118" s="36">
        <f>O116+O117</f>
        <v/>
      </c>
      <c r="P118" s="36">
        <f>P116+P117</f>
        <v/>
      </c>
      <c r="Q118" s="36">
        <f>Q116+Q117</f>
        <v/>
      </c>
      <c r="R118" s="36">
        <f>R116+R117</f>
        <v/>
      </c>
      <c r="S118" s="36">
        <f>S116+S117</f>
        <v/>
      </c>
      <c r="T118" s="36">
        <f>T116+T117</f>
        <v/>
      </c>
      <c r="U118" s="36">
        <f>U116+U117</f>
        <v/>
      </c>
      <c r="V118" s="36">
        <f>V116+V117</f>
        <v/>
      </c>
      <c r="W118" s="36">
        <f>W116+W117</f>
        <v/>
      </c>
      <c r="X118" s="36">
        <f>X116+X117</f>
        <v/>
      </c>
      <c r="Y118" s="36">
        <f>Y116+Y117</f>
        <v/>
      </c>
      <c r="Z118" s="36">
        <f>Z116+Z117</f>
        <v/>
      </c>
      <c r="AA118" s="36">
        <f>AA116+AA117</f>
        <v/>
      </c>
      <c r="AB118" s="36">
        <f>AB116+AB117</f>
        <v/>
      </c>
    </row>
    <row r="119">
      <c r="B119" s="12" t="inlineStr">
        <is>
          <t>Scheduled amortization</t>
        </is>
      </c>
      <c r="C119" s="11" t="inlineStr">
        <is>
          <t>$m</t>
        </is>
      </c>
      <c r="D119" s="12" t="n"/>
      <c r="E119" s="36">
        <f>E110+E111</f>
        <v/>
      </c>
      <c r="F119" s="36">
        <f>F110+F111</f>
        <v/>
      </c>
      <c r="G119" s="36">
        <f>G110+G111</f>
        <v/>
      </c>
      <c r="H119" s="36">
        <f>H110+H111</f>
        <v/>
      </c>
      <c r="I119" s="36">
        <f>I110+I111</f>
        <v/>
      </c>
      <c r="J119" s="36">
        <f>J110+J111</f>
        <v/>
      </c>
      <c r="K119" s="36">
        <f>K110+K111</f>
        <v/>
      </c>
      <c r="L119" s="36">
        <f>L110+L111</f>
        <v/>
      </c>
      <c r="M119" s="36">
        <f>M110+M111</f>
        <v/>
      </c>
      <c r="N119" s="36">
        <f>N110+N111</f>
        <v/>
      </c>
      <c r="O119" s="36">
        <f>O110+O111</f>
        <v/>
      </c>
      <c r="P119" s="36">
        <f>P110+P111</f>
        <v/>
      </c>
      <c r="Q119" s="36">
        <f>Q110+Q111</f>
        <v/>
      </c>
      <c r="R119" s="36">
        <f>R110+R111</f>
        <v/>
      </c>
      <c r="S119" s="36">
        <f>S110+S111</f>
        <v/>
      </c>
      <c r="T119" s="36">
        <f>T110+T111</f>
        <v/>
      </c>
      <c r="U119" s="36">
        <f>U110+U111</f>
        <v/>
      </c>
      <c r="V119" s="36">
        <f>V110+V111</f>
        <v/>
      </c>
      <c r="W119" s="36">
        <f>W110+W111</f>
        <v/>
      </c>
      <c r="X119" s="36">
        <f>X110+X111</f>
        <v/>
      </c>
      <c r="Y119" s="36">
        <f>Y110+Y111</f>
        <v/>
      </c>
      <c r="Z119" s="36">
        <f>Z110+Z111</f>
        <v/>
      </c>
      <c r="AA119" s="36">
        <f>AA110+AA111</f>
        <v/>
      </c>
      <c r="AB119" s="36">
        <f>AB110+AB111</f>
        <v/>
      </c>
    </row>
    <row r="120"/>
    <row r="121">
      <c r="B121" s="8" t="inlineStr">
        <is>
          <t>Covenant test, cure and amendment (Chapters 4, 9, 12)</t>
        </is>
      </c>
      <c r="C121" s="8" t="inlineStr">
        <is>
          <t>Unit</t>
        </is>
      </c>
      <c r="D121" s="9" t="inlineStr">
        <is>
          <t>Close</t>
        </is>
      </c>
      <c r="E121" s="9" t="inlineStr">
        <is>
          <t>Y1 Q1</t>
        </is>
      </c>
      <c r="F121" s="9" t="inlineStr">
        <is>
          <t>Y1 Q2</t>
        </is>
      </c>
      <c r="G121" s="9" t="inlineStr">
        <is>
          <t>Y1 Q3</t>
        </is>
      </c>
      <c r="H121" s="9" t="inlineStr">
        <is>
          <t>Y1 Q4</t>
        </is>
      </c>
      <c r="I121" s="9" t="inlineStr">
        <is>
          <t>Y2 Q1</t>
        </is>
      </c>
      <c r="J121" s="9" t="inlineStr">
        <is>
          <t>Y2 Q2</t>
        </is>
      </c>
      <c r="K121" s="9" t="inlineStr">
        <is>
          <t>Y2 Q3</t>
        </is>
      </c>
      <c r="L121" s="9" t="inlineStr">
        <is>
          <t>Y2 Q4</t>
        </is>
      </c>
      <c r="M121" s="9" t="inlineStr">
        <is>
          <t>Y3 Q1</t>
        </is>
      </c>
      <c r="N121" s="9" t="inlineStr">
        <is>
          <t>Y3 Q2</t>
        </is>
      </c>
      <c r="O121" s="9" t="inlineStr">
        <is>
          <t>Y3 Q3</t>
        </is>
      </c>
      <c r="P121" s="9" t="inlineStr">
        <is>
          <t>Y3 Q4</t>
        </is>
      </c>
      <c r="Q121" s="9" t="inlineStr">
        <is>
          <t>Y4 Q1</t>
        </is>
      </c>
      <c r="R121" s="9" t="inlineStr">
        <is>
          <t>Y4 Q2</t>
        </is>
      </c>
      <c r="S121" s="9" t="inlineStr">
        <is>
          <t>Y4 Q3</t>
        </is>
      </c>
      <c r="T121" s="9" t="inlineStr">
        <is>
          <t>Y4 Q4</t>
        </is>
      </c>
      <c r="U121" s="9" t="inlineStr">
        <is>
          <t>Y5 Q1</t>
        </is>
      </c>
      <c r="V121" s="9" t="inlineStr">
        <is>
          <t>Y5 Q2</t>
        </is>
      </c>
      <c r="W121" s="9" t="inlineStr">
        <is>
          <t>Y5 Q3</t>
        </is>
      </c>
      <c r="X121" s="9" t="inlineStr">
        <is>
          <t>Y5 Q4</t>
        </is>
      </c>
      <c r="Y121" s="9" t="inlineStr">
        <is>
          <t>Y6 Q1</t>
        </is>
      </c>
      <c r="Z121" s="9" t="inlineStr">
        <is>
          <t>Y6 Q2</t>
        </is>
      </c>
      <c r="AA121" s="9" t="inlineStr">
        <is>
          <t>Y6 Q3</t>
        </is>
      </c>
      <c r="AB121" s="9" t="inlineStr">
        <is>
          <t>Y6 Q4</t>
        </is>
      </c>
    </row>
    <row r="122">
      <c r="B122" s="12" t="inlineStr">
        <is>
          <t>Net debt before any cure</t>
        </is>
      </c>
      <c r="C122" s="11" t="inlineStr">
        <is>
          <t>$m</t>
        </is>
      </c>
      <c r="D122" s="12" t="n"/>
      <c r="E122" s="36">
        <f>(D140-E110-E116-E117)+E141+E142-E143</f>
        <v/>
      </c>
      <c r="F122" s="36">
        <f>(E140-F110-F116-F117)+F141+F142-F143</f>
        <v/>
      </c>
      <c r="G122" s="36">
        <f>(F140-G110-G116-G117)+G141+G142-G143</f>
        <v/>
      </c>
      <c r="H122" s="36">
        <f>(G140-H110-H116-H117)+H141+H142-H143</f>
        <v/>
      </c>
      <c r="I122" s="36">
        <f>(H140-I110-I116-I117)+I141+I142-I143</f>
        <v/>
      </c>
      <c r="J122" s="36">
        <f>(I140-J110-J116-J117)+J141+J142-J143</f>
        <v/>
      </c>
      <c r="K122" s="36">
        <f>(J140-K110-K116-K117)+K141+K142-K143</f>
        <v/>
      </c>
      <c r="L122" s="36">
        <f>(K140-L110-L116-L117)+L141+L142-L143</f>
        <v/>
      </c>
      <c r="M122" s="36">
        <f>(L140-M110-M116-M117)+M141+M142-M143</f>
        <v/>
      </c>
      <c r="N122" s="36">
        <f>(M140-N110-N116-N117)+N141+N142-N143</f>
        <v/>
      </c>
      <c r="O122" s="36">
        <f>(N140-O110-O116-O117)+O141+O142-O143</f>
        <v/>
      </c>
      <c r="P122" s="36">
        <f>(O140-P110-P116-P117)+P141+P142-P143</f>
        <v/>
      </c>
      <c r="Q122" s="36">
        <f>(P140-Q110-Q116-Q117)+Q141+Q142-Q143</f>
        <v/>
      </c>
      <c r="R122" s="36">
        <f>(Q140-R110-R116-R117)+R141+R142-R143</f>
        <v/>
      </c>
      <c r="S122" s="36">
        <f>(R140-S110-S116-S117)+S141+S142-S143</f>
        <v/>
      </c>
      <c r="T122" s="36">
        <f>(S140-T110-T116-T117)+T141+T142-T143</f>
        <v/>
      </c>
      <c r="U122" s="36">
        <f>(T140-U110-U116-U117)+U141+U142-U143</f>
        <v/>
      </c>
      <c r="V122" s="36">
        <f>(U140-V110-V116-V117)+V141+V142-V143</f>
        <v/>
      </c>
      <c r="W122" s="36">
        <f>(V140-W110-W116-W117)+W141+W142-W143</f>
        <v/>
      </c>
      <c r="X122" s="36">
        <f>(W140-X110-X116-X117)+X141+X142-X143</f>
        <v/>
      </c>
      <c r="Y122" s="36">
        <f>(X140-Y110-Y116-Y117)+Y141+Y142-Y143</f>
        <v/>
      </c>
      <c r="Z122" s="36">
        <f>(Y140-Z110-Z116-Z117)+Z141+Z142-Z143</f>
        <v/>
      </c>
      <c r="AA122" s="36">
        <f>(Z140-AA110-AA116-AA117)+AA141+AA142-AA143</f>
        <v/>
      </c>
      <c r="AB122" s="36">
        <f>(AA140-AB110-AB116-AB117)+AB141+AB142-AB143</f>
        <v/>
      </c>
    </row>
    <row r="123">
      <c r="B123" s="12" t="inlineStr">
        <is>
          <t>Covenant EBITDA of the quarter (reported + one-offs + monitoring fee)</t>
        </is>
      </c>
      <c r="C123" s="11" t="inlineStr">
        <is>
          <t>$m</t>
        </is>
      </c>
      <c r="D123" s="12" t="n"/>
      <c r="E123" s="36">
        <f>E72+E71+'Inputs'!$C$67/4</f>
        <v/>
      </c>
      <c r="F123" s="36">
        <f>F72+F71+'Inputs'!$C$67/4</f>
        <v/>
      </c>
      <c r="G123" s="36">
        <f>G72+G71+'Inputs'!$C$67/4</f>
        <v/>
      </c>
      <c r="H123" s="36">
        <f>H72+H71+'Inputs'!$C$67/4</f>
        <v/>
      </c>
      <c r="I123" s="36">
        <f>I72+I71+'Inputs'!$C$67/4</f>
        <v/>
      </c>
      <c r="J123" s="36">
        <f>J72+J71+'Inputs'!$C$67/4</f>
        <v/>
      </c>
      <c r="K123" s="36">
        <f>K72+K71+'Inputs'!$C$67/4</f>
        <v/>
      </c>
      <c r="L123" s="36">
        <f>L72+L71+'Inputs'!$C$67/4</f>
        <v/>
      </c>
      <c r="M123" s="36">
        <f>M72+M71+'Inputs'!$C$67/4</f>
        <v/>
      </c>
      <c r="N123" s="36">
        <f>N72+N71+'Inputs'!$C$67/4</f>
        <v/>
      </c>
      <c r="O123" s="36">
        <f>O72+O71+'Inputs'!$C$67/4</f>
        <v/>
      </c>
      <c r="P123" s="36">
        <f>P72+P71+'Inputs'!$C$67/4</f>
        <v/>
      </c>
      <c r="Q123" s="36">
        <f>Q72+Q71+'Inputs'!$C$67/4</f>
        <v/>
      </c>
      <c r="R123" s="36">
        <f>R72+R71+'Inputs'!$C$67/4</f>
        <v/>
      </c>
      <c r="S123" s="36">
        <f>S72+S71+'Inputs'!$C$67/4</f>
        <v/>
      </c>
      <c r="T123" s="36">
        <f>T72+T71+'Inputs'!$C$67/4</f>
        <v/>
      </c>
      <c r="U123" s="36">
        <f>U72+U71+'Inputs'!$C$67/4</f>
        <v/>
      </c>
      <c r="V123" s="36">
        <f>V72+V71+'Inputs'!$C$67/4</f>
        <v/>
      </c>
      <c r="W123" s="36">
        <f>W72+W71+'Inputs'!$C$67/4</f>
        <v/>
      </c>
      <c r="X123" s="36">
        <f>X72+X71+'Inputs'!$C$67/4</f>
        <v/>
      </c>
      <c r="Y123" s="36">
        <f>Y72+Y71+'Inputs'!$C$67/4</f>
        <v/>
      </c>
      <c r="Z123" s="36">
        <f>Z72+Z71+'Inputs'!$C$67/4</f>
        <v/>
      </c>
      <c r="AA123" s="36">
        <f>AA72+AA71+'Inputs'!$C$67/4</f>
        <v/>
      </c>
      <c r="AB123" s="36">
        <f>AB72+AB71+'Inputs'!$C$67/4</f>
        <v/>
      </c>
    </row>
    <row r="124">
      <c r="B124" s="12" t="inlineStr">
        <is>
          <t>LTM reported EBITDA</t>
        </is>
      </c>
      <c r="C124" s="11" t="inlineStr">
        <is>
          <t>$m</t>
        </is>
      </c>
      <c r="D124" s="12" t="n"/>
      <c r="E124" s="36">
        <f>SUM(E72:E72)</f>
        <v/>
      </c>
      <c r="F124" s="36">
        <f>SUM(E72:F72)</f>
        <v/>
      </c>
      <c r="G124" s="36">
        <f>SUM(E72:G72)</f>
        <v/>
      </c>
      <c r="H124" s="36">
        <f>SUM(E72:H72)</f>
        <v/>
      </c>
      <c r="I124" s="36">
        <f>SUM(F72:I72)</f>
        <v/>
      </c>
      <c r="J124" s="36">
        <f>SUM(G72:J72)</f>
        <v/>
      </c>
      <c r="K124" s="36">
        <f>SUM(H72:K72)</f>
        <v/>
      </c>
      <c r="L124" s="36">
        <f>SUM(I72:L72)</f>
        <v/>
      </c>
      <c r="M124" s="36">
        <f>SUM(J72:M72)</f>
        <v/>
      </c>
      <c r="N124" s="36">
        <f>SUM(K72:N72)</f>
        <v/>
      </c>
      <c r="O124" s="36">
        <f>SUM(L72:O72)</f>
        <v/>
      </c>
      <c r="P124" s="36">
        <f>SUM(M72:P72)</f>
        <v/>
      </c>
      <c r="Q124" s="36">
        <f>SUM(N72:Q72)</f>
        <v/>
      </c>
      <c r="R124" s="36">
        <f>SUM(O72:R72)</f>
        <v/>
      </c>
      <c r="S124" s="36">
        <f>SUM(P72:S72)</f>
        <v/>
      </c>
      <c r="T124" s="36">
        <f>SUM(Q72:T72)</f>
        <v/>
      </c>
      <c r="U124" s="36">
        <f>SUM(R72:U72)</f>
        <v/>
      </c>
      <c r="V124" s="36">
        <f>SUM(S72:V72)</f>
        <v/>
      </c>
      <c r="W124" s="36">
        <f>SUM(T72:W72)</f>
        <v/>
      </c>
      <c r="X124" s="36">
        <f>SUM(U72:X72)</f>
        <v/>
      </c>
      <c r="Y124" s="36">
        <f>SUM(V72:Y72)</f>
        <v/>
      </c>
      <c r="Z124" s="36">
        <f>SUM(W72:Z72)</f>
        <v/>
      </c>
      <c r="AA124" s="36">
        <f>SUM(X72:AA72)</f>
        <v/>
      </c>
      <c r="AB124" s="36">
        <f>SUM(Y72:AB72)</f>
        <v/>
      </c>
    </row>
    <row r="125">
      <c r="B125" s="12" t="inlineStr">
        <is>
          <t>LTM one-off costs</t>
        </is>
      </c>
      <c r="C125" s="11" t="inlineStr">
        <is>
          <t>$m</t>
        </is>
      </c>
      <c r="D125" s="12" t="n"/>
      <c r="E125" s="36">
        <f>SUM(E71:E71)</f>
        <v/>
      </c>
      <c r="F125" s="36">
        <f>SUM(E71:F71)</f>
        <v/>
      </c>
      <c r="G125" s="36">
        <f>SUM(E71:G71)</f>
        <v/>
      </c>
      <c r="H125" s="36">
        <f>SUM(E71:H71)</f>
        <v/>
      </c>
      <c r="I125" s="36">
        <f>SUM(F71:I71)</f>
        <v/>
      </c>
      <c r="J125" s="36">
        <f>SUM(G71:J71)</f>
        <v/>
      </c>
      <c r="K125" s="36">
        <f>SUM(H71:K71)</f>
        <v/>
      </c>
      <c r="L125" s="36">
        <f>SUM(I71:L71)</f>
        <v/>
      </c>
      <c r="M125" s="36">
        <f>SUM(J71:M71)</f>
        <v/>
      </c>
      <c r="N125" s="36">
        <f>SUM(K71:N71)</f>
        <v/>
      </c>
      <c r="O125" s="36">
        <f>SUM(L71:O71)</f>
        <v/>
      </c>
      <c r="P125" s="36">
        <f>SUM(M71:P71)</f>
        <v/>
      </c>
      <c r="Q125" s="36">
        <f>SUM(N71:Q71)</f>
        <v/>
      </c>
      <c r="R125" s="36">
        <f>SUM(O71:R71)</f>
        <v/>
      </c>
      <c r="S125" s="36">
        <f>SUM(P71:S71)</f>
        <v/>
      </c>
      <c r="T125" s="36">
        <f>SUM(Q71:T71)</f>
        <v/>
      </c>
      <c r="U125" s="36">
        <f>SUM(R71:U71)</f>
        <v/>
      </c>
      <c r="V125" s="36">
        <f>SUM(S71:V71)</f>
        <v/>
      </c>
      <c r="W125" s="36">
        <f>SUM(T71:W71)</f>
        <v/>
      </c>
      <c r="X125" s="36">
        <f>SUM(U71:X71)</f>
        <v/>
      </c>
      <c r="Y125" s="36">
        <f>SUM(V71:Y71)</f>
        <v/>
      </c>
      <c r="Z125" s="36">
        <f>SUM(W71:Z71)</f>
        <v/>
      </c>
      <c r="AA125" s="36">
        <f>SUM(X71:AA71)</f>
        <v/>
      </c>
      <c r="AB125" s="36">
        <f>SUM(Y71:AB71)</f>
        <v/>
      </c>
    </row>
    <row r="126">
      <c r="B126" s="12" t="inlineStr">
        <is>
          <t>LTM monitoring fee</t>
        </is>
      </c>
      <c r="C126" s="11" t="inlineStr">
        <is>
          <t>$m</t>
        </is>
      </c>
      <c r="D126" s="12" t="n"/>
      <c r="E126" s="36">
        <f>SUM(E67:E67)</f>
        <v/>
      </c>
      <c r="F126" s="36">
        <f>SUM(E67:F67)</f>
        <v/>
      </c>
      <c r="G126" s="36">
        <f>SUM(E67:G67)</f>
        <v/>
      </c>
      <c r="H126" s="36">
        <f>SUM(E67:H67)</f>
        <v/>
      </c>
      <c r="I126" s="36">
        <f>SUM(F67:I67)</f>
        <v/>
      </c>
      <c r="J126" s="36">
        <f>SUM(G67:J67)</f>
        <v/>
      </c>
      <c r="K126" s="36">
        <f>SUM(H67:K67)</f>
        <v/>
      </c>
      <c r="L126" s="36">
        <f>SUM(I67:L67)</f>
        <v/>
      </c>
      <c r="M126" s="36">
        <f>SUM(J67:M67)</f>
        <v/>
      </c>
      <c r="N126" s="36">
        <f>SUM(K67:N67)</f>
        <v/>
      </c>
      <c r="O126" s="36">
        <f>SUM(L67:O67)</f>
        <v/>
      </c>
      <c r="P126" s="36">
        <f>SUM(M67:P67)</f>
        <v/>
      </c>
      <c r="Q126" s="36">
        <f>SUM(N67:Q67)</f>
        <v/>
      </c>
      <c r="R126" s="36">
        <f>SUM(O67:R67)</f>
        <v/>
      </c>
      <c r="S126" s="36">
        <f>SUM(P67:S67)</f>
        <v/>
      </c>
      <c r="T126" s="36">
        <f>SUM(Q67:T67)</f>
        <v/>
      </c>
      <c r="U126" s="36">
        <f>SUM(R67:U67)</f>
        <v/>
      </c>
      <c r="V126" s="36">
        <f>SUM(S67:V67)</f>
        <v/>
      </c>
      <c r="W126" s="36">
        <f>SUM(T67:W67)</f>
        <v/>
      </c>
      <c r="X126" s="36">
        <f>SUM(U67:X67)</f>
        <v/>
      </c>
      <c r="Y126" s="36">
        <f>SUM(V67:Y67)</f>
        <v/>
      </c>
      <c r="Z126" s="36">
        <f>SUM(W67:Z67)</f>
        <v/>
      </c>
      <c r="AA126" s="36">
        <f>SUM(X67:AA67)</f>
        <v/>
      </c>
      <c r="AB126" s="36">
        <f>SUM(Y67:AB67)</f>
        <v/>
      </c>
    </row>
    <row r="127">
      <c r="B127" s="12" t="inlineStr">
        <is>
          <t>Year-0 QoE EBITDA deemed for the missing quarters (year 1)</t>
        </is>
      </c>
      <c r="C127" s="11" t="inlineStr">
        <is>
          <t>$m</t>
        </is>
      </c>
      <c r="D127" s="12" t="n"/>
      <c r="E127" s="36">
        <f>'Quarterly'!$D$12*'Inputs'!$D$46+'Quarterly'!$D$12*'Inputs'!$E$46+'Quarterly'!$D$12*'Inputs'!$F$46</f>
        <v/>
      </c>
      <c r="F127" s="36">
        <f>'Quarterly'!$D$12*'Inputs'!$E$46+'Quarterly'!$D$12*'Inputs'!$F$46</f>
        <v/>
      </c>
      <c r="G127" s="36">
        <f>'Quarterly'!$D$12*'Inputs'!$F$46</f>
        <v/>
      </c>
      <c r="H127" s="36">
        <f>0</f>
        <v/>
      </c>
      <c r="I127" s="36">
        <f>0</f>
        <v/>
      </c>
      <c r="J127" s="36">
        <f>0</f>
        <v/>
      </c>
      <c r="K127" s="36">
        <f>0</f>
        <v/>
      </c>
      <c r="L127" s="36">
        <f>0</f>
        <v/>
      </c>
      <c r="M127" s="36">
        <f>0</f>
        <v/>
      </c>
      <c r="N127" s="36">
        <f>0</f>
        <v/>
      </c>
      <c r="O127" s="36">
        <f>0</f>
        <v/>
      </c>
      <c r="P127" s="36">
        <f>0</f>
        <v/>
      </c>
      <c r="Q127" s="36">
        <f>0</f>
        <v/>
      </c>
      <c r="R127" s="36">
        <f>0</f>
        <v/>
      </c>
      <c r="S127" s="36">
        <f>0</f>
        <v/>
      </c>
      <c r="T127" s="36">
        <f>0</f>
        <v/>
      </c>
      <c r="U127" s="36">
        <f>0</f>
        <v/>
      </c>
      <c r="V127" s="36">
        <f>0</f>
        <v/>
      </c>
      <c r="W127" s="36">
        <f>0</f>
        <v/>
      </c>
      <c r="X127" s="36">
        <f>0</f>
        <v/>
      </c>
      <c r="Y127" s="36">
        <f>0</f>
        <v/>
      </c>
      <c r="Z127" s="36">
        <f>0</f>
        <v/>
      </c>
      <c r="AA127" s="36">
        <f>0</f>
        <v/>
      </c>
      <c r="AB127" s="36">
        <f>0</f>
        <v/>
      </c>
    </row>
    <row r="128">
      <c r="B128" s="12" t="inlineStr">
        <is>
          <t>LTM covenant EBITDA before pro forma and synergies</t>
        </is>
      </c>
      <c r="C128" s="11" t="inlineStr">
        <is>
          <t>$m</t>
        </is>
      </c>
      <c r="D128" s="12" t="n"/>
      <c r="E128" s="36">
        <f>SUM(E123:E123)+E127</f>
        <v/>
      </c>
      <c r="F128" s="36">
        <f>SUM(E123:F123)+F127</f>
        <v/>
      </c>
      <c r="G128" s="36">
        <f>SUM(E123:G123)+G127</f>
        <v/>
      </c>
      <c r="H128" s="36">
        <f>SUM(E123:H123)+H127</f>
        <v/>
      </c>
      <c r="I128" s="36">
        <f>SUM(F123:I123)+I127</f>
        <v/>
      </c>
      <c r="J128" s="36">
        <f>SUM(G123:J123)+J127</f>
        <v/>
      </c>
      <c r="K128" s="36">
        <f>SUM(H123:K123)+K127</f>
        <v/>
      </c>
      <c r="L128" s="36">
        <f>SUM(I123:L123)+L127</f>
        <v/>
      </c>
      <c r="M128" s="36">
        <f>SUM(J123:M123)+M127</f>
        <v/>
      </c>
      <c r="N128" s="36">
        <f>SUM(K123:N123)+N127</f>
        <v/>
      </c>
      <c r="O128" s="36">
        <f>SUM(L123:O123)+O127</f>
        <v/>
      </c>
      <c r="P128" s="36">
        <f>SUM(M123:P123)+P127</f>
        <v/>
      </c>
      <c r="Q128" s="36">
        <f>SUM(N123:Q123)+Q127</f>
        <v/>
      </c>
      <c r="R128" s="36">
        <f>SUM(O123:R123)+R127</f>
        <v/>
      </c>
      <c r="S128" s="36">
        <f>SUM(P123:S123)+S127</f>
        <v/>
      </c>
      <c r="T128" s="36">
        <f>SUM(Q123:T123)+T127</f>
        <v/>
      </c>
      <c r="U128" s="36">
        <f>SUM(R123:U123)+U127</f>
        <v/>
      </c>
      <c r="V128" s="36">
        <f>SUM(S123:V123)+V127</f>
        <v/>
      </c>
      <c r="W128" s="36">
        <f>SUM(T123:W123)+W127</f>
        <v/>
      </c>
      <c r="X128" s="36">
        <f>SUM(U123:X123)+X127</f>
        <v/>
      </c>
      <c r="Y128" s="36">
        <f>SUM(V123:Y123)+Y127</f>
        <v/>
      </c>
      <c r="Z128" s="36">
        <f>SUM(W123:Z123)+Z127</f>
        <v/>
      </c>
      <c r="AA128" s="36">
        <f>SUM(X123:AA123)+AA127</f>
        <v/>
      </c>
      <c r="AB128" s="36">
        <f>SUM(Y123:AB123)+AB127</f>
        <v/>
      </c>
    </row>
    <row r="129">
      <c r="B129" s="12" t="inlineStr">
        <is>
          <t>Pro forma EBITDA of the add-on for the quarters before it was owned</t>
        </is>
      </c>
      <c r="C129" s="11" t="inlineStr">
        <is>
          <t>$m</t>
        </is>
      </c>
      <c r="D129" s="12" t="n"/>
      <c r="E129" s="36">
        <f>IF(E34&gt;='Inputs'!$C$103,'Inputs'!$C$106*SUMPRODUCT(--(E34:E34&lt;='Inputs'!$C$103),E37:E37),0)</f>
        <v/>
      </c>
      <c r="F129" s="36">
        <f>IF(F34&gt;='Inputs'!$C$103,'Inputs'!$C$106*SUMPRODUCT(--(E34:F34&lt;='Inputs'!$C$103),E37:F37),0)</f>
        <v/>
      </c>
      <c r="G129" s="36">
        <f>IF(G34&gt;='Inputs'!$C$103,'Inputs'!$C$106*SUMPRODUCT(--(E34:G34&lt;='Inputs'!$C$103),E37:G37),0)</f>
        <v/>
      </c>
      <c r="H129" s="36">
        <f>IF(H34&gt;='Inputs'!$C$103,'Inputs'!$C$106*SUMPRODUCT(--(E34:H34&lt;='Inputs'!$C$103),E37:H37),0)</f>
        <v/>
      </c>
      <c r="I129" s="36">
        <f>IF(I34&gt;='Inputs'!$C$103,'Inputs'!$C$106*SUMPRODUCT(--(F34:I34&lt;='Inputs'!$C$103),F37:I37),0)</f>
        <v/>
      </c>
      <c r="J129" s="36">
        <f>IF(J34&gt;='Inputs'!$C$103,'Inputs'!$C$106*SUMPRODUCT(--(G34:J34&lt;='Inputs'!$C$103),G37:J37),0)</f>
        <v/>
      </c>
      <c r="K129" s="36">
        <f>IF(K34&gt;='Inputs'!$C$103,'Inputs'!$C$106*SUMPRODUCT(--(H34:K34&lt;='Inputs'!$C$103),H37:K37),0)</f>
        <v/>
      </c>
      <c r="L129" s="36">
        <f>IF(L34&gt;='Inputs'!$C$103,'Inputs'!$C$106*SUMPRODUCT(--(I34:L34&lt;='Inputs'!$C$103),I37:L37),0)</f>
        <v/>
      </c>
      <c r="M129" s="36">
        <f>IF(M34&gt;='Inputs'!$C$103,'Inputs'!$C$106*SUMPRODUCT(--(J34:M34&lt;='Inputs'!$C$103),J37:M37),0)</f>
        <v/>
      </c>
      <c r="N129" s="36">
        <f>IF(N34&gt;='Inputs'!$C$103,'Inputs'!$C$106*SUMPRODUCT(--(K34:N34&lt;='Inputs'!$C$103),K37:N37),0)</f>
        <v/>
      </c>
      <c r="O129" s="36">
        <f>IF(O34&gt;='Inputs'!$C$103,'Inputs'!$C$106*SUMPRODUCT(--(L34:O34&lt;='Inputs'!$C$103),L37:O37),0)</f>
        <v/>
      </c>
      <c r="P129" s="36">
        <f>IF(P34&gt;='Inputs'!$C$103,'Inputs'!$C$106*SUMPRODUCT(--(M34:P34&lt;='Inputs'!$C$103),M37:P37),0)</f>
        <v/>
      </c>
      <c r="Q129" s="36">
        <f>IF(Q34&gt;='Inputs'!$C$103,'Inputs'!$C$106*SUMPRODUCT(--(N34:Q34&lt;='Inputs'!$C$103),N37:Q37),0)</f>
        <v/>
      </c>
      <c r="R129" s="36">
        <f>IF(R34&gt;='Inputs'!$C$103,'Inputs'!$C$106*SUMPRODUCT(--(O34:R34&lt;='Inputs'!$C$103),O37:R37),0)</f>
        <v/>
      </c>
      <c r="S129" s="36">
        <f>IF(S34&gt;='Inputs'!$C$103,'Inputs'!$C$106*SUMPRODUCT(--(P34:S34&lt;='Inputs'!$C$103),P37:S37),0)</f>
        <v/>
      </c>
      <c r="T129" s="36">
        <f>IF(T34&gt;='Inputs'!$C$103,'Inputs'!$C$106*SUMPRODUCT(--(Q34:T34&lt;='Inputs'!$C$103),Q37:T37),0)</f>
        <v/>
      </c>
      <c r="U129" s="36">
        <f>IF(U34&gt;='Inputs'!$C$103,'Inputs'!$C$106*SUMPRODUCT(--(R34:U34&lt;='Inputs'!$C$103),R37:U37),0)</f>
        <v/>
      </c>
      <c r="V129" s="36">
        <f>IF(V34&gt;='Inputs'!$C$103,'Inputs'!$C$106*SUMPRODUCT(--(S34:V34&lt;='Inputs'!$C$103),S37:V37),0)</f>
        <v/>
      </c>
      <c r="W129" s="36">
        <f>IF(W34&gt;='Inputs'!$C$103,'Inputs'!$C$106*SUMPRODUCT(--(T34:W34&lt;='Inputs'!$C$103),T37:W37),0)</f>
        <v/>
      </c>
      <c r="X129" s="36">
        <f>IF(X34&gt;='Inputs'!$C$103,'Inputs'!$C$106*SUMPRODUCT(--(U34:X34&lt;='Inputs'!$C$103),U37:X37),0)</f>
        <v/>
      </c>
      <c r="Y129" s="36">
        <f>IF(Y34&gt;='Inputs'!$C$103,'Inputs'!$C$106*SUMPRODUCT(--(V34:Y34&lt;='Inputs'!$C$103),V37:Y37),0)</f>
        <v/>
      </c>
      <c r="Z129" s="36">
        <f>IF(Z34&gt;='Inputs'!$C$103,'Inputs'!$C$106*SUMPRODUCT(--(W34:Z34&lt;='Inputs'!$C$103),W37:Z37),0)</f>
        <v/>
      </c>
      <c r="AA129" s="36">
        <f>IF(AA34&gt;='Inputs'!$C$103,'Inputs'!$C$106*SUMPRODUCT(--(X34:AA34&lt;='Inputs'!$C$103),X37:AA37),0)</f>
        <v/>
      </c>
      <c r="AB129" s="36">
        <f>IF(AB34&gt;='Inputs'!$C$103,'Inputs'!$C$106*SUMPRODUCT(--(Y34:AB34&lt;='Inputs'!$C$103),Y37:AB37),0)</f>
        <v/>
      </c>
    </row>
    <row r="130">
      <c r="B130" s="12" t="inlineStr">
        <is>
          <t>Synergies realized, LTM</t>
        </is>
      </c>
      <c r="C130" s="11" t="inlineStr">
        <is>
          <t>$m</t>
        </is>
      </c>
      <c r="D130" s="12" t="n"/>
      <c r="E130" s="36">
        <f>SUM(E73:E73)</f>
        <v/>
      </c>
      <c r="F130" s="36">
        <f>SUM(E73:F73)</f>
        <v/>
      </c>
      <c r="G130" s="36">
        <f>SUM(E73:G73)</f>
        <v/>
      </c>
      <c r="H130" s="36">
        <f>SUM(E73:H73)</f>
        <v/>
      </c>
      <c r="I130" s="36">
        <f>SUM(F73:I73)</f>
        <v/>
      </c>
      <c r="J130" s="36">
        <f>SUM(G73:J73)</f>
        <v/>
      </c>
      <c r="K130" s="36">
        <f>SUM(H73:K73)</f>
        <v/>
      </c>
      <c r="L130" s="36">
        <f>SUM(I73:L73)</f>
        <v/>
      </c>
      <c r="M130" s="36">
        <f>SUM(J73:M73)</f>
        <v/>
      </c>
      <c r="N130" s="36">
        <f>SUM(K73:N73)</f>
        <v/>
      </c>
      <c r="O130" s="36">
        <f>SUM(L73:O73)</f>
        <v/>
      </c>
      <c r="P130" s="36">
        <f>SUM(M73:P73)</f>
        <v/>
      </c>
      <c r="Q130" s="36">
        <f>SUM(N73:Q73)</f>
        <v/>
      </c>
      <c r="R130" s="36">
        <f>SUM(O73:R73)</f>
        <v/>
      </c>
      <c r="S130" s="36">
        <f>SUM(P73:S73)</f>
        <v/>
      </c>
      <c r="T130" s="36">
        <f>SUM(Q73:T73)</f>
        <v/>
      </c>
      <c r="U130" s="36">
        <f>SUM(R73:U73)</f>
        <v/>
      </c>
      <c r="V130" s="36">
        <f>SUM(S73:V73)</f>
        <v/>
      </c>
      <c r="W130" s="36">
        <f>SUM(T73:W73)</f>
        <v/>
      </c>
      <c r="X130" s="36">
        <f>SUM(U73:X73)</f>
        <v/>
      </c>
      <c r="Y130" s="36">
        <f>SUM(V73:Y73)</f>
        <v/>
      </c>
      <c r="Z130" s="36">
        <f>SUM(W73:Z73)</f>
        <v/>
      </c>
      <c r="AA130" s="36">
        <f>SUM(X73:AA73)</f>
        <v/>
      </c>
      <c r="AB130" s="36">
        <f>SUM(Y73:AB73)</f>
        <v/>
      </c>
    </row>
    <row r="131">
      <c r="B131" s="12" t="inlineStr">
        <is>
          <t>Unrealized run-rate synergies credited (capped, time-limited)</t>
        </is>
      </c>
      <c r="C131" s="11" t="inlineStr">
        <is>
          <t>$m</t>
        </is>
      </c>
      <c r="D131" s="12" t="n"/>
      <c r="E131" s="36">
        <f>IF(AND(E34&gt;='Inputs'!$C$103,E34&lt;='Inputs'!$C$103+'Inputs'!$C$97),MIN(MAX(0,('Inputs'!$C$110+'Inputs'!$C$111)-E130),'Inputs'!$C$96*E128),0)</f>
        <v/>
      </c>
      <c r="F131" s="36">
        <f>IF(AND(F34&gt;='Inputs'!$C$103,F34&lt;='Inputs'!$C$103+'Inputs'!$C$97),MIN(MAX(0,('Inputs'!$C$110+'Inputs'!$C$111)-F130),'Inputs'!$C$96*F128),0)</f>
        <v/>
      </c>
      <c r="G131" s="36">
        <f>IF(AND(G34&gt;='Inputs'!$C$103,G34&lt;='Inputs'!$C$103+'Inputs'!$C$97),MIN(MAX(0,('Inputs'!$C$110+'Inputs'!$C$111)-G130),'Inputs'!$C$96*G128),0)</f>
        <v/>
      </c>
      <c r="H131" s="36">
        <f>IF(AND(H34&gt;='Inputs'!$C$103,H34&lt;='Inputs'!$C$103+'Inputs'!$C$97),MIN(MAX(0,('Inputs'!$C$110+'Inputs'!$C$111)-H130),'Inputs'!$C$96*H128),0)</f>
        <v/>
      </c>
      <c r="I131" s="36">
        <f>IF(AND(I34&gt;='Inputs'!$C$103,I34&lt;='Inputs'!$C$103+'Inputs'!$C$97),MIN(MAX(0,('Inputs'!$C$110+'Inputs'!$C$111)-I130),'Inputs'!$C$96*I128),0)</f>
        <v/>
      </c>
      <c r="J131" s="36">
        <f>IF(AND(J34&gt;='Inputs'!$C$103,J34&lt;='Inputs'!$C$103+'Inputs'!$C$97),MIN(MAX(0,('Inputs'!$C$110+'Inputs'!$C$111)-J130),'Inputs'!$C$96*J128),0)</f>
        <v/>
      </c>
      <c r="K131" s="36">
        <f>IF(AND(K34&gt;='Inputs'!$C$103,K34&lt;='Inputs'!$C$103+'Inputs'!$C$97),MIN(MAX(0,('Inputs'!$C$110+'Inputs'!$C$111)-K130),'Inputs'!$C$96*K128),0)</f>
        <v/>
      </c>
      <c r="L131" s="36">
        <f>IF(AND(L34&gt;='Inputs'!$C$103,L34&lt;='Inputs'!$C$103+'Inputs'!$C$97),MIN(MAX(0,('Inputs'!$C$110+'Inputs'!$C$111)-L130),'Inputs'!$C$96*L128),0)</f>
        <v/>
      </c>
      <c r="M131" s="36">
        <f>IF(AND(M34&gt;='Inputs'!$C$103,M34&lt;='Inputs'!$C$103+'Inputs'!$C$97),MIN(MAX(0,('Inputs'!$C$110+'Inputs'!$C$111)-M130),'Inputs'!$C$96*M128),0)</f>
        <v/>
      </c>
      <c r="N131" s="36">
        <f>IF(AND(N34&gt;='Inputs'!$C$103,N34&lt;='Inputs'!$C$103+'Inputs'!$C$97),MIN(MAX(0,('Inputs'!$C$110+'Inputs'!$C$111)-N130),'Inputs'!$C$96*N128),0)</f>
        <v/>
      </c>
      <c r="O131" s="36">
        <f>IF(AND(O34&gt;='Inputs'!$C$103,O34&lt;='Inputs'!$C$103+'Inputs'!$C$97),MIN(MAX(0,('Inputs'!$C$110+'Inputs'!$C$111)-O130),'Inputs'!$C$96*O128),0)</f>
        <v/>
      </c>
      <c r="P131" s="36">
        <f>IF(AND(P34&gt;='Inputs'!$C$103,P34&lt;='Inputs'!$C$103+'Inputs'!$C$97),MIN(MAX(0,('Inputs'!$C$110+'Inputs'!$C$111)-P130),'Inputs'!$C$96*P128),0)</f>
        <v/>
      </c>
      <c r="Q131" s="36">
        <f>IF(AND(Q34&gt;='Inputs'!$C$103,Q34&lt;='Inputs'!$C$103+'Inputs'!$C$97),MIN(MAX(0,('Inputs'!$C$110+'Inputs'!$C$111)-Q130),'Inputs'!$C$96*Q128),0)</f>
        <v/>
      </c>
      <c r="R131" s="36">
        <f>IF(AND(R34&gt;='Inputs'!$C$103,R34&lt;='Inputs'!$C$103+'Inputs'!$C$97),MIN(MAX(0,('Inputs'!$C$110+'Inputs'!$C$111)-R130),'Inputs'!$C$96*R128),0)</f>
        <v/>
      </c>
      <c r="S131" s="36">
        <f>IF(AND(S34&gt;='Inputs'!$C$103,S34&lt;='Inputs'!$C$103+'Inputs'!$C$97),MIN(MAX(0,('Inputs'!$C$110+'Inputs'!$C$111)-S130),'Inputs'!$C$96*S128),0)</f>
        <v/>
      </c>
      <c r="T131" s="36">
        <f>IF(AND(T34&gt;='Inputs'!$C$103,T34&lt;='Inputs'!$C$103+'Inputs'!$C$97),MIN(MAX(0,('Inputs'!$C$110+'Inputs'!$C$111)-T130),'Inputs'!$C$96*T128),0)</f>
        <v/>
      </c>
      <c r="U131" s="36">
        <f>IF(AND(U34&gt;='Inputs'!$C$103,U34&lt;='Inputs'!$C$103+'Inputs'!$C$97),MIN(MAX(0,('Inputs'!$C$110+'Inputs'!$C$111)-U130),'Inputs'!$C$96*U128),0)</f>
        <v/>
      </c>
      <c r="V131" s="36">
        <f>IF(AND(V34&gt;='Inputs'!$C$103,V34&lt;='Inputs'!$C$103+'Inputs'!$C$97),MIN(MAX(0,('Inputs'!$C$110+'Inputs'!$C$111)-V130),'Inputs'!$C$96*V128),0)</f>
        <v/>
      </c>
      <c r="W131" s="36">
        <f>IF(AND(W34&gt;='Inputs'!$C$103,W34&lt;='Inputs'!$C$103+'Inputs'!$C$97),MIN(MAX(0,('Inputs'!$C$110+'Inputs'!$C$111)-W130),'Inputs'!$C$96*W128),0)</f>
        <v/>
      </c>
      <c r="X131" s="36">
        <f>IF(AND(X34&gt;='Inputs'!$C$103,X34&lt;='Inputs'!$C$103+'Inputs'!$C$97),MIN(MAX(0,('Inputs'!$C$110+'Inputs'!$C$111)-X130),'Inputs'!$C$96*X128),0)</f>
        <v/>
      </c>
      <c r="Y131" s="36">
        <f>IF(AND(Y34&gt;='Inputs'!$C$103,Y34&lt;='Inputs'!$C$103+'Inputs'!$C$97),MIN(MAX(0,('Inputs'!$C$110+'Inputs'!$C$111)-Y130),'Inputs'!$C$96*Y128),0)</f>
        <v/>
      </c>
      <c r="Z131" s="36">
        <f>IF(AND(Z34&gt;='Inputs'!$C$103,Z34&lt;='Inputs'!$C$103+'Inputs'!$C$97),MIN(MAX(0,('Inputs'!$C$110+'Inputs'!$C$111)-Z130),'Inputs'!$C$96*Z128),0)</f>
        <v/>
      </c>
      <c r="AA131" s="36">
        <f>IF(AND(AA34&gt;='Inputs'!$C$103,AA34&lt;='Inputs'!$C$103+'Inputs'!$C$97),MIN(MAX(0,('Inputs'!$C$110+'Inputs'!$C$111)-AA130),'Inputs'!$C$96*AA128),0)</f>
        <v/>
      </c>
      <c r="AB131" s="36">
        <f>IF(AND(AB34&gt;='Inputs'!$C$103,AB34&lt;='Inputs'!$C$103+'Inputs'!$C$97),MIN(MAX(0,('Inputs'!$C$110+'Inputs'!$C$111)-AB130),'Inputs'!$C$96*AB128),0)</f>
        <v/>
      </c>
    </row>
    <row r="132">
      <c r="B132" s="5" t="inlineStr">
        <is>
          <t>Covenant EBITDA (LTM)</t>
        </is>
      </c>
      <c r="C132" s="37" t="inlineStr">
        <is>
          <t>$m</t>
        </is>
      </c>
      <c r="D132" s="5" t="n"/>
      <c r="E132" s="38">
        <f>E128+E129+E131</f>
        <v/>
      </c>
      <c r="F132" s="38">
        <f>F128+F129+F131</f>
        <v/>
      </c>
      <c r="G132" s="38">
        <f>G128+G129+G131</f>
        <v/>
      </c>
      <c r="H132" s="38">
        <f>H128+H129+H131</f>
        <v/>
      </c>
      <c r="I132" s="38">
        <f>I128+I129+I131</f>
        <v/>
      </c>
      <c r="J132" s="38">
        <f>J128+J129+J131</f>
        <v/>
      </c>
      <c r="K132" s="38">
        <f>K128+K129+K131</f>
        <v/>
      </c>
      <c r="L132" s="38">
        <f>L128+L129+L131</f>
        <v/>
      </c>
      <c r="M132" s="38">
        <f>M128+M129+M131</f>
        <v/>
      </c>
      <c r="N132" s="38">
        <f>N128+N129+N131</f>
        <v/>
      </c>
      <c r="O132" s="38">
        <f>O128+O129+O131</f>
        <v/>
      </c>
      <c r="P132" s="38">
        <f>P128+P129+P131</f>
        <v/>
      </c>
      <c r="Q132" s="38">
        <f>Q128+Q129+Q131</f>
        <v/>
      </c>
      <c r="R132" s="38">
        <f>R128+R129+R131</f>
        <v/>
      </c>
      <c r="S132" s="38">
        <f>S128+S129+S131</f>
        <v/>
      </c>
      <c r="T132" s="38">
        <f>T128+T129+T131</f>
        <v/>
      </c>
      <c r="U132" s="38">
        <f>U128+U129+U131</f>
        <v/>
      </c>
      <c r="V132" s="38">
        <f>V128+V129+V131</f>
        <v/>
      </c>
      <c r="W132" s="38">
        <f>W128+W129+W131</f>
        <v/>
      </c>
      <c r="X132" s="38">
        <f>X128+X129+X131</f>
        <v/>
      </c>
      <c r="Y132" s="38">
        <f>Y128+Y129+Y131</f>
        <v/>
      </c>
      <c r="Z132" s="38">
        <f>Z128+Z129+Z131</f>
        <v/>
      </c>
      <c r="AA132" s="38">
        <f>AA128+AA129+AA131</f>
        <v/>
      </c>
      <c r="AB132" s="38">
        <f>AB128+AB129+AB131</f>
        <v/>
      </c>
    </row>
    <row r="133">
      <c r="B133" s="12" t="inlineStr">
        <is>
          <t>Net leverage before any cure</t>
        </is>
      </c>
      <c r="C133" s="11" t="inlineStr">
        <is>
          <t>x</t>
        </is>
      </c>
      <c r="D133" s="12" t="n"/>
      <c r="E133" s="40">
        <f>E122/E132</f>
        <v/>
      </c>
      <c r="F133" s="40">
        <f>F122/F132</f>
        <v/>
      </c>
      <c r="G133" s="40">
        <f>G122/G132</f>
        <v/>
      </c>
      <c r="H133" s="40">
        <f>H122/H132</f>
        <v/>
      </c>
      <c r="I133" s="40">
        <f>I122/I132</f>
        <v/>
      </c>
      <c r="J133" s="40">
        <f>J122/J132</f>
        <v/>
      </c>
      <c r="K133" s="40">
        <f>K122/K132</f>
        <v/>
      </c>
      <c r="L133" s="40">
        <f>L122/L132</f>
        <v/>
      </c>
      <c r="M133" s="40">
        <f>M122/M132</f>
        <v/>
      </c>
      <c r="N133" s="40">
        <f>N122/N132</f>
        <v/>
      </c>
      <c r="O133" s="40">
        <f>O122/O132</f>
        <v/>
      </c>
      <c r="P133" s="40">
        <f>P122/P132</f>
        <v/>
      </c>
      <c r="Q133" s="40">
        <f>Q122/Q132</f>
        <v/>
      </c>
      <c r="R133" s="40">
        <f>R122/R132</f>
        <v/>
      </c>
      <c r="S133" s="40">
        <f>S122/S132</f>
        <v/>
      </c>
      <c r="T133" s="40">
        <f>T122/T132</f>
        <v/>
      </c>
      <c r="U133" s="40">
        <f>U122/U132</f>
        <v/>
      </c>
      <c r="V133" s="40">
        <f>V122/V132</f>
        <v/>
      </c>
      <c r="W133" s="40">
        <f>W122/W132</f>
        <v/>
      </c>
      <c r="X133" s="40">
        <f>X122/X132</f>
        <v/>
      </c>
      <c r="Y133" s="40">
        <f>Y122/Y132</f>
        <v/>
      </c>
      <c r="Z133" s="40">
        <f>Z122/Z132</f>
        <v/>
      </c>
      <c r="AA133" s="40">
        <f>AA122/AA132</f>
        <v/>
      </c>
      <c r="AB133" s="40">
        <f>AB122/AB132</f>
        <v/>
      </c>
    </row>
    <row r="134">
      <c r="B134" s="12" t="inlineStr">
        <is>
          <t>Maximum net leverage (covenant)</t>
        </is>
      </c>
      <c r="C134" s="11" t="inlineStr">
        <is>
          <t>x</t>
        </is>
      </c>
      <c r="D134" s="12" t="n"/>
      <c r="E134" s="40">
        <f>IF(E92=1,INDEX('Inputs'!$C$78:$H$78,E35),INDEX('Inputs'!$C$77:$H$77,E35))</f>
        <v/>
      </c>
      <c r="F134" s="40">
        <f>IF(F92=1,INDEX('Inputs'!$C$78:$H$78,F35),INDEX('Inputs'!$C$77:$H$77,F35))</f>
        <v/>
      </c>
      <c r="G134" s="40">
        <f>IF(G92=1,INDEX('Inputs'!$C$78:$H$78,G35),INDEX('Inputs'!$C$77:$H$77,G35))</f>
        <v/>
      </c>
      <c r="H134" s="40">
        <f>IF(H92=1,INDEX('Inputs'!$C$78:$H$78,H35),INDEX('Inputs'!$C$77:$H$77,H35))</f>
        <v/>
      </c>
      <c r="I134" s="40">
        <f>IF(I92=1,INDEX('Inputs'!$C$78:$H$78,I35),INDEX('Inputs'!$C$77:$H$77,I35))</f>
        <v/>
      </c>
      <c r="J134" s="40">
        <f>IF(J92=1,INDEX('Inputs'!$C$78:$H$78,J35),INDEX('Inputs'!$C$77:$H$77,J35))</f>
        <v/>
      </c>
      <c r="K134" s="40">
        <f>IF(K92=1,INDEX('Inputs'!$C$78:$H$78,K35),INDEX('Inputs'!$C$77:$H$77,K35))</f>
        <v/>
      </c>
      <c r="L134" s="40">
        <f>IF(L92=1,INDEX('Inputs'!$C$78:$H$78,L35),INDEX('Inputs'!$C$77:$H$77,L35))</f>
        <v/>
      </c>
      <c r="M134" s="40">
        <f>IF(M92=1,INDEX('Inputs'!$C$78:$H$78,M35),INDEX('Inputs'!$C$77:$H$77,M35))</f>
        <v/>
      </c>
      <c r="N134" s="40">
        <f>IF(N92=1,INDEX('Inputs'!$C$78:$H$78,N35),INDEX('Inputs'!$C$77:$H$77,N35))</f>
        <v/>
      </c>
      <c r="O134" s="40">
        <f>IF(O92=1,INDEX('Inputs'!$C$78:$H$78,O35),INDEX('Inputs'!$C$77:$H$77,O35))</f>
        <v/>
      </c>
      <c r="P134" s="40">
        <f>IF(P92=1,INDEX('Inputs'!$C$78:$H$78,P35),INDEX('Inputs'!$C$77:$H$77,P35))</f>
        <v/>
      </c>
      <c r="Q134" s="40">
        <f>IF(Q92=1,INDEX('Inputs'!$C$78:$H$78,Q35),INDEX('Inputs'!$C$77:$H$77,Q35))</f>
        <v/>
      </c>
      <c r="R134" s="40">
        <f>IF(R92=1,INDEX('Inputs'!$C$78:$H$78,R35),INDEX('Inputs'!$C$77:$H$77,R35))</f>
        <v/>
      </c>
      <c r="S134" s="40">
        <f>IF(S92=1,INDEX('Inputs'!$C$78:$H$78,S35),INDEX('Inputs'!$C$77:$H$77,S35))</f>
        <v/>
      </c>
      <c r="T134" s="40">
        <f>IF(T92=1,INDEX('Inputs'!$C$78:$H$78,T35),INDEX('Inputs'!$C$77:$H$77,T35))</f>
        <v/>
      </c>
      <c r="U134" s="40">
        <f>IF(U92=1,INDEX('Inputs'!$C$78:$H$78,U35),INDEX('Inputs'!$C$77:$H$77,U35))</f>
        <v/>
      </c>
      <c r="V134" s="40">
        <f>IF(V92=1,INDEX('Inputs'!$C$78:$H$78,V35),INDEX('Inputs'!$C$77:$H$77,V35))</f>
        <v/>
      </c>
      <c r="W134" s="40">
        <f>IF(W92=1,INDEX('Inputs'!$C$78:$H$78,W35),INDEX('Inputs'!$C$77:$H$77,W35))</f>
        <v/>
      </c>
      <c r="X134" s="40">
        <f>IF(X92=1,INDEX('Inputs'!$C$78:$H$78,X35),INDEX('Inputs'!$C$77:$H$77,X35))</f>
        <v/>
      </c>
      <c r="Y134" s="40">
        <f>IF(Y92=1,INDEX('Inputs'!$C$78:$H$78,Y35),INDEX('Inputs'!$C$77:$H$77,Y35))</f>
        <v/>
      </c>
      <c r="Z134" s="40">
        <f>IF(Z92=1,INDEX('Inputs'!$C$78:$H$78,Z35),INDEX('Inputs'!$C$77:$H$77,Z35))</f>
        <v/>
      </c>
      <c r="AA134" s="40">
        <f>IF(AA92=1,INDEX('Inputs'!$C$78:$H$78,AA35),INDEX('Inputs'!$C$77:$H$77,AA35))</f>
        <v/>
      </c>
      <c r="AB134" s="40">
        <f>IF(AB92=1,INDEX('Inputs'!$C$78:$H$78,AB35),INDEX('Inputs'!$C$77:$H$77,AB35))</f>
        <v/>
      </c>
    </row>
    <row r="135">
      <c r="B135" s="12" t="inlineStr">
        <is>
          <t>Breach before any cure (1 = yes)</t>
        </is>
      </c>
      <c r="C135" s="11" t="inlineStr"/>
      <c r="D135" s="12" t="n"/>
      <c r="E135" s="24">
        <f>IF(E133&gt;E134+1E-12,1,0)</f>
        <v/>
      </c>
      <c r="F135" s="24">
        <f>IF(F133&gt;F134+1E-12,1,0)</f>
        <v/>
      </c>
      <c r="G135" s="24">
        <f>IF(G133&gt;G134+1E-12,1,0)</f>
        <v/>
      </c>
      <c r="H135" s="24">
        <f>IF(H133&gt;H134+1E-12,1,0)</f>
        <v/>
      </c>
      <c r="I135" s="24">
        <f>IF(I133&gt;I134+1E-12,1,0)</f>
        <v/>
      </c>
      <c r="J135" s="24">
        <f>IF(J133&gt;J134+1E-12,1,0)</f>
        <v/>
      </c>
      <c r="K135" s="24">
        <f>IF(K133&gt;K134+1E-12,1,0)</f>
        <v/>
      </c>
      <c r="L135" s="24">
        <f>IF(L133&gt;L134+1E-12,1,0)</f>
        <v/>
      </c>
      <c r="M135" s="24">
        <f>IF(M133&gt;M134+1E-12,1,0)</f>
        <v/>
      </c>
      <c r="N135" s="24">
        <f>IF(N133&gt;N134+1E-12,1,0)</f>
        <v/>
      </c>
      <c r="O135" s="24">
        <f>IF(O133&gt;O134+1E-12,1,0)</f>
        <v/>
      </c>
      <c r="P135" s="24">
        <f>IF(P133&gt;P134+1E-12,1,0)</f>
        <v/>
      </c>
      <c r="Q135" s="24">
        <f>IF(Q133&gt;Q134+1E-12,1,0)</f>
        <v/>
      </c>
      <c r="R135" s="24">
        <f>IF(R133&gt;R134+1E-12,1,0)</f>
        <v/>
      </c>
      <c r="S135" s="24">
        <f>IF(S133&gt;S134+1E-12,1,0)</f>
        <v/>
      </c>
      <c r="T135" s="24">
        <f>IF(T133&gt;T134+1E-12,1,0)</f>
        <v/>
      </c>
      <c r="U135" s="24">
        <f>IF(U133&gt;U134+1E-12,1,0)</f>
        <v/>
      </c>
      <c r="V135" s="24">
        <f>IF(V133&gt;V134+1E-12,1,0)</f>
        <v/>
      </c>
      <c r="W135" s="24">
        <f>IF(W133&gt;W134+1E-12,1,0)</f>
        <v/>
      </c>
      <c r="X135" s="24">
        <f>IF(X133&gt;X134+1E-12,1,0)</f>
        <v/>
      </c>
      <c r="Y135" s="24">
        <f>IF(Y133&gt;Y134+1E-12,1,0)</f>
        <v/>
      </c>
      <c r="Z135" s="24">
        <f>IF(Z133&gt;Z134+1E-12,1,0)</f>
        <v/>
      </c>
      <c r="AA135" s="24">
        <f>IF(AA133&gt;AA134+1E-12,1,0)</f>
        <v/>
      </c>
      <c r="AB135" s="24">
        <f>IF(AB133&gt;AB134+1E-12,1,0)</f>
        <v/>
      </c>
    </row>
    <row r="136">
      <c r="B136" s="12" t="inlineStr">
        <is>
          <t>Amendment quarter (0 = none yet)</t>
        </is>
      </c>
      <c r="C136" s="11" t="inlineStr"/>
      <c r="D136" s="24">
        <f>0</f>
        <v/>
      </c>
      <c r="E136" s="24">
        <f>IF(D136&gt;0,D136,IF(AND('Drivers'!$F$66=1,E135=1),E34,0))</f>
        <v/>
      </c>
      <c r="F136" s="24">
        <f>IF(E136&gt;0,E136,IF(AND('Drivers'!$F$66=1,F135=1),F34,0))</f>
        <v/>
      </c>
      <c r="G136" s="24">
        <f>IF(F136&gt;0,F136,IF(AND('Drivers'!$F$66=1,G135=1),G34,0))</f>
        <v/>
      </c>
      <c r="H136" s="24">
        <f>IF(G136&gt;0,G136,IF(AND('Drivers'!$F$66=1,H135=1),H34,0))</f>
        <v/>
      </c>
      <c r="I136" s="24">
        <f>IF(H136&gt;0,H136,IF(AND('Drivers'!$F$66=1,I135=1),I34,0))</f>
        <v/>
      </c>
      <c r="J136" s="24">
        <f>IF(I136&gt;0,I136,IF(AND('Drivers'!$F$66=1,J135=1),J34,0))</f>
        <v/>
      </c>
      <c r="K136" s="24">
        <f>IF(J136&gt;0,J136,IF(AND('Drivers'!$F$66=1,K135=1),K34,0))</f>
        <v/>
      </c>
      <c r="L136" s="24">
        <f>IF(K136&gt;0,K136,IF(AND('Drivers'!$F$66=1,L135=1),L34,0))</f>
        <v/>
      </c>
      <c r="M136" s="24">
        <f>IF(L136&gt;0,L136,IF(AND('Drivers'!$F$66=1,M135=1),M34,0))</f>
        <v/>
      </c>
      <c r="N136" s="24">
        <f>IF(M136&gt;0,M136,IF(AND('Drivers'!$F$66=1,N135=1),N34,0))</f>
        <v/>
      </c>
      <c r="O136" s="24">
        <f>IF(N136&gt;0,N136,IF(AND('Drivers'!$F$66=1,O135=1),O34,0))</f>
        <v/>
      </c>
      <c r="P136" s="24">
        <f>IF(O136&gt;0,O136,IF(AND('Drivers'!$F$66=1,P135=1),P34,0))</f>
        <v/>
      </c>
      <c r="Q136" s="24">
        <f>IF(P136&gt;0,P136,IF(AND('Drivers'!$F$66=1,Q135=1),Q34,0))</f>
        <v/>
      </c>
      <c r="R136" s="24">
        <f>IF(Q136&gt;0,Q136,IF(AND('Drivers'!$F$66=1,R135=1),R34,0))</f>
        <v/>
      </c>
      <c r="S136" s="24">
        <f>IF(R136&gt;0,R136,IF(AND('Drivers'!$F$66=1,S135=1),S34,0))</f>
        <v/>
      </c>
      <c r="T136" s="24">
        <f>IF(S136&gt;0,S136,IF(AND('Drivers'!$F$66=1,T135=1),T34,0))</f>
        <v/>
      </c>
      <c r="U136" s="24">
        <f>IF(T136&gt;0,T136,IF(AND('Drivers'!$F$66=1,U135=1),U34,0))</f>
        <v/>
      </c>
      <c r="V136" s="24">
        <f>IF(U136&gt;0,U136,IF(AND('Drivers'!$F$66=1,V135=1),V34,0))</f>
        <v/>
      </c>
      <c r="W136" s="24">
        <f>IF(V136&gt;0,V136,IF(AND('Drivers'!$F$66=1,W135=1),W34,0))</f>
        <v/>
      </c>
      <c r="X136" s="24">
        <f>IF(W136&gt;0,W136,IF(AND('Drivers'!$F$66=1,X135=1),X34,0))</f>
        <v/>
      </c>
      <c r="Y136" s="24">
        <f>IF(X136&gt;0,X136,IF(AND('Drivers'!$F$66=1,Y135=1),Y34,0))</f>
        <v/>
      </c>
      <c r="Z136" s="24">
        <f>IF(Y136&gt;0,Y136,IF(AND('Drivers'!$F$66=1,Z135=1),Z34,0))</f>
        <v/>
      </c>
      <c r="AA136" s="24">
        <f>IF(Z136&gt;0,Z136,IF(AND('Drivers'!$F$66=1,AA135=1),AA34,0))</f>
        <v/>
      </c>
      <c r="AB136" s="24">
        <f>IF(AA136&gt;0,AA136,IF(AND('Drivers'!$F$66=1,AB135=1),AB34,0))</f>
        <v/>
      </c>
    </row>
    <row r="137">
      <c r="B137" s="12" t="inlineStr">
        <is>
          <t>Equity cure (prepays the term loan; rounded up)</t>
        </is>
      </c>
      <c r="C137" s="11" t="inlineStr">
        <is>
          <t>$m</t>
        </is>
      </c>
      <c r="D137" s="12" t="n"/>
      <c r="E137" s="36">
        <f>IF(E135=1,(INT((E122-E134*E132)/'Inputs'!$C$98)+1)*'Inputs'!$C$98,0)</f>
        <v/>
      </c>
      <c r="F137" s="36">
        <f>IF(F135=1,(INT((F122-F134*F132)/'Inputs'!$C$98)+1)*'Inputs'!$C$98,0)</f>
        <v/>
      </c>
      <c r="G137" s="36">
        <f>IF(G135=1,(INT((G122-G134*G132)/'Inputs'!$C$98)+1)*'Inputs'!$C$98,0)</f>
        <v/>
      </c>
      <c r="H137" s="36">
        <f>IF(H135=1,(INT((H122-H134*H132)/'Inputs'!$C$98)+1)*'Inputs'!$C$98,0)</f>
        <v/>
      </c>
      <c r="I137" s="36">
        <f>IF(I135=1,(INT((I122-I134*I132)/'Inputs'!$C$98)+1)*'Inputs'!$C$98,0)</f>
        <v/>
      </c>
      <c r="J137" s="36">
        <f>IF(J135=1,(INT((J122-J134*J132)/'Inputs'!$C$98)+1)*'Inputs'!$C$98,0)</f>
        <v/>
      </c>
      <c r="K137" s="36">
        <f>IF(K135=1,(INT((K122-K134*K132)/'Inputs'!$C$98)+1)*'Inputs'!$C$98,0)</f>
        <v/>
      </c>
      <c r="L137" s="36">
        <f>IF(L135=1,(INT((L122-L134*L132)/'Inputs'!$C$98)+1)*'Inputs'!$C$98,0)</f>
        <v/>
      </c>
      <c r="M137" s="36">
        <f>IF(M135=1,(INT((M122-M134*M132)/'Inputs'!$C$98)+1)*'Inputs'!$C$98,0)</f>
        <v/>
      </c>
      <c r="N137" s="36">
        <f>IF(N135=1,(INT((N122-N134*N132)/'Inputs'!$C$98)+1)*'Inputs'!$C$98,0)</f>
        <v/>
      </c>
      <c r="O137" s="36">
        <f>IF(O135=1,(INT((O122-O134*O132)/'Inputs'!$C$98)+1)*'Inputs'!$C$98,0)</f>
        <v/>
      </c>
      <c r="P137" s="36">
        <f>IF(P135=1,(INT((P122-P134*P132)/'Inputs'!$C$98)+1)*'Inputs'!$C$98,0)</f>
        <v/>
      </c>
      <c r="Q137" s="36">
        <f>IF(Q135=1,(INT((Q122-Q134*Q132)/'Inputs'!$C$98)+1)*'Inputs'!$C$98,0)</f>
        <v/>
      </c>
      <c r="R137" s="36">
        <f>IF(R135=1,(INT((R122-R134*R132)/'Inputs'!$C$98)+1)*'Inputs'!$C$98,0)</f>
        <v/>
      </c>
      <c r="S137" s="36">
        <f>IF(S135=1,(INT((S122-S134*S132)/'Inputs'!$C$98)+1)*'Inputs'!$C$98,0)</f>
        <v/>
      </c>
      <c r="T137" s="36">
        <f>IF(T135=1,(INT((T122-T134*T132)/'Inputs'!$C$98)+1)*'Inputs'!$C$98,0)</f>
        <v/>
      </c>
      <c r="U137" s="36">
        <f>IF(U135=1,(INT((U122-U134*U132)/'Inputs'!$C$98)+1)*'Inputs'!$C$98,0)</f>
        <v/>
      </c>
      <c r="V137" s="36">
        <f>IF(V135=1,(INT((V122-V134*V132)/'Inputs'!$C$98)+1)*'Inputs'!$C$98,0)</f>
        <v/>
      </c>
      <c r="W137" s="36">
        <f>IF(W135=1,(INT((W122-W134*W132)/'Inputs'!$C$98)+1)*'Inputs'!$C$98,0)</f>
        <v/>
      </c>
      <c r="X137" s="36">
        <f>IF(X135=1,(INT((X122-X134*X132)/'Inputs'!$C$98)+1)*'Inputs'!$C$98,0)</f>
        <v/>
      </c>
      <c r="Y137" s="36">
        <f>IF(Y135=1,(INT((Y122-Y134*Y132)/'Inputs'!$C$98)+1)*'Inputs'!$C$98,0)</f>
        <v/>
      </c>
      <c r="Z137" s="36">
        <f>IF(Z135=1,(INT((Z122-Z134*Z132)/'Inputs'!$C$98)+1)*'Inputs'!$C$98,0)</f>
        <v/>
      </c>
      <c r="AA137" s="36">
        <f>IF(AA135=1,(INT((AA122-AA134*AA132)/'Inputs'!$C$98)+1)*'Inputs'!$C$98,0)</f>
        <v/>
      </c>
      <c r="AB137" s="36">
        <f>IF(AB135=1,(INT((AB122-AB134*AB132)/'Inputs'!$C$98)+1)*'Inputs'!$C$98,0)</f>
        <v/>
      </c>
    </row>
    <row r="138"/>
    <row r="139">
      <c r="B139" s="8" t="inlineStr">
        <is>
          <t>Balances at the end of the quarter</t>
        </is>
      </c>
      <c r="C139" s="8" t="inlineStr">
        <is>
          <t>Unit</t>
        </is>
      </c>
      <c r="D139" s="9" t="inlineStr">
        <is>
          <t>Close</t>
        </is>
      </c>
      <c r="E139" s="9" t="inlineStr">
        <is>
          <t>Y1 Q1</t>
        </is>
      </c>
      <c r="F139" s="9" t="inlineStr">
        <is>
          <t>Y1 Q2</t>
        </is>
      </c>
      <c r="G139" s="9" t="inlineStr">
        <is>
          <t>Y1 Q3</t>
        </is>
      </c>
      <c r="H139" s="9" t="inlineStr">
        <is>
          <t>Y1 Q4</t>
        </is>
      </c>
      <c r="I139" s="9" t="inlineStr">
        <is>
          <t>Y2 Q1</t>
        </is>
      </c>
      <c r="J139" s="9" t="inlineStr">
        <is>
          <t>Y2 Q2</t>
        </is>
      </c>
      <c r="K139" s="9" t="inlineStr">
        <is>
          <t>Y2 Q3</t>
        </is>
      </c>
      <c r="L139" s="9" t="inlineStr">
        <is>
          <t>Y2 Q4</t>
        </is>
      </c>
      <c r="M139" s="9" t="inlineStr">
        <is>
          <t>Y3 Q1</t>
        </is>
      </c>
      <c r="N139" s="9" t="inlineStr">
        <is>
          <t>Y3 Q2</t>
        </is>
      </c>
      <c r="O139" s="9" t="inlineStr">
        <is>
          <t>Y3 Q3</t>
        </is>
      </c>
      <c r="P139" s="9" t="inlineStr">
        <is>
          <t>Y3 Q4</t>
        </is>
      </c>
      <c r="Q139" s="9" t="inlineStr">
        <is>
          <t>Y4 Q1</t>
        </is>
      </c>
      <c r="R139" s="9" t="inlineStr">
        <is>
          <t>Y4 Q2</t>
        </is>
      </c>
      <c r="S139" s="9" t="inlineStr">
        <is>
          <t>Y4 Q3</t>
        </is>
      </c>
      <c r="T139" s="9" t="inlineStr">
        <is>
          <t>Y4 Q4</t>
        </is>
      </c>
      <c r="U139" s="9" t="inlineStr">
        <is>
          <t>Y5 Q1</t>
        </is>
      </c>
      <c r="V139" s="9" t="inlineStr">
        <is>
          <t>Y5 Q2</t>
        </is>
      </c>
      <c r="W139" s="9" t="inlineStr">
        <is>
          <t>Y5 Q3</t>
        </is>
      </c>
      <c r="X139" s="9" t="inlineStr">
        <is>
          <t>Y5 Q4</t>
        </is>
      </c>
      <c r="Y139" s="9" t="inlineStr">
        <is>
          <t>Y6 Q1</t>
        </is>
      </c>
      <c r="Z139" s="9" t="inlineStr">
        <is>
          <t>Y6 Q2</t>
        </is>
      </c>
      <c r="AA139" s="9" t="inlineStr">
        <is>
          <t>Y6 Q3</t>
        </is>
      </c>
      <c r="AB139" s="9" t="inlineStr">
        <is>
          <t>Y6 Q4</t>
        </is>
      </c>
    </row>
    <row r="140">
      <c r="B140" s="12" t="inlineStr">
        <is>
          <t>Term loan</t>
        </is>
      </c>
      <c r="C140" s="11" t="inlineStr">
        <is>
          <t>$m</t>
        </is>
      </c>
      <c r="D140" s="36">
        <f>'Inputs'!$C$52</f>
        <v/>
      </c>
      <c r="E140" s="36">
        <f>D140-E110-E116-E117-E137</f>
        <v/>
      </c>
      <c r="F140" s="36">
        <f>E140-F110-F116-F117-F137</f>
        <v/>
      </c>
      <c r="G140" s="36">
        <f>F140-G110-G116-G117-G137</f>
        <v/>
      </c>
      <c r="H140" s="36">
        <f>G140-H110-H116-H117-H137</f>
        <v/>
      </c>
      <c r="I140" s="36">
        <f>H140-I110-I116-I117-I137</f>
        <v/>
      </c>
      <c r="J140" s="36">
        <f>I140-J110-J116-J117-J137</f>
        <v/>
      </c>
      <c r="K140" s="36">
        <f>J140-K110-K116-K117-K137</f>
        <v/>
      </c>
      <c r="L140" s="36">
        <f>K140-L110-L116-L117-L137</f>
        <v/>
      </c>
      <c r="M140" s="36">
        <f>L140-M110-M116-M117-M137</f>
        <v/>
      </c>
      <c r="N140" s="36">
        <f>M140-N110-N116-N117-N137</f>
        <v/>
      </c>
      <c r="O140" s="36">
        <f>N140-O110-O116-O117-O137</f>
        <v/>
      </c>
      <c r="P140" s="36">
        <f>O140-P110-P116-P117-P137</f>
        <v/>
      </c>
      <c r="Q140" s="36">
        <f>P140-Q110-Q116-Q117-Q137</f>
        <v/>
      </c>
      <c r="R140" s="36">
        <f>Q140-R110-R116-R117-R137</f>
        <v/>
      </c>
      <c r="S140" s="36">
        <f>R140-S110-S116-S117-S137</f>
        <v/>
      </c>
      <c r="T140" s="36">
        <f>S140-T110-T116-T117-T137</f>
        <v/>
      </c>
      <c r="U140" s="36">
        <f>T140-U110-U116-U117-U137</f>
        <v/>
      </c>
      <c r="V140" s="36">
        <f>U140-V110-V116-V117-V137</f>
        <v/>
      </c>
      <c r="W140" s="36">
        <f>V140-W110-W116-W117-W137</f>
        <v/>
      </c>
      <c r="X140" s="36">
        <f>W140-X110-X116-X117-X137</f>
        <v/>
      </c>
      <c r="Y140" s="36">
        <f>X140-Y110-Y116-Y117-Y137</f>
        <v/>
      </c>
      <c r="Z140" s="36">
        <f>Y140-Z110-Z116-Z117-Z137</f>
        <v/>
      </c>
      <c r="AA140" s="36">
        <f>Z140-AA110-AA116-AA117-AA137</f>
        <v/>
      </c>
      <c r="AB140" s="36">
        <f>AA140-AB110-AB116-AB117-AB137</f>
        <v/>
      </c>
    </row>
    <row r="141">
      <c r="B141" s="12" t="inlineStr">
        <is>
          <t>DDTL</t>
        </is>
      </c>
      <c r="C141" s="11" t="inlineStr">
        <is>
          <t>$m</t>
        </is>
      </c>
      <c r="D141" s="36">
        <f>0</f>
        <v/>
      </c>
      <c r="E141" s="36">
        <f>D141+E109-E111</f>
        <v/>
      </c>
      <c r="F141" s="36">
        <f>E141+F109-F111</f>
        <v/>
      </c>
      <c r="G141" s="36">
        <f>F141+G109-G111</f>
        <v/>
      </c>
      <c r="H141" s="36">
        <f>G141+H109-H111</f>
        <v/>
      </c>
      <c r="I141" s="36">
        <f>H141+I109-I111</f>
        <v/>
      </c>
      <c r="J141" s="36">
        <f>I141+J109-J111</f>
        <v/>
      </c>
      <c r="K141" s="36">
        <f>J141+K109-K111</f>
        <v/>
      </c>
      <c r="L141" s="36">
        <f>K141+L109-L111</f>
        <v/>
      </c>
      <c r="M141" s="36">
        <f>L141+M109-M111</f>
        <v/>
      </c>
      <c r="N141" s="36">
        <f>M141+N109-N111</f>
        <v/>
      </c>
      <c r="O141" s="36">
        <f>N141+O109-O111</f>
        <v/>
      </c>
      <c r="P141" s="36">
        <f>O141+P109-P111</f>
        <v/>
      </c>
      <c r="Q141" s="36">
        <f>P141+Q109-Q111</f>
        <v/>
      </c>
      <c r="R141" s="36">
        <f>Q141+R109-R111</f>
        <v/>
      </c>
      <c r="S141" s="36">
        <f>R141+S109-S111</f>
        <v/>
      </c>
      <c r="T141" s="36">
        <f>S141+T109-T111</f>
        <v/>
      </c>
      <c r="U141" s="36">
        <f>T141+U109-U111</f>
        <v/>
      </c>
      <c r="V141" s="36">
        <f>U141+V109-V111</f>
        <v/>
      </c>
      <c r="W141" s="36">
        <f>V141+W109-W111</f>
        <v/>
      </c>
      <c r="X141" s="36">
        <f>W141+X109-X111</f>
        <v/>
      </c>
      <c r="Y141" s="36">
        <f>X141+Y109-Y111</f>
        <v/>
      </c>
      <c r="Z141" s="36">
        <f>Y141+Z109-Z111</f>
        <v/>
      </c>
      <c r="AA141" s="36">
        <f>Z141+AA109-AA111</f>
        <v/>
      </c>
      <c r="AB141" s="36">
        <f>AA141+AB109-AB111</f>
        <v/>
      </c>
    </row>
    <row r="142">
      <c r="B142" s="12" t="inlineStr">
        <is>
          <t>Revolver drawn</t>
        </is>
      </c>
      <c r="C142" s="11" t="inlineStr">
        <is>
          <t>$m</t>
        </is>
      </c>
      <c r="D142" s="36">
        <f>0</f>
        <v/>
      </c>
      <c r="E142" s="36">
        <f>D142+E113</f>
        <v/>
      </c>
      <c r="F142" s="36">
        <f>E142+F113</f>
        <v/>
      </c>
      <c r="G142" s="36">
        <f>F142+G113</f>
        <v/>
      </c>
      <c r="H142" s="36">
        <f>G142+H113</f>
        <v/>
      </c>
      <c r="I142" s="36">
        <f>H142+I113</f>
        <v/>
      </c>
      <c r="J142" s="36">
        <f>I142+J113</f>
        <v/>
      </c>
      <c r="K142" s="36">
        <f>J142+K113</f>
        <v/>
      </c>
      <c r="L142" s="36">
        <f>K142+L113</f>
        <v/>
      </c>
      <c r="M142" s="36">
        <f>L142+M113</f>
        <v/>
      </c>
      <c r="N142" s="36">
        <f>M142+N113</f>
        <v/>
      </c>
      <c r="O142" s="36">
        <f>N142+O113</f>
        <v/>
      </c>
      <c r="P142" s="36">
        <f>O142+P113</f>
        <v/>
      </c>
      <c r="Q142" s="36">
        <f>P142+Q113</f>
        <v/>
      </c>
      <c r="R142" s="36">
        <f>Q142+R113</f>
        <v/>
      </c>
      <c r="S142" s="36">
        <f>R142+S113</f>
        <v/>
      </c>
      <c r="T142" s="36">
        <f>S142+T113</f>
        <v/>
      </c>
      <c r="U142" s="36">
        <f>T142+U113</f>
        <v/>
      </c>
      <c r="V142" s="36">
        <f>U142+V113</f>
        <v/>
      </c>
      <c r="W142" s="36">
        <f>V142+W113</f>
        <v/>
      </c>
      <c r="X142" s="36">
        <f>W142+X113</f>
        <v/>
      </c>
      <c r="Y142" s="36">
        <f>X142+Y113</f>
        <v/>
      </c>
      <c r="Z142" s="36">
        <f>Y142+Z113</f>
        <v/>
      </c>
      <c r="AA142" s="36">
        <f>Z142+AA113</f>
        <v/>
      </c>
      <c r="AB142" s="36">
        <f>AA142+AB113</f>
        <v/>
      </c>
    </row>
    <row r="143">
      <c r="B143" s="12" t="inlineStr">
        <is>
          <t>Cash</t>
        </is>
      </c>
      <c r="C143" s="11" t="inlineStr">
        <is>
          <t>$m</t>
        </is>
      </c>
      <c r="D143" s="36">
        <f>'Inputs'!$C$51</f>
        <v/>
      </c>
      <c r="E143" s="36">
        <f>E114-E116-E117</f>
        <v/>
      </c>
      <c r="F143" s="36">
        <f>F114-F116-F117</f>
        <v/>
      </c>
      <c r="G143" s="36">
        <f>G114-G116-G117</f>
        <v/>
      </c>
      <c r="H143" s="36">
        <f>H114-H116-H117</f>
        <v/>
      </c>
      <c r="I143" s="36">
        <f>I114-I116-I117</f>
        <v/>
      </c>
      <c r="J143" s="36">
        <f>J114-J116-J117</f>
        <v/>
      </c>
      <c r="K143" s="36">
        <f>K114-K116-K117</f>
        <v/>
      </c>
      <c r="L143" s="36">
        <f>L114-L116-L117</f>
        <v/>
      </c>
      <c r="M143" s="36">
        <f>M114-M116-M117</f>
        <v/>
      </c>
      <c r="N143" s="36">
        <f>N114-N116-N117</f>
        <v/>
      </c>
      <c r="O143" s="36">
        <f>O114-O116-O117</f>
        <v/>
      </c>
      <c r="P143" s="36">
        <f>P114-P116-P117</f>
        <v/>
      </c>
      <c r="Q143" s="36">
        <f>Q114-Q116-Q117</f>
        <v/>
      </c>
      <c r="R143" s="36">
        <f>R114-R116-R117</f>
        <v/>
      </c>
      <c r="S143" s="36">
        <f>S114-S116-S117</f>
        <v/>
      </c>
      <c r="T143" s="36">
        <f>T114-T116-T117</f>
        <v/>
      </c>
      <c r="U143" s="36">
        <f>U114-U116-U117</f>
        <v/>
      </c>
      <c r="V143" s="36">
        <f>V114-V116-V117</f>
        <v/>
      </c>
      <c r="W143" s="36">
        <f>W114-W116-W117</f>
        <v/>
      </c>
      <c r="X143" s="36">
        <f>X114-X116-X117</f>
        <v/>
      </c>
      <c r="Y143" s="36">
        <f>Y114-Y116-Y117</f>
        <v/>
      </c>
      <c r="Z143" s="36">
        <f>Z114-Z116-Z117</f>
        <v/>
      </c>
      <c r="AA143" s="36">
        <f>AA114-AA116-AA117</f>
        <v/>
      </c>
      <c r="AB143" s="36">
        <f>AB114-AB116-AB117</f>
        <v/>
      </c>
    </row>
    <row r="144">
      <c r="B144" s="5" t="inlineStr">
        <is>
          <t>Net debt</t>
        </is>
      </c>
      <c r="C144" s="37" t="inlineStr">
        <is>
          <t>$m</t>
        </is>
      </c>
      <c r="D144" s="38">
        <f>D140+D141+D142-D143</f>
        <v/>
      </c>
      <c r="E144" s="38">
        <f>E140+E141+E142-E143</f>
        <v/>
      </c>
      <c r="F144" s="38">
        <f>F140+F141+F142-F143</f>
        <v/>
      </c>
      <c r="G144" s="38">
        <f>G140+G141+G142-G143</f>
        <v/>
      </c>
      <c r="H144" s="38">
        <f>H140+H141+H142-H143</f>
        <v/>
      </c>
      <c r="I144" s="38">
        <f>I140+I141+I142-I143</f>
        <v/>
      </c>
      <c r="J144" s="38">
        <f>J140+J141+J142-J143</f>
        <v/>
      </c>
      <c r="K144" s="38">
        <f>K140+K141+K142-K143</f>
        <v/>
      </c>
      <c r="L144" s="38">
        <f>L140+L141+L142-L143</f>
        <v/>
      </c>
      <c r="M144" s="38">
        <f>M140+M141+M142-M143</f>
        <v/>
      </c>
      <c r="N144" s="38">
        <f>N140+N141+N142-N143</f>
        <v/>
      </c>
      <c r="O144" s="38">
        <f>O140+O141+O142-O143</f>
        <v/>
      </c>
      <c r="P144" s="38">
        <f>P140+P141+P142-P143</f>
        <v/>
      </c>
      <c r="Q144" s="38">
        <f>Q140+Q141+Q142-Q143</f>
        <v/>
      </c>
      <c r="R144" s="38">
        <f>R140+R141+R142-R143</f>
        <v/>
      </c>
      <c r="S144" s="38">
        <f>S140+S141+S142-S143</f>
        <v/>
      </c>
      <c r="T144" s="38">
        <f>T140+T141+T142-T143</f>
        <v/>
      </c>
      <c r="U144" s="38">
        <f>U140+U141+U142-U143</f>
        <v/>
      </c>
      <c r="V144" s="38">
        <f>V140+V141+V142-V143</f>
        <v/>
      </c>
      <c r="W144" s="38">
        <f>W140+W141+W142-W143</f>
        <v/>
      </c>
      <c r="X144" s="38">
        <f>X140+X141+X142-X143</f>
        <v/>
      </c>
      <c r="Y144" s="38">
        <f>Y140+Y141+Y142-Y143</f>
        <v/>
      </c>
      <c r="Z144" s="38">
        <f>Z140+Z141+Z142-Z143</f>
        <v/>
      </c>
      <c r="AA144" s="38">
        <f>AA140+AA141+AA142-AA143</f>
        <v/>
      </c>
      <c r="AB144" s="38">
        <f>AB140+AB141+AB142-AB143</f>
        <v/>
      </c>
    </row>
    <row r="145">
      <c r="B145" s="12" t="inlineStr">
        <is>
          <t>Net leverage (after any cure)</t>
        </is>
      </c>
      <c r="C145" s="11" t="inlineStr">
        <is>
          <t>x</t>
        </is>
      </c>
      <c r="D145" s="12" t="n"/>
      <c r="E145" s="40">
        <f>E144/E132</f>
        <v/>
      </c>
      <c r="F145" s="40">
        <f>F144/F132</f>
        <v/>
      </c>
      <c r="G145" s="40">
        <f>G144/G132</f>
        <v/>
      </c>
      <c r="H145" s="40">
        <f>H144/H132</f>
        <v/>
      </c>
      <c r="I145" s="40">
        <f>I144/I132</f>
        <v/>
      </c>
      <c r="J145" s="40">
        <f>J144/J132</f>
        <v/>
      </c>
      <c r="K145" s="40">
        <f>K144/K132</f>
        <v/>
      </c>
      <c r="L145" s="40">
        <f>L144/L132</f>
        <v/>
      </c>
      <c r="M145" s="40">
        <f>M144/M132</f>
        <v/>
      </c>
      <c r="N145" s="40">
        <f>N144/N132</f>
        <v/>
      </c>
      <c r="O145" s="40">
        <f>O144/O132</f>
        <v/>
      </c>
      <c r="P145" s="40">
        <f>P144/P132</f>
        <v/>
      </c>
      <c r="Q145" s="40">
        <f>Q144/Q132</f>
        <v/>
      </c>
      <c r="R145" s="40">
        <f>R144/R132</f>
        <v/>
      </c>
      <c r="S145" s="40">
        <f>S144/S132</f>
        <v/>
      </c>
      <c r="T145" s="40">
        <f>T144/T132</f>
        <v/>
      </c>
      <c r="U145" s="40">
        <f>U144/U132</f>
        <v/>
      </c>
      <c r="V145" s="40">
        <f>V144/V132</f>
        <v/>
      </c>
      <c r="W145" s="40">
        <f>W144/W132</f>
        <v/>
      </c>
      <c r="X145" s="40">
        <f>X144/X132</f>
        <v/>
      </c>
      <c r="Y145" s="40">
        <f>Y144/Y132</f>
        <v/>
      </c>
      <c r="Z145" s="40">
        <f>Z144/Z132</f>
        <v/>
      </c>
      <c r="AA145" s="40">
        <f>AA144/AA132</f>
        <v/>
      </c>
      <c r="AB145" s="40">
        <f>AB144/AB132</f>
        <v/>
      </c>
    </row>
    <row r="146">
      <c r="B146" s="5" t="inlineStr">
        <is>
          <t>Headroom (1 - leverage / covenant)</t>
        </is>
      </c>
      <c r="C146" s="37" t="inlineStr">
        <is>
          <t>%</t>
        </is>
      </c>
      <c r="D146" s="5" t="n"/>
      <c r="E146" s="44">
        <f>1-E145/E134</f>
        <v/>
      </c>
      <c r="F146" s="44">
        <f>1-F145/F134</f>
        <v/>
      </c>
      <c r="G146" s="44">
        <f>1-G145/G134</f>
        <v/>
      </c>
      <c r="H146" s="44">
        <f>1-H145/H134</f>
        <v/>
      </c>
      <c r="I146" s="44">
        <f>1-I145/I134</f>
        <v/>
      </c>
      <c r="J146" s="44">
        <f>1-J145/J134</f>
        <v/>
      </c>
      <c r="K146" s="44">
        <f>1-K145/K134</f>
        <v/>
      </c>
      <c r="L146" s="44">
        <f>1-L145/L134</f>
        <v/>
      </c>
      <c r="M146" s="44">
        <f>1-M145/M134</f>
        <v/>
      </c>
      <c r="N146" s="44">
        <f>1-N145/N134</f>
        <v/>
      </c>
      <c r="O146" s="44">
        <f>1-O145/O134</f>
        <v/>
      </c>
      <c r="P146" s="44">
        <f>1-P145/P134</f>
        <v/>
      </c>
      <c r="Q146" s="44">
        <f>1-Q145/Q134</f>
        <v/>
      </c>
      <c r="R146" s="44">
        <f>1-R145/R134</f>
        <v/>
      </c>
      <c r="S146" s="44">
        <f>1-S145/S134</f>
        <v/>
      </c>
      <c r="T146" s="44">
        <f>1-T145/T134</f>
        <v/>
      </c>
      <c r="U146" s="44">
        <f>1-U145/U134</f>
        <v/>
      </c>
      <c r="V146" s="44">
        <f>1-V145/V134</f>
        <v/>
      </c>
      <c r="W146" s="44">
        <f>1-W145/W134</f>
        <v/>
      </c>
      <c r="X146" s="44">
        <f>1-X145/X134</f>
        <v/>
      </c>
      <c r="Y146" s="44">
        <f>1-Y145/Y134</f>
        <v/>
      </c>
      <c r="Z146" s="44">
        <f>1-Z145/Z134</f>
        <v/>
      </c>
      <c r="AA146" s="44">
        <f>1-AA145/AA134</f>
        <v/>
      </c>
      <c r="AB146" s="44">
        <f>1-AB145/AB134</f>
        <v/>
      </c>
    </row>
    <row r="147">
      <c r="B147" s="12" t="inlineStr">
        <is>
          <t>Liquidity (cash + undrawn revolver)</t>
        </is>
      </c>
      <c r="C147" s="11" t="inlineStr">
        <is>
          <t>$m</t>
        </is>
      </c>
      <c r="D147" s="12" t="n"/>
      <c r="E147" s="36">
        <f>E143+'Inputs'!$C$54-E142</f>
        <v/>
      </c>
      <c r="F147" s="36">
        <f>F143+'Inputs'!$C$54-F142</f>
        <v/>
      </c>
      <c r="G147" s="36">
        <f>G143+'Inputs'!$C$54-G142</f>
        <v/>
      </c>
      <c r="H147" s="36">
        <f>H143+'Inputs'!$C$54-H142</f>
        <v/>
      </c>
      <c r="I147" s="36">
        <f>I143+'Inputs'!$C$54-I142</f>
        <v/>
      </c>
      <c r="J147" s="36">
        <f>J143+'Inputs'!$C$54-J142</f>
        <v/>
      </c>
      <c r="K147" s="36">
        <f>K143+'Inputs'!$C$54-K142</f>
        <v/>
      </c>
      <c r="L147" s="36">
        <f>L143+'Inputs'!$C$54-L142</f>
        <v/>
      </c>
      <c r="M147" s="36">
        <f>M143+'Inputs'!$C$54-M142</f>
        <v/>
      </c>
      <c r="N147" s="36">
        <f>N143+'Inputs'!$C$54-N142</f>
        <v/>
      </c>
      <c r="O147" s="36">
        <f>O143+'Inputs'!$C$54-O142</f>
        <v/>
      </c>
      <c r="P147" s="36">
        <f>P143+'Inputs'!$C$54-P142</f>
        <v/>
      </c>
      <c r="Q147" s="36">
        <f>Q143+'Inputs'!$C$54-Q142</f>
        <v/>
      </c>
      <c r="R147" s="36">
        <f>R143+'Inputs'!$C$54-R142</f>
        <v/>
      </c>
      <c r="S147" s="36">
        <f>S143+'Inputs'!$C$54-S142</f>
        <v/>
      </c>
      <c r="T147" s="36">
        <f>T143+'Inputs'!$C$54-T142</f>
        <v/>
      </c>
      <c r="U147" s="36">
        <f>U143+'Inputs'!$C$54-U142</f>
        <v/>
      </c>
      <c r="V147" s="36">
        <f>V143+'Inputs'!$C$54-V142</f>
        <v/>
      </c>
      <c r="W147" s="36">
        <f>W143+'Inputs'!$C$54-W142</f>
        <v/>
      </c>
      <c r="X147" s="36">
        <f>X143+'Inputs'!$C$54-X142</f>
        <v/>
      </c>
      <c r="Y147" s="36">
        <f>Y143+'Inputs'!$C$54-Y142</f>
        <v/>
      </c>
      <c r="Z147" s="36">
        <f>Z143+'Inputs'!$C$54-Z142</f>
        <v/>
      </c>
      <c r="AA147" s="36">
        <f>AA143+'Inputs'!$C$54-AA142</f>
        <v/>
      </c>
      <c r="AB147" s="36">
        <f>AB143+'Inputs'!$C$54-AB142</f>
        <v/>
      </c>
    </row>
    <row r="148"/>
    <row r="149">
      <c r="B149" s="8" t="inlineStr">
        <is>
          <t>Annual summary</t>
        </is>
      </c>
      <c r="C149" s="8" t="inlineStr">
        <is>
          <t>Unit</t>
        </is>
      </c>
      <c r="D149" s="9" t="inlineStr"/>
      <c r="E149" s="9" t="inlineStr">
        <is>
          <t>Year 1</t>
        </is>
      </c>
      <c r="F149" s="9" t="inlineStr">
        <is>
          <t>Year 2</t>
        </is>
      </c>
      <c r="G149" s="9" t="inlineStr">
        <is>
          <t>Year 3</t>
        </is>
      </c>
      <c r="H149" s="9" t="inlineStr">
        <is>
          <t>Year 4</t>
        </is>
      </c>
      <c r="I149" s="9" t="inlineStr">
        <is>
          <t>Year 5</t>
        </is>
      </c>
      <c r="J149" s="9" t="inlineStr">
        <is>
          <t>Year 6</t>
        </is>
      </c>
    </row>
    <row r="150">
      <c r="B150" s="12" t="inlineStr">
        <is>
          <t>Revenue</t>
        </is>
      </c>
      <c r="C150" s="11" t="inlineStr">
        <is>
          <t>$m</t>
        </is>
      </c>
      <c r="D150" s="12" t="n"/>
      <c r="E150" s="36">
        <f>SUM(E45:H45)</f>
        <v/>
      </c>
      <c r="F150" s="36">
        <f>SUM(I45:L45)</f>
        <v/>
      </c>
      <c r="G150" s="36">
        <f>SUM(M45:P45)</f>
        <v/>
      </c>
      <c r="H150" s="36">
        <f>SUM(Q45:T45)</f>
        <v/>
      </c>
      <c r="I150" s="36">
        <f>SUM(U45:X45)</f>
        <v/>
      </c>
      <c r="J150" s="36">
        <f>SUM(Y45:AB45)</f>
        <v/>
      </c>
    </row>
    <row r="151">
      <c r="B151" s="12" t="inlineStr">
        <is>
          <t>of which add-on</t>
        </is>
      </c>
      <c r="C151" s="11" t="inlineStr">
        <is>
          <t>$m</t>
        </is>
      </c>
      <c r="D151" s="12" t="n"/>
      <c r="E151" s="36">
        <f>SUM(E44:H44)</f>
        <v/>
      </c>
      <c r="F151" s="36">
        <f>SUM(I44:L44)</f>
        <v/>
      </c>
      <c r="G151" s="36">
        <f>SUM(M44:P44)</f>
        <v/>
      </c>
      <c r="H151" s="36">
        <f>SUM(Q44:T44)</f>
        <v/>
      </c>
      <c r="I151" s="36">
        <f>SUM(U44:X44)</f>
        <v/>
      </c>
      <c r="J151" s="36">
        <f>SUM(Y44:AB44)</f>
        <v/>
      </c>
    </row>
    <row r="152">
      <c r="B152" s="12" t="inlineStr">
        <is>
          <t>Supplier rebates</t>
        </is>
      </c>
      <c r="C152" s="11" t="inlineStr">
        <is>
          <t>$m</t>
        </is>
      </c>
      <c r="D152" s="12" t="n"/>
      <c r="E152" s="36">
        <f>SUM(E58:H58)</f>
        <v/>
      </c>
      <c r="F152" s="36">
        <f>SUM(I58:L58)</f>
        <v/>
      </c>
      <c r="G152" s="36">
        <f>SUM(M58:P58)</f>
        <v/>
      </c>
      <c r="H152" s="36">
        <f>SUM(Q58:T58)</f>
        <v/>
      </c>
      <c r="I152" s="36">
        <f>SUM(U58:X58)</f>
        <v/>
      </c>
      <c r="J152" s="36">
        <f>SUM(Y58:AB58)</f>
        <v/>
      </c>
    </row>
    <row r="153">
      <c r="B153" s="12" t="inlineStr">
        <is>
          <t>Gross margin</t>
        </is>
      </c>
      <c r="C153" s="11" t="inlineStr">
        <is>
          <t>%</t>
        </is>
      </c>
      <c r="D153" s="12" t="n"/>
      <c r="E153" s="39">
        <f>SUM(E59:H59)/SUM(E45:H45)</f>
        <v/>
      </c>
      <c r="F153" s="39">
        <f>SUM(I59:L59)/SUM(I45:L45)</f>
        <v/>
      </c>
      <c r="G153" s="39">
        <f>SUM(M59:P59)/SUM(M45:P45)</f>
        <v/>
      </c>
      <c r="H153" s="39">
        <f>SUM(Q59:T59)/SUM(Q45:T45)</f>
        <v/>
      </c>
      <c r="I153" s="39">
        <f>SUM(U59:X59)/SUM(U45:X45)</f>
        <v/>
      </c>
      <c r="J153" s="39">
        <f>SUM(Y59:AB59)/SUM(Y45:AB45)</f>
        <v/>
      </c>
    </row>
    <row r="154">
      <c r="B154" s="12" t="inlineStr">
        <is>
          <t>One-off costs</t>
        </is>
      </c>
      <c r="C154" s="11" t="inlineStr">
        <is>
          <t>$m</t>
        </is>
      </c>
      <c r="D154" s="12" t="n"/>
      <c r="E154" s="36">
        <f>SUM(E71:H71)</f>
        <v/>
      </c>
      <c r="F154" s="36">
        <f>SUM(I71:L71)</f>
        <v/>
      </c>
      <c r="G154" s="36">
        <f>SUM(M71:P71)</f>
        <v/>
      </c>
      <c r="H154" s="36">
        <f>SUM(Q71:T71)</f>
        <v/>
      </c>
      <c r="I154" s="36">
        <f>SUM(U71:X71)</f>
        <v/>
      </c>
      <c r="J154" s="36">
        <f>SUM(Y71:AB71)</f>
        <v/>
      </c>
    </row>
    <row r="155">
      <c r="B155" s="5" t="inlineStr">
        <is>
          <t>Reported EBITDA</t>
        </is>
      </c>
      <c r="C155" s="37" t="inlineStr">
        <is>
          <t>$m</t>
        </is>
      </c>
      <c r="D155" s="5" t="n"/>
      <c r="E155" s="38">
        <f>SUM(E72:H72)</f>
        <v/>
      </c>
      <c r="F155" s="38">
        <f>SUM(I72:L72)</f>
        <v/>
      </c>
      <c r="G155" s="38">
        <f>SUM(M72:P72)</f>
        <v/>
      </c>
      <c r="H155" s="38">
        <f>SUM(Q72:T72)</f>
        <v/>
      </c>
      <c r="I155" s="38">
        <f>SUM(U72:X72)</f>
        <v/>
      </c>
      <c r="J155" s="38">
        <f>SUM(Y72:AB72)</f>
        <v/>
      </c>
    </row>
    <row r="156">
      <c r="B156" s="12" t="inlineStr">
        <is>
          <t>Covenant EBITDA of the year (reported + one-offs + monitoring)</t>
        </is>
      </c>
      <c r="C156" s="11" t="inlineStr">
        <is>
          <t>$m</t>
        </is>
      </c>
      <c r="D156" s="12" t="n"/>
      <c r="E156" s="36">
        <f>SUM(E123:H123)</f>
        <v/>
      </c>
      <c r="F156" s="36">
        <f>SUM(I123:L123)</f>
        <v/>
      </c>
      <c r="G156" s="36">
        <f>SUM(M123:P123)</f>
        <v/>
      </c>
      <c r="H156" s="36">
        <f>SUM(Q123:T123)</f>
        <v/>
      </c>
      <c r="I156" s="36">
        <f>SUM(U123:X123)</f>
        <v/>
      </c>
      <c r="J156" s="36">
        <f>SUM(Y123:AB123)</f>
        <v/>
      </c>
    </row>
    <row r="157">
      <c r="B157" s="12" t="inlineStr">
        <is>
          <t>Capex</t>
        </is>
      </c>
      <c r="C157" s="11" t="inlineStr">
        <is>
          <t>$m</t>
        </is>
      </c>
      <c r="D157" s="12" t="n"/>
      <c r="E157" s="36">
        <f>SUM(E91:H91)</f>
        <v/>
      </c>
      <c r="F157" s="36">
        <f>SUM(I91:L91)</f>
        <v/>
      </c>
      <c r="G157" s="36">
        <f>SUM(M91:P91)</f>
        <v/>
      </c>
      <c r="H157" s="36">
        <f>SUM(Q91:T91)</f>
        <v/>
      </c>
      <c r="I157" s="36">
        <f>SUM(U91:X91)</f>
        <v/>
      </c>
      <c r="J157" s="36">
        <f>SUM(Y91:AB91)</f>
        <v/>
      </c>
    </row>
    <row r="158">
      <c r="B158" s="12" t="inlineStr">
        <is>
          <t>Interest and fees</t>
        </is>
      </c>
      <c r="C158" s="11" t="inlineStr">
        <is>
          <t>$m</t>
        </is>
      </c>
      <c r="D158" s="12" t="n"/>
      <c r="E158" s="36">
        <f>SUM(E98:H98)</f>
        <v/>
      </c>
      <c r="F158" s="36">
        <f>SUM(I98:L98)</f>
        <v/>
      </c>
      <c r="G158" s="36">
        <f>SUM(M98:P98)</f>
        <v/>
      </c>
      <c r="H158" s="36">
        <f>SUM(Q98:T98)</f>
        <v/>
      </c>
      <c r="I158" s="36">
        <f>SUM(U98:X98)</f>
        <v/>
      </c>
      <c r="J158" s="36">
        <f>SUM(Y98:AB98)</f>
        <v/>
      </c>
    </row>
    <row r="159">
      <c r="B159" s="12" t="inlineStr">
        <is>
          <t>Tax</t>
        </is>
      </c>
      <c r="C159" s="11" t="inlineStr">
        <is>
          <t>$m</t>
        </is>
      </c>
      <c r="D159" s="12" t="n"/>
      <c r="E159" s="36">
        <f>SUM(E101:H101)</f>
        <v/>
      </c>
      <c r="F159" s="36">
        <f>SUM(I101:L101)</f>
        <v/>
      </c>
      <c r="G159" s="36">
        <f>SUM(M101:P101)</f>
        <v/>
      </c>
      <c r="H159" s="36">
        <f>SUM(Q101:T101)</f>
        <v/>
      </c>
      <c r="I159" s="36">
        <f>SUM(U101:X101)</f>
        <v/>
      </c>
      <c r="J159" s="36">
        <f>SUM(Y101:AB101)</f>
        <v/>
      </c>
    </row>
    <row r="160">
      <c r="B160" s="5" t="inlineStr">
        <is>
          <t>Free cash flow (year 1 includes the peg adjustment)</t>
        </is>
      </c>
      <c r="C160" s="37" t="inlineStr">
        <is>
          <t>$m</t>
        </is>
      </c>
      <c r="D160" s="5" t="n"/>
      <c r="E160" s="38">
        <f>SUM(E103:H103)</f>
        <v/>
      </c>
      <c r="F160" s="38">
        <f>SUM(I103:L103)</f>
        <v/>
      </c>
      <c r="G160" s="38">
        <f>SUM(M103:P103)</f>
        <v/>
      </c>
      <c r="H160" s="38">
        <f>SUM(Q103:T103)</f>
        <v/>
      </c>
      <c r="I160" s="38">
        <f>SUM(U103:X103)</f>
        <v/>
      </c>
      <c r="J160" s="38">
        <f>SUM(Y103:AB103)</f>
        <v/>
      </c>
    </row>
    <row r="161">
      <c r="B161" s="12" t="inlineStr">
        <is>
          <t>Sweep and voluntary prepayment</t>
        </is>
      </c>
      <c r="C161" s="11" t="inlineStr">
        <is>
          <t>$m</t>
        </is>
      </c>
      <c r="D161" s="12" t="n"/>
      <c r="E161" s="36">
        <f>SUM(E118:H118)</f>
        <v/>
      </c>
      <c r="F161" s="36">
        <f>SUM(I118:L118)</f>
        <v/>
      </c>
      <c r="G161" s="36">
        <f>SUM(M118:P118)</f>
        <v/>
      </c>
      <c r="H161" s="36">
        <f>SUM(Q118:T118)</f>
        <v/>
      </c>
      <c r="I161" s="36">
        <f>SUM(U118:X118)</f>
        <v/>
      </c>
      <c r="J161" s="36">
        <f>SUM(Y118:AB118)</f>
        <v/>
      </c>
    </row>
    <row r="162">
      <c r="B162" s="12" t="inlineStr">
        <is>
          <t>Equity cures</t>
        </is>
      </c>
      <c r="C162" s="11" t="inlineStr">
        <is>
          <t>$m</t>
        </is>
      </c>
      <c r="D162" s="12" t="n"/>
      <c r="E162" s="36">
        <f>SUM(E137:H137)</f>
        <v/>
      </c>
      <c r="F162" s="36">
        <f>SUM(I137:L137)</f>
        <v/>
      </c>
      <c r="G162" s="36">
        <f>SUM(M137:P137)</f>
        <v/>
      </c>
      <c r="H162" s="36">
        <f>SUM(Q137:T137)</f>
        <v/>
      </c>
      <c r="I162" s="36">
        <f>SUM(U137:X137)</f>
        <v/>
      </c>
      <c r="J162" s="36">
        <f>SUM(Y137:AB137)</f>
        <v/>
      </c>
    </row>
    <row r="163">
      <c r="B163" s="12" t="inlineStr">
        <is>
          <t>Net working capital, year-end</t>
        </is>
      </c>
      <c r="C163" s="11" t="inlineStr">
        <is>
          <t>$m</t>
        </is>
      </c>
      <c r="D163" s="12" t="n"/>
      <c r="E163" s="36">
        <f>H83</f>
        <v/>
      </c>
      <c r="F163" s="36">
        <f>L83</f>
        <v/>
      </c>
      <c r="G163" s="36">
        <f>P83</f>
        <v/>
      </c>
      <c r="H163" s="36">
        <f>T83</f>
        <v/>
      </c>
      <c r="I163" s="36">
        <f>X83</f>
        <v/>
      </c>
      <c r="J163" s="36">
        <f>AB83</f>
        <v/>
      </c>
    </row>
    <row r="164">
      <c r="B164" s="12" t="inlineStr">
        <is>
          <t>Cash, year-end</t>
        </is>
      </c>
      <c r="C164" s="11" t="inlineStr">
        <is>
          <t>$m</t>
        </is>
      </c>
      <c r="D164" s="12" t="n"/>
      <c r="E164" s="36">
        <f>H143</f>
        <v/>
      </c>
      <c r="F164" s="36">
        <f>L143</f>
        <v/>
      </c>
      <c r="G164" s="36">
        <f>P143</f>
        <v/>
      </c>
      <c r="H164" s="36">
        <f>T143</f>
        <v/>
      </c>
      <c r="I164" s="36">
        <f>X143</f>
        <v/>
      </c>
      <c r="J164" s="36">
        <f>AB143</f>
        <v/>
      </c>
    </row>
    <row r="165">
      <c r="B165" s="12" t="inlineStr">
        <is>
          <t>Term loan, year-end</t>
        </is>
      </c>
      <c r="C165" s="11" t="inlineStr">
        <is>
          <t>$m</t>
        </is>
      </c>
      <c r="D165" s="12" t="n"/>
      <c r="E165" s="36">
        <f>H140</f>
        <v/>
      </c>
      <c r="F165" s="36">
        <f>L140</f>
        <v/>
      </c>
      <c r="G165" s="36">
        <f>P140</f>
        <v/>
      </c>
      <c r="H165" s="36">
        <f>T140</f>
        <v/>
      </c>
      <c r="I165" s="36">
        <f>X140</f>
        <v/>
      </c>
      <c r="J165" s="36">
        <f>AB140</f>
        <v/>
      </c>
    </row>
    <row r="166">
      <c r="B166" s="12" t="inlineStr">
        <is>
          <t>DDTL, year-end</t>
        </is>
      </c>
      <c r="C166" s="11" t="inlineStr">
        <is>
          <t>$m</t>
        </is>
      </c>
      <c r="D166" s="12" t="n"/>
      <c r="E166" s="36">
        <f>H141</f>
        <v/>
      </c>
      <c r="F166" s="36">
        <f>L141</f>
        <v/>
      </c>
      <c r="G166" s="36">
        <f>P141</f>
        <v/>
      </c>
      <c r="H166" s="36">
        <f>T141</f>
        <v/>
      </c>
      <c r="I166" s="36">
        <f>X141</f>
        <v/>
      </c>
      <c r="J166" s="36">
        <f>AB141</f>
        <v/>
      </c>
    </row>
    <row r="167">
      <c r="B167" s="12" t="inlineStr">
        <is>
          <t>Revolver, year-end</t>
        </is>
      </c>
      <c r="C167" s="11" t="inlineStr">
        <is>
          <t>$m</t>
        </is>
      </c>
      <c r="D167" s="12" t="n"/>
      <c r="E167" s="36">
        <f>H142</f>
        <v/>
      </c>
      <c r="F167" s="36">
        <f>L142</f>
        <v/>
      </c>
      <c r="G167" s="36">
        <f>P142</f>
        <v/>
      </c>
      <c r="H167" s="36">
        <f>T142</f>
        <v/>
      </c>
      <c r="I167" s="36">
        <f>X142</f>
        <v/>
      </c>
      <c r="J167" s="36">
        <f>AB142</f>
        <v/>
      </c>
    </row>
    <row r="168">
      <c r="B168" s="5" t="inlineStr">
        <is>
          <t>Net debt, year-end</t>
        </is>
      </c>
      <c r="C168" s="37" t="inlineStr">
        <is>
          <t>$m</t>
        </is>
      </c>
      <c r="D168" s="5" t="n"/>
      <c r="E168" s="38">
        <f>H144</f>
        <v/>
      </c>
      <c r="F168" s="38">
        <f>L144</f>
        <v/>
      </c>
      <c r="G168" s="38">
        <f>P144</f>
        <v/>
      </c>
      <c r="H168" s="38">
        <f>T144</f>
        <v/>
      </c>
      <c r="I168" s="38">
        <f>X144</f>
        <v/>
      </c>
      <c r="J168" s="38">
        <f>AB144</f>
        <v/>
      </c>
    </row>
    <row r="169">
      <c r="B169" s="12" t="inlineStr">
        <is>
          <t>Net leverage, year-end</t>
        </is>
      </c>
      <c r="C169" s="11" t="inlineStr">
        <is>
          <t>x</t>
        </is>
      </c>
      <c r="D169" s="12" t="n"/>
      <c r="E169" s="40">
        <f>H145</f>
        <v/>
      </c>
      <c r="F169" s="40">
        <f>L145</f>
        <v/>
      </c>
      <c r="G169" s="40">
        <f>P145</f>
        <v/>
      </c>
      <c r="H169" s="40">
        <f>T145</f>
        <v/>
      </c>
      <c r="I169" s="40">
        <f>X145</f>
        <v/>
      </c>
      <c r="J169" s="40">
        <f>AB145</f>
        <v/>
      </c>
    </row>
    <row r="170">
      <c r="B170" s="12" t="inlineStr">
        <is>
          <t>Covenant, year-end</t>
        </is>
      </c>
      <c r="C170" s="11" t="inlineStr">
        <is>
          <t>x</t>
        </is>
      </c>
      <c r="D170" s="12" t="n"/>
      <c r="E170" s="40">
        <f>H134</f>
        <v/>
      </c>
      <c r="F170" s="40">
        <f>L134</f>
        <v/>
      </c>
      <c r="G170" s="40">
        <f>P134</f>
        <v/>
      </c>
      <c r="H170" s="40">
        <f>T134</f>
        <v/>
      </c>
      <c r="I170" s="40">
        <f>X134</f>
        <v/>
      </c>
      <c r="J170" s="40">
        <f>AB134</f>
        <v/>
      </c>
    </row>
  </sheetData>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2:D41"/>
  <sheetViews>
    <sheetView showGridLines="0" tabSelected="0" zoomScale="100" workbookViewId="0">
      <selection activeCell="A1" sqref="A1"/>
    </sheetView>
  </sheetViews>
  <sheetFormatPr baseColWidth="8" defaultRowHeight="15"/>
  <cols>
    <col width="3.428571428571428" customWidth="1" min="1" max="1"/>
    <col width="62" customWidth="1" min="2" max="2"/>
    <col width="24" customWidth="1" min="3" max="3"/>
    <col width="10" customWidth="1" min="4" max="4"/>
  </cols>
  <sheetData>
    <row r="1" ht="18" customHeight="1"/>
    <row r="2" ht="18" customHeight="1">
      <c r="B2" s="1" t="inlineStr">
        <is>
          <t>Covenant</t>
        </is>
      </c>
    </row>
    <row r="3">
      <c r="B3" s="7" t="inlineStr">
        <is>
          <t>The compliance certificate for the quarter typed below (default year 4, Q1, the tightest test of the actual case), with the cushions and the test on reported EBITDA alone.</t>
        </is>
      </c>
    </row>
    <row r="4"/>
    <row r="5">
      <c r="B5" s="8" t="inlineStr">
        <is>
          <t>Test quarter</t>
        </is>
      </c>
      <c r="C5" s="9" t="inlineStr">
        <is>
          <t>Value</t>
        </is>
      </c>
      <c r="D5" s="8" t="inlineStr">
        <is>
          <t>Unit</t>
        </is>
      </c>
    </row>
    <row r="6">
      <c r="B6" s="6" t="inlineStr">
        <is>
          <t>Quarter tested (1 to 24)</t>
        </is>
      </c>
      <c r="C6" s="10" t="n">
        <v>13</v>
      </c>
      <c r="D6" s="11" t="inlineStr">
        <is>
          <t>quarter</t>
        </is>
      </c>
    </row>
    <row r="7">
      <c r="B7" s="12" t="inlineStr">
        <is>
          <t>Year and quarter</t>
        </is>
      </c>
      <c r="C7" s="45">
        <f>"Year "&amp;(INT(('Covenant'!$C$6-1)/4)+1)&amp;", Q"&amp;('Covenant'!$C$6-4*INT(('Covenant'!$C$6-1)/4))</f>
        <v/>
      </c>
      <c r="D7" s="11" t="inlineStr"/>
    </row>
    <row r="8">
      <c r="B8" s="12" t="inlineStr">
        <is>
          <t>Case</t>
        </is>
      </c>
      <c r="C8" s="45">
        <f>'Inputs'!$C$7</f>
        <v/>
      </c>
      <c r="D8" s="11" t="inlineStr"/>
    </row>
    <row r="9"/>
    <row r="10">
      <c r="B10" s="8" t="inlineStr">
        <is>
          <t>Covenant EBITDA (LTM)</t>
        </is>
      </c>
      <c r="C10" s="9" t="inlineStr">
        <is>
          <t>Value</t>
        </is>
      </c>
      <c r="D10" s="8" t="inlineStr">
        <is>
          <t>Unit</t>
        </is>
      </c>
    </row>
    <row r="11">
      <c r="B11" s="12" t="inlineStr">
        <is>
          <t>LTM reported EBITDA</t>
        </is>
      </c>
      <c r="C11" s="36">
        <f>INDEX('Quarterly'!$E$124:$AB$124,'Covenant'!$C$6)</f>
        <v/>
      </c>
      <c r="D11" s="11" t="inlineStr">
        <is>
          <t>$m</t>
        </is>
      </c>
    </row>
    <row r="12">
      <c r="B12" s="12" t="inlineStr">
        <is>
          <t>+ one-off costs (add-back)</t>
        </is>
      </c>
      <c r="C12" s="36">
        <f>INDEX('Quarterly'!$E$125:$AB$125,'Covenant'!$C$6)</f>
        <v/>
      </c>
      <c r="D12" s="11" t="inlineStr">
        <is>
          <t>$m</t>
        </is>
      </c>
    </row>
    <row r="13">
      <c r="B13" s="12" t="inlineStr">
        <is>
          <t>+ monitoring fee (add-back)</t>
        </is>
      </c>
      <c r="C13" s="36">
        <f>INDEX('Quarterly'!$E$126:$AB$126,'Covenant'!$C$6)</f>
        <v/>
      </c>
      <c r="D13" s="11" t="inlineStr">
        <is>
          <t>$m</t>
        </is>
      </c>
    </row>
    <row r="14">
      <c r="B14" s="12" t="inlineStr">
        <is>
          <t>+ year-0 QoE EBITDA deemed for missing quarters (year 1 only)</t>
        </is>
      </c>
      <c r="C14" s="36">
        <f>INDEX('Quarterly'!$E$127:$AB$127,'Covenant'!$C$6)</f>
        <v/>
      </c>
      <c r="D14" s="11" t="inlineStr">
        <is>
          <t>$m</t>
        </is>
      </c>
    </row>
    <row r="15">
      <c r="B15" s="12" t="inlineStr">
        <is>
          <t>+ pro forma EBITDA of the add-on before it was owned</t>
        </is>
      </c>
      <c r="C15" s="36">
        <f>INDEX('Quarterly'!$E$129:$AB$129,'Covenant'!$C$6)</f>
        <v/>
      </c>
      <c r="D15" s="11" t="inlineStr">
        <is>
          <t>$m</t>
        </is>
      </c>
    </row>
    <row r="16">
      <c r="B16" s="12" t="inlineStr">
        <is>
          <t>+ unrealized run-rate synergies (capped, 18 months)</t>
        </is>
      </c>
      <c r="C16" s="36">
        <f>INDEX('Quarterly'!$E$131:$AB$131,'Covenant'!$C$6)</f>
        <v/>
      </c>
      <c r="D16" s="11" t="inlineStr">
        <is>
          <t>$m</t>
        </is>
      </c>
    </row>
    <row r="17">
      <c r="B17" s="5" t="inlineStr">
        <is>
          <t>Covenant EBITDA</t>
        </is>
      </c>
      <c r="C17" s="38">
        <f>INDEX('Quarterly'!$E$132:$AB$132,'Covenant'!$C$6)</f>
        <v/>
      </c>
      <c r="D17" s="37" t="inlineStr">
        <is>
          <t>$m</t>
        </is>
      </c>
    </row>
    <row r="18"/>
    <row r="19">
      <c r="B19" s="8" t="inlineStr">
        <is>
          <t>Net debt at the quarter-end (after any cure)</t>
        </is>
      </c>
      <c r="C19" s="9" t="inlineStr">
        <is>
          <t>Value</t>
        </is>
      </c>
      <c r="D19" s="8" t="inlineStr">
        <is>
          <t>Unit</t>
        </is>
      </c>
    </row>
    <row r="20">
      <c r="B20" s="12" t="inlineStr">
        <is>
          <t>Term loan</t>
        </is>
      </c>
      <c r="C20" s="36">
        <f>INDEX('Quarterly'!$E$140:$AB$140,'Covenant'!$C$6)</f>
        <v/>
      </c>
      <c r="D20" s="11" t="inlineStr">
        <is>
          <t>$m</t>
        </is>
      </c>
    </row>
    <row r="21">
      <c r="B21" s="12" t="inlineStr">
        <is>
          <t>+ DDTL</t>
        </is>
      </c>
      <c r="C21" s="36">
        <f>INDEX('Quarterly'!$E$141:$AB$141,'Covenant'!$C$6)</f>
        <v/>
      </c>
      <c r="D21" s="11" t="inlineStr">
        <is>
          <t>$m</t>
        </is>
      </c>
    </row>
    <row r="22">
      <c r="B22" s="12" t="inlineStr">
        <is>
          <t>+ revolver drawn</t>
        </is>
      </c>
      <c r="C22" s="36">
        <f>INDEX('Quarterly'!$E$142:$AB$142,'Covenant'!$C$6)</f>
        <v/>
      </c>
      <c r="D22" s="11" t="inlineStr">
        <is>
          <t>$m</t>
        </is>
      </c>
    </row>
    <row r="23">
      <c r="B23" s="12" t="inlineStr">
        <is>
          <t>- cash</t>
        </is>
      </c>
      <c r="C23" s="36">
        <f>INDEX('Quarterly'!$E$143:$AB$143,'Covenant'!$C$6)</f>
        <v/>
      </c>
      <c r="D23" s="11" t="inlineStr">
        <is>
          <t>$m</t>
        </is>
      </c>
    </row>
    <row r="24">
      <c r="B24" s="5" t="inlineStr">
        <is>
          <t>Net debt</t>
        </is>
      </c>
      <c r="C24" s="38">
        <f>INDEX('Quarterly'!$E$144:$AB$144,'Covenant'!$C$6)</f>
        <v/>
      </c>
      <c r="D24" s="37" t="inlineStr">
        <is>
          <t>$m</t>
        </is>
      </c>
    </row>
    <row r="25"/>
    <row r="26">
      <c r="B26" s="8" t="inlineStr">
        <is>
          <t>The test</t>
        </is>
      </c>
      <c r="C26" s="9" t="inlineStr">
        <is>
          <t>Value</t>
        </is>
      </c>
      <c r="D26" s="8" t="inlineStr">
        <is>
          <t>Unit</t>
        </is>
      </c>
    </row>
    <row r="27">
      <c r="B27" s="12" t="inlineStr">
        <is>
          <t>Net leverage (net debt / covenant EBITDA)</t>
        </is>
      </c>
      <c r="C27" s="40">
        <f>INDEX('Quarterly'!$E$145:$AB$145,'Covenant'!$C$6)</f>
        <v/>
      </c>
      <c r="D27" s="11" t="inlineStr">
        <is>
          <t>x</t>
        </is>
      </c>
    </row>
    <row r="28">
      <c r="B28" s="12" t="inlineStr">
        <is>
          <t>Maximum net leverage</t>
        </is>
      </c>
      <c r="C28" s="40">
        <f>INDEX('Quarterly'!$E$134:$AB$134,'Covenant'!$C$6)</f>
        <v/>
      </c>
      <c r="D28" s="11" t="inlineStr">
        <is>
          <t>x</t>
        </is>
      </c>
    </row>
    <row r="29">
      <c r="B29" s="5" t="inlineStr">
        <is>
          <t>Headroom (1 - leverage / maximum)</t>
        </is>
      </c>
      <c r="C29" s="44">
        <f>INDEX('Quarterly'!$E$146:$AB$146,'Covenant'!$C$6)</f>
        <v/>
      </c>
      <c r="D29" s="37" t="inlineStr">
        <is>
          <t>%</t>
        </is>
      </c>
    </row>
    <row r="30">
      <c r="B30" s="12" t="inlineStr">
        <is>
          <t>Leverage before any cure</t>
        </is>
      </c>
      <c r="C30" s="40">
        <f>INDEX('Quarterly'!$E$133:$AB$133,'Covenant'!$C$6)</f>
        <v/>
      </c>
      <c r="D30" s="11" t="inlineStr">
        <is>
          <t>x</t>
        </is>
      </c>
    </row>
    <row r="31">
      <c r="B31" s="12" t="inlineStr">
        <is>
          <t>Equity cure paid in the quarter</t>
        </is>
      </c>
      <c r="C31" s="36">
        <f>INDEX('Quarterly'!$E$137:$AB$137,'Covenant'!$C$6)</f>
        <v/>
      </c>
      <c r="D31" s="11" t="inlineStr">
        <is>
          <t>$m</t>
        </is>
      </c>
    </row>
    <row r="32">
      <c r="B32" s="12" t="inlineStr">
        <is>
          <t>Result</t>
        </is>
      </c>
      <c r="C32" s="45">
        <f>IF(C31&gt;0,"Breach, cured by equity",IF(C27&lt;=C28,"Pass","Breach"))</f>
        <v/>
      </c>
      <c r="D32" s="11" t="inlineStr"/>
    </row>
    <row r="33"/>
    <row r="34">
      <c r="B34" s="8" t="inlineStr">
        <is>
          <t>Cushions</t>
        </is>
      </c>
      <c r="C34" s="9" t="inlineStr">
        <is>
          <t>Value</t>
        </is>
      </c>
      <c r="D34" s="8" t="inlineStr">
        <is>
          <t>Unit</t>
        </is>
      </c>
    </row>
    <row r="35">
      <c r="B35" s="12" t="inlineStr">
        <is>
          <t>EBITDA cushion: covenant EBITDA can fall by</t>
        </is>
      </c>
      <c r="C35" s="36">
        <f>C17-C24/C28</f>
        <v/>
      </c>
      <c r="D35" s="11" t="inlineStr">
        <is>
          <t>$m</t>
        </is>
      </c>
    </row>
    <row r="36">
      <c r="B36" s="12" t="inlineStr">
        <is>
          <t>EBITDA cushion, share of covenant EBITDA</t>
        </is>
      </c>
      <c r="C36" s="39">
        <f>1-C24/C28/C17</f>
        <v/>
      </c>
      <c r="D36" s="11" t="inlineStr">
        <is>
          <t>%</t>
        </is>
      </c>
    </row>
    <row r="37">
      <c r="B37" s="12" t="inlineStr">
        <is>
          <t>Debt cushion: net debt can rise by</t>
        </is>
      </c>
      <c r="C37" s="36">
        <f>C28*C17-C24</f>
        <v/>
      </c>
      <c r="D37" s="11" t="inlineStr">
        <is>
          <t>$m</t>
        </is>
      </c>
    </row>
    <row r="38"/>
    <row r="39">
      <c r="B39" s="8" t="inlineStr">
        <is>
          <t>Leverage on reported EBITDA alone (no add-backs; Chapter 9)</t>
        </is>
      </c>
      <c r="C39" s="9" t="inlineStr">
        <is>
          <t>Value</t>
        </is>
      </c>
      <c r="D39" s="8" t="inlineStr">
        <is>
          <t>Unit</t>
        </is>
      </c>
    </row>
    <row r="40">
      <c r="B40" s="12" t="inlineStr">
        <is>
          <t>Net debt / LTM reported EBITDA</t>
        </is>
      </c>
      <c r="C40" s="40">
        <f>C24/C11</f>
        <v/>
      </c>
      <c r="D40" s="11" t="inlineStr">
        <is>
          <t>x</t>
        </is>
      </c>
    </row>
    <row r="41">
      <c r="B41" s="5" t="inlineStr">
        <is>
          <t>Headroom on reported EBITDA alone</t>
        </is>
      </c>
      <c r="C41" s="44">
        <f>1-C24/C11/C28</f>
        <v/>
      </c>
      <c r="D41" s="37" t="inlineStr">
        <is>
          <t>%</t>
        </is>
      </c>
    </row>
  </sheetData>
  <dataValidations count="1">
    <dataValidation sqref="C6" showDropDown="0" showInputMessage="0" showErrorMessage="1" allowBlank="0" errorTitle="Quarter" error="Type a quarter from 1 to 24." type="whole" operator="between">
      <formula1>1</formula1>
      <formula2>24</formula2>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2:P59"/>
  <sheetViews>
    <sheetView showGridLines="0" tabSelected="0" zoomScale="100" workbookViewId="0">
      <selection activeCell="A1" sqref="A1"/>
    </sheetView>
  </sheetViews>
  <sheetFormatPr baseColWidth="8" defaultRowHeight="15"/>
  <cols>
    <col width="3.428571428571428" customWidth="1" min="1" max="1"/>
    <col width="5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s>
  <sheetData>
    <row r="1" ht="18" customHeight="1"/>
    <row r="2" ht="18" customHeight="1">
      <c r="B2" s="1" t="inlineStr">
        <is>
          <t>13 Week</t>
        </is>
      </c>
    </row>
    <row r="3">
      <c r="B3" s="7" t="inlineStr">
        <is>
          <t>The weekly cash flow of the quarter typed below (default year 3, Q2), built from that quarter's figures on the Quarterly tab, with the CFO's three levers inside the quarter.</t>
        </is>
      </c>
    </row>
    <row r="4"/>
    <row r="5">
      <c r="B5" s="8" t="inlineStr">
        <is>
          <t>Quarter and levers (Chapters 5, 6)</t>
        </is>
      </c>
      <c r="C5" s="9" t="inlineStr">
        <is>
          <t>Value</t>
        </is>
      </c>
      <c r="D5" s="8" t="inlineStr">
        <is>
          <t>Unit</t>
        </is>
      </c>
    </row>
    <row r="6">
      <c r="B6" s="6" t="inlineStr">
        <is>
          <t>Quarter (1 to 24)</t>
        </is>
      </c>
      <c r="C6" s="10" t="n">
        <v>10</v>
      </c>
      <c r="D6" s="11" t="inlineStr">
        <is>
          <t>quarter</t>
        </is>
      </c>
    </row>
    <row r="7">
      <c r="B7" s="12" t="inlineStr">
        <is>
          <t>Lever (a): collect faster, days of sales</t>
        </is>
      </c>
      <c r="C7" s="16" t="n">
        <v>0</v>
      </c>
      <c r="D7" s="11" t="inlineStr">
        <is>
          <t>days</t>
        </is>
      </c>
    </row>
    <row r="8">
      <c r="B8" s="12" t="inlineStr">
        <is>
          <t>Lever (b): cut purchase orders from week 1, days of cost</t>
        </is>
      </c>
      <c r="C8" s="16" t="n">
        <v>0</v>
      </c>
      <c r="D8" s="11" t="inlineStr">
        <is>
          <t>days</t>
        </is>
      </c>
    </row>
    <row r="9">
      <c r="B9" s="12" t="inlineStr">
        <is>
          <t>Lever (c): capex frozen, share of the quarter's capex</t>
        </is>
      </c>
      <c r="C9" s="18" t="n">
        <v>0</v>
      </c>
      <c r="D9" s="11" t="inlineStr">
        <is>
          <t>%</t>
        </is>
      </c>
    </row>
    <row r="10">
      <c r="B10" s="12" t="inlineStr">
        <is>
          <t>Year and quarter</t>
        </is>
      </c>
      <c r="C10" s="45">
        <f>"Year "&amp;(INT(('13 Week'!$C$6-1)/4)+1)&amp;", Q"&amp;('13 Week'!$C$6-4*INT(('13 Week'!$C$6-1)/4))</f>
        <v/>
      </c>
      <c r="D10" s="11" t="inlineStr"/>
    </row>
    <row r="11"/>
    <row r="12">
      <c r="B12" s="8" t="inlineStr">
        <is>
          <t>The quarter, from the Quarterly tab</t>
        </is>
      </c>
      <c r="C12" s="9" t="inlineStr">
        <is>
          <t>Value</t>
        </is>
      </c>
      <c r="D12" s="8" t="inlineStr">
        <is>
          <t>Unit</t>
        </is>
      </c>
    </row>
    <row r="13">
      <c r="B13" s="12" t="inlineStr">
        <is>
          <t>Customer receipts</t>
        </is>
      </c>
      <c r="C13" s="36">
        <f>INDEX('Quarterly'!$E$104:$AB$104,'13 Week'!$C$6)</f>
        <v/>
      </c>
      <c r="D13" s="11" t="inlineStr">
        <is>
          <t>$m</t>
        </is>
      </c>
    </row>
    <row r="14">
      <c r="B14" s="12" t="inlineStr">
        <is>
          <t>Supplier payments</t>
        </is>
      </c>
      <c r="C14" s="36">
        <f>INDEX('Quarterly'!$E$105:$AB$105,'13 Week'!$C$6)</f>
        <v/>
      </c>
      <c r="D14" s="11" t="inlineStr">
        <is>
          <t>$m</t>
        </is>
      </c>
    </row>
    <row r="15">
      <c r="B15" s="12" t="inlineStr">
        <is>
          <t>Operating expenses</t>
        </is>
      </c>
      <c r="C15" s="36">
        <f>INDEX('Quarterly'!$E$68:$AB$68,'13 Week'!$C$6)</f>
        <v/>
      </c>
      <c r="D15" s="11" t="inlineStr">
        <is>
          <t>$m</t>
        </is>
      </c>
    </row>
    <row r="16">
      <c r="B16" s="12" t="inlineStr">
        <is>
          <t>of which payroll</t>
        </is>
      </c>
      <c r="C16" s="36">
        <f>'Inputs'!$C$114*$C$15</f>
        <v/>
      </c>
      <c r="D16" s="11" t="inlineStr">
        <is>
          <t>$m</t>
        </is>
      </c>
    </row>
    <row r="17">
      <c r="B17" s="12" t="inlineStr">
        <is>
          <t>of which rent</t>
        </is>
      </c>
      <c r="C17" s="36">
        <f>'Inputs'!$C$115*$C$15</f>
        <v/>
      </c>
      <c r="D17" s="11" t="inlineStr">
        <is>
          <t>$m</t>
        </is>
      </c>
    </row>
    <row r="18">
      <c r="B18" s="12" t="inlineStr">
        <is>
          <t>of which other operating expenses</t>
        </is>
      </c>
      <c r="C18" s="36">
        <f>$C$15-$C$16-$C$17</f>
        <v/>
      </c>
      <c r="D18" s="11" t="inlineStr">
        <is>
          <t>$m</t>
        </is>
      </c>
    </row>
    <row r="19">
      <c r="B19" s="12" t="inlineStr">
        <is>
          <t>One-off costs</t>
        </is>
      </c>
      <c r="C19" s="36">
        <f>INDEX('Quarterly'!$E$71:$AB$71,'13 Week'!$C$6)</f>
        <v/>
      </c>
      <c r="D19" s="11" t="inlineStr">
        <is>
          <t>$m</t>
        </is>
      </c>
    </row>
    <row r="20">
      <c r="B20" s="12" t="inlineStr">
        <is>
          <t>Capex</t>
        </is>
      </c>
      <c r="C20" s="36">
        <f>INDEX('Quarterly'!$E$91:$AB$91,'13 Week'!$C$6)</f>
        <v/>
      </c>
      <c r="D20" s="11" t="inlineStr">
        <is>
          <t>$m</t>
        </is>
      </c>
    </row>
    <row r="21">
      <c r="B21" s="12" t="inlineStr">
        <is>
          <t>Tax</t>
        </is>
      </c>
      <c r="C21" s="36">
        <f>INDEX('Quarterly'!$E$101:$AB$101,'13 Week'!$C$6)</f>
        <v/>
      </c>
      <c r="D21" s="11" t="inlineStr">
        <is>
          <t>$m</t>
        </is>
      </c>
    </row>
    <row r="22">
      <c r="B22" s="12" t="inlineStr">
        <is>
          <t>Interest and fees</t>
        </is>
      </c>
      <c r="C22" s="36">
        <f>INDEX('Quarterly'!$E$98:$AB$98,'13 Week'!$C$6)</f>
        <v/>
      </c>
      <c r="D22" s="11" t="inlineStr">
        <is>
          <t>$m</t>
        </is>
      </c>
    </row>
    <row r="23">
      <c r="B23" s="12" t="inlineStr">
        <is>
          <t>Scheduled amortization</t>
        </is>
      </c>
      <c r="C23" s="36">
        <f>INDEX('Quarterly'!$E$119:$AB$119,'13 Week'!$C$6)</f>
        <v/>
      </c>
      <c r="D23" s="11" t="inlineStr">
        <is>
          <t>$m</t>
        </is>
      </c>
    </row>
    <row r="24">
      <c r="B24" s="12" t="inlineStr">
        <is>
          <t>Revenue</t>
        </is>
      </c>
      <c r="C24" s="36">
        <f>INDEX('Quarterly'!$E$45:$AB$45,'13 Week'!$C$6)</f>
        <v/>
      </c>
      <c r="D24" s="11" t="inlineStr">
        <is>
          <t>$m</t>
        </is>
      </c>
    </row>
    <row r="25">
      <c r="B25" s="12" t="inlineStr">
        <is>
          <t>Cost of goods before rebates</t>
        </is>
      </c>
      <c r="C25" s="36">
        <f>INDEX('Quarterly'!$E$52:$AB$52,'13 Week'!$C$6)</f>
        <v/>
      </c>
      <c r="D25" s="11" t="inlineStr">
        <is>
          <t>$m</t>
        </is>
      </c>
    </row>
    <row r="26">
      <c r="B26" s="12" t="inlineStr">
        <is>
          <t>Payables at the quarter-end</t>
        </is>
      </c>
      <c r="C26" s="36">
        <f>INDEX('Quarterly'!$E$81:$AB$81,'13 Week'!$C$6)</f>
        <v/>
      </c>
      <c r="D26" s="11" t="inlineStr">
        <is>
          <t>$m</t>
        </is>
      </c>
    </row>
    <row r="27">
      <c r="B27" s="12" t="inlineStr">
        <is>
          <t>Opening cash</t>
        </is>
      </c>
      <c r="C27" s="36">
        <f>INDEX('Quarterly'!$D$143:$AB$143,'13 Week'!$C$6)</f>
        <v/>
      </c>
      <c r="D27" s="11" t="inlineStr">
        <is>
          <t>$m</t>
        </is>
      </c>
    </row>
    <row r="28">
      <c r="B28" s="12" t="inlineStr">
        <is>
          <t>Opening revolver</t>
        </is>
      </c>
      <c r="C28" s="36">
        <f>INDEX('Quarterly'!$D$142:$AB$142,'13 Week'!$C$6)</f>
        <v/>
      </c>
      <c r="D28" s="11" t="inlineStr">
        <is>
          <t>$m</t>
        </is>
      </c>
    </row>
    <row r="29"/>
    <row r="30">
      <c r="B30" s="8" t="inlineStr">
        <is>
          <t>The levers, converted</t>
        </is>
      </c>
      <c r="C30" s="9" t="inlineStr">
        <is>
          <t>Value</t>
        </is>
      </c>
      <c r="D30" s="8" t="inlineStr">
        <is>
          <t>Unit</t>
        </is>
      </c>
    </row>
    <row r="31">
      <c r="B31" s="12" t="inlineStr">
        <is>
          <t>(a) Extra receipts from faster collection</t>
        </is>
      </c>
      <c r="C31" s="36">
        <f>'13 Week'!$C$7*$C$24*4/365</f>
        <v/>
      </c>
      <c r="D31" s="11" t="inlineStr">
        <is>
          <t>$m</t>
        </is>
      </c>
    </row>
    <row r="32">
      <c r="B32" s="12" t="inlineStr">
        <is>
          <t>(b) Purchases avoided over the quarter</t>
        </is>
      </c>
      <c r="C32" s="36">
        <f>'13 Week'!$C$8*$C$25*4/365</f>
        <v/>
      </c>
      <c r="D32" s="11" t="inlineStr">
        <is>
          <t>$m</t>
        </is>
      </c>
    </row>
    <row r="33">
      <c r="B33" s="12" t="inlineStr">
        <is>
          <t>Supplier payment lag (payables days / 7, rounded)</t>
        </is>
      </c>
      <c r="C33" s="24">
        <f>ROUND($C$26/($C$25*4/365)/7,0)</f>
        <v/>
      </c>
      <c r="D33" s="11" t="inlineStr">
        <is>
          <t>weeks</t>
        </is>
      </c>
    </row>
    <row r="34">
      <c r="B34" s="12" t="inlineStr">
        <is>
          <t>(b) Paid less inside the quarter</t>
        </is>
      </c>
      <c r="C34" s="36">
        <f>($C$32/13)*MAX(0,13-$C$33)</f>
        <v/>
      </c>
      <c r="D34" s="11" t="inlineStr">
        <is>
          <t>$m</t>
        </is>
      </c>
    </row>
    <row r="35"/>
    <row r="36" ht="42.59999999999999" customHeight="1">
      <c r="A36" s="3" t="n"/>
      <c r="B36" s="28" t="inlineStr">
        <is>
          <t>Week</t>
        </is>
      </c>
      <c r="C36" s="29" t="inlineStr">
        <is>
          <t>Receipts</t>
        </is>
      </c>
      <c r="D36" s="29" t="inlineStr">
        <is>
          <t>Supplier payments</t>
        </is>
      </c>
      <c r="E36" s="29" t="inlineStr">
        <is>
          <t>Payroll</t>
        </is>
      </c>
      <c r="F36" s="29" t="inlineStr">
        <is>
          <t>Rent</t>
        </is>
      </c>
      <c r="G36" s="29" t="inlineStr">
        <is>
          <t>Other opex and one-offs</t>
        </is>
      </c>
      <c r="H36" s="29" t="inlineStr">
        <is>
          <t>Capex</t>
        </is>
      </c>
      <c r="I36" s="29" t="inlineStr">
        <is>
          <t>Tax</t>
        </is>
      </c>
      <c r="J36" s="29" t="inlineStr">
        <is>
          <t>Interest and amortization</t>
        </is>
      </c>
      <c r="K36" s="29" t="inlineStr">
        <is>
          <t>Net flow</t>
        </is>
      </c>
      <c r="L36" s="29" t="inlineStr">
        <is>
          <t>Cash before revolver</t>
        </is>
      </c>
      <c r="M36" s="29" t="inlineStr">
        <is>
          <t>Revolver draw (+) / repay (-)</t>
        </is>
      </c>
      <c r="N36" s="29" t="inlineStr">
        <is>
          <t>Cash</t>
        </is>
      </c>
      <c r="O36" s="29" t="inlineStr">
        <is>
          <t>Revolver drawn</t>
        </is>
      </c>
      <c r="P36" s="29" t="inlineStr">
        <is>
          <t>Liquidity</t>
        </is>
      </c>
    </row>
    <row r="37">
      <c r="B37" s="46" t="n">
        <v>1</v>
      </c>
      <c r="C37" s="36">
        <f>$C$13*(INDEX('Inputs'!$C$122:$O$122,B37)/SUM('Inputs'!$C$122:$O$122))+IF(B37&gt;='Inputs'!$C$118,$C$31/(13-'Inputs'!$C$118+1),0)</f>
        <v/>
      </c>
      <c r="D37" s="36">
        <f>$C$14*(INDEX('Inputs'!$C$123:$O$123,B37)/SUM('Inputs'!$C$123:$O$123))-IF(B37-1&gt;=$C$33,$C$32/13,0)</f>
        <v/>
      </c>
      <c r="E37" s="36">
        <f>$C$16*INDEX('Inputs'!$C$124:$O$124,B37)/SUM('Inputs'!$C$124:$O$124)</f>
        <v/>
      </c>
      <c r="F37" s="36">
        <f>$C$17*INDEX('Inputs'!$C$125:$O$125,B37)/SUM('Inputs'!$C$125:$O$125)</f>
        <v/>
      </c>
      <c r="G37" s="36">
        <f>$C$18/13+$C$19/13</f>
        <v/>
      </c>
      <c r="H37" s="36">
        <f>$C$20/13*(1-IF(B37&gt;='Inputs'!$C$119,'13 Week'!$C$9,0))</f>
        <v/>
      </c>
      <c r="I37" s="36">
        <f>IF(B37='Inputs'!$C$116,$C$21,0)</f>
        <v/>
      </c>
      <c r="J37" s="36">
        <f>IF(B37='Inputs'!$C$117,$C$22+$C$23,0)</f>
        <v/>
      </c>
      <c r="K37" s="36">
        <f>C37-D37-E37-F37-G37-H37-I37-J37</f>
        <v/>
      </c>
      <c r="L37" s="36">
        <f>$C$27+K37</f>
        <v/>
      </c>
      <c r="M37" s="36">
        <f>IF(L37&lt;'Inputs'!$C$61,'Inputs'!$C$61-L37,-MIN($C$28,L37-'Inputs'!$C$61))</f>
        <v/>
      </c>
      <c r="N37" s="36">
        <f>L37+M37</f>
        <v/>
      </c>
      <c r="O37" s="36">
        <f>$C$28+M37</f>
        <v/>
      </c>
      <c r="P37" s="36">
        <f>N37+'Inputs'!$C$54-O37</f>
        <v/>
      </c>
    </row>
    <row r="38">
      <c r="B38" s="46">
        <f>B37+1</f>
        <v/>
      </c>
      <c r="C38" s="36">
        <f>$C$13*(INDEX('Inputs'!$C$122:$O$122,B38)/SUM('Inputs'!$C$122:$O$122))+IF(B38&gt;='Inputs'!$C$118,$C$31/(13-'Inputs'!$C$118+1),0)</f>
        <v/>
      </c>
      <c r="D38" s="36">
        <f>$C$14*(INDEX('Inputs'!$C$123:$O$123,B38)/SUM('Inputs'!$C$123:$O$123))-IF(B38-1&gt;=$C$33,$C$32/13,0)</f>
        <v/>
      </c>
      <c r="E38" s="36">
        <f>$C$16*INDEX('Inputs'!$C$124:$O$124,B38)/SUM('Inputs'!$C$124:$O$124)</f>
        <v/>
      </c>
      <c r="F38" s="36">
        <f>$C$17*INDEX('Inputs'!$C$125:$O$125,B38)/SUM('Inputs'!$C$125:$O$125)</f>
        <v/>
      </c>
      <c r="G38" s="36">
        <f>$C$18/13+$C$19/13</f>
        <v/>
      </c>
      <c r="H38" s="36">
        <f>$C$20/13*(1-IF(B38&gt;='Inputs'!$C$119,'13 Week'!$C$9,0))</f>
        <v/>
      </c>
      <c r="I38" s="36">
        <f>IF(B38='Inputs'!$C$116,$C$21,0)</f>
        <v/>
      </c>
      <c r="J38" s="36">
        <f>IF(B38='Inputs'!$C$117,$C$22+$C$23,0)</f>
        <v/>
      </c>
      <c r="K38" s="36">
        <f>C38-D38-E38-F38-G38-H38-I38-J38</f>
        <v/>
      </c>
      <c r="L38" s="36">
        <f>N37+K38</f>
        <v/>
      </c>
      <c r="M38" s="36">
        <f>IF(L38&lt;'Inputs'!$C$61,'Inputs'!$C$61-L38,-MIN(O37,L38-'Inputs'!$C$61))</f>
        <v/>
      </c>
      <c r="N38" s="36">
        <f>L38+M38</f>
        <v/>
      </c>
      <c r="O38" s="36">
        <f>O37+M38</f>
        <v/>
      </c>
      <c r="P38" s="36">
        <f>N38+'Inputs'!$C$54-O38</f>
        <v/>
      </c>
    </row>
    <row r="39">
      <c r="B39" s="46">
        <f>B38+1</f>
        <v/>
      </c>
      <c r="C39" s="36">
        <f>$C$13*(INDEX('Inputs'!$C$122:$O$122,B39)/SUM('Inputs'!$C$122:$O$122))+IF(B39&gt;='Inputs'!$C$118,$C$31/(13-'Inputs'!$C$118+1),0)</f>
        <v/>
      </c>
      <c r="D39" s="36">
        <f>$C$14*(INDEX('Inputs'!$C$123:$O$123,B39)/SUM('Inputs'!$C$123:$O$123))-IF(B39-1&gt;=$C$33,$C$32/13,0)</f>
        <v/>
      </c>
      <c r="E39" s="36">
        <f>$C$16*INDEX('Inputs'!$C$124:$O$124,B39)/SUM('Inputs'!$C$124:$O$124)</f>
        <v/>
      </c>
      <c r="F39" s="36">
        <f>$C$17*INDEX('Inputs'!$C$125:$O$125,B39)/SUM('Inputs'!$C$125:$O$125)</f>
        <v/>
      </c>
      <c r="G39" s="36">
        <f>$C$18/13+$C$19/13</f>
        <v/>
      </c>
      <c r="H39" s="36">
        <f>$C$20/13*(1-IF(B39&gt;='Inputs'!$C$119,'13 Week'!$C$9,0))</f>
        <v/>
      </c>
      <c r="I39" s="36">
        <f>IF(B39='Inputs'!$C$116,$C$21,0)</f>
        <v/>
      </c>
      <c r="J39" s="36">
        <f>IF(B39='Inputs'!$C$117,$C$22+$C$23,0)</f>
        <v/>
      </c>
      <c r="K39" s="36">
        <f>C39-D39-E39-F39-G39-H39-I39-J39</f>
        <v/>
      </c>
      <c r="L39" s="36">
        <f>N38+K39</f>
        <v/>
      </c>
      <c r="M39" s="36">
        <f>IF(L39&lt;'Inputs'!$C$61,'Inputs'!$C$61-L39,-MIN(O38,L39-'Inputs'!$C$61))</f>
        <v/>
      </c>
      <c r="N39" s="36">
        <f>L39+M39</f>
        <v/>
      </c>
      <c r="O39" s="36">
        <f>O38+M39</f>
        <v/>
      </c>
      <c r="P39" s="36">
        <f>N39+'Inputs'!$C$54-O39</f>
        <v/>
      </c>
    </row>
    <row r="40">
      <c r="B40" s="46">
        <f>B39+1</f>
        <v/>
      </c>
      <c r="C40" s="36">
        <f>$C$13*(INDEX('Inputs'!$C$122:$O$122,B40)/SUM('Inputs'!$C$122:$O$122))+IF(B40&gt;='Inputs'!$C$118,$C$31/(13-'Inputs'!$C$118+1),0)</f>
        <v/>
      </c>
      <c r="D40" s="36">
        <f>$C$14*(INDEX('Inputs'!$C$123:$O$123,B40)/SUM('Inputs'!$C$123:$O$123))-IF(B40-1&gt;=$C$33,$C$32/13,0)</f>
        <v/>
      </c>
      <c r="E40" s="36">
        <f>$C$16*INDEX('Inputs'!$C$124:$O$124,B40)/SUM('Inputs'!$C$124:$O$124)</f>
        <v/>
      </c>
      <c r="F40" s="36">
        <f>$C$17*INDEX('Inputs'!$C$125:$O$125,B40)/SUM('Inputs'!$C$125:$O$125)</f>
        <v/>
      </c>
      <c r="G40" s="36">
        <f>$C$18/13+$C$19/13</f>
        <v/>
      </c>
      <c r="H40" s="36">
        <f>$C$20/13*(1-IF(B40&gt;='Inputs'!$C$119,'13 Week'!$C$9,0))</f>
        <v/>
      </c>
      <c r="I40" s="36">
        <f>IF(B40='Inputs'!$C$116,$C$21,0)</f>
        <v/>
      </c>
      <c r="J40" s="36">
        <f>IF(B40='Inputs'!$C$117,$C$22+$C$23,0)</f>
        <v/>
      </c>
      <c r="K40" s="36">
        <f>C40-D40-E40-F40-G40-H40-I40-J40</f>
        <v/>
      </c>
      <c r="L40" s="36">
        <f>N39+K40</f>
        <v/>
      </c>
      <c r="M40" s="36">
        <f>IF(L40&lt;'Inputs'!$C$61,'Inputs'!$C$61-L40,-MIN(O39,L40-'Inputs'!$C$61))</f>
        <v/>
      </c>
      <c r="N40" s="36">
        <f>L40+M40</f>
        <v/>
      </c>
      <c r="O40" s="36">
        <f>O39+M40</f>
        <v/>
      </c>
      <c r="P40" s="36">
        <f>N40+'Inputs'!$C$54-O40</f>
        <v/>
      </c>
    </row>
    <row r="41">
      <c r="B41" s="46">
        <f>B40+1</f>
        <v/>
      </c>
      <c r="C41" s="36">
        <f>$C$13*(INDEX('Inputs'!$C$122:$O$122,B41)/SUM('Inputs'!$C$122:$O$122))+IF(B41&gt;='Inputs'!$C$118,$C$31/(13-'Inputs'!$C$118+1),0)</f>
        <v/>
      </c>
      <c r="D41" s="36">
        <f>$C$14*(INDEX('Inputs'!$C$123:$O$123,B41)/SUM('Inputs'!$C$123:$O$123))-IF(B41-1&gt;=$C$33,$C$32/13,0)</f>
        <v/>
      </c>
      <c r="E41" s="36">
        <f>$C$16*INDEX('Inputs'!$C$124:$O$124,B41)/SUM('Inputs'!$C$124:$O$124)</f>
        <v/>
      </c>
      <c r="F41" s="36">
        <f>$C$17*INDEX('Inputs'!$C$125:$O$125,B41)/SUM('Inputs'!$C$125:$O$125)</f>
        <v/>
      </c>
      <c r="G41" s="36">
        <f>$C$18/13+$C$19/13</f>
        <v/>
      </c>
      <c r="H41" s="36">
        <f>$C$20/13*(1-IF(B41&gt;='Inputs'!$C$119,'13 Week'!$C$9,0))</f>
        <v/>
      </c>
      <c r="I41" s="36">
        <f>IF(B41='Inputs'!$C$116,$C$21,0)</f>
        <v/>
      </c>
      <c r="J41" s="36">
        <f>IF(B41='Inputs'!$C$117,$C$22+$C$23,0)</f>
        <v/>
      </c>
      <c r="K41" s="36">
        <f>C41-D41-E41-F41-G41-H41-I41-J41</f>
        <v/>
      </c>
      <c r="L41" s="36">
        <f>N40+K41</f>
        <v/>
      </c>
      <c r="M41" s="36">
        <f>IF(L41&lt;'Inputs'!$C$61,'Inputs'!$C$61-L41,-MIN(O40,L41-'Inputs'!$C$61))</f>
        <v/>
      </c>
      <c r="N41" s="36">
        <f>L41+M41</f>
        <v/>
      </c>
      <c r="O41" s="36">
        <f>O40+M41</f>
        <v/>
      </c>
      <c r="P41" s="36">
        <f>N41+'Inputs'!$C$54-O41</f>
        <v/>
      </c>
    </row>
    <row r="42">
      <c r="B42" s="46">
        <f>B41+1</f>
        <v/>
      </c>
      <c r="C42" s="36">
        <f>$C$13*(INDEX('Inputs'!$C$122:$O$122,B42)/SUM('Inputs'!$C$122:$O$122))+IF(B42&gt;='Inputs'!$C$118,$C$31/(13-'Inputs'!$C$118+1),0)</f>
        <v/>
      </c>
      <c r="D42" s="36">
        <f>$C$14*(INDEX('Inputs'!$C$123:$O$123,B42)/SUM('Inputs'!$C$123:$O$123))-IF(B42-1&gt;=$C$33,$C$32/13,0)</f>
        <v/>
      </c>
      <c r="E42" s="36">
        <f>$C$16*INDEX('Inputs'!$C$124:$O$124,B42)/SUM('Inputs'!$C$124:$O$124)</f>
        <v/>
      </c>
      <c r="F42" s="36">
        <f>$C$17*INDEX('Inputs'!$C$125:$O$125,B42)/SUM('Inputs'!$C$125:$O$125)</f>
        <v/>
      </c>
      <c r="G42" s="36">
        <f>$C$18/13+$C$19/13</f>
        <v/>
      </c>
      <c r="H42" s="36">
        <f>$C$20/13*(1-IF(B42&gt;='Inputs'!$C$119,'13 Week'!$C$9,0))</f>
        <v/>
      </c>
      <c r="I42" s="36">
        <f>IF(B42='Inputs'!$C$116,$C$21,0)</f>
        <v/>
      </c>
      <c r="J42" s="36">
        <f>IF(B42='Inputs'!$C$117,$C$22+$C$23,0)</f>
        <v/>
      </c>
      <c r="K42" s="36">
        <f>C42-D42-E42-F42-G42-H42-I42-J42</f>
        <v/>
      </c>
      <c r="L42" s="36">
        <f>N41+K42</f>
        <v/>
      </c>
      <c r="M42" s="36">
        <f>IF(L42&lt;'Inputs'!$C$61,'Inputs'!$C$61-L42,-MIN(O41,L42-'Inputs'!$C$61))</f>
        <v/>
      </c>
      <c r="N42" s="36">
        <f>L42+M42</f>
        <v/>
      </c>
      <c r="O42" s="36">
        <f>O41+M42</f>
        <v/>
      </c>
      <c r="P42" s="36">
        <f>N42+'Inputs'!$C$54-O42</f>
        <v/>
      </c>
    </row>
    <row r="43">
      <c r="B43" s="46">
        <f>B42+1</f>
        <v/>
      </c>
      <c r="C43" s="36">
        <f>$C$13*(INDEX('Inputs'!$C$122:$O$122,B43)/SUM('Inputs'!$C$122:$O$122))+IF(B43&gt;='Inputs'!$C$118,$C$31/(13-'Inputs'!$C$118+1),0)</f>
        <v/>
      </c>
      <c r="D43" s="36">
        <f>$C$14*(INDEX('Inputs'!$C$123:$O$123,B43)/SUM('Inputs'!$C$123:$O$123))-IF(B43-1&gt;=$C$33,$C$32/13,0)</f>
        <v/>
      </c>
      <c r="E43" s="36">
        <f>$C$16*INDEX('Inputs'!$C$124:$O$124,B43)/SUM('Inputs'!$C$124:$O$124)</f>
        <v/>
      </c>
      <c r="F43" s="36">
        <f>$C$17*INDEX('Inputs'!$C$125:$O$125,B43)/SUM('Inputs'!$C$125:$O$125)</f>
        <v/>
      </c>
      <c r="G43" s="36">
        <f>$C$18/13+$C$19/13</f>
        <v/>
      </c>
      <c r="H43" s="36">
        <f>$C$20/13*(1-IF(B43&gt;='Inputs'!$C$119,'13 Week'!$C$9,0))</f>
        <v/>
      </c>
      <c r="I43" s="36">
        <f>IF(B43='Inputs'!$C$116,$C$21,0)</f>
        <v/>
      </c>
      <c r="J43" s="36">
        <f>IF(B43='Inputs'!$C$117,$C$22+$C$23,0)</f>
        <v/>
      </c>
      <c r="K43" s="36">
        <f>C43-D43-E43-F43-G43-H43-I43-J43</f>
        <v/>
      </c>
      <c r="L43" s="36">
        <f>N42+K43</f>
        <v/>
      </c>
      <c r="M43" s="36">
        <f>IF(L43&lt;'Inputs'!$C$61,'Inputs'!$C$61-L43,-MIN(O42,L43-'Inputs'!$C$61))</f>
        <v/>
      </c>
      <c r="N43" s="36">
        <f>L43+M43</f>
        <v/>
      </c>
      <c r="O43" s="36">
        <f>O42+M43</f>
        <v/>
      </c>
      <c r="P43" s="36">
        <f>N43+'Inputs'!$C$54-O43</f>
        <v/>
      </c>
    </row>
    <row r="44">
      <c r="B44" s="46">
        <f>B43+1</f>
        <v/>
      </c>
      <c r="C44" s="36">
        <f>$C$13*(INDEX('Inputs'!$C$122:$O$122,B44)/SUM('Inputs'!$C$122:$O$122))+IF(B44&gt;='Inputs'!$C$118,$C$31/(13-'Inputs'!$C$118+1),0)</f>
        <v/>
      </c>
      <c r="D44" s="36">
        <f>$C$14*(INDEX('Inputs'!$C$123:$O$123,B44)/SUM('Inputs'!$C$123:$O$123))-IF(B44-1&gt;=$C$33,$C$32/13,0)</f>
        <v/>
      </c>
      <c r="E44" s="36">
        <f>$C$16*INDEX('Inputs'!$C$124:$O$124,B44)/SUM('Inputs'!$C$124:$O$124)</f>
        <v/>
      </c>
      <c r="F44" s="36">
        <f>$C$17*INDEX('Inputs'!$C$125:$O$125,B44)/SUM('Inputs'!$C$125:$O$125)</f>
        <v/>
      </c>
      <c r="G44" s="36">
        <f>$C$18/13+$C$19/13</f>
        <v/>
      </c>
      <c r="H44" s="36">
        <f>$C$20/13*(1-IF(B44&gt;='Inputs'!$C$119,'13 Week'!$C$9,0))</f>
        <v/>
      </c>
      <c r="I44" s="36">
        <f>IF(B44='Inputs'!$C$116,$C$21,0)</f>
        <v/>
      </c>
      <c r="J44" s="36">
        <f>IF(B44='Inputs'!$C$117,$C$22+$C$23,0)</f>
        <v/>
      </c>
      <c r="K44" s="36">
        <f>C44-D44-E44-F44-G44-H44-I44-J44</f>
        <v/>
      </c>
      <c r="L44" s="36">
        <f>N43+K44</f>
        <v/>
      </c>
      <c r="M44" s="36">
        <f>IF(L44&lt;'Inputs'!$C$61,'Inputs'!$C$61-L44,-MIN(O43,L44-'Inputs'!$C$61))</f>
        <v/>
      </c>
      <c r="N44" s="36">
        <f>L44+M44</f>
        <v/>
      </c>
      <c r="O44" s="36">
        <f>O43+M44</f>
        <v/>
      </c>
      <c r="P44" s="36">
        <f>N44+'Inputs'!$C$54-O44</f>
        <v/>
      </c>
    </row>
    <row r="45">
      <c r="B45" s="46">
        <f>B44+1</f>
        <v/>
      </c>
      <c r="C45" s="36">
        <f>$C$13*(INDEX('Inputs'!$C$122:$O$122,B45)/SUM('Inputs'!$C$122:$O$122))+IF(B45&gt;='Inputs'!$C$118,$C$31/(13-'Inputs'!$C$118+1),0)</f>
        <v/>
      </c>
      <c r="D45" s="36">
        <f>$C$14*(INDEX('Inputs'!$C$123:$O$123,B45)/SUM('Inputs'!$C$123:$O$123))-IF(B45-1&gt;=$C$33,$C$32/13,0)</f>
        <v/>
      </c>
      <c r="E45" s="36">
        <f>$C$16*INDEX('Inputs'!$C$124:$O$124,B45)/SUM('Inputs'!$C$124:$O$124)</f>
        <v/>
      </c>
      <c r="F45" s="36">
        <f>$C$17*INDEX('Inputs'!$C$125:$O$125,B45)/SUM('Inputs'!$C$125:$O$125)</f>
        <v/>
      </c>
      <c r="G45" s="36">
        <f>$C$18/13+$C$19/13</f>
        <v/>
      </c>
      <c r="H45" s="36">
        <f>$C$20/13*(1-IF(B45&gt;='Inputs'!$C$119,'13 Week'!$C$9,0))</f>
        <v/>
      </c>
      <c r="I45" s="36">
        <f>IF(B45='Inputs'!$C$116,$C$21,0)</f>
        <v/>
      </c>
      <c r="J45" s="36">
        <f>IF(B45='Inputs'!$C$117,$C$22+$C$23,0)</f>
        <v/>
      </c>
      <c r="K45" s="36">
        <f>C45-D45-E45-F45-G45-H45-I45-J45</f>
        <v/>
      </c>
      <c r="L45" s="36">
        <f>N44+K45</f>
        <v/>
      </c>
      <c r="M45" s="36">
        <f>IF(L45&lt;'Inputs'!$C$61,'Inputs'!$C$61-L45,-MIN(O44,L45-'Inputs'!$C$61))</f>
        <v/>
      </c>
      <c r="N45" s="36">
        <f>L45+M45</f>
        <v/>
      </c>
      <c r="O45" s="36">
        <f>O44+M45</f>
        <v/>
      </c>
      <c r="P45" s="36">
        <f>N45+'Inputs'!$C$54-O45</f>
        <v/>
      </c>
    </row>
    <row r="46">
      <c r="B46" s="46">
        <f>B45+1</f>
        <v/>
      </c>
      <c r="C46" s="36">
        <f>$C$13*(INDEX('Inputs'!$C$122:$O$122,B46)/SUM('Inputs'!$C$122:$O$122))+IF(B46&gt;='Inputs'!$C$118,$C$31/(13-'Inputs'!$C$118+1),0)</f>
        <v/>
      </c>
      <c r="D46" s="36">
        <f>$C$14*(INDEX('Inputs'!$C$123:$O$123,B46)/SUM('Inputs'!$C$123:$O$123))-IF(B46-1&gt;=$C$33,$C$32/13,0)</f>
        <v/>
      </c>
      <c r="E46" s="36">
        <f>$C$16*INDEX('Inputs'!$C$124:$O$124,B46)/SUM('Inputs'!$C$124:$O$124)</f>
        <v/>
      </c>
      <c r="F46" s="36">
        <f>$C$17*INDEX('Inputs'!$C$125:$O$125,B46)/SUM('Inputs'!$C$125:$O$125)</f>
        <v/>
      </c>
      <c r="G46" s="36">
        <f>$C$18/13+$C$19/13</f>
        <v/>
      </c>
      <c r="H46" s="36">
        <f>$C$20/13*(1-IF(B46&gt;='Inputs'!$C$119,'13 Week'!$C$9,0))</f>
        <v/>
      </c>
      <c r="I46" s="36">
        <f>IF(B46='Inputs'!$C$116,$C$21,0)</f>
        <v/>
      </c>
      <c r="J46" s="36">
        <f>IF(B46='Inputs'!$C$117,$C$22+$C$23,0)</f>
        <v/>
      </c>
      <c r="K46" s="36">
        <f>C46-D46-E46-F46-G46-H46-I46-J46</f>
        <v/>
      </c>
      <c r="L46" s="36">
        <f>N45+K46</f>
        <v/>
      </c>
      <c r="M46" s="36">
        <f>IF(L46&lt;'Inputs'!$C$61,'Inputs'!$C$61-L46,-MIN(O45,L46-'Inputs'!$C$61))</f>
        <v/>
      </c>
      <c r="N46" s="36">
        <f>L46+M46</f>
        <v/>
      </c>
      <c r="O46" s="36">
        <f>O45+M46</f>
        <v/>
      </c>
      <c r="P46" s="36">
        <f>N46+'Inputs'!$C$54-O46</f>
        <v/>
      </c>
    </row>
    <row r="47">
      <c r="B47" s="46">
        <f>B46+1</f>
        <v/>
      </c>
      <c r="C47" s="36">
        <f>$C$13*(INDEX('Inputs'!$C$122:$O$122,B47)/SUM('Inputs'!$C$122:$O$122))+IF(B47&gt;='Inputs'!$C$118,$C$31/(13-'Inputs'!$C$118+1),0)</f>
        <v/>
      </c>
      <c r="D47" s="36">
        <f>$C$14*(INDEX('Inputs'!$C$123:$O$123,B47)/SUM('Inputs'!$C$123:$O$123))-IF(B47-1&gt;=$C$33,$C$32/13,0)</f>
        <v/>
      </c>
      <c r="E47" s="36">
        <f>$C$16*INDEX('Inputs'!$C$124:$O$124,B47)/SUM('Inputs'!$C$124:$O$124)</f>
        <v/>
      </c>
      <c r="F47" s="36">
        <f>$C$17*INDEX('Inputs'!$C$125:$O$125,B47)/SUM('Inputs'!$C$125:$O$125)</f>
        <v/>
      </c>
      <c r="G47" s="36">
        <f>$C$18/13+$C$19/13</f>
        <v/>
      </c>
      <c r="H47" s="36">
        <f>$C$20/13*(1-IF(B47&gt;='Inputs'!$C$119,'13 Week'!$C$9,0))</f>
        <v/>
      </c>
      <c r="I47" s="36">
        <f>IF(B47='Inputs'!$C$116,$C$21,0)</f>
        <v/>
      </c>
      <c r="J47" s="36">
        <f>IF(B47='Inputs'!$C$117,$C$22+$C$23,0)</f>
        <v/>
      </c>
      <c r="K47" s="36">
        <f>C47-D47-E47-F47-G47-H47-I47-J47</f>
        <v/>
      </c>
      <c r="L47" s="36">
        <f>N46+K47</f>
        <v/>
      </c>
      <c r="M47" s="36">
        <f>IF(L47&lt;'Inputs'!$C$61,'Inputs'!$C$61-L47,-MIN(O46,L47-'Inputs'!$C$61))</f>
        <v/>
      </c>
      <c r="N47" s="36">
        <f>L47+M47</f>
        <v/>
      </c>
      <c r="O47" s="36">
        <f>O46+M47</f>
        <v/>
      </c>
      <c r="P47" s="36">
        <f>N47+'Inputs'!$C$54-O47</f>
        <v/>
      </c>
    </row>
    <row r="48">
      <c r="B48" s="46">
        <f>B47+1</f>
        <v/>
      </c>
      <c r="C48" s="36">
        <f>$C$13*(INDEX('Inputs'!$C$122:$O$122,B48)/SUM('Inputs'!$C$122:$O$122))+IF(B48&gt;='Inputs'!$C$118,$C$31/(13-'Inputs'!$C$118+1),0)</f>
        <v/>
      </c>
      <c r="D48" s="36">
        <f>$C$14*(INDEX('Inputs'!$C$123:$O$123,B48)/SUM('Inputs'!$C$123:$O$123))-IF(B48-1&gt;=$C$33,$C$32/13,0)</f>
        <v/>
      </c>
      <c r="E48" s="36">
        <f>$C$16*INDEX('Inputs'!$C$124:$O$124,B48)/SUM('Inputs'!$C$124:$O$124)</f>
        <v/>
      </c>
      <c r="F48" s="36">
        <f>$C$17*INDEX('Inputs'!$C$125:$O$125,B48)/SUM('Inputs'!$C$125:$O$125)</f>
        <v/>
      </c>
      <c r="G48" s="36">
        <f>$C$18/13+$C$19/13</f>
        <v/>
      </c>
      <c r="H48" s="36">
        <f>$C$20/13*(1-IF(B48&gt;='Inputs'!$C$119,'13 Week'!$C$9,0))</f>
        <v/>
      </c>
      <c r="I48" s="36">
        <f>IF(B48='Inputs'!$C$116,$C$21,0)</f>
        <v/>
      </c>
      <c r="J48" s="36">
        <f>IF(B48='Inputs'!$C$117,$C$22+$C$23,0)</f>
        <v/>
      </c>
      <c r="K48" s="36">
        <f>C48-D48-E48-F48-G48-H48-I48-J48</f>
        <v/>
      </c>
      <c r="L48" s="36">
        <f>N47+K48</f>
        <v/>
      </c>
      <c r="M48" s="36">
        <f>IF(L48&lt;'Inputs'!$C$61,'Inputs'!$C$61-L48,-MIN(O47,L48-'Inputs'!$C$61))</f>
        <v/>
      </c>
      <c r="N48" s="36">
        <f>L48+M48</f>
        <v/>
      </c>
      <c r="O48" s="36">
        <f>O47+M48</f>
        <v/>
      </c>
      <c r="P48" s="36">
        <f>N48+'Inputs'!$C$54-O48</f>
        <v/>
      </c>
    </row>
    <row r="49">
      <c r="B49" s="46">
        <f>B48+1</f>
        <v/>
      </c>
      <c r="C49" s="36">
        <f>$C$13*(INDEX('Inputs'!$C$122:$O$122,B49)/SUM('Inputs'!$C$122:$O$122))+IF(B49&gt;='Inputs'!$C$118,$C$31/(13-'Inputs'!$C$118+1),0)</f>
        <v/>
      </c>
      <c r="D49" s="36">
        <f>$C$14*(INDEX('Inputs'!$C$123:$O$123,B49)/SUM('Inputs'!$C$123:$O$123))-IF(B49-1&gt;=$C$33,$C$32/13,0)</f>
        <v/>
      </c>
      <c r="E49" s="36">
        <f>$C$16*INDEX('Inputs'!$C$124:$O$124,B49)/SUM('Inputs'!$C$124:$O$124)</f>
        <v/>
      </c>
      <c r="F49" s="36">
        <f>$C$17*INDEX('Inputs'!$C$125:$O$125,B49)/SUM('Inputs'!$C$125:$O$125)</f>
        <v/>
      </c>
      <c r="G49" s="36">
        <f>$C$18/13+$C$19/13</f>
        <v/>
      </c>
      <c r="H49" s="36">
        <f>$C$20/13*(1-IF(B49&gt;='Inputs'!$C$119,'13 Week'!$C$9,0))</f>
        <v/>
      </c>
      <c r="I49" s="36">
        <f>IF(B49='Inputs'!$C$116,$C$21,0)</f>
        <v/>
      </c>
      <c r="J49" s="36">
        <f>IF(B49='Inputs'!$C$117,$C$22+$C$23,0)</f>
        <v/>
      </c>
      <c r="K49" s="36">
        <f>C49-D49-E49-F49-G49-H49-I49-J49</f>
        <v/>
      </c>
      <c r="L49" s="36">
        <f>N48+K49</f>
        <v/>
      </c>
      <c r="M49" s="36">
        <f>IF(L49&lt;'Inputs'!$C$61,'Inputs'!$C$61-L49,-MIN(O48,L49-'Inputs'!$C$61))</f>
        <v/>
      </c>
      <c r="N49" s="36">
        <f>L49+M49</f>
        <v/>
      </c>
      <c r="O49" s="36">
        <f>O48+M49</f>
        <v/>
      </c>
      <c r="P49" s="36">
        <f>N49+'Inputs'!$C$54-O49</f>
        <v/>
      </c>
    </row>
    <row r="50">
      <c r="B50" s="5" t="inlineStr">
        <is>
          <t>Quarter</t>
        </is>
      </c>
      <c r="C50" s="38">
        <f>SUM(C37:C49)</f>
        <v/>
      </c>
      <c r="D50" s="38">
        <f>SUM(D37:D49)</f>
        <v/>
      </c>
      <c r="E50" s="38">
        <f>SUM(E37:E49)</f>
        <v/>
      </c>
      <c r="F50" s="38">
        <f>SUM(F37:F49)</f>
        <v/>
      </c>
      <c r="G50" s="38">
        <f>SUM(G37:G49)</f>
        <v/>
      </c>
      <c r="H50" s="38">
        <f>SUM(H37:H49)</f>
        <v/>
      </c>
      <c r="I50" s="38">
        <f>SUM(I37:I49)</f>
        <v/>
      </c>
      <c r="J50" s="38">
        <f>SUM(J37:J49)</f>
        <v/>
      </c>
      <c r="K50" s="38">
        <f>SUM(K37:K49)</f>
        <v/>
      </c>
      <c r="L50" s="5" t="n"/>
      <c r="M50" s="38">
        <f>SUM(M37:M49)</f>
        <v/>
      </c>
      <c r="N50" s="38">
        <f>N49</f>
        <v/>
      </c>
      <c r="O50" s="38">
        <f>O49</f>
        <v/>
      </c>
      <c r="P50" s="38">
        <f>P49</f>
        <v/>
      </c>
    </row>
    <row r="51"/>
    <row r="52">
      <c r="B52" s="8" t="inlineStr">
        <is>
          <t>Summary</t>
        </is>
      </c>
      <c r="C52" s="9" t="inlineStr">
        <is>
          <t>Value</t>
        </is>
      </c>
      <c r="D52" s="8" t="inlineStr">
        <is>
          <t>Unit</t>
        </is>
      </c>
    </row>
    <row r="53">
      <c r="B53" s="12" t="inlineStr">
        <is>
          <t>Net flow of the quarter</t>
        </is>
      </c>
      <c r="C53" s="36">
        <f>K50</f>
        <v/>
      </c>
      <c r="D53" s="11" t="inlineStr">
        <is>
          <t>$m</t>
        </is>
      </c>
    </row>
    <row r="54">
      <c r="B54" s="12" t="inlineStr">
        <is>
          <t>Quarter-end cash</t>
        </is>
      </c>
      <c r="C54" s="36">
        <f>N49</f>
        <v/>
      </c>
      <c r="D54" s="11" t="inlineStr">
        <is>
          <t>$m</t>
        </is>
      </c>
    </row>
    <row r="55">
      <c r="B55" s="12" t="inlineStr">
        <is>
          <t>Quarter-end revolver</t>
        </is>
      </c>
      <c r="C55" s="36">
        <f>O49</f>
        <v/>
      </c>
      <c r="D55" s="11" t="inlineStr">
        <is>
          <t>$m</t>
        </is>
      </c>
    </row>
    <row r="56">
      <c r="B56" s="5" t="inlineStr">
        <is>
          <t>Peak revolver inside the quarter</t>
        </is>
      </c>
      <c r="C56" s="38">
        <f>MAX(O37:O49)</f>
        <v/>
      </c>
      <c r="D56" s="37" t="inlineStr">
        <is>
          <t>$m</t>
        </is>
      </c>
    </row>
    <row r="57">
      <c r="B57" s="5" t="inlineStr">
        <is>
          <t>Lowest liquidity inside the quarter</t>
        </is>
      </c>
      <c r="C57" s="38">
        <f>MIN(P37:P49)</f>
        <v/>
      </c>
      <c r="D57" s="37" t="inlineStr">
        <is>
          <t>$m</t>
        </is>
      </c>
    </row>
    <row r="58">
      <c r="B58" s="12" t="inlineStr">
        <is>
          <t>Week of the lowest liquidity</t>
        </is>
      </c>
      <c r="C58" s="24">
        <f>INDEX(B37:B49,MATCH(MIN(P37:P49),P37:P49,0))</f>
        <v/>
      </c>
      <c r="D58" s="11" t="inlineStr">
        <is>
          <t>week</t>
        </is>
      </c>
    </row>
    <row r="59">
      <c r="B59" s="12" t="inlineStr">
        <is>
          <t>Cash released inside the quarter by levers (a) and (b)</t>
        </is>
      </c>
      <c r="C59" s="36">
        <f>$C$31+$C$34</f>
        <v/>
      </c>
      <c r="D59" s="11" t="inlineStr">
        <is>
          <t>$m</t>
        </is>
      </c>
    </row>
  </sheetData>
  <dataValidations count="1">
    <dataValidation sqref="C6" showDropDown="0" showInputMessage="0" showErrorMessage="1" allowBlank="0" errorTitle="Quarter" error="Type a quarter from 1 to 24." type="whole" operator="between">
      <formula1>1</formula1>
      <formula2>24</formula2>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2:AA55"/>
  <sheetViews>
    <sheetView showGridLines="0" tabSelected="0" zoomScale="100" workbookViewId="0">
      <selection activeCell="A1" sqref="A1"/>
    </sheetView>
  </sheetViews>
  <sheetFormatPr baseColWidth="8" defaultRowHeight="15"/>
  <cols>
    <col width="3.428571428571428" customWidth="1" min="1" max="1"/>
    <col width="62" customWidth="1" min="2" max="2"/>
    <col width="12" customWidth="1" min="3" max="3"/>
    <col width="10"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 width="9" customWidth="1" min="23" max="23"/>
    <col width="9" customWidth="1" min="24" max="24"/>
    <col width="9" customWidth="1" min="25" max="25"/>
    <col width="9" customWidth="1" min="26" max="26"/>
    <col width="9" customWidth="1" min="27" max="27"/>
  </cols>
  <sheetData>
    <row r="1" ht="18" customHeight="1"/>
    <row r="2" ht="18" customHeight="1">
      <c r="B2" s="1" t="inlineStr">
        <is>
          <t>Exit</t>
        </is>
      </c>
    </row>
    <row r="3">
      <c r="B3" s="7" t="inlineStr">
        <is>
          <t>The exit at the quarter set on Inputs: the buyer's QoE EBITDA, value, equity, the management pool, the CFO's payout, returns and the value bridge from entry equity to exit equity.</t>
        </is>
      </c>
    </row>
    <row r="4"/>
    <row r="5">
      <c r="B5" s="8" t="inlineStr">
        <is>
          <t>Exit EBITDA (Chapters 9, 15)</t>
        </is>
      </c>
      <c r="C5" s="9" t="inlineStr">
        <is>
          <t>Value</t>
        </is>
      </c>
      <c r="D5" s="8" t="inlineStr">
        <is>
          <t>Unit</t>
        </is>
      </c>
    </row>
    <row r="6">
      <c r="B6" s="12" t="inlineStr">
        <is>
          <t>Exit quarter</t>
        </is>
      </c>
      <c r="C6" s="24">
        <f>'Inputs'!$C$17</f>
        <v/>
      </c>
      <c r="D6" s="11" t="inlineStr">
        <is>
          <t>quarter</t>
        </is>
      </c>
    </row>
    <row r="7">
      <c r="B7" s="12" t="inlineStr">
        <is>
          <t>LTM reported EBITDA</t>
        </is>
      </c>
      <c r="C7" s="36">
        <f>SUM(INDEX('Quarterly'!$E$72:$AB$72,'Inputs'!$C$17-3):INDEX('Quarterly'!$E$72:$AB$72,'Inputs'!$C$17))</f>
        <v/>
      </c>
      <c r="D7" s="11" t="inlineStr">
        <is>
          <t>$m</t>
        </is>
      </c>
    </row>
    <row r="8">
      <c r="B8" s="12" t="inlineStr">
        <is>
          <t>+ LTM one-off costs</t>
        </is>
      </c>
      <c r="C8" s="36">
        <f>SUM(INDEX('Quarterly'!$E$71:$AB$71,'Inputs'!$C$17-3):INDEX('Quarterly'!$E$71:$AB$71,'Inputs'!$C$17))</f>
        <v/>
      </c>
      <c r="D8" s="11" t="inlineStr">
        <is>
          <t>$m</t>
        </is>
      </c>
    </row>
    <row r="9">
      <c r="B9" s="12" t="inlineStr">
        <is>
          <t>+ monitoring fee (stops at the sale)</t>
        </is>
      </c>
      <c r="C9" s="36">
        <f>'Inputs'!$C$67</f>
        <v/>
      </c>
      <c r="D9" s="11" t="inlineStr">
        <is>
          <t>$m</t>
        </is>
      </c>
    </row>
    <row r="10">
      <c r="B10" s="12" t="inlineStr">
        <is>
          <t>- haircut (Inputs)</t>
        </is>
      </c>
      <c r="C10" s="36">
        <f>(C7+C8+C9)*'Inputs'!$C$19</f>
        <v/>
      </c>
      <c r="D10" s="11" t="inlineStr">
        <is>
          <t>$m</t>
        </is>
      </c>
    </row>
    <row r="11">
      <c r="B11" s="5" t="inlineStr">
        <is>
          <t>Buyer's QoE EBITDA</t>
        </is>
      </c>
      <c r="C11" s="38">
        <f>(C7+C8+C9)*(1-'Inputs'!$C$19)</f>
        <v/>
      </c>
      <c r="D11" s="37" t="inlineStr">
        <is>
          <t>$m</t>
        </is>
      </c>
    </row>
    <row r="12">
      <c r="B12" s="12" t="inlineStr">
        <is>
          <t>+ management's run-rate price increase</t>
        </is>
      </c>
      <c r="C12" s="36">
        <f>'Inputs'!$C$27</f>
        <v/>
      </c>
      <c r="D12" s="11" t="inlineStr">
        <is>
          <t>$m</t>
        </is>
      </c>
    </row>
    <row r="13">
      <c r="B13" s="12" t="inlineStr">
        <is>
          <t>+ management's run-rate new branch</t>
        </is>
      </c>
      <c r="C13" s="36">
        <f>'Inputs'!$C$28</f>
        <v/>
      </c>
      <c r="D13" s="11" t="inlineStr">
        <is>
          <t>$m</t>
        </is>
      </c>
    </row>
    <row r="14">
      <c r="B14" s="5" t="inlineStr">
        <is>
          <t>Management's adjusted EBITDA (before any haircut)</t>
        </is>
      </c>
      <c r="C14" s="38">
        <f>C7+C8+C9+C12+C13</f>
        <v/>
      </c>
      <c r="D14" s="37" t="inlineStr">
        <is>
          <t>$m</t>
        </is>
      </c>
    </row>
    <row r="15">
      <c r="B15" s="12" t="inlineStr">
        <is>
          <t>Rejected by the buyer's QoE</t>
        </is>
      </c>
      <c r="C15" s="36">
        <f>C12+C13</f>
        <v/>
      </c>
      <c r="D15" s="11" t="inlineStr">
        <is>
          <t>$m</t>
        </is>
      </c>
    </row>
    <row r="16"/>
    <row r="17">
      <c r="B17" s="8" t="inlineStr">
        <is>
          <t>Value and equity (Chapter 15)</t>
        </is>
      </c>
      <c r="C17" s="9" t="inlineStr">
        <is>
          <t>Value</t>
        </is>
      </c>
      <c r="D17" s="8" t="inlineStr">
        <is>
          <t>Unit</t>
        </is>
      </c>
    </row>
    <row r="18">
      <c r="B18" s="12" t="inlineStr">
        <is>
          <t>Exit multiple (override on Inputs, else the case's)</t>
        </is>
      </c>
      <c r="C18" s="47">
        <f>IF(ISBLANK('Inputs'!$C$18),'Drivers'!$E$66,'Inputs'!$C$18)</f>
        <v/>
      </c>
      <c r="D18" s="11" t="inlineStr">
        <is>
          <t>x</t>
        </is>
      </c>
    </row>
    <row r="19">
      <c r="B19" s="12" t="inlineStr">
        <is>
          <t>Enterprise value</t>
        </is>
      </c>
      <c r="C19" s="36">
        <f>C18*C11</f>
        <v/>
      </c>
      <c r="D19" s="11" t="inlineStr">
        <is>
          <t>$m</t>
        </is>
      </c>
    </row>
    <row r="20">
      <c r="B20" s="12" t="inlineStr">
        <is>
          <t>Value of the rejected run-rate items at the exit multiple</t>
        </is>
      </c>
      <c r="C20" s="36">
        <f>C15*C18</f>
        <v/>
      </c>
      <c r="D20" s="11" t="inlineStr">
        <is>
          <t>$m</t>
        </is>
      </c>
    </row>
    <row r="21">
      <c r="B21" s="12" t="inlineStr">
        <is>
          <t>- net debt at exit</t>
        </is>
      </c>
      <c r="C21" s="36">
        <f>INDEX('Quarterly'!$E$144:$AB$144,'Inputs'!$C$17)</f>
        <v/>
      </c>
      <c r="D21" s="11" t="inlineStr">
        <is>
          <t>$m</t>
        </is>
      </c>
    </row>
    <row r="22">
      <c r="B22" s="12" t="inlineStr">
        <is>
          <t>- selling costs</t>
        </is>
      </c>
      <c r="C22" s="36">
        <f>'Inputs'!$C$20*C19</f>
        <v/>
      </c>
      <c r="D22" s="11" t="inlineStr">
        <is>
          <t>$m</t>
        </is>
      </c>
    </row>
    <row r="23">
      <c r="B23" s="5" t="inlineStr">
        <is>
          <t>Equity value</t>
        </is>
      </c>
      <c r="C23" s="38">
        <f>C19-C21-C22</f>
        <v/>
      </c>
      <c r="D23" s="37" t="inlineStr">
        <is>
          <t>$m</t>
        </is>
      </c>
    </row>
    <row r="24"/>
    <row r="25">
      <c r="B25" s="8" t="inlineStr">
        <is>
          <t>Sponsor returns and the management pool (Chapters 15, 16)</t>
        </is>
      </c>
      <c r="C25" s="9" t="inlineStr">
        <is>
          <t>Value</t>
        </is>
      </c>
      <c r="D25" s="8" t="inlineStr">
        <is>
          <t>Unit</t>
        </is>
      </c>
    </row>
    <row r="26">
      <c r="B26" s="12" t="inlineStr">
        <is>
          <t>Sponsor equity at entry</t>
        </is>
      </c>
      <c r="C26" s="36">
        <f>'Quarterly'!$D$28</f>
        <v/>
      </c>
      <c r="D26" s="11" t="inlineStr">
        <is>
          <t>$m</t>
        </is>
      </c>
    </row>
    <row r="27">
      <c r="B27" s="12" t="inlineStr">
        <is>
          <t>+ equity cures to the exit</t>
        </is>
      </c>
      <c r="C27" s="36">
        <f>SUMPRODUCT(('Quarterly'!$E$34:$AB$34&lt;='Inputs'!$C$17)*'Quarterly'!$E$137:$AB$137)</f>
        <v/>
      </c>
      <c r="D27" s="11" t="inlineStr">
        <is>
          <t>$m</t>
        </is>
      </c>
    </row>
    <row r="28">
      <c r="B28" s="5" t="inlineStr">
        <is>
          <t>Equity invested</t>
        </is>
      </c>
      <c r="C28" s="38">
        <f>C26+C27</f>
        <v/>
      </c>
      <c r="D28" s="37" t="inlineStr">
        <is>
          <t>$m</t>
        </is>
      </c>
    </row>
    <row r="29">
      <c r="B29" s="12" t="inlineStr">
        <is>
          <t>Gain above invested equity</t>
        </is>
      </c>
      <c r="C29" s="36">
        <f>MAX(0,C23-C28)</f>
        <v/>
      </c>
      <c r="D29" s="11" t="inlineStr">
        <is>
          <t>$m</t>
        </is>
      </c>
    </row>
    <row r="30">
      <c r="B30" s="12" t="inlineStr">
        <is>
          <t>Gross money multiple (before the pool)</t>
        </is>
      </c>
      <c r="C30" s="40">
        <f>C23/C28</f>
        <v/>
      </c>
      <c r="D30" s="11" t="inlineStr">
        <is>
          <t>x</t>
        </is>
      </c>
    </row>
    <row r="31">
      <c r="B31" s="12" t="inlineStr">
        <is>
          <t>Management incentive pool</t>
        </is>
      </c>
      <c r="C31" s="36">
        <f>'Inputs'!$C$21*C29</f>
        <v/>
      </c>
      <c r="D31" s="11" t="inlineStr">
        <is>
          <t>$m</t>
        </is>
      </c>
    </row>
    <row r="32">
      <c r="B32" s="12" t="inlineStr">
        <is>
          <t>Performance vesting</t>
        </is>
      </c>
      <c r="C32" s="39">
        <f>MIN(1,MAX(0,(C30-'Inputs'!$C$24)/('Inputs'!$C$25-'Inputs'!$C$24)))</f>
        <v/>
      </c>
      <c r="D32" s="11" t="inlineStr">
        <is>
          <t>%</t>
        </is>
      </c>
    </row>
    <row r="33">
      <c r="B33" s="12" t="inlineStr">
        <is>
          <t>Pool vested (time half + performance half)</t>
        </is>
      </c>
      <c r="C33" s="36">
        <f>C31*('Inputs'!$C$23+(1-'Inputs'!$C$23)*C32)</f>
        <v/>
      </c>
      <c r="D33" s="11" t="inlineStr">
        <is>
          <t>$m</t>
        </is>
      </c>
    </row>
    <row r="34">
      <c r="B34" s="5" t="inlineStr">
        <is>
          <t>To the common equity (sponsor and co-investors)</t>
        </is>
      </c>
      <c r="C34" s="38">
        <f>C23-C33</f>
        <v/>
      </c>
      <c r="D34" s="37" t="inlineStr">
        <is>
          <t>$m</t>
        </is>
      </c>
    </row>
    <row r="35">
      <c r="B35" s="12" t="inlineStr">
        <is>
          <t>Money multiple</t>
        </is>
      </c>
      <c r="C35" s="40">
        <f>C34/C28</f>
        <v/>
      </c>
      <c r="D35" s="11" t="inlineStr">
        <is>
          <t>x</t>
        </is>
      </c>
    </row>
    <row r="36">
      <c r="B36" s="12" t="inlineStr">
        <is>
          <t>IRR, quarterly</t>
        </is>
      </c>
      <c r="C36" s="41">
        <f>IRR(C55:AA55,0.03)</f>
        <v/>
      </c>
      <c r="D36" s="11" t="inlineStr">
        <is>
          <t>%</t>
        </is>
      </c>
    </row>
    <row r="37">
      <c r="B37" s="5" t="inlineStr">
        <is>
          <t>IRR, annual</t>
        </is>
      </c>
      <c r="C37" s="44">
        <f>(1+C36)^4-1</f>
        <v/>
      </c>
      <c r="D37" s="37" t="inlineStr">
        <is>
          <t>%</t>
        </is>
      </c>
    </row>
    <row r="38"/>
    <row r="39">
      <c r="B39" s="8" t="inlineStr">
        <is>
          <t>The CFO's payout (Chapter 16)</t>
        </is>
      </c>
      <c r="C39" s="9" t="inlineStr">
        <is>
          <t>Value</t>
        </is>
      </c>
      <c r="D39" s="8" t="inlineStr">
        <is>
          <t>Unit</t>
        </is>
      </c>
    </row>
    <row r="40">
      <c r="B40" s="12" t="inlineStr">
        <is>
          <t>The CFO's incentive units</t>
        </is>
      </c>
      <c r="C40" s="36">
        <f>'Inputs'!$C$22*C33</f>
        <v/>
      </c>
      <c r="D40" s="11" t="inlineStr">
        <is>
          <t>$m</t>
        </is>
      </c>
    </row>
    <row r="41">
      <c r="B41" s="12" t="inlineStr">
        <is>
          <t>The CFO's co-investment returns</t>
        </is>
      </c>
      <c r="C41" s="36">
        <f>C34*'Inputs'!$C$26/C28</f>
        <v/>
      </c>
      <c r="D41" s="11" t="inlineStr">
        <is>
          <t>$m</t>
        </is>
      </c>
    </row>
    <row r="42">
      <c r="B42" s="5" t="inlineStr">
        <is>
          <t>The CFO's total</t>
        </is>
      </c>
      <c r="C42" s="38">
        <f>C40+C41</f>
        <v/>
      </c>
      <c r="D42" s="37" t="inlineStr">
        <is>
          <t>$m</t>
        </is>
      </c>
    </row>
    <row r="43"/>
    <row r="44">
      <c r="B44" s="8" t="inlineStr">
        <is>
          <t>Value bridge, entry equity to exit equity (Chapter 7)</t>
        </is>
      </c>
      <c r="C44" s="9" t="inlineStr">
        <is>
          <t>Value</t>
        </is>
      </c>
      <c r="D44" s="8" t="inlineStr">
        <is>
          <t>Unit</t>
        </is>
      </c>
    </row>
    <row r="45">
      <c r="B45" s="12" t="inlineStr">
        <is>
          <t>Equity at entry</t>
        </is>
      </c>
      <c r="C45" s="36">
        <f>'Quarterly'!$D$28</f>
        <v/>
      </c>
      <c r="D45" s="11" t="inlineStr">
        <is>
          <t>$m</t>
        </is>
      </c>
    </row>
    <row r="46">
      <c r="B46" s="12" t="inlineStr">
        <is>
          <t>+ EBITDA growth at the entry multiple</t>
        </is>
      </c>
      <c r="C46" s="36">
        <f>(C11-'Quarterly'!$D$12)*'Inputs'!$C$49</f>
        <v/>
      </c>
      <c r="D46" s="11" t="inlineStr">
        <is>
          <t>$m</t>
        </is>
      </c>
    </row>
    <row r="47">
      <c r="B47" s="12" t="inlineStr">
        <is>
          <t>+ multiple change</t>
        </is>
      </c>
      <c r="C47" s="36">
        <f>(C18-'Inputs'!$C$49)*C11</f>
        <v/>
      </c>
      <c r="D47" s="11" t="inlineStr">
        <is>
          <t>$m</t>
        </is>
      </c>
    </row>
    <row r="48">
      <c r="B48" s="12" t="inlineStr">
        <is>
          <t>+ net debt reduction since closing</t>
        </is>
      </c>
      <c r="C48" s="36">
        <f>'Quarterly'!$D$30-C21</f>
        <v/>
      </c>
      <c r="D48" s="11" t="inlineStr">
        <is>
          <t>$m</t>
        </is>
      </c>
    </row>
    <row r="49">
      <c r="B49" s="12" t="inlineStr">
        <is>
          <t>- entry costs</t>
        </is>
      </c>
      <c r="C49" s="36">
        <f>-'Inputs'!$C$50</f>
        <v/>
      </c>
      <c r="D49" s="11" t="inlineStr">
        <is>
          <t>$m</t>
        </is>
      </c>
    </row>
    <row r="50">
      <c r="B50" s="12" t="inlineStr">
        <is>
          <t>- selling costs</t>
        </is>
      </c>
      <c r="C50" s="36">
        <f>-C22</f>
        <v/>
      </c>
      <c r="D50" s="11" t="inlineStr">
        <is>
          <t>$m</t>
        </is>
      </c>
    </row>
    <row r="51">
      <c r="B51" s="5" t="inlineStr">
        <is>
          <t>Equity at exit</t>
        </is>
      </c>
      <c r="C51" s="38">
        <f>C45+C46+C47+C48+C49+C50</f>
        <v/>
      </c>
      <c r="D51" s="37" t="inlineStr">
        <is>
          <t>$m</t>
        </is>
      </c>
    </row>
    <row r="52">
      <c r="B52" s="12" t="inlineStr">
        <is>
          <t>Difference with the equity value above (must be 0)</t>
        </is>
      </c>
      <c r="C52" s="36">
        <f>C51-C23</f>
        <v/>
      </c>
      <c r="D52" s="11" t="inlineStr">
        <is>
          <t>$m</t>
        </is>
      </c>
    </row>
    <row r="53"/>
    <row r="54">
      <c r="B54" s="8" t="inlineStr">
        <is>
          <t>Sponsor cash flows by quarter ($m)</t>
        </is>
      </c>
      <c r="C54" s="9" t="inlineStr">
        <is>
          <t>Close</t>
        </is>
      </c>
      <c r="D54" s="9" t="inlineStr">
        <is>
          <t>Y1 Q1</t>
        </is>
      </c>
      <c r="E54" s="9" t="inlineStr">
        <is>
          <t>Y1 Q2</t>
        </is>
      </c>
      <c r="F54" s="9" t="inlineStr">
        <is>
          <t>Y1 Q3</t>
        </is>
      </c>
      <c r="G54" s="9" t="inlineStr">
        <is>
          <t>Y1 Q4</t>
        </is>
      </c>
      <c r="H54" s="9" t="inlineStr">
        <is>
          <t>Y2 Q1</t>
        </is>
      </c>
      <c r="I54" s="9" t="inlineStr">
        <is>
          <t>Y2 Q2</t>
        </is>
      </c>
      <c r="J54" s="9" t="inlineStr">
        <is>
          <t>Y2 Q3</t>
        </is>
      </c>
      <c r="K54" s="9" t="inlineStr">
        <is>
          <t>Y2 Q4</t>
        </is>
      </c>
      <c r="L54" s="9" t="inlineStr">
        <is>
          <t>Y3 Q1</t>
        </is>
      </c>
      <c r="M54" s="9" t="inlineStr">
        <is>
          <t>Y3 Q2</t>
        </is>
      </c>
      <c r="N54" s="9" t="inlineStr">
        <is>
          <t>Y3 Q3</t>
        </is>
      </c>
      <c r="O54" s="9" t="inlineStr">
        <is>
          <t>Y3 Q4</t>
        </is>
      </c>
      <c r="P54" s="9" t="inlineStr">
        <is>
          <t>Y4 Q1</t>
        </is>
      </c>
      <c r="Q54" s="9" t="inlineStr">
        <is>
          <t>Y4 Q2</t>
        </is>
      </c>
      <c r="R54" s="9" t="inlineStr">
        <is>
          <t>Y4 Q3</t>
        </is>
      </c>
      <c r="S54" s="9" t="inlineStr">
        <is>
          <t>Y4 Q4</t>
        </is>
      </c>
      <c r="T54" s="9" t="inlineStr">
        <is>
          <t>Y5 Q1</t>
        </is>
      </c>
      <c r="U54" s="9" t="inlineStr">
        <is>
          <t>Y5 Q2</t>
        </is>
      </c>
      <c r="V54" s="9" t="inlineStr">
        <is>
          <t>Y5 Q3</t>
        </is>
      </c>
      <c r="W54" s="9" t="inlineStr">
        <is>
          <t>Y5 Q4</t>
        </is>
      </c>
      <c r="X54" s="9" t="inlineStr">
        <is>
          <t>Y6 Q1</t>
        </is>
      </c>
      <c r="Y54" s="9" t="inlineStr">
        <is>
          <t>Y6 Q2</t>
        </is>
      </c>
      <c r="Z54" s="9" t="inlineStr">
        <is>
          <t>Y6 Q3</t>
        </is>
      </c>
      <c r="AA54" s="9" t="inlineStr">
        <is>
          <t>Y6 Q4</t>
        </is>
      </c>
    </row>
    <row r="55" ht="29.4" customHeight="1">
      <c r="A55" s="3" t="n"/>
      <c r="B55" s="4" t="inlineStr">
        <is>
          <t>Entry equity, cures (negative) and exit proceeds to the common equity</t>
        </is>
      </c>
      <c r="C55" s="48">
        <f>-'Quarterly'!$D$28</f>
        <v/>
      </c>
      <c r="D55" s="48">
        <f>IF(1&lt;='Inputs'!$C$17,-'Quarterly'!E$137,0)+IF(1='Inputs'!$C$17,C34,0)</f>
        <v/>
      </c>
      <c r="E55" s="48">
        <f>IF(2&lt;='Inputs'!$C$17,-'Quarterly'!F$137,0)+IF(2='Inputs'!$C$17,C34,0)</f>
        <v/>
      </c>
      <c r="F55" s="48">
        <f>IF(3&lt;='Inputs'!$C$17,-'Quarterly'!G$137,0)+IF(3='Inputs'!$C$17,C34,0)</f>
        <v/>
      </c>
      <c r="G55" s="48">
        <f>IF(4&lt;='Inputs'!$C$17,-'Quarterly'!H$137,0)+IF(4='Inputs'!$C$17,C34,0)</f>
        <v/>
      </c>
      <c r="H55" s="48">
        <f>IF(5&lt;='Inputs'!$C$17,-'Quarterly'!I$137,0)+IF(5='Inputs'!$C$17,C34,0)</f>
        <v/>
      </c>
      <c r="I55" s="48">
        <f>IF(6&lt;='Inputs'!$C$17,-'Quarterly'!J$137,0)+IF(6='Inputs'!$C$17,C34,0)</f>
        <v/>
      </c>
      <c r="J55" s="48">
        <f>IF(7&lt;='Inputs'!$C$17,-'Quarterly'!K$137,0)+IF(7='Inputs'!$C$17,C34,0)</f>
        <v/>
      </c>
      <c r="K55" s="48">
        <f>IF(8&lt;='Inputs'!$C$17,-'Quarterly'!L$137,0)+IF(8='Inputs'!$C$17,C34,0)</f>
        <v/>
      </c>
      <c r="L55" s="48">
        <f>IF(9&lt;='Inputs'!$C$17,-'Quarterly'!M$137,0)+IF(9='Inputs'!$C$17,C34,0)</f>
        <v/>
      </c>
      <c r="M55" s="48">
        <f>IF(10&lt;='Inputs'!$C$17,-'Quarterly'!N$137,0)+IF(10='Inputs'!$C$17,C34,0)</f>
        <v/>
      </c>
      <c r="N55" s="48">
        <f>IF(11&lt;='Inputs'!$C$17,-'Quarterly'!O$137,0)+IF(11='Inputs'!$C$17,C34,0)</f>
        <v/>
      </c>
      <c r="O55" s="48">
        <f>IF(12&lt;='Inputs'!$C$17,-'Quarterly'!P$137,0)+IF(12='Inputs'!$C$17,C34,0)</f>
        <v/>
      </c>
      <c r="P55" s="48">
        <f>IF(13&lt;='Inputs'!$C$17,-'Quarterly'!Q$137,0)+IF(13='Inputs'!$C$17,C34,0)</f>
        <v/>
      </c>
      <c r="Q55" s="48">
        <f>IF(14&lt;='Inputs'!$C$17,-'Quarterly'!R$137,0)+IF(14='Inputs'!$C$17,C34,0)</f>
        <v/>
      </c>
      <c r="R55" s="48">
        <f>IF(15&lt;='Inputs'!$C$17,-'Quarterly'!S$137,0)+IF(15='Inputs'!$C$17,C34,0)</f>
        <v/>
      </c>
      <c r="S55" s="48">
        <f>IF(16&lt;='Inputs'!$C$17,-'Quarterly'!T$137,0)+IF(16='Inputs'!$C$17,C34,0)</f>
        <v/>
      </c>
      <c r="T55" s="48">
        <f>IF(17&lt;='Inputs'!$C$17,-'Quarterly'!U$137,0)+IF(17='Inputs'!$C$17,C34,0)</f>
        <v/>
      </c>
      <c r="U55" s="48">
        <f>IF(18&lt;='Inputs'!$C$17,-'Quarterly'!V$137,0)+IF(18='Inputs'!$C$17,C34,0)</f>
        <v/>
      </c>
      <c r="V55" s="48">
        <f>IF(19&lt;='Inputs'!$C$17,-'Quarterly'!W$137,0)+IF(19='Inputs'!$C$17,C34,0)</f>
        <v/>
      </c>
      <c r="W55" s="48">
        <f>IF(20&lt;='Inputs'!$C$17,-'Quarterly'!X$137,0)+IF(20='Inputs'!$C$17,C34,0)</f>
        <v/>
      </c>
      <c r="X55" s="48">
        <f>IF(21&lt;='Inputs'!$C$17,-'Quarterly'!Y$137,0)+IF(21='Inputs'!$C$17,C34,0)</f>
        <v/>
      </c>
      <c r="Y55" s="48">
        <f>IF(22&lt;='Inputs'!$C$17,-'Quarterly'!Z$137,0)+IF(22='Inputs'!$C$17,C34,0)</f>
        <v/>
      </c>
      <c r="Z55" s="48">
        <f>IF(23&lt;='Inputs'!$C$17,-'Quarterly'!AA$137,0)+IF(23='Inputs'!$C$17,C34,0)</f>
        <v/>
      </c>
      <c r="AA55" s="48">
        <f>IF(24&lt;='Inputs'!$C$17,-'Quarterly'!AB$137,0)+IF(24='Inputs'!$C$17,C34,0)</f>
        <v/>
      </c>
    </row>
  </sheetData>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2:I25"/>
  <sheetViews>
    <sheetView showGridLines="0" tabSelected="0" zoomScale="100" workbookViewId="0">
      <selection activeCell="A1" sqref="A1"/>
    </sheetView>
  </sheetViews>
  <sheetFormatPr baseColWidth="8" defaultRowHeight="15"/>
  <cols>
    <col width="3.428571428571428" customWidth="1" min="1" max="1"/>
    <col width="74" customWidth="1" min="2" max="2"/>
    <col width="30" customWidth="1" min="3" max="3"/>
    <col width="13" customWidth="1" min="4" max="4"/>
    <col width="13" customWidth="1" min="5" max="5"/>
    <col width="13" customWidth="1" min="6" max="6"/>
    <col width="13" customWidth="1" min="7" max="7"/>
    <col width="13" customWidth="1" min="8" max="8"/>
    <col width="13" customWidth="1" min="9" max="9"/>
  </cols>
  <sheetData>
    <row r="1" ht="18" customHeight="1"/>
    <row r="2" ht="18" customHeight="1">
      <c r="B2" s="1" t="inlineStr">
        <is>
          <t>Levers</t>
        </is>
      </c>
    </row>
    <row r="3">
      <c r="B3" s="7" t="inlineStr">
        <is>
          <t>Test a lever: set the case to 2 (Actual) on Inputs, change ONE lever input there, and read the change against the Actual base in the first table; the second table is the book's lever table for comparison.</t>
        </is>
      </c>
    </row>
    <row r="4"/>
    <row r="5" ht="29.4" customHeight="1">
      <c r="A5" s="3" t="n"/>
      <c r="B5" s="28" t="inlineStr">
        <is>
          <t>Live result with the inputs as they are now</t>
        </is>
      </c>
      <c r="C5" s="28" t="inlineStr">
        <is>
          <t>Unit</t>
        </is>
      </c>
      <c r="D5" s="29" t="inlineStr">
        <is>
          <t>Live</t>
        </is>
      </c>
      <c r="E5" s="29" t="inlineStr">
        <is>
          <t>Actual base (reference)</t>
        </is>
      </c>
      <c r="F5" s="29" t="inlineStr">
        <is>
          <t>Change</t>
        </is>
      </c>
      <c r="G5" s="3" t="n"/>
      <c r="H5" s="3" t="n"/>
      <c r="I5" s="3" t="n"/>
    </row>
    <row r="6">
      <c r="B6" s="12" t="inlineStr">
        <is>
          <t>Reported EBITDA, year 5</t>
        </is>
      </c>
      <c r="C6" s="11" t="inlineStr">
        <is>
          <t>$m</t>
        </is>
      </c>
      <c r="D6" s="36">
        <f>SUM('Quarterly'!$U$72:$X$72)</f>
        <v/>
      </c>
      <c r="E6" s="49" t="n">
        <v>21.99140214417001</v>
      </c>
      <c r="F6" s="36">
        <f>D6-E6</f>
        <v/>
      </c>
    </row>
    <row r="7">
      <c r="B7" s="12" t="inlineStr">
        <is>
          <t>Buyer's QoE EBITDA at exit</t>
        </is>
      </c>
      <c r="C7" s="11" t="inlineStr">
        <is>
          <t>$m</t>
        </is>
      </c>
      <c r="D7" s="36">
        <f>'Exit'!$C$11</f>
        <v/>
      </c>
      <c r="E7" s="49" t="n">
        <v>23.09140214417001</v>
      </c>
      <c r="F7" s="36">
        <f>D7-E7</f>
        <v/>
      </c>
    </row>
    <row r="8">
      <c r="B8" s="12" t="inlineStr">
        <is>
          <t>Exit enterprise value</t>
        </is>
      </c>
      <c r="C8" s="11" t="inlineStr">
        <is>
          <t>$m</t>
        </is>
      </c>
      <c r="D8" s="36">
        <f>'Exit'!$C$19</f>
        <v/>
      </c>
      <c r="E8" s="49" t="n">
        <v>207.8226192975301</v>
      </c>
      <c r="F8" s="36">
        <f>D8-E8</f>
        <v/>
      </c>
    </row>
    <row r="9">
      <c r="B9" s="12" t="inlineStr">
        <is>
          <t>Net debt at exit</t>
        </is>
      </c>
      <c r="C9" s="11" t="inlineStr">
        <is>
          <t>$m</t>
        </is>
      </c>
      <c r="D9" s="36">
        <f>'Exit'!$C$21</f>
        <v/>
      </c>
      <c r="E9" s="49" t="n">
        <v>53.92584484624278</v>
      </c>
      <c r="F9" s="36">
        <f>D9-E9</f>
        <v/>
      </c>
    </row>
    <row r="10">
      <c r="B10" s="12" t="inlineStr">
        <is>
          <t>Selling costs</t>
        </is>
      </c>
      <c r="C10" s="11" t="inlineStr">
        <is>
          <t>$m</t>
        </is>
      </c>
      <c r="D10" s="36">
        <f>'Exit'!$C$22</f>
        <v/>
      </c>
      <c r="E10" s="49" t="n">
        <v>4.156452385950602</v>
      </c>
      <c r="F10" s="36">
        <f>D10-E10</f>
        <v/>
      </c>
    </row>
    <row r="11">
      <c r="B11" s="12" t="inlineStr">
        <is>
          <t>Exit equity (before the management pool)</t>
        </is>
      </c>
      <c r="C11" s="11" t="inlineStr">
        <is>
          <t>$m</t>
        </is>
      </c>
      <c r="D11" s="36">
        <f>'Exit'!$C$23</f>
        <v/>
      </c>
      <c r="E11" s="49" t="n">
        <v>149.7403220653367</v>
      </c>
      <c r="F11" s="36">
        <f>D11-E11</f>
        <v/>
      </c>
    </row>
    <row r="12">
      <c r="B12" s="12" t="inlineStr">
        <is>
          <t>To the common equity</t>
        </is>
      </c>
      <c r="C12" s="11" t="inlineStr">
        <is>
          <t>$m</t>
        </is>
      </c>
      <c r="D12" s="36">
        <f>'Exit'!$C$34</f>
        <v/>
      </c>
      <c r="E12" s="49" t="n">
        <v>144.5819583807672</v>
      </c>
      <c r="F12" s="36">
        <f>D12-E12</f>
        <v/>
      </c>
    </row>
    <row r="13">
      <c r="B13" s="12" t="inlineStr">
        <is>
          <t>Sponsor IRR</t>
        </is>
      </c>
      <c r="C13" s="11" t="inlineStr">
        <is>
          <t>%</t>
        </is>
      </c>
      <c r="D13" s="39">
        <f>'Exit'!$C$37</f>
        <v/>
      </c>
      <c r="E13" s="50" t="n">
        <v>0.156782569679275</v>
      </c>
      <c r="F13" s="51">
        <f>D13-E13</f>
        <v/>
      </c>
    </row>
    <row r="14">
      <c r="B14" s="12" t="inlineStr">
        <is>
          <t>The CFO's total</t>
        </is>
      </c>
      <c r="C14" s="11" t="inlineStr">
        <is>
          <t>$m</t>
        </is>
      </c>
      <c r="D14" s="36">
        <f>'Exit'!$C$42</f>
        <v/>
      </c>
      <c r="E14" s="49" t="n">
        <v>1.395166981256057</v>
      </c>
      <c r="F14" s="36">
        <f>D14-E14</f>
        <v/>
      </c>
    </row>
    <row r="15">
      <c r="B15" s="12" t="inlineStr">
        <is>
          <t>Lowest covenant headroom, years 3 and 4</t>
        </is>
      </c>
      <c r="C15" s="11" t="inlineStr">
        <is>
          <t>%</t>
        </is>
      </c>
      <c r="D15" s="39">
        <f>MIN('Quarterly'!$M$146:$T$146)</f>
        <v/>
      </c>
      <c r="E15" s="50" t="n">
        <v>0.07813108224680154</v>
      </c>
      <c r="F15" s="51">
        <f>D15-E15</f>
        <v/>
      </c>
    </row>
    <row r="16">
      <c r="B16" s="12" t="inlineStr">
        <is>
          <t>Net debt, year 3 Q2</t>
        </is>
      </c>
      <c r="C16" s="11" t="inlineStr">
        <is>
          <t>$m</t>
        </is>
      </c>
      <c r="D16" s="36">
        <f>'Quarterly'!$N$144</f>
        <v/>
      </c>
      <c r="E16" s="49" t="n">
        <v>85.17454419686074</v>
      </c>
      <c r="F16" s="36">
        <f>D16-E16</f>
        <v/>
      </c>
    </row>
    <row r="17"/>
    <row r="18" ht="42.59999999999999" customHeight="1">
      <c r="A18" s="3" t="n"/>
      <c r="B18" s="28" t="inlineStr">
        <is>
          <t>Reference: the book's lever table (Actual case, each lever alone, from year 1)</t>
        </is>
      </c>
      <c r="C18" s="29" t="inlineStr">
        <is>
          <t>Set on Inputs</t>
        </is>
      </c>
      <c r="D18" s="29" t="inlineStr">
        <is>
          <t>Year-5 EBITDA change</t>
        </is>
      </c>
      <c r="E18" s="29" t="inlineStr">
        <is>
          <t>Exit value change</t>
        </is>
      </c>
      <c r="F18" s="29" t="inlineStr">
        <is>
          <t>Exit net debt change</t>
        </is>
      </c>
      <c r="G18" s="29" t="inlineStr">
        <is>
          <t>Exit equity change</t>
        </is>
      </c>
      <c r="H18" s="29" t="inlineStr">
        <is>
          <t>Sponsor IRR change (points)</t>
        </is>
      </c>
      <c r="I18" s="29" t="inlineStr">
        <is>
          <t>Lowest headroom, years 3-4</t>
        </is>
      </c>
    </row>
    <row r="19">
      <c r="B19" s="12" t="inlineStr">
        <is>
          <t>Price up 1% on the platform from year 1, volumes and purchases unchanged</t>
        </is>
      </c>
      <c r="C19" s="11" t="inlineStr">
        <is>
          <t>Price change = 1.00%</t>
        </is>
      </c>
      <c r="D19" s="49" t="n">
        <v>1.88728934688001</v>
      </c>
      <c r="E19" s="52" t="n">
        <v>16.98560412192009</v>
      </c>
      <c r="F19" s="52" t="n">
        <v>-8.423230228293349</v>
      </c>
      <c r="G19" s="52" t="n">
        <v>25.06912226777504</v>
      </c>
      <c r="H19" s="53" t="n">
        <v>2.99720244079078</v>
      </c>
      <c r="I19" s="50" t="n">
        <v>0.2267962096068207</v>
      </c>
    </row>
    <row r="20">
      <c r="B20" s="12" t="inlineStr">
        <is>
          <t>Purchase cost down 0.5 points of platform revenue from year 1</t>
        </is>
      </c>
      <c r="C20" s="11" t="inlineStr">
        <is>
          <t>Purchase cost change = -0.50%</t>
        </is>
      </c>
      <c r="D20" s="49" t="n">
        <v>1.00518671735999</v>
      </c>
      <c r="E20" s="52" t="n">
        <v>9.046680456239898</v>
      </c>
      <c r="F20" s="52" t="n">
        <v>-4.910336040776585</v>
      </c>
      <c r="G20" s="52" t="n">
        <v>13.77608288789168</v>
      </c>
      <c r="H20" s="53" t="n">
        <v>1.714607735960016</v>
      </c>
      <c r="I20" s="50" t="n">
        <v>0.1659173094096456</v>
      </c>
    </row>
    <row r="21">
      <c r="B21" s="12" t="inlineStr">
        <is>
          <t>Fixed overhead down $1.0 million a year from year 1</t>
        </is>
      </c>
      <c r="C21" s="11" t="inlineStr">
        <is>
          <t>Fixed overhead change = -1.00</t>
        </is>
      </c>
      <c r="D21" s="49" t="n">
        <v>1</v>
      </c>
      <c r="E21" s="52" t="n">
        <v>9</v>
      </c>
      <c r="F21" s="52" t="n">
        <v>-5.040462933174751</v>
      </c>
      <c r="G21" s="52" t="n">
        <v>13.86046293317477</v>
      </c>
      <c r="H21" s="53" t="n">
        <v>1.724553083437264</v>
      </c>
      <c r="I21" s="50" t="n">
        <v>0.1707175648743272</v>
      </c>
    </row>
    <row r="22">
      <c r="B22" s="12" t="inlineStr">
        <is>
          <t>Receivables collected 5 days faster from year 1</t>
        </is>
      </c>
      <c r="C22" s="11" t="inlineStr">
        <is>
          <t>Receivable days change = -5</t>
        </is>
      </c>
      <c r="D22" s="49" t="n">
        <v>0</v>
      </c>
      <c r="E22" s="52" t="n">
        <v>0</v>
      </c>
      <c r="F22" s="52" t="n">
        <v>-3.446187300777531</v>
      </c>
      <c r="G22" s="52" t="n">
        <v>3.446187300777524</v>
      </c>
      <c r="H22" s="53" t="n">
        <v>0.4465270711248248</v>
      </c>
      <c r="I22" s="50" t="n">
        <v>0.1157650044251074</v>
      </c>
    </row>
    <row r="23">
      <c r="B23" s="12" t="inlineStr">
        <is>
          <t>Inventory held 10 days less from year 1</t>
        </is>
      </c>
      <c r="C23" s="11" t="inlineStr">
        <is>
          <t>Inventory days change = -10</t>
        </is>
      </c>
      <c r="D23" s="49" t="n">
        <v>0</v>
      </c>
      <c r="E23" s="52" t="n">
        <v>0</v>
      </c>
      <c r="F23" s="52" t="n">
        <v>-5.077771035531043</v>
      </c>
      <c r="G23" s="52" t="n">
        <v>5.077771035531043</v>
      </c>
      <c r="H23" s="53" t="n">
        <v>0.653703151828422</v>
      </c>
      <c r="I23" s="50" t="n">
        <v>0.1338321911919624</v>
      </c>
    </row>
    <row r="24">
      <c r="B24" s="12" t="inlineStr">
        <is>
          <t>Suppliers paid 5 days later from year 1</t>
        </is>
      </c>
      <c r="C24" s="11" t="inlineStr">
        <is>
          <t>Payable days change = +5</t>
        </is>
      </c>
      <c r="D24" s="49" t="n">
        <v>0</v>
      </c>
      <c r="E24" s="52" t="n">
        <v>0</v>
      </c>
      <c r="F24" s="52" t="n">
        <v>-2.549598999111737</v>
      </c>
      <c r="G24" s="52" t="n">
        <v>2.549598999111709</v>
      </c>
      <c r="H24" s="53" t="n">
        <v>0.3315334418417137</v>
      </c>
      <c r="I24" s="50" t="n">
        <v>0.1061009616355187</v>
      </c>
    </row>
    <row r="25">
      <c r="B25" s="12" t="inlineStr">
        <is>
          <t>Routine capex down 0.2 points of revenue from year 1</t>
        </is>
      </c>
      <c r="C25" s="11" t="inlineStr">
        <is>
          <t>Routine capex change = -0.20%</t>
        </is>
      </c>
      <c r="D25" s="49" t="n">
        <v>0</v>
      </c>
      <c r="E25" s="52" t="n">
        <v>0</v>
      </c>
      <c r="F25" s="52" t="n">
        <v>-2.528596274885381</v>
      </c>
      <c r="G25" s="52" t="n">
        <v>2.528596274885359</v>
      </c>
      <c r="H25" s="53" t="n">
        <v>0.3288298582713844</v>
      </c>
      <c r="I25" s="50" t="n">
        <v>0.09667744261000466</v>
      </c>
    </row>
  </sheetData>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2:D23"/>
  <sheetViews>
    <sheetView showGridLines="0" tabSelected="0" zoomScale="100" workbookViewId="0">
      <selection activeCell="A1" sqref="A1"/>
    </sheetView>
  </sheetViews>
  <sheetFormatPr baseColWidth="8" defaultRowHeight="15"/>
  <cols>
    <col width="3.428571428571428" customWidth="1" min="1" max="1"/>
    <col width="58" customWidth="1" min="2" max="2"/>
    <col width="12" customWidth="1" min="3" max="3"/>
    <col width="10" customWidth="1" min="4" max="4"/>
  </cols>
  <sheetData>
    <row r="1" ht="18" customHeight="1"/>
    <row r="2" ht="18" customHeight="1">
      <c r="B2" s="1" t="inlineStr">
        <is>
          <t>Kittering</t>
        </is>
      </c>
    </row>
    <row r="3">
      <c r="B3" s="7" t="inlineStr">
        <is>
          <t>The interview case of Chapter 17: Kittering Labels (fictional), on its own inputs, by formula.</t>
        </is>
      </c>
    </row>
    <row r="4"/>
    <row r="5">
      <c r="B5" s="8" t="inlineStr">
        <is>
          <t>Kittering Labels: the facts given</t>
        </is>
      </c>
      <c r="C5" s="9" t="inlineStr">
        <is>
          <t>Value</t>
        </is>
      </c>
      <c r="D5" s="8" t="inlineStr">
        <is>
          <t>Unit</t>
        </is>
      </c>
    </row>
    <row r="6">
      <c r="B6" s="12" t="inlineStr">
        <is>
          <t>Revenue</t>
        </is>
      </c>
      <c r="C6" s="15" t="n">
        <v>80</v>
      </c>
      <c r="D6" s="11" t="inlineStr">
        <is>
          <t>$m</t>
        </is>
      </c>
    </row>
    <row r="7">
      <c r="B7" s="12" t="inlineStr">
        <is>
          <t>LTM covenant EBITDA</t>
        </is>
      </c>
      <c r="C7" s="15" t="n">
        <v>10</v>
      </c>
      <c r="D7" s="11" t="inlineStr">
        <is>
          <t>$m</t>
        </is>
      </c>
    </row>
    <row r="8">
      <c r="B8" s="12" t="inlineStr">
        <is>
          <t>Net debt</t>
        </is>
      </c>
      <c r="C8" s="15" t="n">
        <v>48</v>
      </c>
      <c r="D8" s="11" t="inlineStr">
        <is>
          <t>$m</t>
        </is>
      </c>
    </row>
    <row r="9">
      <c r="B9" s="12" t="inlineStr">
        <is>
          <t>Maximum net leverage</t>
        </is>
      </c>
      <c r="C9" s="19" t="n">
        <v>5.5</v>
      </c>
      <c r="D9" s="11" t="inlineStr">
        <is>
          <t>x</t>
        </is>
      </c>
    </row>
    <row r="10">
      <c r="B10" s="12" t="inlineStr">
        <is>
          <t>Receivable days</t>
        </is>
      </c>
      <c r="C10" s="16" t="n">
        <v>60</v>
      </c>
      <c r="D10" s="11" t="inlineStr">
        <is>
          <t>days</t>
        </is>
      </c>
    </row>
    <row r="11">
      <c r="B11" s="12" t="inlineStr">
        <is>
          <t>Fall in EBITDA tested</t>
        </is>
      </c>
      <c r="C11" s="18" t="n">
        <v>0.15</v>
      </c>
      <c r="D11" s="11" t="inlineStr">
        <is>
          <t>%</t>
        </is>
      </c>
    </row>
    <row r="12"/>
    <row r="13">
      <c r="B13" s="8" t="inlineStr">
        <is>
          <t>The answers</t>
        </is>
      </c>
      <c r="C13" s="9" t="inlineStr">
        <is>
          <t>Value</t>
        </is>
      </c>
      <c r="D13" s="8" t="inlineStr">
        <is>
          <t>Unit</t>
        </is>
      </c>
    </row>
    <row r="14">
      <c r="B14" s="12" t="inlineStr">
        <is>
          <t>Net leverage (net debt / EBITDA)</t>
        </is>
      </c>
      <c r="C14" s="40">
        <f>'Kittering'!$C$8/'Kittering'!$C$7</f>
        <v/>
      </c>
      <c r="D14" s="11" t="inlineStr">
        <is>
          <t>x</t>
        </is>
      </c>
    </row>
    <row r="15">
      <c r="B15" s="5" t="inlineStr">
        <is>
          <t>Headroom (1 - leverage / maximum)</t>
        </is>
      </c>
      <c r="C15" s="44">
        <f>1-C14/'Kittering'!$C$9</f>
        <v/>
      </c>
      <c r="D15" s="37" t="inlineStr">
        <is>
          <t>%</t>
        </is>
      </c>
    </row>
    <row r="16">
      <c r="B16" s="12" t="inlineStr">
        <is>
          <t>Breach EBITDA (net debt / maximum)</t>
        </is>
      </c>
      <c r="C16" s="36">
        <f>'Kittering'!$C$8/'Kittering'!$C$9</f>
        <v/>
      </c>
      <c r="D16" s="11" t="inlineStr">
        <is>
          <t>$m</t>
        </is>
      </c>
    </row>
    <row r="17">
      <c r="B17" s="12" t="inlineStr">
        <is>
          <t>EBITDA can fall by</t>
        </is>
      </c>
      <c r="C17" s="39">
        <f>1-C16/'Kittering'!$C$7</f>
        <v/>
      </c>
      <c r="D17" s="11" t="inlineStr">
        <is>
          <t>%</t>
        </is>
      </c>
    </row>
    <row r="18">
      <c r="B18" s="12" t="inlineStr">
        <is>
          <t>EBITDA after the fall</t>
        </is>
      </c>
      <c r="C18" s="36">
        <f>'Kittering'!$C$7*(1-'Kittering'!$C$11)</f>
        <v/>
      </c>
      <c r="D18" s="11" t="inlineStr">
        <is>
          <t>$m</t>
        </is>
      </c>
    </row>
    <row r="19">
      <c r="B19" s="12" t="inlineStr">
        <is>
          <t>Leverage after the fall</t>
        </is>
      </c>
      <c r="C19" s="40">
        <f>'Kittering'!$C$8/C18</f>
        <v/>
      </c>
      <c r="D19" s="11" t="inlineStr">
        <is>
          <t>x</t>
        </is>
      </c>
    </row>
    <row r="20">
      <c r="B20" s="12" t="inlineStr">
        <is>
          <t>Result after the fall</t>
        </is>
      </c>
      <c r="C20" s="45">
        <f>IF(C19&gt;'Kittering'!$C$9,"Breach","Pass")</f>
        <v/>
      </c>
      <c r="D20" s="11" t="inlineStr"/>
    </row>
    <row r="21">
      <c r="B21" s="5" t="inlineStr">
        <is>
          <t>Debt reduction needed (net debt - maximum x EBITDA)</t>
        </is>
      </c>
      <c r="C21" s="38">
        <f>'Kittering'!$C$8-'Kittering'!$C$9*C18</f>
        <v/>
      </c>
      <c r="D21" s="37" t="inlineStr">
        <is>
          <t>$m</t>
        </is>
      </c>
    </row>
    <row r="22">
      <c r="B22" s="12" t="inlineStr">
        <is>
          <t>One day of receivables (revenue / 365)</t>
        </is>
      </c>
      <c r="C22" s="42">
        <f>'Kittering'!$C$6/365</f>
        <v/>
      </c>
      <c r="D22" s="11" t="inlineStr">
        <is>
          <t>$m</t>
        </is>
      </c>
    </row>
    <row r="23">
      <c r="B23" s="5" t="inlineStr">
        <is>
          <t>Days of collections needed to fund it</t>
        </is>
      </c>
      <c r="C23" s="54">
        <f>C21/C22</f>
        <v/>
      </c>
      <c r="D23" s="37" t="inlineStr">
        <is>
          <t>days</t>
        </is>
      </c>
    </row>
  </sheetData>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2:K117"/>
  <sheetViews>
    <sheetView showGridLines="0" tabSelected="0" zoomScale="100" workbookViewId="0">
      <selection activeCell="A1" sqref="A1"/>
    </sheetView>
  </sheetViews>
  <sheetFormatPr baseColWidth="8" defaultRowHeight="15"/>
  <cols>
    <col width="3.428571428571428" customWidth="1" min="1" max="1"/>
    <col width="5" customWidth="1" min="2" max="2"/>
    <col width="92" customWidth="1" min="3" max="3"/>
    <col width="12" customWidth="1" min="4" max="4"/>
    <col width="12" customWidth="1" min="5" max="5"/>
    <col width="12" customWidth="1" min="6" max="6"/>
    <col width="26" customWidth="1" min="7" max="7"/>
    <col width="12" customWidth="1" min="8" max="8"/>
    <col width="12" customWidth="1" min="9" max="9"/>
    <col width="11" customWidth="1" min="10" max="10"/>
    <col width="9" customWidth="1" min="11" max="11"/>
  </cols>
  <sheetData>
    <row r="1" ht="18" customHeight="1"/>
    <row r="2" ht="18" customHeight="1">
      <c r="B2" s="1" t="inlineStr">
        <is>
          <t>Checks</t>
        </is>
      </c>
    </row>
    <row r="3">
      <c r="B3" s="7" t="inlineStr">
        <is>
          <t>Mechanical checks hold whatever the inputs. Book figures are compared with the selected case when the levers are at zero, the exit quarter is 20 and there is no multiple override or haircut.</t>
        </is>
      </c>
    </row>
    <row r="4"/>
    <row r="5">
      <c r="B5" s="8" t="inlineStr">
        <is>
          <t>#</t>
        </is>
      </c>
      <c r="C5" s="8" t="inlineStr">
        <is>
          <t>Mechanical check</t>
        </is>
      </c>
      <c r="D5" s="9" t="inlineStr">
        <is>
          <t>Value</t>
        </is>
      </c>
      <c r="E5" s="9" t="inlineStr">
        <is>
          <t>Target</t>
        </is>
      </c>
      <c r="F5" s="9" t="inlineStr">
        <is>
          <t>Tolerance</t>
        </is>
      </c>
      <c r="G5" s="9" t="inlineStr">
        <is>
          <t>Status</t>
        </is>
      </c>
    </row>
    <row r="6" ht="29.4" customHeight="1">
      <c r="A6" s="3" t="n"/>
      <c r="B6" s="55" t="n">
        <v>1</v>
      </c>
      <c r="C6" s="4" t="inlineStr">
        <is>
          <t>Cash identity, every quarter: change in net debt = - free cash flow + add-on price - cure (sum of absolute gaps)</t>
        </is>
      </c>
      <c r="D6" s="56">
        <f>SUMPRODUCT(ABS(('Quarterly'!$E$144:$AB$144-'Quarterly'!$D$144:$AA$144)-(-'Quarterly'!$E$103:$AB$103+'Quarterly'!$E$108:$AB$108-'Quarterly'!$E$137:$AB$137)))</f>
        <v/>
      </c>
      <c r="E6" s="56">
        <f>0</f>
        <v/>
      </c>
      <c r="F6" s="56">
        <f>1E-06</f>
        <v/>
      </c>
      <c r="G6" s="57">
        <f>ABS(D6-E6)&lt;=F6</f>
        <v/>
      </c>
      <c r="H6" s="3" t="n"/>
      <c r="I6" s="3" t="n"/>
      <c r="J6" s="3" t="n"/>
      <c r="K6" s="3" t="n"/>
    </row>
    <row r="7" ht="29.4" customHeight="1">
      <c r="A7" s="3" t="n"/>
      <c r="B7" s="55" t="n">
        <v>2</v>
      </c>
      <c r="C7" s="4" t="inlineStr">
        <is>
          <t>Receipts identity, every quarter: receipts - payments - costs + rebates collected + peg = free cash flow</t>
        </is>
      </c>
      <c r="D7" s="56">
        <f>SUMPRODUCT(ABS('Quarterly'!$E$104:$AB$104-'Quarterly'!$E$105:$AB$105-'Quarterly'!$E$68:$AB$68-'Quarterly'!$E$71:$AB$71-'Quarterly'!$E$91:$AB$91-'Quarterly'!$E$101:$AB$101-'Quarterly'!$E$98:$AB$98+'Quarterly'!$E$87:$AB$87+'Quarterly'!$E$102:$AB$102-'Quarterly'!$E$103:$AB$103))</f>
        <v/>
      </c>
      <c r="E7" s="56">
        <f>0</f>
        <v/>
      </c>
      <c r="F7" s="56">
        <f>1E-06</f>
        <v/>
      </c>
      <c r="G7" s="57">
        <f>ABS(D7-E7)&lt;=F7</f>
        <v/>
      </c>
      <c r="H7" s="3" t="n"/>
      <c r="I7" s="3" t="n"/>
      <c r="J7" s="3" t="n"/>
      <c r="K7" s="3" t="n"/>
    </row>
    <row r="8" ht="29.4" customHeight="1">
      <c r="A8" s="3" t="n"/>
      <c r="B8" s="55" t="n">
        <v>3</v>
      </c>
      <c r="C8" s="4" t="inlineStr">
        <is>
          <t>Working capital identity, every quarter: change in net working capital = increase excluding rebates + rebates not collected + acquired</t>
        </is>
      </c>
      <c r="D8" s="56">
        <f>SUMPRODUCT(ABS(('Quarterly'!$E$83:$AB$83-'Quarterly'!$D$83:$AA$83)-('Quarterly'!$E$86:$AB$86+'Quarterly'!$E$88:$AB$88+'Quarterly'!$E$84:$AB$84+'Quarterly'!$E$85:$AB$85)))</f>
        <v/>
      </c>
      <c r="E8" s="56">
        <f>0</f>
        <v/>
      </c>
      <c r="F8" s="56">
        <f>1E-06</f>
        <v/>
      </c>
      <c r="G8" s="57">
        <f>ABS(D8-E8)&lt;=F8</f>
        <v/>
      </c>
      <c r="H8" s="3" t="n"/>
      <c r="I8" s="3" t="n"/>
      <c r="J8" s="3" t="n"/>
      <c r="K8" s="3" t="n"/>
    </row>
    <row r="9">
      <c r="B9" s="46" t="n">
        <v>4</v>
      </c>
      <c r="C9" s="12" t="inlineStr">
        <is>
          <t>Revolver never above its commitment (largest balance, $m)</t>
        </is>
      </c>
      <c r="D9" s="36">
        <f>MAX('Quarterly'!$E$142:$AB$142)</f>
        <v/>
      </c>
      <c r="E9" s="36">
        <f>'Inputs'!$C$54</f>
        <v/>
      </c>
      <c r="F9" s="58">
        <f>1E-09</f>
        <v/>
      </c>
      <c r="G9" s="13">
        <f>D9&lt;=E9+F9</f>
        <v/>
      </c>
    </row>
    <row r="10">
      <c r="B10" s="46" t="n">
        <v>5</v>
      </c>
      <c r="C10" s="12" t="inlineStr">
        <is>
          <t>Cash never below the minimum (lowest balance, $m)</t>
        </is>
      </c>
      <c r="D10" s="36">
        <f>MIN('Quarterly'!$E$143:$AB$143)</f>
        <v/>
      </c>
      <c r="E10" s="36">
        <f>'Inputs'!$C$61</f>
        <v/>
      </c>
      <c r="F10" s="58">
        <f>1E-09</f>
        <v/>
      </c>
      <c r="G10" s="13">
        <f>D10&gt;=E10-F10</f>
        <v/>
      </c>
    </row>
    <row r="11">
      <c r="B11" s="46" t="n">
        <v>6</v>
      </c>
      <c r="C11" s="12" t="inlineStr">
        <is>
          <t>No breach left after a cure (number of quarters with leverage above the covenant)</t>
        </is>
      </c>
      <c r="D11" s="24">
        <f>SUMPRODUCT(--('Quarterly'!$E$145:$AB$145&gt;'Quarterly'!$E$134:$AB$134+1E-9))</f>
        <v/>
      </c>
      <c r="E11" s="24">
        <f>0</f>
        <v/>
      </c>
      <c r="F11" s="58">
        <f>0</f>
        <v/>
      </c>
      <c r="G11" s="13">
        <f>ABS(D11-E11)&lt;=F11</f>
        <v/>
      </c>
    </row>
    <row r="12">
      <c r="B12" s="46" t="n">
        <v>7</v>
      </c>
      <c r="C12" s="12" t="inlineStr">
        <is>
          <t>Term loan never negative (lowest balance, $m)</t>
        </is>
      </c>
      <c r="D12" s="36">
        <f>MIN('Quarterly'!$E$140:$AB$140)</f>
        <v/>
      </c>
      <c r="E12" s="36">
        <f>0</f>
        <v/>
      </c>
      <c r="F12" s="58">
        <f>1E-09</f>
        <v/>
      </c>
      <c r="G12" s="13">
        <f>D12&gt;=E12-F12</f>
        <v/>
      </c>
    </row>
    <row r="13">
      <c r="B13" s="46" t="n">
        <v>8</v>
      </c>
      <c r="C13" s="12" t="inlineStr">
        <is>
          <t>Annual summary: revenue over six years = sum of the quarters</t>
        </is>
      </c>
      <c r="D13" s="36">
        <f>SUM('Quarterly'!$E$150:$J$150)</f>
        <v/>
      </c>
      <c r="E13" s="36">
        <f>SUM('Quarterly'!$E$45:$AB$45)</f>
        <v/>
      </c>
      <c r="F13" s="58">
        <f>1E-06</f>
        <v/>
      </c>
      <c r="G13" s="13">
        <f>ABS(D13-E13)&lt;=F13</f>
        <v/>
      </c>
    </row>
    <row r="14">
      <c r="B14" s="46" t="n">
        <v>9</v>
      </c>
      <c r="C14" s="12" t="inlineStr">
        <is>
          <t>Annual summary: free cash flow over six years = sum of the quarters</t>
        </is>
      </c>
      <c r="D14" s="36">
        <f>SUM('Quarterly'!$E$160:$J$160)</f>
        <v/>
      </c>
      <c r="E14" s="36">
        <f>SUM('Quarterly'!$E$103:$AB$103)</f>
        <v/>
      </c>
      <c r="F14" s="58">
        <f>1E-06</f>
        <v/>
      </c>
      <c r="G14" s="13">
        <f>ABS(D14-E14)&lt;=F14</f>
        <v/>
      </c>
    </row>
    <row r="15">
      <c r="B15" s="46" t="n">
        <v>10</v>
      </c>
      <c r="C15" s="12" t="inlineStr">
        <is>
          <t>Covenant tab: the certificate lines add up to covenant EBITDA</t>
        </is>
      </c>
      <c r="D15" s="36">
        <f>'Covenant'!$C$11+'Covenant'!$C$12+'Covenant'!$C$13+'Covenant'!$C$14+'Covenant'!$C$15+'Covenant'!$C$16</f>
        <v/>
      </c>
      <c r="E15" s="36">
        <f>'Covenant'!$C$17</f>
        <v/>
      </c>
      <c r="F15" s="58">
        <f>1E-06</f>
        <v/>
      </c>
      <c r="G15" s="13">
        <f>ABS(D15-E15)&lt;=F15</f>
        <v/>
      </c>
    </row>
    <row r="16">
      <c r="B16" s="46" t="n">
        <v>11</v>
      </c>
      <c r="C16" s="12" t="inlineStr">
        <is>
          <t>Covenant tab: the debt lines add up to net debt</t>
        </is>
      </c>
      <c r="D16" s="36">
        <f>'Covenant'!$C$20+'Covenant'!$C$21+'Covenant'!$C$22-'Covenant'!$C$23</f>
        <v/>
      </c>
      <c r="E16" s="36">
        <f>'Covenant'!$C$24</f>
        <v/>
      </c>
      <c r="F16" s="58">
        <f>1E-06</f>
        <v/>
      </c>
      <c r="G16" s="13">
        <f>ABS(D16-E16)&lt;=F16</f>
        <v/>
      </c>
    </row>
    <row r="17">
      <c r="B17" s="46" t="n">
        <v>12</v>
      </c>
      <c r="C17" s="12" t="inlineStr">
        <is>
          <t>13 Week: the weekly net flows add up to the quarter's flows</t>
        </is>
      </c>
      <c r="D17" s="36">
        <f>SUM('13 Week'!$K$37:$K$49)</f>
        <v/>
      </c>
      <c r="E17" s="36">
        <f>'13 Week'!$C$13-'13 Week'!$C$14-'13 Week'!$C$15-'13 Week'!$C$19-'13 Week'!$C$20-'13 Week'!$C$21-'13 Week'!$C$22-'13 Week'!$C$23+'13 Week'!$C$31+'13 Week'!$C$34+'13 Week'!$C$20*'13 Week'!$C$9*(13-'Inputs'!$C$119+1)/13</f>
        <v/>
      </c>
      <c r="F17" s="58">
        <f>1E-06</f>
        <v/>
      </c>
      <c r="G17" s="13">
        <f>ABS(D17-E17)&lt;=F17</f>
        <v/>
      </c>
    </row>
    <row r="18" ht="29.4" customHeight="1">
      <c r="A18" s="3" t="n"/>
      <c r="B18" s="55" t="n">
        <v>13</v>
      </c>
      <c r="C18" s="4" t="inlineStr">
        <is>
          <t>13 Week: quarter-end cash less revolver = Quarterly tab (no lever; Q2 or Q3 outside the acquisition quarter; else 0)</t>
        </is>
      </c>
      <c r="D18" s="56">
        <f>IF(AND('13 Week'!$C$7=0,'13 Week'!$C$8=0,'13 Week'!$C$9=0,OR('13 Week'!$C$6-4*INT(('13 Week'!$C$6-1)/4)=2,'13 Week'!$C$6-4*INT(('13 Week'!$C$6-1)/4)=3),'13 Week'!$C$6&lt;&gt;'Inputs'!$C$103),('13 Week'!$C$54-'13 Week'!$C$55)-(INDEX('Quarterly'!$E$143:$AB$143,'13 Week'!$C$6)-INDEX('Quarterly'!$E$142:$AB$142,'13 Week'!$C$6)),0)</f>
        <v/>
      </c>
      <c r="E18" s="56">
        <f>0</f>
        <v/>
      </c>
      <c r="F18" s="56">
        <f>1E-06</f>
        <v/>
      </c>
      <c r="G18" s="57">
        <f>ABS(D18-E18)&lt;=F18</f>
        <v/>
      </c>
      <c r="H18" s="3" t="n"/>
      <c r="I18" s="3" t="n"/>
      <c r="J18" s="3" t="n"/>
      <c r="K18" s="3" t="n"/>
    </row>
    <row r="19">
      <c r="B19" s="46" t="n">
        <v>14</v>
      </c>
      <c r="C19" s="12" t="inlineStr">
        <is>
          <t>Exit: the value bridge returns the exit equity</t>
        </is>
      </c>
      <c r="D19" s="58">
        <f>'Exit'!$C$52</f>
        <v/>
      </c>
      <c r="E19" s="58">
        <f>0</f>
        <v/>
      </c>
      <c r="F19" s="58">
        <f>1E-06</f>
        <v/>
      </c>
      <c r="G19" s="13">
        <f>ABS(D19-E19)&lt;=F19</f>
        <v/>
      </c>
    </row>
    <row r="20">
      <c r="B20" s="46" t="n">
        <v>15</v>
      </c>
      <c r="C20" s="12" t="inlineStr">
        <is>
          <t>Exit: equity = enterprise value - net debt - selling costs</t>
        </is>
      </c>
      <c r="D20" s="36">
        <f>'Exit'!$C$19-'Exit'!$C$21-'Exit'!$C$22</f>
        <v/>
      </c>
      <c r="E20" s="36">
        <f>'Exit'!$C$23</f>
        <v/>
      </c>
      <c r="F20" s="58">
        <f>1E-06</f>
        <v/>
      </c>
      <c r="G20" s="13">
        <f>ABS(D20-E20)&lt;=F20</f>
        <v/>
      </c>
    </row>
    <row r="21">
      <c r="B21" s="46" t="n">
        <v>16</v>
      </c>
      <c r="C21" s="12" t="inlineStr">
        <is>
          <t>Exit: the annual IRR discounts the sponsor's flows to zero (NPV at the IRR, $m)</t>
        </is>
      </c>
      <c r="D21" s="58">
        <f>NPV('Exit'!$C$36,'Exit'!$D$55:$AA$55)+'Exit'!$C$55</f>
        <v/>
      </c>
      <c r="E21" s="58">
        <f>0</f>
        <v/>
      </c>
      <c r="F21" s="58">
        <f>1E-06</f>
        <v/>
      </c>
      <c r="G21" s="13">
        <f>ABS(D21-E21)&lt;=F21</f>
        <v/>
      </c>
    </row>
    <row r="22">
      <c r="B22" s="46" t="n">
        <v>17</v>
      </c>
      <c r="C22" s="12" t="inlineStr">
        <is>
          <t>Kittering: the debt reduction brings leverage back to the maximum</t>
        </is>
      </c>
      <c r="D22" s="40">
        <f>('Kittering'!$C$8-'Kittering'!$C$21)/'Kittering'!$C$18</f>
        <v/>
      </c>
      <c r="E22" s="40">
        <f>'Kittering'!$C$9</f>
        <v/>
      </c>
      <c r="F22" s="58">
        <f>1E-06</f>
        <v/>
      </c>
      <c r="G22" s="13">
        <f>ABS(D22-E22)&lt;=F22</f>
        <v/>
      </c>
    </row>
    <row r="23">
      <c r="B23" s="46" t="n">
        <v>18</v>
      </c>
      <c r="C23" s="12" t="inlineStr">
        <is>
          <t>Inputs: seasonal weights add to 100%</t>
        </is>
      </c>
      <c r="D23" s="39">
        <f>SUM('Inputs'!$C$46:$F$46)</f>
        <v/>
      </c>
      <c r="E23" s="39">
        <f>1</f>
        <v/>
      </c>
      <c r="F23" s="58">
        <f>1E-09</f>
        <v/>
      </c>
      <c r="G23" s="13">
        <f>ABS(D23-E23)&lt;=F23</f>
        <v/>
      </c>
    </row>
    <row r="24"/>
    <row r="25" ht="42.59999999999999" customHeight="1">
      <c r="A25" s="3" t="n"/>
      <c r="B25" s="28" t="inlineStr">
        <is>
          <t>#</t>
        </is>
      </c>
      <c r="C25" s="28" t="inlineStr">
        <is>
          <t>Book figure (as printed; reference values in dark gold)</t>
        </is>
      </c>
      <c r="D25" s="29" t="inlineStr">
        <is>
          <t>Plan</t>
        </is>
      </c>
      <c r="E25" s="29" t="inlineStr">
        <is>
          <t>Actual</t>
        </is>
      </c>
      <c r="F25" s="29" t="inlineStr">
        <is>
          <t>Severe</t>
        </is>
      </c>
      <c r="G25" s="29" t="inlineStr">
        <is>
          <t>Budget</t>
        </is>
      </c>
      <c r="H25" s="29" t="inlineStr">
        <is>
          <t>Book, selected case</t>
        </is>
      </c>
      <c r="I25" s="29" t="inlineStr">
        <is>
          <t>Live</t>
        </is>
      </c>
      <c r="J25" s="29" t="inlineStr">
        <is>
          <t>Tolerance</t>
        </is>
      </c>
      <c r="K25" s="29" t="inlineStr">
        <is>
          <t>Status</t>
        </is>
      </c>
    </row>
    <row r="26">
      <c r="B26" s="46" t="n">
        <v>1</v>
      </c>
      <c r="C26" s="12" t="inlineStr">
        <is>
          <t>Year 0: QoE EBITDA</t>
        </is>
      </c>
      <c r="D26" s="59" t="n">
        <v>15.2</v>
      </c>
      <c r="E26" s="59" t="n">
        <v>15.2</v>
      </c>
      <c r="F26" s="59" t="n">
        <v>15.2</v>
      </c>
      <c r="G26" s="59" t="n">
        <v>15.2</v>
      </c>
      <c r="H26" s="60">
        <f>IF(INDEX(D26:G26,'Inputs'!$C$6)="","",INDEX(D26:G26,'Inputs'!$C$6))</f>
        <v/>
      </c>
      <c r="I26" s="61">
        <f>'Quarterly'!$D$12</f>
        <v/>
      </c>
      <c r="J26" s="58">
        <f>0.5*10^-1+1E-9</f>
        <v/>
      </c>
      <c r="K26" s="13">
        <f>IF(OR(NOT($G$114),H26=""),"n/a",ABS(I26-H26)&lt;=J26)</f>
        <v/>
      </c>
    </row>
    <row r="27">
      <c r="B27" s="46" t="n">
        <v>2</v>
      </c>
      <c r="C27" s="12" t="inlineStr">
        <is>
          <t>Year 0: seller's adjusted EBITDA</t>
        </is>
      </c>
      <c r="D27" s="59" t="n">
        <v>16.5</v>
      </c>
      <c r="E27" s="59" t="n">
        <v>16.5</v>
      </c>
      <c r="F27" s="59" t="n">
        <v>16.5</v>
      </c>
      <c r="G27" s="59" t="n">
        <v>16.5</v>
      </c>
      <c r="H27" s="60">
        <f>IF(INDEX(D27:G27,'Inputs'!$C$6)="","",INDEX(D27:G27,'Inputs'!$C$6))</f>
        <v/>
      </c>
      <c r="I27" s="61">
        <f>'Quarterly'!$D$13</f>
        <v/>
      </c>
      <c r="J27" s="58">
        <f>0.5*10^-1+1E-9</f>
        <v/>
      </c>
      <c r="K27" s="13">
        <f>IF(OR(NOT($G$114),H27=""),"n/a",ABS(I27-H27)&lt;=J27)</f>
        <v/>
      </c>
    </row>
    <row r="28">
      <c r="B28" s="46" t="n">
        <v>3</v>
      </c>
      <c r="C28" s="12" t="inlineStr">
        <is>
          <t>Entry enterprise value</t>
        </is>
      </c>
      <c r="D28" s="59" t="n">
        <v>136.8</v>
      </c>
      <c r="E28" s="59" t="n">
        <v>136.8</v>
      </c>
      <c r="F28" s="59" t="n">
        <v>136.8</v>
      </c>
      <c r="G28" s="59" t="n">
        <v>136.8</v>
      </c>
      <c r="H28" s="60">
        <f>IF(INDEX(D28:G28,'Inputs'!$C$6)="","",INDEX(D28:G28,'Inputs'!$C$6))</f>
        <v/>
      </c>
      <c r="I28" s="61">
        <f>'Quarterly'!$D$26</f>
        <v/>
      </c>
      <c r="J28" s="58">
        <f>0.5*10^-1+1E-9</f>
        <v/>
      </c>
      <c r="K28" s="13">
        <f>IF(OR(NOT($G$114),H28=""),"n/a",ABS(I28-H28)&lt;=J28)</f>
        <v/>
      </c>
    </row>
    <row r="29">
      <c r="B29" s="46" t="n">
        <v>4</v>
      </c>
      <c r="C29" s="12" t="inlineStr">
        <is>
          <t>Sponsor equity at entry</t>
        </is>
      </c>
      <c r="D29" s="59" t="n">
        <v>69.8</v>
      </c>
      <c r="E29" s="59" t="n">
        <v>69.8</v>
      </c>
      <c r="F29" s="59" t="n">
        <v>69.8</v>
      </c>
      <c r="G29" s="59" t="n">
        <v>69.8</v>
      </c>
      <c r="H29" s="60">
        <f>IF(INDEX(D29:G29,'Inputs'!$C$6)="","",INDEX(D29:G29,'Inputs'!$C$6))</f>
        <v/>
      </c>
      <c r="I29" s="61">
        <f>'Quarterly'!$D$28</f>
        <v/>
      </c>
      <c r="J29" s="58">
        <f>0.5*10^-1+1E-9</f>
        <v/>
      </c>
      <c r="K29" s="13">
        <f>IF(OR(NOT($G$114),H29=""),"n/a",ABS(I29-H29)&lt;=J29)</f>
        <v/>
      </c>
    </row>
    <row r="30">
      <c r="B30" s="46" t="n">
        <v>5</v>
      </c>
      <c r="C30" s="12" t="inlineStr">
        <is>
          <t>Working capital at closing, as presented</t>
        </is>
      </c>
      <c r="D30" s="62" t="n">
        <v>37.97</v>
      </c>
      <c r="E30" s="62" t="n">
        <v>37.97</v>
      </c>
      <c r="F30" s="62" t="n">
        <v>37.97</v>
      </c>
      <c r="G30" s="62" t="n">
        <v>37.97</v>
      </c>
      <c r="H30" s="63">
        <f>IF(INDEX(D30:G30,'Inputs'!$C$6)="","",INDEX(D30:G30,'Inputs'!$C$6))</f>
        <v/>
      </c>
      <c r="I30" s="64">
        <f>'Quarterly'!$D$22</f>
        <v/>
      </c>
      <c r="J30" s="58">
        <f>0.5*10^-2+1E-9</f>
        <v/>
      </c>
      <c r="K30" s="13">
        <f>IF(OR(NOT($G$114),H30=""),"n/a",ABS(I30-H30)&lt;=J30)</f>
        <v/>
      </c>
    </row>
    <row r="31">
      <c r="B31" s="46" t="n">
        <v>6</v>
      </c>
      <c r="C31" s="12" t="inlineStr">
        <is>
          <t>Peg price adjustment due to the buyer</t>
        </is>
      </c>
      <c r="D31" s="62" t="n">
        <v>2.13</v>
      </c>
      <c r="E31" s="62" t="n">
        <v>2.13</v>
      </c>
      <c r="F31" s="62" t="n">
        <v>2.13</v>
      </c>
      <c r="G31" s="62" t="n">
        <v>2.13</v>
      </c>
      <c r="H31" s="63">
        <f>IF(INDEX(D31:G31,'Inputs'!$C$6)="","",INDEX(D31:G31,'Inputs'!$C$6))</f>
        <v/>
      </c>
      <c r="I31" s="64">
        <f>'Quarterly'!$D$24</f>
        <v/>
      </c>
      <c r="J31" s="58">
        <f>0.5*10^-2+1E-9</f>
        <v/>
      </c>
      <c r="K31" s="13">
        <f>IF(OR(NOT($G$114),H31=""),"n/a",ABS(I31-H31)&lt;=J31)</f>
        <v/>
      </c>
    </row>
    <row r="32">
      <c r="B32" s="46" t="n">
        <v>7</v>
      </c>
      <c r="C32" s="12" t="inlineStr">
        <is>
          <t>Opening net leverage</t>
        </is>
      </c>
      <c r="D32" s="65" t="n">
        <v>4.74</v>
      </c>
      <c r="E32" s="65" t="n">
        <v>4.74</v>
      </c>
      <c r="F32" s="65" t="n">
        <v>4.74</v>
      </c>
      <c r="G32" s="65" t="n">
        <v>4.74</v>
      </c>
      <c r="H32" s="66">
        <f>IF(INDEX(D32:G32,'Inputs'!$C$6)="","",INDEX(D32:G32,'Inputs'!$C$6))</f>
        <v/>
      </c>
      <c r="I32" s="67">
        <f>'Quarterly'!$D$31</f>
        <v/>
      </c>
      <c r="J32" s="58">
        <f>0.5*10^-2+1E-9</f>
        <v/>
      </c>
      <c r="K32" s="13">
        <f>IF(OR(NOT($G$114),H32=""),"n/a",ABS(I32-H32)&lt;=J32)</f>
        <v/>
      </c>
    </row>
    <row r="33">
      <c r="B33" s="46" t="n">
        <v>8</v>
      </c>
      <c r="C33" s="12" t="inlineStr">
        <is>
          <t>Revenue, year 1</t>
        </is>
      </c>
      <c r="D33" s="59" t="n">
        <v>190.8</v>
      </c>
      <c r="E33" s="59" t="n">
        <v>190.8</v>
      </c>
      <c r="F33" s="59" t="n">
        <v>190.8</v>
      </c>
      <c r="G33" s="59" t="n">
        <v>190.8</v>
      </c>
      <c r="H33" s="60">
        <f>IF(INDEX(D33:G33,'Inputs'!$C$6)="","",INDEX(D33:G33,'Inputs'!$C$6))</f>
        <v/>
      </c>
      <c r="I33" s="61">
        <f>'Quarterly'!$E$150</f>
        <v/>
      </c>
      <c r="J33" s="58">
        <f>0.5*10^-1+1E-9</f>
        <v/>
      </c>
      <c r="K33" s="13">
        <f>IF(OR(NOT($G$114),H33=""),"n/a",ABS(I33-H33)&lt;=J33)</f>
        <v/>
      </c>
    </row>
    <row r="34">
      <c r="B34" s="46" t="n">
        <v>9</v>
      </c>
      <c r="C34" s="12" t="inlineStr">
        <is>
          <t>Revenue, year 2</t>
        </is>
      </c>
      <c r="D34" s="59" t="n">
        <v>221.8</v>
      </c>
      <c r="E34" s="59" t="n">
        <v>219.9</v>
      </c>
      <c r="F34" s="59" t="n">
        <v>219.9</v>
      </c>
      <c r="G34" s="59" t="n">
        <v>219.9</v>
      </c>
      <c r="H34" s="60">
        <f>IF(INDEX(D34:G34,'Inputs'!$C$6)="","",INDEX(D34:G34,'Inputs'!$C$6))</f>
        <v/>
      </c>
      <c r="I34" s="61">
        <f>'Quarterly'!$F$150</f>
        <v/>
      </c>
      <c r="J34" s="58">
        <f>0.5*10^-1+1E-9</f>
        <v/>
      </c>
      <c r="K34" s="13">
        <f>IF(OR(NOT($G$114),H34=""),"n/a",ABS(I34-H34)&lt;=J34)</f>
        <v/>
      </c>
    </row>
    <row r="35">
      <c r="B35" s="46" t="n">
        <v>10</v>
      </c>
      <c r="C35" s="12" t="inlineStr">
        <is>
          <t>Revenue, year 3</t>
        </is>
      </c>
      <c r="D35" s="59" t="n">
        <v>254.4</v>
      </c>
      <c r="E35" s="59" t="n">
        <v>221.1</v>
      </c>
      <c r="F35" s="59" t="n">
        <v>204.3</v>
      </c>
      <c r="G35" s="59" t="n">
        <v>250</v>
      </c>
      <c r="H35" s="60">
        <f>IF(INDEX(D35:G35,'Inputs'!$C$6)="","",INDEX(D35:G35,'Inputs'!$C$6))</f>
        <v/>
      </c>
      <c r="I35" s="61">
        <f>'Quarterly'!$G$150</f>
        <v/>
      </c>
      <c r="J35" s="58">
        <f>0.5*10^-1+1E-9</f>
        <v/>
      </c>
      <c r="K35" s="13">
        <f>IF(OR(NOT($G$114),H35=""),"n/a",ABS(I35-H35)&lt;=J35)</f>
        <v/>
      </c>
    </row>
    <row r="36">
      <c r="B36" s="46" t="n">
        <v>11</v>
      </c>
      <c r="C36" s="12" t="inlineStr">
        <is>
          <t>Revenue, year 4</t>
        </is>
      </c>
      <c r="D36" s="59" t="n">
        <v>267.1</v>
      </c>
      <c r="E36" s="59" t="n">
        <v>232.2</v>
      </c>
      <c r="F36" s="59" t="n">
        <v>198.2</v>
      </c>
      <c r="G36" s="12" t="n"/>
      <c r="H36" s="60">
        <f>IF(INDEX(D36:G36,'Inputs'!$C$6)="","",INDEX(D36:G36,'Inputs'!$C$6))</f>
        <v/>
      </c>
      <c r="I36" s="61">
        <f>'Quarterly'!$H$150</f>
        <v/>
      </c>
      <c r="J36" s="58">
        <f>0.5*10^-1+1E-9</f>
        <v/>
      </c>
      <c r="K36" s="13">
        <f>IF(OR(NOT($G$114),H36=""),"n/a",ABS(I36-H36)&lt;=J36)</f>
        <v/>
      </c>
    </row>
    <row r="37">
      <c r="B37" s="46" t="n">
        <v>12</v>
      </c>
      <c r="C37" s="12" t="inlineStr">
        <is>
          <t>Revenue, year 5</t>
        </is>
      </c>
      <c r="D37" s="59" t="n">
        <v>280.4</v>
      </c>
      <c r="E37" s="59" t="n">
        <v>246.1</v>
      </c>
      <c r="F37" s="59" t="n">
        <v>208.1</v>
      </c>
      <c r="G37" s="12" t="n"/>
      <c r="H37" s="60">
        <f>IF(INDEX(D37:G37,'Inputs'!$C$6)="","",INDEX(D37:G37,'Inputs'!$C$6))</f>
        <v/>
      </c>
      <c r="I37" s="61">
        <f>'Quarterly'!$I$150</f>
        <v/>
      </c>
      <c r="J37" s="58">
        <f>0.5*10^-1+1E-9</f>
        <v/>
      </c>
      <c r="K37" s="13">
        <f>IF(OR(NOT($G$114),H37=""),"n/a",ABS(I37-H37)&lt;=J37)</f>
        <v/>
      </c>
    </row>
    <row r="38">
      <c r="B38" s="46" t="n">
        <v>13</v>
      </c>
      <c r="C38" s="12" t="inlineStr">
        <is>
          <t>Reported EBITDA, year 1</t>
        </is>
      </c>
      <c r="D38" s="62" t="n">
        <v>14.4</v>
      </c>
      <c r="E38" s="62" t="n">
        <v>14.4</v>
      </c>
      <c r="F38" s="62" t="n">
        <v>14.4</v>
      </c>
      <c r="G38" s="62" t="n">
        <v>14.4</v>
      </c>
      <c r="H38" s="63">
        <f>IF(INDEX(D38:G38,'Inputs'!$C$6)="","",INDEX(D38:G38,'Inputs'!$C$6))</f>
        <v/>
      </c>
      <c r="I38" s="64">
        <f>'Quarterly'!$E$155</f>
        <v/>
      </c>
      <c r="J38" s="58">
        <f>0.5*10^-2+1E-9</f>
        <v/>
      </c>
      <c r="K38" s="13">
        <f>IF(OR(NOT($G$114),H38=""),"n/a",ABS(I38-H38)&lt;=J38)</f>
        <v/>
      </c>
    </row>
    <row r="39">
      <c r="B39" s="46" t="n">
        <v>14</v>
      </c>
      <c r="C39" s="12" t="inlineStr">
        <is>
          <t>Reported EBITDA, year 2</t>
        </is>
      </c>
      <c r="D39" s="62" t="n">
        <v>17.6</v>
      </c>
      <c r="E39" s="62" t="n">
        <v>16.89</v>
      </c>
      <c r="F39" s="62" t="n">
        <v>16.89</v>
      </c>
      <c r="G39" s="62" t="n">
        <v>16.89</v>
      </c>
      <c r="H39" s="63">
        <f>IF(INDEX(D39:G39,'Inputs'!$C$6)="","",INDEX(D39:G39,'Inputs'!$C$6))</f>
        <v/>
      </c>
      <c r="I39" s="64">
        <f>'Quarterly'!$F$155</f>
        <v/>
      </c>
      <c r="J39" s="58">
        <f>0.5*10^-2+1E-9</f>
        <v/>
      </c>
      <c r="K39" s="13">
        <f>IF(OR(NOT($G$114),H39=""),"n/a",ABS(I39-H39)&lt;=J39)</f>
        <v/>
      </c>
    </row>
    <row r="40">
      <c r="B40" s="46" t="n">
        <v>15</v>
      </c>
      <c r="C40" s="12" t="inlineStr">
        <is>
          <t>Reported EBITDA, year 3</t>
        </is>
      </c>
      <c r="D40" s="62" t="n">
        <v>23.5</v>
      </c>
      <c r="E40" s="62" t="n">
        <v>13.69</v>
      </c>
      <c r="F40" s="62" t="n">
        <v>9.84</v>
      </c>
      <c r="G40" s="62" t="n">
        <v>22.11</v>
      </c>
      <c r="H40" s="63">
        <f>IF(INDEX(D40:G40,'Inputs'!$C$6)="","",INDEX(D40:G40,'Inputs'!$C$6))</f>
        <v/>
      </c>
      <c r="I40" s="64">
        <f>'Quarterly'!$G$155</f>
        <v/>
      </c>
      <c r="J40" s="58">
        <f>0.5*10^-2+1E-9</f>
        <v/>
      </c>
      <c r="K40" s="13">
        <f>IF(OR(NOT($G$114),H40=""),"n/a",ABS(I40-H40)&lt;=J40)</f>
        <v/>
      </c>
    </row>
    <row r="41">
      <c r="B41" s="46" t="n">
        <v>16</v>
      </c>
      <c r="C41" s="12" t="inlineStr">
        <is>
          <t>Reported EBITDA, year 4</t>
        </is>
      </c>
      <c r="D41" s="62" t="n">
        <v>26.48</v>
      </c>
      <c r="E41" s="62" t="n">
        <v>19.87</v>
      </c>
      <c r="F41" s="62" t="n">
        <v>11.36</v>
      </c>
      <c r="G41" s="12" t="n"/>
      <c r="H41" s="63">
        <f>IF(INDEX(D41:G41,'Inputs'!$C$6)="","",INDEX(D41:G41,'Inputs'!$C$6))</f>
        <v/>
      </c>
      <c r="I41" s="64">
        <f>'Quarterly'!$H$155</f>
        <v/>
      </c>
      <c r="J41" s="58">
        <f>0.5*10^-2+1E-9</f>
        <v/>
      </c>
      <c r="K41" s="13">
        <f>IF(OR(NOT($G$114),H41=""),"n/a",ABS(I41-H41)&lt;=J41)</f>
        <v/>
      </c>
    </row>
    <row r="42">
      <c r="B42" s="46" t="n">
        <v>17</v>
      </c>
      <c r="C42" s="12" t="inlineStr">
        <is>
          <t>Reported EBITDA, year 5</t>
        </is>
      </c>
      <c r="D42" s="62" t="n">
        <v>27.98</v>
      </c>
      <c r="E42" s="62" t="n">
        <v>21.99</v>
      </c>
      <c r="F42" s="62" t="n">
        <v>14.62</v>
      </c>
      <c r="G42" s="12" t="n"/>
      <c r="H42" s="63">
        <f>IF(INDEX(D42:G42,'Inputs'!$C$6)="","",INDEX(D42:G42,'Inputs'!$C$6))</f>
        <v/>
      </c>
      <c r="I42" s="64">
        <f>'Quarterly'!$I$155</f>
        <v/>
      </c>
      <c r="J42" s="58">
        <f>0.5*10^-2+1E-9</f>
        <v/>
      </c>
      <c r="K42" s="13">
        <f>IF(OR(NOT($G$114),H42=""),"n/a",ABS(I42-H42)&lt;=J42)</f>
        <v/>
      </c>
    </row>
    <row r="43">
      <c r="B43" s="46" t="n">
        <v>18</v>
      </c>
      <c r="C43" s="12" t="inlineStr">
        <is>
          <t>Supplier rebates, year 1</t>
        </is>
      </c>
      <c r="D43" s="62" t="n">
        <v>2.85</v>
      </c>
      <c r="E43" s="62" t="n">
        <v>2.85</v>
      </c>
      <c r="F43" s="62" t="n">
        <v>2.85</v>
      </c>
      <c r="G43" s="12" t="n"/>
      <c r="H43" s="63">
        <f>IF(INDEX(D43:G43,'Inputs'!$C$6)="","",INDEX(D43:G43,'Inputs'!$C$6))</f>
        <v/>
      </c>
      <c r="I43" s="64">
        <f>'Quarterly'!$E$152</f>
        <v/>
      </c>
      <c r="J43" s="58">
        <f>0.5*10^-2+1E-9</f>
        <v/>
      </c>
      <c r="K43" s="13">
        <f>IF(OR(NOT($G$114),H43=""),"n/a",ABS(I43-H43)&lt;=J43)</f>
        <v/>
      </c>
    </row>
    <row r="44">
      <c r="B44" s="46" t="n">
        <v>19</v>
      </c>
      <c r="C44" s="12" t="inlineStr">
        <is>
          <t>Supplier rebates, year 2</t>
        </is>
      </c>
      <c r="D44" s="62" t="n">
        <v>3.01</v>
      </c>
      <c r="E44" s="62" t="n">
        <v>2.99</v>
      </c>
      <c r="F44" s="62" t="n">
        <v>2.99</v>
      </c>
      <c r="G44" s="12" t="n"/>
      <c r="H44" s="63">
        <f>IF(INDEX(D44:G44,'Inputs'!$C$6)="","",INDEX(D44:G44,'Inputs'!$C$6))</f>
        <v/>
      </c>
      <c r="I44" s="64">
        <f>'Quarterly'!$F$152</f>
        <v/>
      </c>
      <c r="J44" s="58">
        <f>0.5*10^-2+1E-9</f>
        <v/>
      </c>
      <c r="K44" s="13">
        <f>IF(OR(NOT($G$114),H44=""),"n/a",ABS(I44-H44)&lt;=J44)</f>
        <v/>
      </c>
    </row>
    <row r="45">
      <c r="B45" s="46" t="n">
        <v>20</v>
      </c>
      <c r="C45" s="12" t="inlineStr">
        <is>
          <t>Supplier rebates, year 3</t>
        </is>
      </c>
      <c r="D45" s="62" t="n">
        <v>3.15</v>
      </c>
      <c r="E45" s="62" t="n">
        <v>1.38</v>
      </c>
      <c r="F45" s="62" t="n">
        <v>1.29</v>
      </c>
      <c r="G45" s="62" t="n">
        <v>3.1</v>
      </c>
      <c r="H45" s="63">
        <f>IF(INDEX(D45:G45,'Inputs'!$C$6)="","",INDEX(D45:G45,'Inputs'!$C$6))</f>
        <v/>
      </c>
      <c r="I45" s="64">
        <f>'Quarterly'!$G$152</f>
        <v/>
      </c>
      <c r="J45" s="58">
        <f>0.5*10^-2+1E-9</f>
        <v/>
      </c>
      <c r="K45" s="13">
        <f>IF(OR(NOT($G$114),H45=""),"n/a",ABS(I45-H45)&lt;=J45)</f>
        <v/>
      </c>
    </row>
    <row r="46">
      <c r="B46" s="46" t="n">
        <v>21</v>
      </c>
      <c r="C46" s="12" t="inlineStr">
        <is>
          <t>Supplier rebates, year 4</t>
        </is>
      </c>
      <c r="D46" s="62" t="n">
        <v>3.29</v>
      </c>
      <c r="E46" s="62" t="n">
        <v>2.88</v>
      </c>
      <c r="F46" s="62" t="n">
        <v>1.24</v>
      </c>
      <c r="G46" s="12" t="n"/>
      <c r="H46" s="63">
        <f>IF(INDEX(D46:G46,'Inputs'!$C$6)="","",INDEX(D46:G46,'Inputs'!$C$6))</f>
        <v/>
      </c>
      <c r="I46" s="64">
        <f>'Quarterly'!$H$152</f>
        <v/>
      </c>
      <c r="J46" s="58">
        <f>0.5*10^-2+1E-9</f>
        <v/>
      </c>
      <c r="K46" s="13">
        <f>IF(OR(NOT($G$114),H46=""),"n/a",ABS(I46-H46)&lt;=J46)</f>
        <v/>
      </c>
    </row>
    <row r="47">
      <c r="B47" s="46" t="n">
        <v>22</v>
      </c>
      <c r="C47" s="12" t="inlineStr">
        <is>
          <t>Supplier rebates, year 5</t>
        </is>
      </c>
      <c r="D47" s="62" t="n">
        <v>3.45</v>
      </c>
      <c r="E47" s="62" t="n">
        <v>3.04</v>
      </c>
      <c r="F47" s="62" t="n">
        <v>2.58</v>
      </c>
      <c r="G47" s="12" t="n"/>
      <c r="H47" s="63">
        <f>IF(INDEX(D47:G47,'Inputs'!$C$6)="","",INDEX(D47:G47,'Inputs'!$C$6))</f>
        <v/>
      </c>
      <c r="I47" s="64">
        <f>'Quarterly'!$I$152</f>
        <v/>
      </c>
      <c r="J47" s="58">
        <f>0.5*10^-2+1E-9</f>
        <v/>
      </c>
      <c r="K47" s="13">
        <f>IF(OR(NOT($G$114),H47=""),"n/a",ABS(I47-H47)&lt;=J47)</f>
        <v/>
      </c>
    </row>
    <row r="48">
      <c r="B48" s="46" t="n">
        <v>23</v>
      </c>
      <c r="C48" s="12" t="inlineStr">
        <is>
          <t>Free cash flow, year 1</t>
        </is>
      </c>
      <c r="D48" s="62" t="n">
        <v>4.28</v>
      </c>
      <c r="E48" s="62" t="n">
        <v>4.28</v>
      </c>
      <c r="F48" s="62" t="n">
        <v>4.28</v>
      </c>
      <c r="G48" s="12" t="n"/>
      <c r="H48" s="63">
        <f>IF(INDEX(D48:G48,'Inputs'!$C$6)="","",INDEX(D48:G48,'Inputs'!$C$6))</f>
        <v/>
      </c>
      <c r="I48" s="64">
        <f>'Quarterly'!$E$160</f>
        <v/>
      </c>
      <c r="J48" s="58">
        <f>0.5*10^-2+1E-9</f>
        <v/>
      </c>
      <c r="K48" s="13">
        <f>IF(OR(NOT($G$114),H48=""),"n/a",ABS(I48-H48)&lt;=J48)</f>
        <v/>
      </c>
    </row>
    <row r="49">
      <c r="B49" s="46" t="n">
        <v>24</v>
      </c>
      <c r="C49" s="12" t="inlineStr">
        <is>
          <t>Free cash flow, year 2</t>
        </is>
      </c>
      <c r="D49" s="62" t="n">
        <v>6.57</v>
      </c>
      <c r="E49" s="62" t="n">
        <v>4.54</v>
      </c>
      <c r="F49" s="62" t="n">
        <v>4.54</v>
      </c>
      <c r="G49" s="12" t="n"/>
      <c r="H49" s="63">
        <f>IF(INDEX(D49:G49,'Inputs'!$C$6)="","",INDEX(D49:G49,'Inputs'!$C$6))</f>
        <v/>
      </c>
      <c r="I49" s="64">
        <f>'Quarterly'!$F$160</f>
        <v/>
      </c>
      <c r="J49" s="58">
        <f>0.5*10^-2+1E-9</f>
        <v/>
      </c>
      <c r="K49" s="13">
        <f>IF(OR(NOT($G$114),H49=""),"n/a",ABS(I49-H49)&lt;=J49)</f>
        <v/>
      </c>
    </row>
    <row r="50">
      <c r="B50" s="46" t="n">
        <v>25</v>
      </c>
      <c r="C50" s="12" t="inlineStr">
        <is>
          <t>Free cash flow, year 3</t>
        </is>
      </c>
      <c r="D50" s="62" t="n">
        <v>11.69</v>
      </c>
      <c r="E50" s="62" t="n">
        <v>5.55</v>
      </c>
      <c r="F50" s="62" t="n">
        <v>-1.75</v>
      </c>
      <c r="G50" s="12" t="n"/>
      <c r="H50" s="63">
        <f>IF(INDEX(D50:G50,'Inputs'!$C$6)="","",INDEX(D50:G50,'Inputs'!$C$6))</f>
        <v/>
      </c>
      <c r="I50" s="64">
        <f>'Quarterly'!$G$160</f>
        <v/>
      </c>
      <c r="J50" s="58">
        <f>0.5*10^-2+1E-9</f>
        <v/>
      </c>
      <c r="K50" s="13">
        <f>IF(OR(NOT($G$114),H50=""),"n/a",ABS(I50-H50)&lt;=J50)</f>
        <v/>
      </c>
    </row>
    <row r="51">
      <c r="B51" s="46" t="n">
        <v>26</v>
      </c>
      <c r="C51" s="12" t="inlineStr">
        <is>
          <t>Free cash flow, year 4</t>
        </is>
      </c>
      <c r="D51" s="62" t="n">
        <v>14.01</v>
      </c>
      <c r="E51" s="62" t="n">
        <v>13.23</v>
      </c>
      <c r="F51" s="62" t="n">
        <v>13.79</v>
      </c>
      <c r="G51" s="12" t="n"/>
      <c r="H51" s="63">
        <f>IF(INDEX(D51:G51,'Inputs'!$C$6)="","",INDEX(D51:G51,'Inputs'!$C$6))</f>
        <v/>
      </c>
      <c r="I51" s="64">
        <f>'Quarterly'!$H$160</f>
        <v/>
      </c>
      <c r="J51" s="58">
        <f>0.5*10^-2+1E-9</f>
        <v/>
      </c>
      <c r="K51" s="13">
        <f>IF(OR(NOT($G$114),H51=""),"n/a",ABS(I51-H51)&lt;=J51)</f>
        <v/>
      </c>
    </row>
    <row r="52">
      <c r="B52" s="46" t="n">
        <v>27</v>
      </c>
      <c r="C52" s="12" t="inlineStr">
        <is>
          <t>Free cash flow, year 5</t>
        </is>
      </c>
      <c r="D52" s="62" t="n">
        <v>14.34</v>
      </c>
      <c r="E52" s="62" t="n">
        <v>9.67</v>
      </c>
      <c r="F52" s="62" t="n">
        <v>3.47</v>
      </c>
      <c r="G52" s="12" t="n"/>
      <c r="H52" s="63">
        <f>IF(INDEX(D52:G52,'Inputs'!$C$6)="","",INDEX(D52:G52,'Inputs'!$C$6))</f>
        <v/>
      </c>
      <c r="I52" s="64">
        <f>'Quarterly'!$I$160</f>
        <v/>
      </c>
      <c r="J52" s="58">
        <f>0.5*10^-2+1E-9</f>
        <v/>
      </c>
      <c r="K52" s="13">
        <f>IF(OR(NOT($G$114),H52=""),"n/a",ABS(I52-H52)&lt;=J52)</f>
        <v/>
      </c>
    </row>
    <row r="53">
      <c r="B53" s="46" t="n">
        <v>28</v>
      </c>
      <c r="C53" s="12" t="inlineStr">
        <is>
          <t>Net debt, end of year 1</t>
        </is>
      </c>
      <c r="D53" s="59" t="n">
        <v>67.7</v>
      </c>
      <c r="E53" s="59" t="n">
        <v>67.7</v>
      </c>
      <c r="F53" s="59" t="n">
        <v>67.7</v>
      </c>
      <c r="G53" s="12" t="n"/>
      <c r="H53" s="60">
        <f>IF(INDEX(D53:G53,'Inputs'!$C$6)="","",INDEX(D53:G53,'Inputs'!$C$6))</f>
        <v/>
      </c>
      <c r="I53" s="61">
        <f>'Quarterly'!$E$168</f>
        <v/>
      </c>
      <c r="J53" s="58">
        <f>0.5*10^-1+1E-9</f>
        <v/>
      </c>
      <c r="K53" s="13">
        <f>IF(OR(NOT($G$114),H53=""),"n/a",ABS(I53-H53)&lt;=J53)</f>
        <v/>
      </c>
    </row>
    <row r="54">
      <c r="B54" s="46" t="n">
        <v>29</v>
      </c>
      <c r="C54" s="12" t="inlineStr">
        <is>
          <t>Net debt, end of year 2</t>
        </is>
      </c>
      <c r="D54" s="59" t="n">
        <v>80.3</v>
      </c>
      <c r="E54" s="59" t="n">
        <v>82.40000000000001</v>
      </c>
      <c r="F54" s="59" t="n">
        <v>82.40000000000001</v>
      </c>
      <c r="G54" s="12" t="n"/>
      <c r="H54" s="60">
        <f>IF(INDEX(D54:G54,'Inputs'!$C$6)="","",INDEX(D54:G54,'Inputs'!$C$6))</f>
        <v/>
      </c>
      <c r="I54" s="61">
        <f>'Quarterly'!$F$168</f>
        <v/>
      </c>
      <c r="J54" s="58">
        <f>0.5*10^-1+1E-9</f>
        <v/>
      </c>
      <c r="K54" s="13">
        <f>IF(OR(NOT($G$114),H54=""),"n/a",ABS(I54-H54)&lt;=J54)</f>
        <v/>
      </c>
    </row>
    <row r="55">
      <c r="B55" s="46" t="n">
        <v>30</v>
      </c>
      <c r="C55" s="12" t="inlineStr">
        <is>
          <t>Net debt, end of year 3</t>
        </is>
      </c>
      <c r="D55" s="59" t="n">
        <v>68.7</v>
      </c>
      <c r="E55" s="59" t="n">
        <v>76.8</v>
      </c>
      <c r="F55" s="59" t="n">
        <v>76.59999999999999</v>
      </c>
      <c r="G55" s="12" t="n"/>
      <c r="H55" s="60">
        <f>IF(INDEX(D55:G55,'Inputs'!$C$6)="","",INDEX(D55:G55,'Inputs'!$C$6))</f>
        <v/>
      </c>
      <c r="I55" s="61">
        <f>'Quarterly'!$G$168</f>
        <v/>
      </c>
      <c r="J55" s="58">
        <f>0.5*10^-1+1E-9</f>
        <v/>
      </c>
      <c r="K55" s="13">
        <f>IF(OR(NOT($G$114),H55=""),"n/a",ABS(I55-H55)&lt;=J55)</f>
        <v/>
      </c>
    </row>
    <row r="56">
      <c r="B56" s="46" t="n">
        <v>31</v>
      </c>
      <c r="C56" s="12" t="inlineStr">
        <is>
          <t>Net debt, end of year 4</t>
        </is>
      </c>
      <c r="D56" s="59" t="n">
        <v>54.6</v>
      </c>
      <c r="E56" s="59" t="n">
        <v>63.6</v>
      </c>
      <c r="F56" s="59" t="n">
        <v>62.8</v>
      </c>
      <c r="G56" s="12" t="n"/>
      <c r="H56" s="60">
        <f>IF(INDEX(D56:G56,'Inputs'!$C$6)="","",INDEX(D56:G56,'Inputs'!$C$6))</f>
        <v/>
      </c>
      <c r="I56" s="61">
        <f>'Quarterly'!$H$168</f>
        <v/>
      </c>
      <c r="J56" s="58">
        <f>0.5*10^-1+1E-9</f>
        <v/>
      </c>
      <c r="K56" s="13">
        <f>IF(OR(NOT($G$114),H56=""),"n/a",ABS(I56-H56)&lt;=J56)</f>
        <v/>
      </c>
    </row>
    <row r="57">
      <c r="B57" s="46" t="n">
        <v>32</v>
      </c>
      <c r="C57" s="12" t="inlineStr">
        <is>
          <t>Net debt, end of year 5</t>
        </is>
      </c>
      <c r="D57" s="59" t="n">
        <v>40.3</v>
      </c>
      <c r="E57" s="59" t="n">
        <v>53.9</v>
      </c>
      <c r="F57" s="59" t="n">
        <v>59.4</v>
      </c>
      <c r="G57" s="12" t="n"/>
      <c r="H57" s="60">
        <f>IF(INDEX(D57:G57,'Inputs'!$C$6)="","",INDEX(D57:G57,'Inputs'!$C$6))</f>
        <v/>
      </c>
      <c r="I57" s="61">
        <f>'Quarterly'!$I$168</f>
        <v/>
      </c>
      <c r="J57" s="58">
        <f>0.5*10^-1+1E-9</f>
        <v/>
      </c>
      <c r="K57" s="13">
        <f>IF(OR(NOT($G$114),H57=""),"n/a",ABS(I57-H57)&lt;=J57)</f>
        <v/>
      </c>
    </row>
    <row r="58">
      <c r="B58" s="46" t="n">
        <v>33</v>
      </c>
      <c r="C58" s="12" t="inlineStr">
        <is>
          <t>Net leverage, end of year 1</t>
        </is>
      </c>
      <c r="D58" s="65" t="n">
        <v>4.26</v>
      </c>
      <c r="E58" s="65" t="n">
        <v>4.26</v>
      </c>
      <c r="F58" s="65" t="n">
        <v>4.26</v>
      </c>
      <c r="G58" s="12" t="n"/>
      <c r="H58" s="66">
        <f>IF(INDEX(D58:G58,'Inputs'!$C$6)="","",INDEX(D58:G58,'Inputs'!$C$6))</f>
        <v/>
      </c>
      <c r="I58" s="67">
        <f>'Quarterly'!$E$169</f>
        <v/>
      </c>
      <c r="J58" s="58">
        <f>0.5*10^-2+1E-9</f>
        <v/>
      </c>
      <c r="K58" s="13">
        <f>IF(OR(NOT($G$114),H58=""),"n/a",ABS(I58-H58)&lt;=J58)</f>
        <v/>
      </c>
    </row>
    <row r="59">
      <c r="B59" s="46" t="n">
        <v>34</v>
      </c>
      <c r="C59" s="12" t="inlineStr">
        <is>
          <t>Net leverage, end of year 2</t>
        </is>
      </c>
      <c r="D59" s="65" t="n">
        <v>3.57</v>
      </c>
      <c r="E59" s="65" t="n">
        <v>3.76</v>
      </c>
      <c r="F59" s="65" t="n">
        <v>3.76</v>
      </c>
      <c r="G59" s="12" t="n"/>
      <c r="H59" s="66">
        <f>IF(INDEX(D59:G59,'Inputs'!$C$6)="","",INDEX(D59:G59,'Inputs'!$C$6))</f>
        <v/>
      </c>
      <c r="I59" s="67">
        <f>'Quarterly'!$F$169</f>
        <v/>
      </c>
      <c r="J59" s="58">
        <f>0.5*10^-2+1E-9</f>
        <v/>
      </c>
      <c r="K59" s="13">
        <f>IF(OR(NOT($G$114),H59=""),"n/a",ABS(I59-H59)&lt;=J59)</f>
        <v/>
      </c>
    </row>
    <row r="60">
      <c r="B60" s="46" t="n">
        <v>35</v>
      </c>
      <c r="C60" s="12" t="inlineStr">
        <is>
          <t>Net leverage, end of year 3</t>
        </is>
      </c>
      <c r="D60" s="65" t="n">
        <v>2.79</v>
      </c>
      <c r="E60" s="65" t="n">
        <v>4.86</v>
      </c>
      <c r="F60" s="65" t="n">
        <v>6.11</v>
      </c>
      <c r="G60" s="12" t="n"/>
      <c r="H60" s="66">
        <f>IF(INDEX(D60:G60,'Inputs'!$C$6)="","",INDEX(D60:G60,'Inputs'!$C$6))</f>
        <v/>
      </c>
      <c r="I60" s="67">
        <f>'Quarterly'!$G$169</f>
        <v/>
      </c>
      <c r="J60" s="58">
        <f>0.5*10^-2+1E-9</f>
        <v/>
      </c>
      <c r="K60" s="13">
        <f>IF(OR(NOT($G$114),H60=""),"n/a",ABS(I60-H60)&lt;=J60)</f>
        <v/>
      </c>
    </row>
    <row r="61">
      <c r="B61" s="46" t="n">
        <v>36</v>
      </c>
      <c r="C61" s="12" t="inlineStr">
        <is>
          <t>Net leverage, end of year 4</t>
        </is>
      </c>
      <c r="D61" s="65" t="n">
        <v>2.03</v>
      </c>
      <c r="E61" s="65" t="n">
        <v>3.14</v>
      </c>
      <c r="F61" s="65" t="n">
        <v>5.09</v>
      </c>
      <c r="G61" s="12" t="n"/>
      <c r="H61" s="66">
        <f>IF(INDEX(D61:G61,'Inputs'!$C$6)="","",INDEX(D61:G61,'Inputs'!$C$6))</f>
        <v/>
      </c>
      <c r="I61" s="67">
        <f>'Quarterly'!$H$169</f>
        <v/>
      </c>
      <c r="J61" s="58">
        <f>0.5*10^-2+1E-9</f>
        <v/>
      </c>
      <c r="K61" s="13">
        <f>IF(OR(NOT($G$114),H61=""),"n/a",ABS(I61-H61)&lt;=J61)</f>
        <v/>
      </c>
    </row>
    <row r="62">
      <c r="B62" s="46" t="n">
        <v>37</v>
      </c>
      <c r="C62" s="12" t="inlineStr">
        <is>
          <t>Net leverage, end of year 5</t>
        </is>
      </c>
      <c r="D62" s="65" t="n">
        <v>1.39</v>
      </c>
      <c r="E62" s="65" t="n">
        <v>2.34</v>
      </c>
      <c r="F62" s="65" t="n">
        <v>3.78</v>
      </c>
      <c r="G62" s="12" t="n"/>
      <c r="H62" s="66">
        <f>IF(INDEX(D62:G62,'Inputs'!$C$6)="","",INDEX(D62:G62,'Inputs'!$C$6))</f>
        <v/>
      </c>
      <c r="I62" s="67">
        <f>'Quarterly'!$I$169</f>
        <v/>
      </c>
      <c r="J62" s="58">
        <f>0.5*10^-2+1E-9</f>
        <v/>
      </c>
      <c r="K62" s="13">
        <f>IF(OR(NOT($G$114),H62=""),"n/a",ABS(I62-H62)&lt;=J62)</f>
        <v/>
      </c>
    </row>
    <row r="63">
      <c r="B63" s="46" t="n">
        <v>38</v>
      </c>
      <c r="C63" s="12" t="inlineStr">
        <is>
          <t>Covenant headroom, Y1 Q1</t>
        </is>
      </c>
      <c r="D63" s="50" t="n">
        <v>0.272</v>
      </c>
      <c r="E63" s="50" t="n">
        <v>0.272</v>
      </c>
      <c r="F63" s="50" t="n">
        <v>0.272</v>
      </c>
      <c r="G63" s="12" t="n"/>
      <c r="H63" s="68">
        <f>IF(INDEX(D63:G63,'Inputs'!$C$6)="","",INDEX(D63:G63,'Inputs'!$C$6))</f>
        <v/>
      </c>
      <c r="I63" s="39">
        <f>'Quarterly'!$E$146</f>
        <v/>
      </c>
      <c r="J63" s="58">
        <f>0.5*10^-3+1E-9</f>
        <v/>
      </c>
      <c r="K63" s="13">
        <f>IF(OR(NOT($G$114),H63=""),"n/a",ABS(I63-H63)&lt;=J63)</f>
        <v/>
      </c>
    </row>
    <row r="64">
      <c r="B64" s="46" t="n">
        <v>39</v>
      </c>
      <c r="C64" s="12" t="inlineStr">
        <is>
          <t>Covenant headroom, Y1 Q2</t>
        </is>
      </c>
      <c r="D64" s="50" t="n">
        <v>0.279</v>
      </c>
      <c r="E64" s="50" t="n">
        <v>0.279</v>
      </c>
      <c r="F64" s="50" t="n">
        <v>0.279</v>
      </c>
      <c r="G64" s="12" t="n"/>
      <c r="H64" s="68">
        <f>IF(INDEX(D64:G64,'Inputs'!$C$6)="","",INDEX(D64:G64,'Inputs'!$C$6))</f>
        <v/>
      </c>
      <c r="I64" s="39">
        <f>'Quarterly'!$F$146</f>
        <v/>
      </c>
      <c r="J64" s="58">
        <f>0.5*10^-3+1E-9</f>
        <v/>
      </c>
      <c r="K64" s="13">
        <f>IF(OR(NOT($G$114),H64=""),"n/a",ABS(I64-H64)&lt;=J64)</f>
        <v/>
      </c>
    </row>
    <row r="65">
      <c r="B65" s="46" t="n">
        <v>40</v>
      </c>
      <c r="C65" s="12" t="inlineStr">
        <is>
          <t>Covenant headroom, Y1 Q3</t>
        </is>
      </c>
      <c r="D65" s="50" t="n">
        <v>0.305</v>
      </c>
      <c r="E65" s="50" t="n">
        <v>0.305</v>
      </c>
      <c r="F65" s="50" t="n">
        <v>0.305</v>
      </c>
      <c r="G65" s="12" t="n"/>
      <c r="H65" s="68">
        <f>IF(INDEX(D65:G65,'Inputs'!$C$6)="","",INDEX(D65:G65,'Inputs'!$C$6))</f>
        <v/>
      </c>
      <c r="I65" s="39">
        <f>'Quarterly'!$G$146</f>
        <v/>
      </c>
      <c r="J65" s="58">
        <f>0.5*10^-3+1E-9</f>
        <v/>
      </c>
      <c r="K65" s="13">
        <f>IF(OR(NOT($G$114),H65=""),"n/a",ABS(I65-H65)&lt;=J65)</f>
        <v/>
      </c>
    </row>
    <row r="66">
      <c r="B66" s="46" t="n">
        <v>41</v>
      </c>
      <c r="C66" s="12" t="inlineStr">
        <is>
          <t>Covenant headroom, Y1 Q4</t>
        </is>
      </c>
      <c r="D66" s="50" t="n">
        <v>0.319</v>
      </c>
      <c r="E66" s="50" t="n">
        <v>0.319</v>
      </c>
      <c r="F66" s="50" t="n">
        <v>0.319</v>
      </c>
      <c r="G66" s="12" t="n"/>
      <c r="H66" s="68">
        <f>IF(INDEX(D66:G66,'Inputs'!$C$6)="","",INDEX(D66:G66,'Inputs'!$C$6))</f>
        <v/>
      </c>
      <c r="I66" s="39">
        <f>'Quarterly'!$H$146</f>
        <v/>
      </c>
      <c r="J66" s="58">
        <f>0.5*10^-3+1E-9</f>
        <v/>
      </c>
      <c r="K66" s="13">
        <f>IF(OR(NOT($G$114),H66=""),"n/a",ABS(I66-H66)&lt;=J66)</f>
        <v/>
      </c>
    </row>
    <row r="67">
      <c r="B67" s="46" t="n">
        <v>42</v>
      </c>
      <c r="C67" s="12" t="inlineStr">
        <is>
          <t>Covenant headroom, Y2 Q1</t>
        </is>
      </c>
      <c r="D67" s="50" t="n">
        <v>0.334</v>
      </c>
      <c r="E67" s="50" t="n">
        <v>0.331</v>
      </c>
      <c r="F67" s="50" t="n">
        <v>0.331</v>
      </c>
      <c r="G67" s="12" t="n"/>
      <c r="H67" s="68">
        <f>IF(INDEX(D67:G67,'Inputs'!$C$6)="","",INDEX(D67:G67,'Inputs'!$C$6))</f>
        <v/>
      </c>
      <c r="I67" s="39">
        <f>'Quarterly'!$I$146</f>
        <v/>
      </c>
      <c r="J67" s="58">
        <f>0.5*10^-3+1E-9</f>
        <v/>
      </c>
      <c r="K67" s="13">
        <f>IF(OR(NOT($G$114),H67=""),"n/a",ABS(I67-H67)&lt;=J67)</f>
        <v/>
      </c>
    </row>
    <row r="68">
      <c r="B68" s="46" t="n">
        <v>43</v>
      </c>
      <c r="C68" s="12" t="inlineStr">
        <is>
          <t>Covenant headroom, Y2 Q2</t>
        </is>
      </c>
      <c r="D68" s="50" t="n">
        <v>0.332</v>
      </c>
      <c r="E68" s="50" t="n">
        <v>0.324</v>
      </c>
      <c r="F68" s="50" t="n">
        <v>0.324</v>
      </c>
      <c r="G68" s="12" t="n"/>
      <c r="H68" s="68">
        <f>IF(INDEX(D68:G68,'Inputs'!$C$6)="","",INDEX(D68:G68,'Inputs'!$C$6))</f>
        <v/>
      </c>
      <c r="I68" s="39">
        <f>'Quarterly'!$J$146</f>
        <v/>
      </c>
      <c r="J68" s="58">
        <f>0.5*10^-3+1E-9</f>
        <v/>
      </c>
      <c r="K68" s="13">
        <f>IF(OR(NOT($G$114),H68=""),"n/a",ABS(I68-H68)&lt;=J68)</f>
        <v/>
      </c>
    </row>
    <row r="69">
      <c r="B69" s="46" t="n">
        <v>44</v>
      </c>
      <c r="C69" s="12" t="inlineStr">
        <is>
          <t>Covenant headroom, Y2 Q3</t>
        </is>
      </c>
      <c r="D69" s="50" t="n">
        <v>0.369</v>
      </c>
      <c r="E69" s="50" t="n">
        <v>0.349</v>
      </c>
      <c r="F69" s="50" t="n">
        <v>0.349</v>
      </c>
      <c r="G69" s="12" t="n"/>
      <c r="H69" s="68">
        <f>IF(INDEX(D69:G69,'Inputs'!$C$6)="","",INDEX(D69:G69,'Inputs'!$C$6))</f>
        <v/>
      </c>
      <c r="I69" s="39">
        <f>'Quarterly'!$K$146</f>
        <v/>
      </c>
      <c r="J69" s="58">
        <f>0.5*10^-3+1E-9</f>
        <v/>
      </c>
      <c r="K69" s="13">
        <f>IF(OR(NOT($G$114),H69=""),"n/a",ABS(I69-H69)&lt;=J69)</f>
        <v/>
      </c>
    </row>
    <row r="70">
      <c r="B70" s="46" t="n">
        <v>45</v>
      </c>
      <c r="C70" s="12" t="inlineStr">
        <is>
          <t>Covenant headroom, Y2 Q4</t>
        </is>
      </c>
      <c r="D70" s="50" t="n">
        <v>0.404</v>
      </c>
      <c r="E70" s="50" t="n">
        <v>0.374</v>
      </c>
      <c r="F70" s="50" t="n">
        <v>0.374</v>
      </c>
      <c r="G70" s="12" t="n"/>
      <c r="H70" s="68">
        <f>IF(INDEX(D70:G70,'Inputs'!$C$6)="","",INDEX(D70:G70,'Inputs'!$C$6))</f>
        <v/>
      </c>
      <c r="I70" s="39">
        <f>'Quarterly'!$L$146</f>
        <v/>
      </c>
      <c r="J70" s="58">
        <f>0.5*10^-3+1E-9</f>
        <v/>
      </c>
      <c r="K70" s="13">
        <f>IF(OR(NOT($G$114),H70=""),"n/a",ABS(I70-H70)&lt;=J70)</f>
        <v/>
      </c>
    </row>
    <row r="71">
      <c r="B71" s="46" t="n">
        <v>46</v>
      </c>
      <c r="C71" s="12" t="inlineStr">
        <is>
          <t>Covenant headroom, Y3 Q1</t>
        </is>
      </c>
      <c r="D71" s="50" t="n">
        <v>0.392</v>
      </c>
      <c r="E71" s="50" t="n">
        <v>0.3</v>
      </c>
      <c r="F71" s="50" t="n">
        <v>0.285</v>
      </c>
      <c r="G71" s="12" t="n"/>
      <c r="H71" s="68">
        <f>IF(INDEX(D71:G71,'Inputs'!$C$6)="","",INDEX(D71:G71,'Inputs'!$C$6))</f>
        <v/>
      </c>
      <c r="I71" s="39">
        <f>'Quarterly'!$M$146</f>
        <v/>
      </c>
      <c r="J71" s="58">
        <f>0.5*10^-3+1E-9</f>
        <v/>
      </c>
      <c r="K71" s="13">
        <f>IF(OR(NOT($G$114),H71=""),"n/a",ABS(I71-H71)&lt;=J71)</f>
        <v/>
      </c>
    </row>
    <row r="72">
      <c r="B72" s="46" t="n">
        <v>47</v>
      </c>
      <c r="C72" s="12" t="inlineStr">
        <is>
          <t>Covenant headroom, Y3 Q2</t>
        </is>
      </c>
      <c r="D72" s="50" t="n">
        <v>0.412</v>
      </c>
      <c r="E72" s="50" t="n">
        <v>0.171</v>
      </c>
      <c r="F72" s="50" t="n">
        <v>0.08</v>
      </c>
      <c r="G72" s="12" t="n"/>
      <c r="H72" s="68">
        <f>IF(INDEX(D72:G72,'Inputs'!$C$6)="","",INDEX(D72:G72,'Inputs'!$C$6))</f>
        <v/>
      </c>
      <c r="I72" s="39">
        <f>'Quarterly'!$N$146</f>
        <v/>
      </c>
      <c r="J72" s="58">
        <f>0.5*10^-3+1E-9</f>
        <v/>
      </c>
      <c r="K72" s="13">
        <f>IF(OR(NOT($G$114),H72=""),"n/a",ABS(I72-H72)&lt;=J72)</f>
        <v/>
      </c>
    </row>
    <row r="73">
      <c r="B73" s="46" t="n">
        <v>48</v>
      </c>
      <c r="C73" s="12" t="inlineStr">
        <is>
          <t>Covenant headroom, Y3 Q3</t>
        </is>
      </c>
      <c r="D73" s="50" t="n">
        <v>0.455</v>
      </c>
      <c r="E73" s="50" t="n">
        <v>0.117</v>
      </c>
      <c r="F73" s="50" t="n">
        <v>0.006</v>
      </c>
      <c r="G73" s="12" t="n"/>
      <c r="H73" s="68">
        <f>IF(INDEX(D73:G73,'Inputs'!$C$6)="","",INDEX(D73:G73,'Inputs'!$C$6))</f>
        <v/>
      </c>
      <c r="I73" s="39">
        <f>'Quarterly'!$O$146</f>
        <v/>
      </c>
      <c r="J73" s="58">
        <f>0.5*10^-3+1E-9</f>
        <v/>
      </c>
      <c r="K73" s="13">
        <f>IF(OR(NOT($G$114),H73=""),"n/a",ABS(I73-H73)&lt;=J73)</f>
        <v/>
      </c>
    </row>
    <row r="74">
      <c r="B74" s="46" t="n">
        <v>49</v>
      </c>
      <c r="C74" s="12" t="inlineStr">
        <is>
          <t>Covenant headroom, Y3 Q4</t>
        </is>
      </c>
      <c r="D74" s="50" t="n">
        <v>0.493</v>
      </c>
      <c r="E74" s="50" t="n">
        <v>0.117</v>
      </c>
      <c r="F74" s="50" t="n">
        <v>0.06</v>
      </c>
      <c r="G74" s="12" t="n"/>
      <c r="H74" s="68">
        <f>IF(INDEX(D74:G74,'Inputs'!$C$6)="","",INDEX(D74:G74,'Inputs'!$C$6))</f>
        <v/>
      </c>
      <c r="I74" s="39">
        <f>'Quarterly'!$P$146</f>
        <v/>
      </c>
      <c r="J74" s="58">
        <f>0.5*10^-3+1E-9</f>
        <v/>
      </c>
      <c r="K74" s="13">
        <f>IF(OR(NOT($G$114),H74=""),"n/a",ABS(I74-H74)&lt;=J74)</f>
        <v/>
      </c>
    </row>
    <row r="75">
      <c r="B75" s="46" t="n">
        <v>50</v>
      </c>
      <c r="C75" s="12" t="inlineStr">
        <is>
          <t>Covenant headroom, Y4 Q1</t>
        </is>
      </c>
      <c r="D75" s="50" t="n">
        <v>0.479</v>
      </c>
      <c r="E75" s="50" t="n">
        <v>0.078</v>
      </c>
      <c r="F75" s="50" t="n">
        <v>0.07099999999999999</v>
      </c>
      <c r="G75" s="12" t="n"/>
      <c r="H75" s="68">
        <f>IF(INDEX(D75:G75,'Inputs'!$C$6)="","",INDEX(D75:G75,'Inputs'!$C$6))</f>
        <v/>
      </c>
      <c r="I75" s="39">
        <f>'Quarterly'!$Q$146</f>
        <v/>
      </c>
      <c r="J75" s="58">
        <f>0.5*10^-3+1E-9</f>
        <v/>
      </c>
      <c r="K75" s="13">
        <f>IF(OR(NOT($G$114),H75=""),"n/a",ABS(I75-H75)&lt;=J75)</f>
        <v/>
      </c>
    </row>
    <row r="76">
      <c r="B76" s="46" t="n">
        <v>51</v>
      </c>
      <c r="C76" s="12" t="inlineStr">
        <is>
          <t>Covenant headroom, Y4 Q2</t>
        </is>
      </c>
      <c r="D76" s="50" t="n">
        <v>0.503</v>
      </c>
      <c r="E76" s="50" t="n">
        <v>0.193</v>
      </c>
      <c r="F76" s="50" t="n">
        <v>0.115</v>
      </c>
      <c r="G76" s="12" t="n"/>
      <c r="H76" s="68">
        <f>IF(INDEX(D76:G76,'Inputs'!$C$6)="","",INDEX(D76:G76,'Inputs'!$C$6))</f>
        <v/>
      </c>
      <c r="I76" s="39">
        <f>'Quarterly'!$R$146</f>
        <v/>
      </c>
      <c r="J76" s="58">
        <f>0.5*10^-3+1E-9</f>
        <v/>
      </c>
      <c r="K76" s="13">
        <f>IF(OR(NOT($G$114),H76=""),"n/a",ABS(I76-H76)&lt;=J76)</f>
        <v/>
      </c>
    </row>
    <row r="77">
      <c r="B77" s="46" t="n">
        <v>52</v>
      </c>
      <c r="C77" s="12" t="inlineStr">
        <is>
          <t>Covenant headroom, Y4 Q3</t>
        </is>
      </c>
      <c r="D77" s="50" t="n">
        <v>0.551</v>
      </c>
      <c r="E77" s="50" t="n">
        <v>0.302</v>
      </c>
      <c r="F77" s="50" t="n">
        <v>0.186</v>
      </c>
      <c r="G77" s="12" t="n"/>
      <c r="H77" s="68">
        <f>IF(INDEX(D77:G77,'Inputs'!$C$6)="","",INDEX(D77:G77,'Inputs'!$C$6))</f>
        <v/>
      </c>
      <c r="I77" s="39">
        <f>'Quarterly'!$S$146</f>
        <v/>
      </c>
      <c r="J77" s="58">
        <f>0.5*10^-3+1E-9</f>
        <v/>
      </c>
      <c r="K77" s="13">
        <f>IF(OR(NOT($G$114),H77=""),"n/a",ABS(I77-H77)&lt;=J77)</f>
        <v/>
      </c>
    </row>
    <row r="78">
      <c r="B78" s="46" t="n">
        <v>53</v>
      </c>
      <c r="C78" s="12" t="inlineStr">
        <is>
          <t>Covenant headroom, Y4 Q4</t>
        </is>
      </c>
      <c r="D78" s="50" t="n">
        <v>0.593</v>
      </c>
      <c r="E78" s="50" t="n">
        <v>0.373</v>
      </c>
      <c r="F78" s="50" t="n">
        <v>0.218</v>
      </c>
      <c r="G78" s="12" t="n"/>
      <c r="H78" s="68">
        <f>IF(INDEX(D78:G78,'Inputs'!$C$6)="","",INDEX(D78:G78,'Inputs'!$C$6))</f>
        <v/>
      </c>
      <c r="I78" s="39">
        <f>'Quarterly'!$T$146</f>
        <v/>
      </c>
      <c r="J78" s="58">
        <f>0.5*10^-3+1E-9</f>
        <v/>
      </c>
      <c r="K78" s="13">
        <f>IF(OR(NOT($G$114),H78=""),"n/a",ABS(I78-H78)&lt;=J78)</f>
        <v/>
      </c>
    </row>
    <row r="79">
      <c r="B79" s="46" t="n">
        <v>54</v>
      </c>
      <c r="C79" s="12" t="inlineStr">
        <is>
          <t>Covenant headroom, Y5 Q1</t>
        </is>
      </c>
      <c r="D79" s="50" t="n">
        <v>0.578</v>
      </c>
      <c r="E79" s="50" t="n">
        <v>0.343</v>
      </c>
      <c r="F79" s="50" t="n">
        <v>0.07400000000000001</v>
      </c>
      <c r="G79" s="12" t="n"/>
      <c r="H79" s="68">
        <f>IF(INDEX(D79:G79,'Inputs'!$C$6)="","",INDEX(D79:G79,'Inputs'!$C$6))</f>
        <v/>
      </c>
      <c r="I79" s="39">
        <f>'Quarterly'!$U$146</f>
        <v/>
      </c>
      <c r="J79" s="58">
        <f>0.5*10^-3+1E-9</f>
        <v/>
      </c>
      <c r="K79" s="13">
        <f>IF(OR(NOT($G$114),H79=""),"n/a",ABS(I79-H79)&lt;=J79)</f>
        <v/>
      </c>
    </row>
    <row r="80">
      <c r="B80" s="46" t="n">
        <v>55</v>
      </c>
      <c r="C80" s="12" t="inlineStr">
        <is>
          <t>Covenant headroom, Y5 Q2</t>
        </is>
      </c>
      <c r="D80" s="50" t="n">
        <v>0.602</v>
      </c>
      <c r="E80" s="50" t="n">
        <v>0.374</v>
      </c>
      <c r="F80" s="50" t="n">
        <v>0.148</v>
      </c>
      <c r="G80" s="12" t="n"/>
      <c r="H80" s="68">
        <f>IF(INDEX(D80:G80,'Inputs'!$C$6)="","",INDEX(D80:G80,'Inputs'!$C$6))</f>
        <v/>
      </c>
      <c r="I80" s="39">
        <f>'Quarterly'!$V$146</f>
        <v/>
      </c>
      <c r="J80" s="58">
        <f>0.5*10^-3+1E-9</f>
        <v/>
      </c>
      <c r="K80" s="13">
        <f>IF(OR(NOT($G$114),H80=""),"n/a",ABS(I80-H80)&lt;=J80)</f>
        <v/>
      </c>
    </row>
    <row r="81">
      <c r="B81" s="46" t="n">
        <v>56</v>
      </c>
      <c r="C81" s="12" t="inlineStr">
        <is>
          <t>Covenant headroom, Y5 Q3</t>
        </is>
      </c>
      <c r="D81" s="50" t="n">
        <v>0.65</v>
      </c>
      <c r="E81" s="50" t="n">
        <v>0.4320000000000001</v>
      </c>
      <c r="F81" s="50" t="n">
        <v>0.223</v>
      </c>
      <c r="G81" s="12" t="n"/>
      <c r="H81" s="68">
        <f>IF(INDEX(D81:G81,'Inputs'!$C$6)="","",INDEX(D81:G81,'Inputs'!$C$6))</f>
        <v/>
      </c>
      <c r="I81" s="39">
        <f>'Quarterly'!$W$146</f>
        <v/>
      </c>
      <c r="J81" s="58">
        <f>0.5*10^-3+1E-9</f>
        <v/>
      </c>
      <c r="K81" s="13">
        <f>IF(OR(NOT($G$114),H81=""),"n/a",ABS(I81-H81)&lt;=J81)</f>
        <v/>
      </c>
    </row>
    <row r="82">
      <c r="B82" s="46" t="n">
        <v>57</v>
      </c>
      <c r="C82" s="12" t="inlineStr">
        <is>
          <t>Covenant headroom, Y5 Q4</t>
        </is>
      </c>
      <c r="D82" s="50" t="n">
        <v>0.6920000000000001</v>
      </c>
      <c r="E82" s="50" t="n">
        <v>0.481</v>
      </c>
      <c r="F82" s="50" t="n">
        <v>0.281</v>
      </c>
      <c r="G82" s="12" t="n"/>
      <c r="H82" s="68">
        <f>IF(INDEX(D82:G82,'Inputs'!$C$6)="","",INDEX(D82:G82,'Inputs'!$C$6))</f>
        <v/>
      </c>
      <c r="I82" s="39">
        <f>'Quarterly'!$X$146</f>
        <v/>
      </c>
      <c r="J82" s="58">
        <f>0.5*10^-3+1E-9</f>
        <v/>
      </c>
      <c r="K82" s="13">
        <f>IF(OR(NOT($G$114),H82=""),"n/a",ABS(I82-H82)&lt;=J82)</f>
        <v/>
      </c>
    </row>
    <row r="83">
      <c r="B83" s="46" t="n">
        <v>58</v>
      </c>
      <c r="C83" s="12" t="inlineStr">
        <is>
          <t>Revolver drawn, Y1 Q1</t>
        </is>
      </c>
      <c r="D83" s="62" t="n">
        <v>0</v>
      </c>
      <c r="E83" s="62" t="n">
        <v>0</v>
      </c>
      <c r="F83" s="62" t="n">
        <v>0</v>
      </c>
      <c r="G83" s="12" t="n"/>
      <c r="H83" s="63">
        <f>IF(INDEX(D83:G83,'Inputs'!$C$6)="","",INDEX(D83:G83,'Inputs'!$C$6))</f>
        <v/>
      </c>
      <c r="I83" s="64">
        <f>'Quarterly'!$E$142</f>
        <v/>
      </c>
      <c r="J83" s="58">
        <f>0.5*10^-2+1E-9</f>
        <v/>
      </c>
      <c r="K83" s="13">
        <f>IF(OR(NOT($G$114),H83=""),"n/a",ABS(I83-H83)&lt;=J83)</f>
        <v/>
      </c>
    </row>
    <row r="84">
      <c r="B84" s="46" t="n">
        <v>59</v>
      </c>
      <c r="C84" s="12" t="inlineStr">
        <is>
          <t>Revolver drawn, Y1 Q2</t>
        </is>
      </c>
      <c r="D84" s="62" t="n">
        <v>0</v>
      </c>
      <c r="E84" s="62" t="n">
        <v>0</v>
      </c>
      <c r="F84" s="62" t="n">
        <v>0</v>
      </c>
      <c r="G84" s="12" t="n"/>
      <c r="H84" s="63">
        <f>IF(INDEX(D84:G84,'Inputs'!$C$6)="","",INDEX(D84:G84,'Inputs'!$C$6))</f>
        <v/>
      </c>
      <c r="I84" s="64">
        <f>'Quarterly'!$F$142</f>
        <v/>
      </c>
      <c r="J84" s="58">
        <f>0.5*10^-2+1E-9</f>
        <v/>
      </c>
      <c r="K84" s="13">
        <f>IF(OR(NOT($G$114),H84=""),"n/a",ABS(I84-H84)&lt;=J84)</f>
        <v/>
      </c>
    </row>
    <row r="85">
      <c r="B85" s="46" t="n">
        <v>60</v>
      </c>
      <c r="C85" s="12" t="inlineStr">
        <is>
          <t>Revolver drawn, Y1 Q3</t>
        </is>
      </c>
      <c r="D85" s="62" t="n">
        <v>0</v>
      </c>
      <c r="E85" s="62" t="n">
        <v>0</v>
      </c>
      <c r="F85" s="62" t="n">
        <v>0</v>
      </c>
      <c r="G85" s="12" t="n"/>
      <c r="H85" s="63">
        <f>IF(INDEX(D85:G85,'Inputs'!$C$6)="","",INDEX(D85:G85,'Inputs'!$C$6))</f>
        <v/>
      </c>
      <c r="I85" s="64">
        <f>'Quarterly'!$G$142</f>
        <v/>
      </c>
      <c r="J85" s="58">
        <f>0.5*10^-2+1E-9</f>
        <v/>
      </c>
      <c r="K85" s="13">
        <f>IF(OR(NOT($G$114),H85=""),"n/a",ABS(I85-H85)&lt;=J85)</f>
        <v/>
      </c>
    </row>
    <row r="86">
      <c r="B86" s="46" t="n">
        <v>61</v>
      </c>
      <c r="C86" s="12" t="inlineStr">
        <is>
          <t>Revolver drawn, Y1 Q4</t>
        </is>
      </c>
      <c r="D86" s="62" t="n">
        <v>0</v>
      </c>
      <c r="E86" s="62" t="n">
        <v>0</v>
      </c>
      <c r="F86" s="62" t="n">
        <v>0</v>
      </c>
      <c r="G86" s="12" t="n"/>
      <c r="H86" s="63">
        <f>IF(INDEX(D86:G86,'Inputs'!$C$6)="","",INDEX(D86:G86,'Inputs'!$C$6))</f>
        <v/>
      </c>
      <c r="I86" s="64">
        <f>'Quarterly'!$H$142</f>
        <v/>
      </c>
      <c r="J86" s="58">
        <f>0.5*10^-2+1E-9</f>
        <v/>
      </c>
      <c r="K86" s="13">
        <f>IF(OR(NOT($G$114),H86=""),"n/a",ABS(I86-H86)&lt;=J86)</f>
        <v/>
      </c>
    </row>
    <row r="87">
      <c r="B87" s="46" t="n">
        <v>62</v>
      </c>
      <c r="C87" s="12" t="inlineStr">
        <is>
          <t>Revolver drawn, Y2 Q1</t>
        </is>
      </c>
      <c r="D87" s="62" t="n">
        <v>0</v>
      </c>
      <c r="E87" s="62" t="n">
        <v>0</v>
      </c>
      <c r="F87" s="62" t="n">
        <v>0</v>
      </c>
      <c r="G87" s="12" t="n"/>
      <c r="H87" s="63">
        <f>IF(INDEX(D87:G87,'Inputs'!$C$6)="","",INDEX(D87:G87,'Inputs'!$C$6))</f>
        <v/>
      </c>
      <c r="I87" s="64">
        <f>'Quarterly'!$I$142</f>
        <v/>
      </c>
      <c r="J87" s="58">
        <f>0.5*10^-2+1E-9</f>
        <v/>
      </c>
      <c r="K87" s="13">
        <f>IF(OR(NOT($G$114),H87=""),"n/a",ABS(I87-H87)&lt;=J87)</f>
        <v/>
      </c>
    </row>
    <row r="88">
      <c r="B88" s="46" t="n">
        <v>63</v>
      </c>
      <c r="C88" s="12" t="inlineStr">
        <is>
          <t>Revolver drawn, Y2 Q2</t>
        </is>
      </c>
      <c r="D88" s="62" t="n">
        <v>0.74</v>
      </c>
      <c r="E88" s="62" t="n">
        <v>0.62</v>
      </c>
      <c r="F88" s="62" t="n">
        <v>0.62</v>
      </c>
      <c r="G88" s="12" t="n"/>
      <c r="H88" s="63">
        <f>IF(INDEX(D88:G88,'Inputs'!$C$6)="","",INDEX(D88:G88,'Inputs'!$C$6))</f>
        <v/>
      </c>
      <c r="I88" s="64">
        <f>'Quarterly'!$J$142</f>
        <v/>
      </c>
      <c r="J88" s="58">
        <f>0.5*10^-2+1E-9</f>
        <v/>
      </c>
      <c r="K88" s="13">
        <f>IF(OR(NOT($G$114),H88=""),"n/a",ABS(I88-H88)&lt;=J88)</f>
        <v/>
      </c>
    </row>
    <row r="89">
      <c r="B89" s="46" t="n">
        <v>64</v>
      </c>
      <c r="C89" s="12" t="inlineStr">
        <is>
          <t>Revolver drawn, Y2 Q3</t>
        </is>
      </c>
      <c r="D89" s="62" t="n">
        <v>0</v>
      </c>
      <c r="E89" s="62" t="n">
        <v>0</v>
      </c>
      <c r="F89" s="62" t="n">
        <v>0</v>
      </c>
      <c r="G89" s="12" t="n"/>
      <c r="H89" s="63">
        <f>IF(INDEX(D89:G89,'Inputs'!$C$6)="","",INDEX(D89:G89,'Inputs'!$C$6))</f>
        <v/>
      </c>
      <c r="I89" s="64">
        <f>'Quarterly'!$K$142</f>
        <v/>
      </c>
      <c r="J89" s="58">
        <f>0.5*10^-2+1E-9</f>
        <v/>
      </c>
      <c r="K89" s="13">
        <f>IF(OR(NOT($G$114),H89=""),"n/a",ABS(I89-H89)&lt;=J89)</f>
        <v/>
      </c>
    </row>
    <row r="90">
      <c r="B90" s="46" t="n">
        <v>65</v>
      </c>
      <c r="C90" s="12" t="inlineStr">
        <is>
          <t>Revolver drawn, Y2 Q4</t>
        </is>
      </c>
      <c r="D90" s="62" t="n">
        <v>0</v>
      </c>
      <c r="E90" s="62" t="n">
        <v>0</v>
      </c>
      <c r="F90" s="62" t="n">
        <v>0</v>
      </c>
      <c r="G90" s="12" t="n"/>
      <c r="H90" s="63">
        <f>IF(INDEX(D90:G90,'Inputs'!$C$6)="","",INDEX(D90:G90,'Inputs'!$C$6))</f>
        <v/>
      </c>
      <c r="I90" s="64">
        <f>'Quarterly'!$L$142</f>
        <v/>
      </c>
      <c r="J90" s="58">
        <f>0.5*10^-2+1E-9</f>
        <v/>
      </c>
      <c r="K90" s="13">
        <f>IF(OR(NOT($G$114),H90=""),"n/a",ABS(I90-H90)&lt;=J90)</f>
        <v/>
      </c>
    </row>
    <row r="91">
      <c r="B91" s="46" t="n">
        <v>66</v>
      </c>
      <c r="C91" s="12" t="inlineStr">
        <is>
          <t>Revolver drawn, Y3 Q1</t>
        </is>
      </c>
      <c r="D91" s="62" t="n">
        <v>0</v>
      </c>
      <c r="E91" s="62" t="n">
        <v>0</v>
      </c>
      <c r="F91" s="62" t="n">
        <v>0</v>
      </c>
      <c r="G91" s="12" t="n"/>
      <c r="H91" s="63">
        <f>IF(INDEX(D91:G91,'Inputs'!$C$6)="","",INDEX(D91:G91,'Inputs'!$C$6))</f>
        <v/>
      </c>
      <c r="I91" s="64">
        <f>'Quarterly'!$M$142</f>
        <v/>
      </c>
      <c r="J91" s="58">
        <f>0.5*10^-2+1E-9</f>
        <v/>
      </c>
      <c r="K91" s="13">
        <f>IF(OR(NOT($G$114),H91=""),"n/a",ABS(I91-H91)&lt;=J91)</f>
        <v/>
      </c>
    </row>
    <row r="92">
      <c r="B92" s="46" t="n">
        <v>67</v>
      </c>
      <c r="C92" s="12" t="inlineStr">
        <is>
          <t>Revolver drawn, Y3 Q2</t>
        </is>
      </c>
      <c r="D92" s="62" t="n">
        <v>0</v>
      </c>
      <c r="E92" s="62" t="n">
        <v>2.13</v>
      </c>
      <c r="F92" s="62" t="n">
        <v>2.74</v>
      </c>
      <c r="G92" s="12" t="n"/>
      <c r="H92" s="63">
        <f>IF(INDEX(D92:G92,'Inputs'!$C$6)="","",INDEX(D92:G92,'Inputs'!$C$6))</f>
        <v/>
      </c>
      <c r="I92" s="64">
        <f>'Quarterly'!$N$142</f>
        <v/>
      </c>
      <c r="J92" s="58">
        <f>0.5*10^-2+1E-9</f>
        <v/>
      </c>
      <c r="K92" s="13">
        <f>IF(OR(NOT($G$114),H92=""),"n/a",ABS(I92-H92)&lt;=J92)</f>
        <v/>
      </c>
    </row>
    <row r="93">
      <c r="B93" s="46" t="n">
        <v>68</v>
      </c>
      <c r="C93" s="12" t="inlineStr">
        <is>
          <t>Revolver drawn, Y3 Q3</t>
        </is>
      </c>
      <c r="D93" s="62" t="n">
        <v>0</v>
      </c>
      <c r="E93" s="62" t="n">
        <v>0.24</v>
      </c>
      <c r="F93" s="62" t="n">
        <v>4.14</v>
      </c>
      <c r="G93" s="12" t="n"/>
      <c r="H93" s="63">
        <f>IF(INDEX(D93:G93,'Inputs'!$C$6)="","",INDEX(D93:G93,'Inputs'!$C$6))</f>
        <v/>
      </c>
      <c r="I93" s="64">
        <f>'Quarterly'!$O$142</f>
        <v/>
      </c>
      <c r="J93" s="58">
        <f>0.5*10^-2+1E-9</f>
        <v/>
      </c>
      <c r="K93" s="13">
        <f>IF(OR(NOT($G$114),H93=""),"n/a",ABS(I93-H93)&lt;=J93)</f>
        <v/>
      </c>
    </row>
    <row r="94">
      <c r="B94" s="46" t="n">
        <v>69</v>
      </c>
      <c r="C94" s="12" t="inlineStr">
        <is>
          <t>Revolver drawn, Y3 Q4</t>
        </is>
      </c>
      <c r="D94" s="62" t="n">
        <v>0</v>
      </c>
      <c r="E94" s="62" t="n">
        <v>0</v>
      </c>
      <c r="F94" s="62" t="n">
        <v>1.54</v>
      </c>
      <c r="G94" s="12" t="n"/>
      <c r="H94" s="63">
        <f>IF(INDEX(D94:G94,'Inputs'!$C$6)="","",INDEX(D94:G94,'Inputs'!$C$6))</f>
        <v/>
      </c>
      <c r="I94" s="64">
        <f>'Quarterly'!$P$142</f>
        <v/>
      </c>
      <c r="J94" s="58">
        <f>0.5*10^-2+1E-9</f>
        <v/>
      </c>
      <c r="K94" s="13">
        <f>IF(OR(NOT($G$114),H94=""),"n/a",ABS(I94-H94)&lt;=J94)</f>
        <v/>
      </c>
    </row>
    <row r="95">
      <c r="B95" s="46" t="n">
        <v>70</v>
      </c>
      <c r="C95" s="12" t="inlineStr">
        <is>
          <t>Revolver drawn, Y4 Q1</t>
        </is>
      </c>
      <c r="D95" s="62" t="n">
        <v>0</v>
      </c>
      <c r="E95" s="62" t="n">
        <v>0</v>
      </c>
      <c r="F95" s="62" t="n">
        <v>0</v>
      </c>
      <c r="G95" s="12" t="n"/>
      <c r="H95" s="63">
        <f>IF(INDEX(D95:G95,'Inputs'!$C$6)="","",INDEX(D95:G95,'Inputs'!$C$6))</f>
        <v/>
      </c>
      <c r="I95" s="64">
        <f>'Quarterly'!$Q$142</f>
        <v/>
      </c>
      <c r="J95" s="58">
        <f>0.5*10^-2+1E-9</f>
        <v/>
      </c>
      <c r="K95" s="13">
        <f>IF(OR(NOT($G$114),H95=""),"n/a",ABS(I95-H95)&lt;=J95)</f>
        <v/>
      </c>
    </row>
    <row r="96">
      <c r="B96" s="46" t="n">
        <v>71</v>
      </c>
      <c r="C96" s="12" t="inlineStr">
        <is>
          <t>Revolver drawn, Y4 Q2</t>
        </is>
      </c>
      <c r="D96" s="62" t="n">
        <v>0</v>
      </c>
      <c r="E96" s="62" t="n">
        <v>0</v>
      </c>
      <c r="F96" s="62" t="n">
        <v>0</v>
      </c>
      <c r="G96" s="12" t="n"/>
      <c r="H96" s="63">
        <f>IF(INDEX(D96:G96,'Inputs'!$C$6)="","",INDEX(D96:G96,'Inputs'!$C$6))</f>
        <v/>
      </c>
      <c r="I96" s="64">
        <f>'Quarterly'!$R$142</f>
        <v/>
      </c>
      <c r="J96" s="58">
        <f>0.5*10^-2+1E-9</f>
        <v/>
      </c>
      <c r="K96" s="13">
        <f>IF(OR(NOT($G$114),H96=""),"n/a",ABS(I96-H96)&lt;=J96)</f>
        <v/>
      </c>
    </row>
    <row r="97">
      <c r="B97" s="46" t="n">
        <v>72</v>
      </c>
      <c r="C97" s="12" t="inlineStr">
        <is>
          <t>Revolver drawn, Y4 Q3</t>
        </is>
      </c>
      <c r="D97" s="62" t="n">
        <v>0</v>
      </c>
      <c r="E97" s="62" t="n">
        <v>0</v>
      </c>
      <c r="F97" s="62" t="n">
        <v>0</v>
      </c>
      <c r="G97" s="12" t="n"/>
      <c r="H97" s="63">
        <f>IF(INDEX(D97:G97,'Inputs'!$C$6)="","",INDEX(D97:G97,'Inputs'!$C$6))</f>
        <v/>
      </c>
      <c r="I97" s="64">
        <f>'Quarterly'!$S$142</f>
        <v/>
      </c>
      <c r="J97" s="58">
        <f>0.5*10^-2+1E-9</f>
        <v/>
      </c>
      <c r="K97" s="13">
        <f>IF(OR(NOT($G$114),H97=""),"n/a",ABS(I97-H97)&lt;=J97)</f>
        <v/>
      </c>
    </row>
    <row r="98">
      <c r="B98" s="46" t="n">
        <v>73</v>
      </c>
      <c r="C98" s="12" t="inlineStr">
        <is>
          <t>Revolver drawn, Y4 Q4</t>
        </is>
      </c>
      <c r="D98" s="62" t="n">
        <v>0</v>
      </c>
      <c r="E98" s="62" t="n">
        <v>0</v>
      </c>
      <c r="F98" s="62" t="n">
        <v>0</v>
      </c>
      <c r="G98" s="12" t="n"/>
      <c r="H98" s="63">
        <f>IF(INDEX(D98:G98,'Inputs'!$C$6)="","",INDEX(D98:G98,'Inputs'!$C$6))</f>
        <v/>
      </c>
      <c r="I98" s="64">
        <f>'Quarterly'!$T$142</f>
        <v/>
      </c>
      <c r="J98" s="58">
        <f>0.5*10^-2+1E-9</f>
        <v/>
      </c>
      <c r="K98" s="13">
        <f>IF(OR(NOT($G$114),H98=""),"n/a",ABS(I98-H98)&lt;=J98)</f>
        <v/>
      </c>
    </row>
    <row r="99">
      <c r="B99" s="46" t="n">
        <v>74</v>
      </c>
      <c r="C99" s="12" t="inlineStr">
        <is>
          <t>Revolver drawn, Y5 Q1</t>
        </is>
      </c>
      <c r="D99" s="62" t="n">
        <v>0</v>
      </c>
      <c r="E99" s="62" t="n">
        <v>0</v>
      </c>
      <c r="F99" s="62" t="n">
        <v>0</v>
      </c>
      <c r="G99" s="12" t="n"/>
      <c r="H99" s="63">
        <f>IF(INDEX(D99:G99,'Inputs'!$C$6)="","",INDEX(D99:G99,'Inputs'!$C$6))</f>
        <v/>
      </c>
      <c r="I99" s="64">
        <f>'Quarterly'!$U$142</f>
        <v/>
      </c>
      <c r="J99" s="58">
        <f>0.5*10^-2+1E-9</f>
        <v/>
      </c>
      <c r="K99" s="13">
        <f>IF(OR(NOT($G$114),H99=""),"n/a",ABS(I99-H99)&lt;=J99)</f>
        <v/>
      </c>
    </row>
    <row r="100">
      <c r="B100" s="46" t="n">
        <v>75</v>
      </c>
      <c r="C100" s="12" t="inlineStr">
        <is>
          <t>Revolver drawn, Y5 Q2</t>
        </is>
      </c>
      <c r="D100" s="62" t="n">
        <v>0</v>
      </c>
      <c r="E100" s="62" t="n">
        <v>0</v>
      </c>
      <c r="F100" s="62" t="n">
        <v>0</v>
      </c>
      <c r="G100" s="12" t="n"/>
      <c r="H100" s="63">
        <f>IF(INDEX(D100:G100,'Inputs'!$C$6)="","",INDEX(D100:G100,'Inputs'!$C$6))</f>
        <v/>
      </c>
      <c r="I100" s="64">
        <f>'Quarterly'!$V$142</f>
        <v/>
      </c>
      <c r="J100" s="58">
        <f>0.5*10^-2+1E-9</f>
        <v/>
      </c>
      <c r="K100" s="13">
        <f>IF(OR(NOT($G$114),H100=""),"n/a",ABS(I100-H100)&lt;=J100)</f>
        <v/>
      </c>
    </row>
    <row r="101">
      <c r="B101" s="46" t="n">
        <v>76</v>
      </c>
      <c r="C101" s="12" t="inlineStr">
        <is>
          <t>Revolver drawn, Y5 Q3</t>
        </is>
      </c>
      <c r="D101" s="62" t="n">
        <v>0</v>
      </c>
      <c r="E101" s="62" t="n">
        <v>0</v>
      </c>
      <c r="F101" s="62" t="n">
        <v>0</v>
      </c>
      <c r="G101" s="12" t="n"/>
      <c r="H101" s="63">
        <f>IF(INDEX(D101:G101,'Inputs'!$C$6)="","",INDEX(D101:G101,'Inputs'!$C$6))</f>
        <v/>
      </c>
      <c r="I101" s="64">
        <f>'Quarterly'!$W$142</f>
        <v/>
      </c>
      <c r="J101" s="58">
        <f>0.5*10^-2+1E-9</f>
        <v/>
      </c>
      <c r="K101" s="13">
        <f>IF(OR(NOT($G$114),H101=""),"n/a",ABS(I101-H101)&lt;=J101)</f>
        <v/>
      </c>
    </row>
    <row r="102">
      <c r="B102" s="46" t="n">
        <v>77</v>
      </c>
      <c r="C102" s="12" t="inlineStr">
        <is>
          <t>Revolver drawn, Y5 Q4</t>
        </is>
      </c>
      <c r="D102" s="62" t="n">
        <v>0</v>
      </c>
      <c r="E102" s="62" t="n">
        <v>0</v>
      </c>
      <c r="F102" s="62" t="n">
        <v>0</v>
      </c>
      <c r="G102" s="12" t="n"/>
      <c r="H102" s="63">
        <f>IF(INDEX(D102:G102,'Inputs'!$C$6)="","",INDEX(D102:G102,'Inputs'!$C$6))</f>
        <v/>
      </c>
      <c r="I102" s="64">
        <f>'Quarterly'!$X$142</f>
        <v/>
      </c>
      <c r="J102" s="58">
        <f>0.5*10^-2+1E-9</f>
        <v/>
      </c>
      <c r="K102" s="13">
        <f>IF(OR(NOT($G$114),H102=""),"n/a",ABS(I102-H102)&lt;=J102)</f>
        <v/>
      </c>
    </row>
    <row r="103">
      <c r="B103" s="46" t="n">
        <v>78</v>
      </c>
      <c r="C103" s="12" t="inlineStr">
        <is>
          <t>Equity cures, years 1 to 5</t>
        </is>
      </c>
      <c r="D103" s="59" t="n">
        <v>0</v>
      </c>
      <c r="E103" s="59" t="n">
        <v>0</v>
      </c>
      <c r="F103" s="59" t="n">
        <v>7.5</v>
      </c>
      <c r="G103" s="12" t="n"/>
      <c r="H103" s="60">
        <f>IF(INDEX(D103:G103,'Inputs'!$C$6)="","",INDEX(D103:G103,'Inputs'!$C$6))</f>
        <v/>
      </c>
      <c r="I103" s="61">
        <f>SUM('Quarterly'!$E$137:$X$137)</f>
        <v/>
      </c>
      <c r="J103" s="58">
        <f>0.5*10^-1+1E-9</f>
        <v/>
      </c>
      <c r="K103" s="13">
        <f>IF(OR(NOT($G$114),H103=""),"n/a",ABS(I103-H103)&lt;=J103)</f>
        <v/>
      </c>
    </row>
    <row r="104">
      <c r="B104" s="46" t="n">
        <v>79</v>
      </c>
      <c r="C104" s="12" t="inlineStr">
        <is>
          <t>Exit: buyer's QoE EBITDA</t>
        </is>
      </c>
      <c r="D104" s="62" t="n">
        <v>29.08</v>
      </c>
      <c r="E104" s="62" t="n">
        <v>23.09</v>
      </c>
      <c r="F104" s="62" t="n">
        <v>15.72</v>
      </c>
      <c r="G104" s="12" t="n"/>
      <c r="H104" s="63">
        <f>IF(INDEX(D104:G104,'Inputs'!$C$6)="","",INDEX(D104:G104,'Inputs'!$C$6))</f>
        <v/>
      </c>
      <c r="I104" s="64">
        <f>'Exit'!$C$11</f>
        <v/>
      </c>
      <c r="J104" s="58">
        <f>0.5*10^-2+1E-9</f>
        <v/>
      </c>
      <c r="K104" s="13">
        <f>IF(OR(NOT($G$114),H104=""),"n/a",ABS(I104-H104)&lt;=J104)</f>
        <v/>
      </c>
    </row>
    <row r="105">
      <c r="B105" s="46" t="n">
        <v>80</v>
      </c>
      <c r="C105" s="12" t="inlineStr">
        <is>
          <t>Exit: enterprise value</t>
        </is>
      </c>
      <c r="D105" s="59" t="n">
        <v>261.8</v>
      </c>
      <c r="E105" s="59" t="n">
        <v>207.8</v>
      </c>
      <c r="F105" s="59" t="n">
        <v>125.8</v>
      </c>
      <c r="G105" s="12" t="n"/>
      <c r="H105" s="60">
        <f>IF(INDEX(D105:G105,'Inputs'!$C$6)="","",INDEX(D105:G105,'Inputs'!$C$6))</f>
        <v/>
      </c>
      <c r="I105" s="61">
        <f>'Exit'!$C$19</f>
        <v/>
      </c>
      <c r="J105" s="58">
        <f>0.5*10^-1+1E-9</f>
        <v/>
      </c>
      <c r="K105" s="13">
        <f>IF(OR(NOT($G$114),H105=""),"n/a",ABS(I105-H105)&lt;=J105)</f>
        <v/>
      </c>
    </row>
    <row r="106">
      <c r="B106" s="46" t="n">
        <v>81</v>
      </c>
      <c r="C106" s="12" t="inlineStr">
        <is>
          <t>Exit: net debt</t>
        </is>
      </c>
      <c r="D106" s="59" t="n">
        <v>40.3</v>
      </c>
      <c r="E106" s="59" t="n">
        <v>53.9</v>
      </c>
      <c r="F106" s="59" t="n">
        <v>59.4</v>
      </c>
      <c r="G106" s="12" t="n"/>
      <c r="H106" s="60">
        <f>IF(INDEX(D106:G106,'Inputs'!$C$6)="","",INDEX(D106:G106,'Inputs'!$C$6))</f>
        <v/>
      </c>
      <c r="I106" s="61">
        <f>'Exit'!$C$21</f>
        <v/>
      </c>
      <c r="J106" s="58">
        <f>0.5*10^-1+1E-9</f>
        <v/>
      </c>
      <c r="K106" s="13">
        <f>IF(OR(NOT($G$114),H106=""),"n/a",ABS(I106-H106)&lt;=J106)</f>
        <v/>
      </c>
    </row>
    <row r="107">
      <c r="B107" s="46" t="n">
        <v>82</v>
      </c>
      <c r="C107" s="12" t="inlineStr">
        <is>
          <t>Exit: equity value</t>
        </is>
      </c>
      <c r="D107" s="59" t="n">
        <v>216.2</v>
      </c>
      <c r="E107" s="59" t="n">
        <v>149.7</v>
      </c>
      <c r="F107" s="59" t="n">
        <v>63.9</v>
      </c>
      <c r="G107" s="12" t="n"/>
      <c r="H107" s="60">
        <f>IF(INDEX(D107:G107,'Inputs'!$C$6)="","",INDEX(D107:G107,'Inputs'!$C$6))</f>
        <v/>
      </c>
      <c r="I107" s="61">
        <f>'Exit'!$C$23</f>
        <v/>
      </c>
      <c r="J107" s="58">
        <f>0.5*10^-1+1E-9</f>
        <v/>
      </c>
      <c r="K107" s="13">
        <f>IF(OR(NOT($G$114),H107=""),"n/a",ABS(I107-H107)&lt;=J107)</f>
        <v/>
      </c>
    </row>
    <row r="108">
      <c r="B108" s="46" t="n">
        <v>83</v>
      </c>
      <c r="C108" s="12" t="inlineStr">
        <is>
          <t>Exit: to the common equity</t>
        </is>
      </c>
      <c r="D108" s="59" t="n">
        <v>201.6</v>
      </c>
      <c r="E108" s="59" t="n">
        <v>144.6</v>
      </c>
      <c r="F108" s="59" t="n">
        <v>63.9</v>
      </c>
      <c r="G108" s="12" t="n"/>
      <c r="H108" s="60">
        <f>IF(INDEX(D108:G108,'Inputs'!$C$6)="","",INDEX(D108:G108,'Inputs'!$C$6))</f>
        <v/>
      </c>
      <c r="I108" s="61">
        <f>'Exit'!$C$34</f>
        <v/>
      </c>
      <c r="J108" s="58">
        <f>0.5*10^-1+1E-9</f>
        <v/>
      </c>
      <c r="K108" s="13">
        <f>IF(OR(NOT($G$114),H108=""),"n/a",ABS(I108-H108)&lt;=J108)</f>
        <v/>
      </c>
    </row>
    <row r="109">
      <c r="B109" s="46" t="n">
        <v>84</v>
      </c>
      <c r="C109" s="12" t="inlineStr">
        <is>
          <t>Exit: money multiple</t>
        </is>
      </c>
      <c r="D109" s="65" t="n">
        <v>2.89</v>
      </c>
      <c r="E109" s="65" t="n">
        <v>2.07</v>
      </c>
      <c r="F109" s="65" t="n">
        <v>0.83</v>
      </c>
      <c r="G109" s="12" t="n"/>
      <c r="H109" s="66">
        <f>IF(INDEX(D109:G109,'Inputs'!$C$6)="","",INDEX(D109:G109,'Inputs'!$C$6))</f>
        <v/>
      </c>
      <c r="I109" s="67">
        <f>'Exit'!$C$35</f>
        <v/>
      </c>
      <c r="J109" s="58">
        <f>0.5*10^-2+1E-9</f>
        <v/>
      </c>
      <c r="K109" s="13">
        <f>IF(OR(NOT($G$114),H109=""),"n/a",ABS(I109-H109)&lt;=J109)</f>
        <v/>
      </c>
    </row>
    <row r="110">
      <c r="B110" s="46" t="n">
        <v>85</v>
      </c>
      <c r="C110" s="12" t="inlineStr">
        <is>
          <t>Exit: IRR</t>
        </is>
      </c>
      <c r="D110" s="50" t="n">
        <v>0.236</v>
      </c>
      <c r="E110" s="50" t="n">
        <v>0.157</v>
      </c>
      <c r="F110" s="50" t="n">
        <v>-0.04</v>
      </c>
      <c r="G110" s="12" t="n"/>
      <c r="H110" s="68">
        <f>IF(INDEX(D110:G110,'Inputs'!$C$6)="","",INDEX(D110:G110,'Inputs'!$C$6))</f>
        <v/>
      </c>
      <c r="I110" s="39">
        <f>'Exit'!$C$37</f>
        <v/>
      </c>
      <c r="J110" s="58">
        <f>0.5*10^-3+1E-9</f>
        <v/>
      </c>
      <c r="K110" s="13">
        <f>IF(OR(NOT($G$114),H110=""),"n/a",ABS(I110-H110)&lt;=J110)</f>
        <v/>
      </c>
    </row>
    <row r="111">
      <c r="B111" s="46" t="n">
        <v>86</v>
      </c>
      <c r="C111" s="12" t="inlineStr">
        <is>
          <t>Exit: the CFO's total</t>
        </is>
      </c>
      <c r="D111" s="62" t="n">
        <v>3.06</v>
      </c>
      <c r="E111" s="62" t="n">
        <v>1.4</v>
      </c>
      <c r="F111" s="62" t="n">
        <v>0.25</v>
      </c>
      <c r="G111" s="12" t="n"/>
      <c r="H111" s="63">
        <f>IF(INDEX(D111:G111,'Inputs'!$C$6)="","",INDEX(D111:G111,'Inputs'!$C$6))</f>
        <v/>
      </c>
      <c r="I111" s="64">
        <f>'Exit'!$C$42</f>
        <v/>
      </c>
      <c r="J111" s="58">
        <f>0.5*10^-2+1E-9</f>
        <v/>
      </c>
      <c r="K111" s="13">
        <f>IF(OR(NOT($G$114),H111=""),"n/a",ABS(I111-H111)&lt;=J111)</f>
        <v/>
      </c>
    </row>
    <row r="112"/>
    <row r="113">
      <c r="B113" s="8" t="inlineStr"/>
      <c r="C113" s="8" t="inlineStr">
        <is>
          <t>Summary</t>
        </is>
      </c>
      <c r="D113" s="9" t="inlineStr">
        <is>
          <t>Passed</t>
        </is>
      </c>
      <c r="E113" s="9" t="inlineStr">
        <is>
          <t>Lines</t>
        </is>
      </c>
      <c r="F113" s="9" t="inlineStr"/>
      <c r="G113" s="9" t="inlineStr">
        <is>
          <t>Status</t>
        </is>
      </c>
    </row>
    <row r="114">
      <c r="B114" s="12" t="inlineStr"/>
      <c r="C114" s="12" t="inlineStr">
        <is>
          <t>Book comparison active (levers at zero, exit quarter 20, no override, no haircut)</t>
        </is>
      </c>
      <c r="D114" s="12" t="n"/>
      <c r="E114" s="12" t="n"/>
      <c r="F114" s="12" t="n"/>
      <c r="G114" s="13">
        <f>AND('Inputs'!$C$8=0,'Inputs'!$C$9=0,'Inputs'!$C$10=0,'Inputs'!$C$11=0,'Inputs'!$C$12=0,'Inputs'!$C$13=0,'Inputs'!$C$14=0,'Inputs'!$C$17=20,ISBLANK('Inputs'!$C$18),'Inputs'!$C$19=0)</f>
        <v/>
      </c>
    </row>
    <row r="115">
      <c r="B115" s="12" t="inlineStr"/>
      <c r="C115" s="12" t="inlineStr">
        <is>
          <t>Mechanical checks</t>
        </is>
      </c>
      <c r="D115" s="24">
        <f>COUNTIF(G6:G23,TRUE)</f>
        <v/>
      </c>
      <c r="E115" s="24">
        <f>ROWS(G6:G23)</f>
        <v/>
      </c>
      <c r="F115" s="12" t="n"/>
      <c r="G115" s="13">
        <f>D115=E115</f>
        <v/>
      </c>
    </row>
    <row r="116" ht="29.4" customHeight="1">
      <c r="A116" s="3" t="n"/>
      <c r="B116" s="4" t="inlineStr"/>
      <c r="C116" s="4" t="inlineStr">
        <is>
          <t>Book figures for the selected case (n/a lines are not printed for that case, or the comparison is off)</t>
        </is>
      </c>
      <c r="D116" s="69">
        <f>COUNTIF(K26:K111,TRUE)</f>
        <v/>
      </c>
      <c r="E116" s="69">
        <f>ROWS(K26:K111)-COUNTIF(K26:K111,"n/a")</f>
        <v/>
      </c>
      <c r="F116" s="70" t="n"/>
      <c r="G116" s="57">
        <f>COUNTIF(K26:K111,FALSE)=0</f>
        <v/>
      </c>
      <c r="H116" s="3" t="n"/>
      <c r="I116" s="3" t="n"/>
      <c r="J116" s="3" t="n"/>
      <c r="K116" s="3" t="n"/>
    </row>
    <row r="117">
      <c r="B117" s="5" t="inlineStr"/>
      <c r="C117" s="5" t="inlineStr">
        <is>
          <t>RESULT</t>
        </is>
      </c>
      <c r="D117" s="5" t="n"/>
      <c r="E117" s="5" t="n"/>
      <c r="F117" s="5" t="n"/>
      <c r="G117" s="71">
        <f>IF(AND(G115,G116),"ALL CHECKS OK",IF(G115,"BOOK FIGURE DIFFERS","CHECK FAILED"))</f>
        <v/>
      </c>
    </row>
  </sheetData>
  <conditionalFormatting sqref="G6:G23">
    <cfRule type="cellIs" priority="1" operator="equal" dxfId="0">
      <formula>FALSE</formula>
    </cfRule>
  </conditionalFormatting>
  <conditionalFormatting sqref="K26:K111">
    <cfRule type="cellIs" priority="2" operator="equal" dxfId="0">
      <formula>FALSE</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Julian R. Sterling</dc:creator>
  <dc:title xmlns:dc="http://purl.org/dc/elements/1.1/">The Private Equity-Backed CFO: companion workbook</dc:title>
  <dcterms:created xmlns:dcterms="http://purl.org/dc/terms/" xmlns:xsi="http://www.w3.org/2001/XMLSchema-instance" xsi:type="dcterms:W3CDTF">2026-10-05T18:11:14Z</dcterms:created>
  <dcterms:modified xmlns:dcterms="http://purl.org/dc/terms/" xmlns:xsi="http://www.w3.org/2001/XMLSchema-instance" xsi:type="dcterms:W3CDTF">2026-10-05T18:11:14Z</dcterms:modified>
</cp:coreProperties>
</file>