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Assumptions" sheetId="2" state="visible" r:id="rId4"/>
    <sheet name="Solve" sheetId="3" state="visible" r:id="rId5"/>
    <sheet name="Debt sizing" sheetId="4" state="visible" r:id="rId6"/>
    <sheet name="Sources and uses" sheetId="5" state="visible" r:id="rId7"/>
    <sheet name="IDC" sheetId="6" state="visible" r:id="rId8"/>
    <sheet name="Cash flow" sheetId="7" state="visible" r:id="rId9"/>
    <sheet name="Returns" sheetId="8" state="visible" r:id="rId10"/>
    <sheet name="Check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<sst xmlns="http://schemas.openxmlformats.org/spreadsheetml/2006/main" count="267" uniqueCount="250">
  <si>
    <t xml:space="preserve">NORTHGATE — The Project Finance Handbook, companion model</t>
  </si>
  <si>
    <t xml:space="preserve">A 96 MW IT data center, built to suit, let on a 15-year triple-net lease to an</t>
  </si>
  <si>
    <t xml:space="preserve">investment-grade tenant. This workbook produced every Northgate figure in the book.</t>
  </si>
  <si>
    <t xml:space="preserve">HOW TO USE IT</t>
  </si>
  <si>
    <t xml:space="preserve">  Blue figures on the Assumptions sheet are inputs. Change them.</t>
  </si>
  <si>
    <t xml:space="preserve">  Everything else is a formula and will move. Nothing is pasted.</t>
  </si>
  <si>
    <t xml:space="preserve">  The two sizing tests are computed side by side on 'Debt sizing'. The loan is the</t>
  </si>
  <si>
    <t xml:space="preserve">  LOWER of the two. Watch which one binds when you change the rent or the cost.</t>
  </si>
  <si>
    <t xml:space="preserve">WHAT TO TRY FIRST</t>
  </si>
  <si>
    <t xml:space="preserve">  1. Set the exit cap rate equal to the yield on cost and watch the return fall to</t>
  </si>
  <si>
    <t xml:space="preserve">     what carry and indexation alone produce.</t>
  </si>
  <si>
    <t xml:space="preserve">  2. Raise the loan-to-cost ceiling to 75 % and watch minimum cover fall from 1.826 to 1.560.</t>
  </si>
  <si>
    <t xml:space="preserve">  3. Set the stress switch to YES, then cut the rent to 31.81: cover reaches 1.00. With the</t>
  </si>
  <si>
    <t xml:space="preserve">     switch at NO the debt re-sizes to each rent and cover never falls below the 1.45</t>
  </si>
  <si>
    <t xml:space="preserve">     target. That distinction is Chapter 15.</t>
  </si>
  <si>
    <t xml:space="preserve">A NOTE ON THE CIRCULARITY</t>
  </si>
  <si>
    <t xml:space="preserve">  The loan sizes off a cost that includes interest during construction, fees and</t>
  </si>
  <si>
    <t xml:space="preserve">  the reserve — all of which depend on the loan. Most models bury that in a</t>
  </si>
  <si>
    <t xml:space="preserve">  circular reference and switch on iterative calculation. This one does not.</t>
  </si>
  <si>
    <t xml:space="preserve">  The loop is unrolled on the 'Solve' sheet, one pass per column, and you can</t>
  </si>
  <si>
    <t xml:space="preserve">  watch it converge. There is no circular reference anywhere in this file, so it</t>
  </si>
  <si>
    <t xml:space="preserve">  behaves identically in Excel, in LibreOffice and in Google Sheets.</t>
  </si>
  <si>
    <t xml:space="preserve">  The check cell on 'Solve' reads CONVERGED. If it ever does not, copy the last</t>
  </si>
  <si>
    <t xml:space="preserve">  column further right. Chapter 7 explains why this matters.</t>
  </si>
  <si>
    <t xml:space="preserve">  Illustrative model for a book. Not investment advice, not a legal precedent, and</t>
  </si>
  <si>
    <t xml:space="preserve">  not a representation about any real asset or transaction.</t>
  </si>
  <si>
    <t xml:space="preserve">  Revised 24 September 2026.</t>
  </si>
  <si>
    <t xml:space="preserve">  The IDC sheet showed a total of 16.9 million: interest on the construction draws only.</t>
  </si>
  <si>
    <t xml:space="preserve">  The funding table has carried 19.7 since the book's seventh correction, because the</t>
  </si>
  <si>
    <t xml:space="preserve">  arrangement fee and the reserve are drawn at close and bear interest for the whole</t>
  </si>
  <si>
    <t xml:space="preserve">  build. The sheet now adds that carry (row 11) and ties to the funding table (row 15);</t>
  </si>
  <si>
    <t xml:space="preserve">  its drawdown shares point at the Solve sheet instead of being typed a second time.</t>
  </si>
  <si>
    <t xml:space="preserve">  The equity cash flow on Returns was fixed to a year-ten exit: changing the exit year</t>
  </si>
  <si>
    <t xml:space="preserve">  moved the proceeds but not the years. It now follows the exit year input (1 to 14).</t>
  </si>
  <si>
    <t xml:space="preserve">  Returns, rows 29 to 32: the pre-tax project return the book quotes, built the way</t>
  </si>
  <si>
    <t xml:space="preserve">  Chapter 11 defines it (construction and interest during construction out, net operating</t>
  </si>
  <si>
    <t xml:space="preserve">  income in, the sale net of selling costs back): 12.34 per cent. The book printed 13.14,</t>
  </si>
  <si>
    <t xml:space="preserve">  which that definition does not produce.</t>
  </si>
  <si>
    <t xml:space="preserve">  Debt sizing, rows 24 to 29: the third test of Chapter 5. Loan life cover ratio 1.619 on</t>
  </si>
  <si>
    <t xml:space="preserve">  691.7 million of discounted contracted income (the book printed 691.8), and the rent at</t>
  </si>
  <si>
    <t xml:space="preserve">  which the balloon refinances: 27.58 dollars, 34.9 per cent of the expiring rent.</t>
  </si>
  <si>
    <t xml:space="preserve">  Three lines of this sheet were wrong: minimum cover at 75 per cent loan to cost is</t>
  </si>
  <si>
    <t xml:space="preserve">  1.560, not below 1.35; cover reaches 1.00 at a rent of 31.81 with the debt held, not</t>
  </si>
  <si>
    <t xml:space="preserve">  37.04; and the missing construction period was worth 2.49 points, not more than three.</t>
  </si>
  <si>
    <t xml:space="preserve">  A Checks sheet is added: 31 checks.</t>
  </si>
  <si>
    <t xml:space="preserve">ASSUMPTIONS — blue cells are inputs</t>
  </si>
  <si>
    <t xml:space="preserve">THE ASSET</t>
  </si>
  <si>
    <t xml:space="preserve">IT capacity delivered (MW)</t>
  </si>
  <si>
    <t xml:space="preserve">All-in construction cost (M$ per MW IT)</t>
  </si>
  <si>
    <t xml:space="preserve">land, shell, substation, base build MEP</t>
  </si>
  <si>
    <t xml:space="preserve">Non-depreciable share of cost</t>
  </si>
  <si>
    <t xml:space="preserve">THE LEASE</t>
  </si>
  <si>
    <t xml:space="preserve">Rent ($/kW IT/month, triple net)</t>
  </si>
  <si>
    <t xml:space="preserve">Rent indexation (per year)</t>
  </si>
  <si>
    <t xml:space="preserve">Lease term (years)</t>
  </si>
  <si>
    <t xml:space="preserve">Non-recoverable opex (M$/yr)</t>
  </si>
  <si>
    <t xml:space="preserve">Opex indexation (per year)</t>
  </si>
  <si>
    <t xml:space="preserve">THE DEBT</t>
  </si>
  <si>
    <t xml:space="preserve">Swap rate</t>
  </si>
  <si>
    <t xml:space="preserve">Margin</t>
  </si>
  <si>
    <t xml:space="preserve">Arrangement fee (% of facility)</t>
  </si>
  <si>
    <t xml:space="preserve">Term (years)</t>
  </si>
  <si>
    <t xml:space="preserve">matched to the lease</t>
  </si>
  <si>
    <t xml:space="preserve">Sizing cover ratio (DSCR)</t>
  </si>
  <si>
    <t xml:space="preserve">Maximum loan to cost</t>
  </si>
  <si>
    <t xml:space="preserve">Debt service reserve (months)</t>
  </si>
  <si>
    <t xml:space="preserve">Amortization profile (years)</t>
  </si>
  <si>
    <t xml:space="preserve">longer than the term: leaves a balloon</t>
  </si>
  <si>
    <t xml:space="preserve">THE EXIT</t>
  </si>
  <si>
    <t xml:space="preserve">Exit year</t>
  </si>
  <si>
    <t xml:space="preserve">Exit cap rate</t>
  </si>
  <si>
    <t xml:space="preserve">Selling costs</t>
  </si>
  <si>
    <t xml:space="preserve">TAX</t>
  </si>
  <si>
    <t xml:space="preserve">Tax rate</t>
  </si>
  <si>
    <t xml:space="preserve">Tax depreciation life (years)</t>
  </si>
  <si>
    <t xml:space="preserve">STRESS SWITCH — read Chapter 15 before using this</t>
  </si>
  <si>
    <t xml:space="preserve">Hold the debt fixed at the amount below?</t>
  </si>
  <si>
    <t xml:space="preserve">NO</t>
  </si>
  <si>
    <t xml:space="preserve">type YES to stress the signed loan instead of re-sizing it</t>
  </si>
  <si>
    <t xml:space="preserve">Debt held fixed at (M$)</t>
  </si>
  <si>
    <t xml:space="preserve">the loan actually signed</t>
  </si>
  <si>
    <t xml:space="preserve">Sizing case = change an input and let the debt re-size. Stress case = hold the debt and see if the deal you did survives.</t>
  </si>
  <si>
    <t xml:space="preserve">SOLVING THE CIRCULARITY — one pass per column</t>
  </si>
  <si>
    <t xml:space="preserve">The loan sizes off a cost that includes interest during construction, fees and the reserve, all of which depend on the loan.</t>
  </si>
  <si>
    <t xml:space="preserve">Rather than hide that in a circular reference, the loop is unrolled. Watch row 12 stop moving. Chapter 7.</t>
  </si>
  <si>
    <t xml:space="preserve">Rate (all in)</t>
  </si>
  <si>
    <t xml:space="preserve">Construction cost (M$)</t>
  </si>
  <si>
    <t xml:space="preserve">Annuity factor (amortization profile)</t>
  </si>
  <si>
    <t xml:space="preserve">Share of construction cost drawn in the quarter</t>
  </si>
  <si>
    <t xml:space="preserve">   cumulative</t>
  </si>
  <si>
    <t xml:space="preserve">PASS</t>
  </si>
  <si>
    <t xml:space="preserve">Loan brought forward (M$)</t>
  </si>
  <si>
    <t xml:space="preserve">Equity brought forward (M$)</t>
  </si>
  <si>
    <t xml:space="preserve">Interest during construction (M$)</t>
  </si>
  <si>
    <t xml:space="preserve">Arrangement fees (M$)</t>
  </si>
  <si>
    <t xml:space="preserve">Debt service reserve (M$)</t>
  </si>
  <si>
    <t xml:space="preserve">Total uses (M$)</t>
  </si>
  <si>
    <t xml:space="preserve">Loan the cover test allows (M$)</t>
  </si>
  <si>
    <t xml:space="preserve">Loan the cost test allows (M$)</t>
  </si>
  <si>
    <t xml:space="preserve">Loan carried forward (M$)</t>
  </si>
  <si>
    <t xml:space="preserve">Change on the previous pass</t>
  </si>
  <si>
    <t xml:space="preserve">CONVERGED — this is the answer the rest of the workbook uses</t>
  </si>
  <si>
    <t xml:space="preserve">Residual movement on the last pass (must be ~0)</t>
  </si>
  <si>
    <t xml:space="preserve">Check</t>
  </si>
  <si>
    <t xml:space="preserve">If the check ever reads NOT CONVERGED, copy the last column further right. Nothing else in this file needs changing.</t>
  </si>
  <si>
    <t xml:space="preserve">DEBT SIZING — the loan is the LOWER of two tests</t>
  </si>
  <si>
    <t xml:space="preserve">PRICE</t>
  </si>
  <si>
    <t xml:space="preserve">All-in interest rate</t>
  </si>
  <si>
    <t xml:space="preserve">TEST ONE — COVER</t>
  </si>
  <si>
    <t xml:space="preserve">Year-1 NOI (M$)</t>
  </si>
  <si>
    <t xml:space="preserve">Debt service the cover test permits (M$)</t>
  </si>
  <si>
    <t xml:space="preserve">Principal supported = permitted service x annuity factor</t>
  </si>
  <si>
    <t xml:space="preserve">The test must price the instrument actually lent: a level installment on the amortization profile.</t>
  </si>
  <si>
    <t xml:space="preserve">Cover is lowest in year 1 — rent indexes, the installment does not.</t>
  </si>
  <si>
    <t xml:space="preserve">TEST TWO — LOAN TO COST</t>
  </si>
  <si>
    <t xml:space="preserve">Principal supported</t>
  </si>
  <si>
    <t xml:space="preserve">THE LOAN</t>
  </si>
  <si>
    <t xml:space="preserve">Senior debt (M$)</t>
  </si>
  <si>
    <t xml:space="preserve">Which test binds</t>
  </si>
  <si>
    <t xml:space="preserve">Gearing</t>
  </si>
  <si>
    <t xml:space="preserve">Annuity factor (on the amortization profile)</t>
  </si>
  <si>
    <t xml:space="preserve">Level annual debt service (M$)</t>
  </si>
  <si>
    <t xml:space="preserve">Balloon at the end of the term (M$)</t>
  </si>
  <si>
    <t xml:space="preserve">the profile is longer than the term — this falls due in one payment</t>
  </si>
  <si>
    <t xml:space="preserve">The cover test is a forecast. The loan-to-cost test distrusts the forecast. Chapter 5.</t>
  </si>
  <si>
    <t xml:space="preserve">TEST THREE — WHAT IS LEFT AT MATURITY (Chapter 5)</t>
  </si>
  <si>
    <t xml:space="preserve">Contracted NOI over the term, discounted at the loan rate (M$)</t>
  </si>
  <si>
    <t xml:space="preserve">Loan life cover ratio at close</t>
  </si>
  <si>
    <t xml:space="preserve">The same, had the loan been sized to the cover test</t>
  </si>
  <si>
    <t xml:space="preserve">Rent at which a lender on the same terms refinances the balloon ($/kW-month)</t>
  </si>
  <si>
    <t xml:space="preserve">65 % of value, value at the exit cap on the first year after the lease, plus that year's non-recoverable cost</t>
  </si>
  <si>
    <t xml:space="preserve">   as a share of the rent in the last year of the lease</t>
  </si>
  <si>
    <t xml:space="preserve">No arithmetic in the deal produces an LLCR covenant level: it is negotiated. Row 26 clears every floor below it and fails every floor above. Added 24 September 2026.</t>
  </si>
  <si>
    <t xml:space="preserve">SOURCES AND USES</t>
  </si>
  <si>
    <t xml:space="preserve">Circular by construction: the loan sizes off a cost that includes the cost of the loan.</t>
  </si>
  <si>
    <t xml:space="preserve">USES (M$)</t>
  </si>
  <si>
    <t xml:space="preserve">Construction cost, all in</t>
  </si>
  <si>
    <t xml:space="preserve">Interest during construction</t>
  </si>
  <si>
    <t xml:space="preserve">Arrangement fees</t>
  </si>
  <si>
    <t xml:space="preserve">Debt service reserve</t>
  </si>
  <si>
    <t xml:space="preserve">exactly six months of the service actually contracted</t>
  </si>
  <si>
    <t xml:space="preserve">TOTAL USES</t>
  </si>
  <si>
    <t xml:space="preserve">reconciles with the solved total on 'Solve' — see the check below</t>
  </si>
  <si>
    <t xml:space="preserve">SOURCES (M$)</t>
  </si>
  <si>
    <t xml:space="preserve">Senior debt</t>
  </si>
  <si>
    <t xml:space="preserve">Equity</t>
  </si>
  <si>
    <t xml:space="preserve">TOTAL SOURCES</t>
  </si>
  <si>
    <t xml:space="preserve">Cost of being financed (everything that is not construction)</t>
  </si>
  <si>
    <t xml:space="preserve">   as a share of the funding requirement</t>
  </si>
  <si>
    <t xml:space="preserve">CHECK — uses here against the solved uses</t>
  </si>
  <si>
    <t xml:space="preserve">INTEREST DURING CONSTRUCTION — equity drawn first</t>
  </si>
  <si>
    <t xml:space="preserve">Quarter</t>
  </si>
  <si>
    <t xml:space="preserve">Share of construction cost drawn (from Solve)</t>
  </si>
  <si>
    <t xml:space="preserve">Cash needed in the quarter</t>
  </si>
  <si>
    <t xml:space="preserve">Equity remaining before the draw</t>
  </si>
  <si>
    <t xml:space="preserve">Funded by equity</t>
  </si>
  <si>
    <t xml:space="preserve">Funded by debt</t>
  </si>
  <si>
    <t xml:space="preserve">Debt drawn, opening</t>
  </si>
  <si>
    <t xml:space="preserve">Interest on the construction draws</t>
  </si>
  <si>
    <t xml:space="preserve">Carry on the arrangement fee and the reserve, drawn at close</t>
  </si>
  <si>
    <t xml:space="preserve">Interest in the quarter</t>
  </si>
  <si>
    <t xml:space="preserve">TOTAL INTEREST DURING CONSTRUCTION (M$)</t>
  </si>
  <si>
    <t xml:space="preserve">Check: this total against the funding table</t>
  </si>
  <si>
    <t xml:space="preserve">Equity first is not a courtesy to the lender. It is the cheapest way to cut this number.</t>
  </si>
  <si>
    <t xml:space="preserve">Revised 24 September 2026: row 11 added. Before it this sheet totalled the construction draws only (16.9) while the funding table carried 19.7.</t>
  </si>
  <si>
    <t xml:space="preserve">CASH FLOW, YEAR BY YEAR (M$)</t>
  </si>
  <si>
    <t xml:space="preserve">Year</t>
  </si>
  <si>
    <t xml:space="preserve">Rent</t>
  </si>
  <si>
    <t xml:space="preserve">NOI</t>
  </si>
  <si>
    <t xml:space="preserve">Non-recoverable opex</t>
  </si>
  <si>
    <t xml:space="preserve">Debt service</t>
  </si>
  <si>
    <t xml:space="preserve">  of which interest</t>
  </si>
  <si>
    <t xml:space="preserve">  of which principal</t>
  </si>
  <si>
    <t xml:space="preserve">Debt outstanding, closing</t>
  </si>
  <si>
    <t xml:space="preserve">DSCR</t>
  </si>
  <si>
    <t xml:space="preserve">Tax depreciation</t>
  </si>
  <si>
    <t xml:space="preserve">Taxable income</t>
  </si>
  <si>
    <t xml:space="preserve">Tax</t>
  </si>
  <si>
    <t xml:space="preserve">Cash to equity</t>
  </si>
  <si>
    <t xml:space="preserve">The term is matched to the lease, so no year in this table relies on a renewal nobody has promised. The balance still standing in the final column is the balloon. Chapter 6.</t>
  </si>
  <si>
    <t xml:space="preserve">RETURNS</t>
  </si>
  <si>
    <t xml:space="preserve">OPERATIONS</t>
  </si>
  <si>
    <t xml:space="preserve">Yield on cost (year-1 NOI / total uses)</t>
  </si>
  <si>
    <t xml:space="preserve">Minimum DSCR over the exit horizon</t>
  </si>
  <si>
    <t xml:space="preserve">DSCR in the exit year</t>
  </si>
  <si>
    <t xml:space="preserve">EXIT</t>
  </si>
  <si>
    <t xml:space="preserve">Forward NOI (the year after exit)</t>
  </si>
  <si>
    <t xml:space="preserve">Gross value</t>
  </si>
  <si>
    <t xml:space="preserve">Net of selling costs</t>
  </si>
  <si>
    <t xml:space="preserve">Debt outstanding at exit</t>
  </si>
  <si>
    <t xml:space="preserve">Tax book value at exit</t>
  </si>
  <si>
    <t xml:space="preserve">Tax on disposal  &lt;-- often omitted, and material</t>
  </si>
  <si>
    <t xml:space="preserve">Net proceeds to equity</t>
  </si>
  <si>
    <t xml:space="preserve">CONSTRUCTION IS IN THE RETURN. Equity is drawn first, so the whole cheque is spent inside year 1 of a 24-month build, and the first rent arrives two years after the first dollar. Omitting that overstates the return by 2.49 points, 19.09 per cent against 16.60 — Chapter 14.</t>
  </si>
  <si>
    <t xml:space="preserve">Equity cash flow (M$)</t>
  </si>
  <si>
    <t xml:space="preserve">The series follows the exit year on Assumptions (1 to 14): operating cash to that year, the net proceeds in it, nothing after.</t>
  </si>
  <si>
    <t xml:space="preserve">THE ANSWER</t>
  </si>
  <si>
    <t xml:space="preserve">Equity IRR</t>
  </si>
  <si>
    <t xml:space="preserve">Equity multiple</t>
  </si>
  <si>
    <t xml:space="preserve">Cumulative operating cash</t>
  </si>
  <si>
    <t xml:space="preserve">Share of proceeds coming from the exit</t>
  </si>
  <si>
    <t xml:space="preserve">Set the exit cap rate equal to the yield on cost in B4 and this return becomes what carry and indexation alone produce. Chapter 16.</t>
  </si>
  <si>
    <t xml:space="preserve">PROJECT RETURN, PRE-TAX — the asset, with financing items out at both ends (Chapter 11)</t>
  </si>
  <si>
    <t xml:space="preserve">Project cash flow, pre-tax (M$)</t>
  </si>
  <si>
    <t xml:space="preserve">Project IRR, pre-tax</t>
  </si>
  <si>
    <t xml:space="preserve">Construction and interest during construction out; net operating income in; the sale net of selling costs back. No fee, no reserve, no debt, no tax. Added 24 September 2026: the book printed 13.14 per cent, which this definition does not produce.</t>
  </si>
  <si>
    <t xml:space="preserve">CHECKS — every Northgate figure the book prints, recomputed</t>
  </si>
  <si>
    <t xml:space="preserve">Rows with a figure in column B compare the file with the book and stop matching when you change an input. Rows without one hold for any inputs.</t>
  </si>
  <si>
    <t xml:space="preserve">The book</t>
  </si>
  <si>
    <t xml:space="preserve">This file</t>
  </si>
  <si>
    <t xml:space="preserve">Status</t>
  </si>
  <si>
    <t xml:space="preserve">Note</t>
  </si>
  <si>
    <t xml:space="preserve">Loan the cover test supports (M$)</t>
  </si>
  <si>
    <t xml:space="preserve">Senior debt: the lower of the two tests (M$)</t>
  </si>
  <si>
    <t xml:space="preserve">17.0 before the seventh correction</t>
  </si>
  <si>
    <t xml:space="preserve">21.2 before the first correction</t>
  </si>
  <si>
    <t xml:space="preserve">Minimum cover over the hold</t>
  </si>
  <si>
    <t xml:space="preserve">Cover in year ten</t>
  </si>
  <si>
    <t xml:space="preserve">Yield on funded cost</t>
  </si>
  <si>
    <t xml:space="preserve">10.03 per cent on the building alone</t>
  </si>
  <si>
    <t xml:space="preserve">Year-one tax, on taxable income (M$)</t>
  </si>
  <si>
    <t xml:space="preserve">5.85 if charged on cash after debt service</t>
  </si>
  <si>
    <t xml:space="preserve">Year-one cash to equity (M$)</t>
  </si>
  <si>
    <t xml:space="preserve">Tax on the disposal gain (M$)</t>
  </si>
  <si>
    <t xml:space="preserve">Net proceeds to equity at exit (M$)</t>
  </si>
  <si>
    <t xml:space="preserve">19.09 per cent with no construction period in it</t>
  </si>
  <si>
    <t xml:space="preserve">Share of what the equity receives that arrives at exit</t>
  </si>
  <si>
    <t xml:space="preserve">on 691.7 of discounted income: the book printed 691.8</t>
  </si>
  <si>
    <t xml:space="preserve">Rent that refinances the balloon ($/kW-month)</t>
  </si>
  <si>
    <t xml:space="preserve">34.9 per cent of the expiring 79.13</t>
  </si>
  <si>
    <t xml:space="preserve">Project IRR, pre-tax, as Chapter 11 defines it</t>
  </si>
  <si>
    <t xml:space="preserve">revised: the book printed 13.14 per cent</t>
  </si>
  <si>
    <t xml:space="preserve">The funding loop has converged</t>
  </si>
  <si>
    <t xml:space="preserve">any inputs</t>
  </si>
  <si>
    <t xml:space="preserve">Sources equal uses, both built independently</t>
  </si>
  <si>
    <t xml:space="preserve">The reserve is six months of the service the loan actually carries</t>
  </si>
  <si>
    <t xml:space="preserve">the first error: a reserve sized off a superseded service</t>
  </si>
  <si>
    <t xml:space="preserve">Interest during construction on the IDC sheet ties to the funding table</t>
  </si>
  <si>
    <t xml:space="preserve">The loan is the lower of the two tests (or the amount held, with the switch on YES)</t>
  </si>
  <si>
    <t xml:space="preserve">Year-one rent equals the input: indexation starts from the right year</t>
  </si>
  <si>
    <t xml:space="preserve">Chapter 14: escalation from the wrong base year</t>
  </si>
  <si>
    <t xml:space="preserve">The balloon is the value of the installments the profile schedules after the term</t>
  </si>
  <si>
    <t xml:space="preserve">Cover in year one is net operating income over service, recomputed outside the ratio row</t>
  </si>
  <si>
    <t xml:space="preserve">The equity series starts with an outflow and has no other: one sign change</t>
  </si>
  <si>
    <t xml:space="preserve">Chapter 14: a rate on a series that changes sign twice means nothing</t>
  </si>
  <si>
    <t xml:space="preserve">The first rent reaches the equity two periods after the first dollar (24-month build)</t>
  </si>
  <si>
    <t xml:space="preserve">the fourth error</t>
  </si>
  <si>
    <t xml:space="preserve">The exit year is inside the grid (1 to 14)</t>
  </si>
  <si>
    <t xml:space="preserve">the forward year must exist</t>
  </si>
  <si>
    <t xml:space="preserve">All checks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</si>
</sst>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"/>
    <numFmt numFmtId="166" formatCode="#,##0.00"/>
    <numFmt numFmtId="167" formatCode="0.0%"/>
    <numFmt numFmtId="168" formatCode="0.00%"/>
    <numFmt numFmtId="169" formatCode="0"/>
    <numFmt numFmtId="170" formatCode="0.00"/>
    <numFmt numFmtId="171" formatCode="0.000%"/>
    <numFmt numFmtId="172" formatCode="#,##0.0000"/>
    <numFmt numFmtId="173" formatCode="#,##0.000000"/>
    <numFmt numFmtId="174" formatCode="0.000\x"/>
    <numFmt numFmtId="175" formatCode="0.000"/>
    <numFmt numFmtId="176" formatCode="0.00\x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933"/>
      <name val="Calibri"/>
      <family val="0"/>
      <charset val="1"/>
    </font>
    <font>
      <sz val="10"/>
      <color rgb="FF1F2933"/>
      <name val="Calibri"/>
      <family val="0"/>
      <charset val="1"/>
    </font>
    <font>
      <b val="true"/>
      <sz val="10"/>
      <color rgb="FF1F2933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1F4E79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sz val="11"/>
      <name val="Calibri"/>
      <family val="0"/>
      <charset val="1"/>
    </font>
    <font>
      <sz val="9"/>
      <color rgb="FF6B7280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8A6A3B"/>
        <bgColor rgb="FF808080"/>
      </patternFill>
    </fill>
    <fill>
      <patternFill patternType="solid">
        <fgColor rgb="FFFFF9E8"/>
        <bgColor rgb="FFF7F4EE"/>
      </patternFill>
    </fill>
    <fill>
      <patternFill patternType="solid">
        <fgColor rgb="FFF7F4EE"/>
        <bgColor rgb="FFFFF9E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CDBF"/>
      </left>
      <right style="thin">
        <color rgb="FFD5CDBF"/>
      </right>
      <top style="thin">
        <color rgb="FFD5CDBF"/>
      </top>
      <bottom style="thin">
        <color rgb="FFD5CDBF"/>
      </bottom>
      <diagonal/>
    </border>
    <border diagonalUp="false" diagonalDown="false">
      <left style="thin">
        <color rgb="FFB8B0A2"/>
      </left>
      <right style="thin">
        <color rgb="FFB8B0A2"/>
      </right>
      <top style="thin">
        <color rgb="FFB8B0A2"/>
      </top>
      <bottom style="thin">
        <color rgb="FFB8B0A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A3B"/>
      <rgbColor rgb="FF800080"/>
      <rgbColor rgb="FF008080"/>
      <rgbColor rgb="FFD5CDBF"/>
      <rgbColor rgb="FF808080"/>
      <rgbColor rgb="FF9999FF"/>
      <rgbColor rgb="FF993366"/>
      <rgbColor rgb="FFFFF9E8"/>
      <rgbColor rgb="FFF7F4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B8B0A2"/>
      <rgbColor rgb="FF003366"/>
      <rgbColor rgb="FF339966"/>
      <rgbColor rgb="FF003300"/>
      <rgbColor rgb="FF333300"/>
      <rgbColor rgb="FF993300"/>
      <rgbColor rgb="FF993366"/>
      <rgbColor rgb="FF1F4E79"/>
      <rgbColor rgb="FF1F29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2" t="s">
        <v>6</v>
      </c>
    </row>
    <row r="11" customFormat="false" ht="15" hidden="false" customHeight="false" outlineLevel="0" collapsed="false">
      <c r="A11" s="2" t="s">
        <v>7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3" t="s">
        <v>8</v>
      </c>
    </row>
    <row r="14" customFormat="false" ht="15" hidden="false" customHeight="false" outlineLevel="0" collapsed="false">
      <c r="A14" s="2" t="s">
        <v>9</v>
      </c>
    </row>
    <row r="15" customFormat="false" ht="15" hidden="false" customHeight="false" outlineLevel="0" collapsed="false">
      <c r="A15" s="2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 t="s">
        <v>12</v>
      </c>
    </row>
    <row r="18" customFormat="false" ht="15" hidden="false" customHeight="false" outlineLevel="0" collapsed="false">
      <c r="A18" s="2" t="s">
        <v>13</v>
      </c>
    </row>
    <row r="19" customFormat="false" ht="15" hidden="false" customHeight="false" outlineLevel="0" collapsed="false">
      <c r="A19" s="2" t="s">
        <v>14</v>
      </c>
    </row>
    <row r="20" customFormat="false" ht="15" hidden="false" customHeight="false" outlineLevel="0" collapsed="false">
      <c r="A20" s="2"/>
    </row>
    <row r="21" customFormat="false" ht="15" hidden="false" customHeight="false" outlineLevel="0" collapsed="false">
      <c r="A21" s="3" t="s">
        <v>15</v>
      </c>
    </row>
    <row r="22" customFormat="false" ht="15" hidden="false" customHeight="false" outlineLevel="0" collapsed="false">
      <c r="A22" s="2" t="s">
        <v>16</v>
      </c>
    </row>
    <row r="23" customFormat="false" ht="15" hidden="false" customHeight="false" outlineLevel="0" collapsed="false">
      <c r="A23" s="2" t="s">
        <v>17</v>
      </c>
    </row>
    <row r="24" customFormat="false" ht="15" hidden="false" customHeight="false" outlineLevel="0" collapsed="false">
      <c r="A24" s="2" t="s">
        <v>18</v>
      </c>
    </row>
    <row r="25" customFormat="false" ht="15" hidden="false" customHeight="false" outlineLevel="0" collapsed="false">
      <c r="A25" s="2" t="s">
        <v>19</v>
      </c>
    </row>
    <row r="26" customFormat="false" ht="15" hidden="false" customHeight="false" outlineLevel="0" collapsed="false">
      <c r="A26" s="2" t="s">
        <v>20</v>
      </c>
    </row>
    <row r="27" customFormat="false" ht="15" hidden="false" customHeight="false" outlineLevel="0" collapsed="false">
      <c r="A27" s="2" t="s">
        <v>21</v>
      </c>
    </row>
    <row r="28" customFormat="false" ht="15" hidden="false" customHeight="false" outlineLevel="0" collapsed="false">
      <c r="A28" s="2" t="s">
        <v>22</v>
      </c>
    </row>
    <row r="29" customFormat="false" ht="15" hidden="false" customHeight="false" outlineLevel="0" collapsed="false">
      <c r="A29" s="2" t="s">
        <v>23</v>
      </c>
    </row>
    <row r="30" customFormat="false" ht="15" hidden="false" customHeight="false" outlineLevel="0" collapsed="false">
      <c r="A30" s="2"/>
    </row>
    <row r="31" customFormat="false" ht="15" hidden="false" customHeight="false" outlineLevel="0" collapsed="false">
      <c r="A31" s="2" t="s">
        <v>24</v>
      </c>
    </row>
    <row r="32" customFormat="false" ht="15" hidden="false" customHeight="false" outlineLevel="0" collapsed="false">
      <c r="A32" s="2" t="s">
        <v>25</v>
      </c>
    </row>
    <row r="34" customFormat="false" ht="15" hidden="false" customHeight="false" outlineLevel="0" collapsed="false">
      <c r="A34" s="3" t="s">
        <v>26</v>
      </c>
    </row>
    <row r="36" customFormat="false" ht="15" hidden="false" customHeight="false" outlineLevel="0" collapsed="false">
      <c r="A36" s="2" t="s">
        <v>27</v>
      </c>
    </row>
    <row r="37" customFormat="false" ht="15" hidden="false" customHeight="false" outlineLevel="0" collapsed="false">
      <c r="A37" s="2" t="s">
        <v>28</v>
      </c>
    </row>
    <row r="38" customFormat="false" ht="15" hidden="false" customHeight="false" outlineLevel="0" collapsed="false">
      <c r="A38" s="2" t="s">
        <v>29</v>
      </c>
    </row>
    <row r="39" customFormat="false" ht="15" hidden="false" customHeight="false" outlineLevel="0" collapsed="false">
      <c r="A39" s="2" t="s">
        <v>30</v>
      </c>
    </row>
    <row r="40" customFormat="false" ht="15" hidden="false" customHeight="false" outlineLevel="0" collapsed="false">
      <c r="A40" s="2" t="s">
        <v>31</v>
      </c>
    </row>
    <row r="42" customFormat="false" ht="15" hidden="false" customHeight="false" outlineLevel="0" collapsed="false">
      <c r="A42" s="2" t="s">
        <v>32</v>
      </c>
    </row>
    <row r="43" customFormat="false" ht="15" hidden="false" customHeight="false" outlineLevel="0" collapsed="false">
      <c r="A43" s="2" t="s">
        <v>33</v>
      </c>
    </row>
    <row r="45" customFormat="false" ht="15" hidden="false" customHeight="false" outlineLevel="0" collapsed="false">
      <c r="A45" s="2" t="s">
        <v>34</v>
      </c>
    </row>
    <row r="46" customFormat="false" ht="15" hidden="false" customHeight="false" outlineLevel="0" collapsed="false">
      <c r="A46" s="2" t="s">
        <v>35</v>
      </c>
    </row>
    <row r="47" customFormat="false" ht="15" hidden="false" customHeight="false" outlineLevel="0" collapsed="false">
      <c r="A47" s="2" t="s">
        <v>36</v>
      </c>
    </row>
    <row r="48" customFormat="false" ht="15" hidden="false" customHeight="false" outlineLevel="0" collapsed="false">
      <c r="A48" s="2" t="s">
        <v>37</v>
      </c>
    </row>
    <row r="50" customFormat="false" ht="15" hidden="false" customHeight="false" outlineLevel="0" collapsed="false">
      <c r="A50" s="2" t="s">
        <v>38</v>
      </c>
    </row>
    <row r="51" customFormat="false" ht="15" hidden="false" customHeight="false" outlineLevel="0" collapsed="false">
      <c r="A51" s="2" t="s">
        <v>39</v>
      </c>
    </row>
    <row r="52" customFormat="false" ht="15" hidden="false" customHeight="false" outlineLevel="0" collapsed="false">
      <c r="A52" s="2" t="s">
        <v>40</v>
      </c>
    </row>
    <row r="54" customFormat="false" ht="15" hidden="false" customHeight="false" outlineLevel="0" collapsed="false">
      <c r="A54" s="2" t="s">
        <v>41</v>
      </c>
    </row>
    <row r="55" customFormat="false" ht="15" hidden="false" customHeight="false" outlineLevel="0" collapsed="false">
      <c r="A55" s="2" t="s">
        <v>42</v>
      </c>
    </row>
    <row r="56" customFormat="false" ht="15" hidden="false" customHeight="false" outlineLevel="0" collapsed="false">
      <c r="A56" s="2" t="s">
        <v>43</v>
      </c>
    </row>
    <row r="57" customFormat="false" ht="15" hidden="false" customHeight="false" outlineLevel="0" collapsed="false">
      <c r="A57" s="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45</v>
      </c>
    </row>
    <row r="3" customFormat="false" ht="19.5" hidden="false" customHeight="true" outlineLevel="0" collapsed="false">
      <c r="A3" s="4" t="s">
        <v>46</v>
      </c>
      <c r="B3" s="5"/>
      <c r="C3" s="5"/>
    </row>
    <row r="4" customFormat="false" ht="15" hidden="false" customHeight="false" outlineLevel="0" collapsed="false">
      <c r="A4" s="2" t="s">
        <v>47</v>
      </c>
      <c r="B4" s="6" t="n">
        <v>96</v>
      </c>
    </row>
    <row r="5" customFormat="false" ht="15" hidden="false" customHeight="false" outlineLevel="0" collapsed="false">
      <c r="A5" s="2" t="s">
        <v>48</v>
      </c>
      <c r="B5" s="7" t="n">
        <v>6.4</v>
      </c>
      <c r="C5" s="8" t="s">
        <v>49</v>
      </c>
    </row>
    <row r="6" customFormat="false" ht="15" hidden="false" customHeight="false" outlineLevel="0" collapsed="false">
      <c r="A6" s="2" t="s">
        <v>50</v>
      </c>
      <c r="B6" s="9" t="n">
        <v>0.06</v>
      </c>
    </row>
    <row r="8" customFormat="false" ht="19.5" hidden="false" customHeight="true" outlineLevel="0" collapsed="false">
      <c r="A8" s="4" t="s">
        <v>51</v>
      </c>
      <c r="B8" s="5"/>
      <c r="C8" s="5"/>
    </row>
    <row r="9" customFormat="false" ht="15" hidden="false" customHeight="false" outlineLevel="0" collapsed="false">
      <c r="A9" s="2" t="s">
        <v>52</v>
      </c>
      <c r="B9" s="7" t="n">
        <v>56</v>
      </c>
    </row>
    <row r="10" customFormat="false" ht="15" hidden="false" customHeight="false" outlineLevel="0" collapsed="false">
      <c r="A10" s="2" t="s">
        <v>53</v>
      </c>
      <c r="B10" s="10" t="n">
        <v>0.025</v>
      </c>
    </row>
    <row r="11" customFormat="false" ht="15" hidden="false" customHeight="false" outlineLevel="0" collapsed="false">
      <c r="A11" s="2" t="s">
        <v>54</v>
      </c>
      <c r="B11" s="11" t="n">
        <v>15</v>
      </c>
    </row>
    <row r="12" customFormat="false" ht="15" hidden="false" customHeight="false" outlineLevel="0" collapsed="false">
      <c r="A12" s="2" t="s">
        <v>55</v>
      </c>
      <c r="B12" s="7" t="n">
        <v>2.9</v>
      </c>
    </row>
    <row r="13" customFormat="false" ht="15" hidden="false" customHeight="false" outlineLevel="0" collapsed="false">
      <c r="A13" s="2" t="s">
        <v>56</v>
      </c>
      <c r="B13" s="10" t="n">
        <v>0.025</v>
      </c>
    </row>
    <row r="15" customFormat="false" ht="19.5" hidden="false" customHeight="true" outlineLevel="0" collapsed="false">
      <c r="A15" s="4" t="s">
        <v>57</v>
      </c>
      <c r="B15" s="5"/>
      <c r="C15" s="5"/>
    </row>
    <row r="16" customFormat="false" ht="15" hidden="false" customHeight="false" outlineLevel="0" collapsed="false">
      <c r="A16" s="2" t="s">
        <v>58</v>
      </c>
      <c r="B16" s="10" t="n">
        <v>0.041</v>
      </c>
    </row>
    <row r="17" customFormat="false" ht="15" hidden="false" customHeight="false" outlineLevel="0" collapsed="false">
      <c r="A17" s="2" t="s">
        <v>59</v>
      </c>
      <c r="B17" s="10" t="n">
        <v>0.02</v>
      </c>
    </row>
    <row r="18" customFormat="false" ht="15" hidden="false" customHeight="false" outlineLevel="0" collapsed="false">
      <c r="A18" s="2" t="s">
        <v>60</v>
      </c>
      <c r="B18" s="10" t="n">
        <v>0.015</v>
      </c>
    </row>
    <row r="19" customFormat="false" ht="15" hidden="false" customHeight="false" outlineLevel="0" collapsed="false">
      <c r="A19" s="2" t="s">
        <v>61</v>
      </c>
      <c r="B19" s="11" t="n">
        <v>15</v>
      </c>
      <c r="C19" s="8" t="s">
        <v>62</v>
      </c>
    </row>
    <row r="20" customFormat="false" ht="15" hidden="false" customHeight="false" outlineLevel="0" collapsed="false">
      <c r="A20" s="2" t="s">
        <v>63</v>
      </c>
      <c r="B20" s="12" t="n">
        <v>1.45</v>
      </c>
    </row>
    <row r="21" customFormat="false" ht="15" hidden="false" customHeight="false" outlineLevel="0" collapsed="false">
      <c r="A21" s="2" t="s">
        <v>64</v>
      </c>
      <c r="B21" s="9" t="n">
        <v>0.65</v>
      </c>
    </row>
    <row r="22" customFormat="false" ht="15" hidden="false" customHeight="false" outlineLevel="0" collapsed="false">
      <c r="A22" s="2" t="s">
        <v>65</v>
      </c>
      <c r="B22" s="11" t="n">
        <v>6</v>
      </c>
    </row>
    <row r="23" customFormat="false" ht="15" hidden="false" customHeight="false" outlineLevel="0" collapsed="false">
      <c r="A23" s="2" t="s">
        <v>66</v>
      </c>
      <c r="B23" s="11" t="n">
        <v>25</v>
      </c>
      <c r="C23" s="8" t="s">
        <v>67</v>
      </c>
    </row>
    <row r="24" customFormat="false" ht="19.5" hidden="false" customHeight="true" outlineLevel="0" collapsed="false">
      <c r="A24" s="4" t="s">
        <v>68</v>
      </c>
      <c r="B24" s="5"/>
      <c r="C24" s="5"/>
    </row>
    <row r="25" customFormat="false" ht="15" hidden="false" customHeight="false" outlineLevel="0" collapsed="false">
      <c r="A25" s="2" t="s">
        <v>69</v>
      </c>
      <c r="B25" s="11" t="n">
        <v>10</v>
      </c>
    </row>
    <row r="26" customFormat="false" ht="15" hidden="false" customHeight="false" outlineLevel="0" collapsed="false">
      <c r="A26" s="2" t="s">
        <v>70</v>
      </c>
      <c r="B26" s="10" t="n">
        <v>0.0725</v>
      </c>
    </row>
    <row r="27" customFormat="false" ht="15" hidden="false" customHeight="false" outlineLevel="0" collapsed="false">
      <c r="A27" s="2" t="s">
        <v>71</v>
      </c>
      <c r="B27" s="9" t="n">
        <v>0.01</v>
      </c>
    </row>
    <row r="29" customFormat="false" ht="19.5" hidden="false" customHeight="true" outlineLevel="0" collapsed="false">
      <c r="A29" s="4" t="s">
        <v>72</v>
      </c>
      <c r="B29" s="5"/>
      <c r="C29" s="5"/>
    </row>
    <row r="30" customFormat="false" ht="15" hidden="false" customHeight="false" outlineLevel="0" collapsed="false">
      <c r="A30" s="2" t="s">
        <v>73</v>
      </c>
      <c r="B30" s="9" t="n">
        <v>0.21</v>
      </c>
    </row>
    <row r="31" customFormat="false" ht="15" hidden="false" customHeight="false" outlineLevel="0" collapsed="false">
      <c r="A31" s="2" t="s">
        <v>74</v>
      </c>
      <c r="B31" s="11" t="n">
        <v>39</v>
      </c>
    </row>
    <row r="33" customFormat="false" ht="19.5" hidden="false" customHeight="true" outlineLevel="0" collapsed="false">
      <c r="A33" s="4" t="s">
        <v>75</v>
      </c>
      <c r="B33" s="5"/>
      <c r="C33" s="5"/>
    </row>
    <row r="34" customFormat="false" ht="15" hidden="false" customHeight="false" outlineLevel="0" collapsed="false">
      <c r="A34" s="2" t="s">
        <v>76</v>
      </c>
      <c r="B34" s="13" t="s">
        <v>77</v>
      </c>
      <c r="C34" s="8" t="s">
        <v>78</v>
      </c>
    </row>
    <row r="35" customFormat="false" ht="15" hidden="false" customHeight="false" outlineLevel="0" collapsed="false">
      <c r="A35" s="2" t="s">
        <v>79</v>
      </c>
      <c r="B35" s="6" t="n">
        <v>427.3</v>
      </c>
      <c r="C35" s="8" t="s">
        <v>80</v>
      </c>
    </row>
    <row r="37" customFormat="false" ht="15" hidden="false" customHeight="false" outlineLevel="0" collapsed="false">
      <c r="A37" s="8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0" min="2" style="0" width="12"/>
  </cols>
  <sheetData>
    <row r="1" customFormat="false" ht="17.35" hidden="false" customHeight="false" outlineLevel="0" collapsed="false">
      <c r="A1" s="1" t="s">
        <v>82</v>
      </c>
    </row>
    <row r="2" customFormat="false" ht="15" hidden="false" customHeight="false" outlineLevel="0" collapsed="false">
      <c r="A2" s="8" t="s">
        <v>83</v>
      </c>
    </row>
    <row r="3" customFormat="false" ht="15" hidden="false" customHeight="false" outlineLevel="0" collapsed="false">
      <c r="A3" s="8" t="s">
        <v>84</v>
      </c>
    </row>
    <row r="5" customFormat="false" ht="15" hidden="false" customHeight="false" outlineLevel="0" collapsed="false">
      <c r="A5" s="2" t="s">
        <v>85</v>
      </c>
      <c r="B5" s="14" t="n">
        <f aca="false">Assumptions!$B$16+Assumptions!$B$17</f>
        <v>0.061</v>
      </c>
    </row>
    <row r="6" customFormat="false" ht="15" hidden="false" customHeight="false" outlineLevel="0" collapsed="false">
      <c r="A6" s="2" t="s">
        <v>86</v>
      </c>
      <c r="B6" s="15" t="n">
        <f aca="false">Assumptions!$B$4*Assumptions!$B$5</f>
        <v>614.4</v>
      </c>
    </row>
    <row r="7" customFormat="false" ht="15" hidden="false" customHeight="false" outlineLevel="0" collapsed="false">
      <c r="A7" s="2" t="s">
        <v>87</v>
      </c>
      <c r="B7" s="16" t="n">
        <f aca="false">(1-(1+$B$5)^(-Assumptions!$B$23))/$B$5</f>
        <v>12.6627835096916</v>
      </c>
    </row>
    <row r="9" customFormat="false" ht="15" hidden="false" customHeight="false" outlineLevel="0" collapsed="false">
      <c r="A9" s="3" t="s">
        <v>88</v>
      </c>
      <c r="B9" s="17" t="n">
        <v>0.06</v>
      </c>
      <c r="C9" s="17" t="n">
        <v>0.11</v>
      </c>
      <c r="D9" s="17" t="n">
        <v>0.16</v>
      </c>
      <c r="E9" s="17" t="n">
        <v>0.18</v>
      </c>
      <c r="F9" s="17" t="n">
        <v>0.18</v>
      </c>
      <c r="G9" s="17" t="n">
        <v>0.15</v>
      </c>
      <c r="H9" s="17" t="n">
        <v>0.11</v>
      </c>
      <c r="I9" s="17" t="n">
        <v>0.05</v>
      </c>
    </row>
    <row r="10" customFormat="false" ht="15" hidden="false" customHeight="false" outlineLevel="0" collapsed="false">
      <c r="A10" s="2" t="s">
        <v>89</v>
      </c>
      <c r="B10" s="18" t="n">
        <f aca="false">B9</f>
        <v>0.06</v>
      </c>
      <c r="C10" s="18" t="n">
        <f aca="false">B10+C9</f>
        <v>0.17</v>
      </c>
      <c r="D10" s="18" t="n">
        <f aca="false">C10+D9</f>
        <v>0.33</v>
      </c>
      <c r="E10" s="18" t="n">
        <f aca="false">D10+E9</f>
        <v>0.51</v>
      </c>
      <c r="F10" s="18" t="n">
        <f aca="false">E10+F9</f>
        <v>0.69</v>
      </c>
      <c r="G10" s="18" t="n">
        <f aca="false">F10+G9</f>
        <v>0.84</v>
      </c>
      <c r="H10" s="18" t="n">
        <f aca="false">G10+H9</f>
        <v>0.95</v>
      </c>
      <c r="I10" s="18" t="n">
        <f aca="false">H10+I9</f>
        <v>1</v>
      </c>
    </row>
    <row r="12" customFormat="false" ht="15" hidden="false" customHeight="false" outlineLevel="0" collapsed="false">
      <c r="A12" s="3" t="s">
        <v>90</v>
      </c>
      <c r="B12" s="3" t="n">
        <v>1</v>
      </c>
      <c r="C12" s="3" t="n">
        <v>2</v>
      </c>
      <c r="D12" s="3" t="n">
        <v>3</v>
      </c>
      <c r="E12" s="3" t="n">
        <v>4</v>
      </c>
      <c r="F12" s="3" t="n">
        <v>5</v>
      </c>
      <c r="G12" s="3" t="n">
        <v>6</v>
      </c>
      <c r="H12" s="3" t="n">
        <v>7</v>
      </c>
      <c r="I12" s="3" t="n">
        <v>8</v>
      </c>
    </row>
    <row r="13" customFormat="false" ht="15" hidden="false" customHeight="false" outlineLevel="0" collapsed="false">
      <c r="A13" s="2" t="s">
        <v>91</v>
      </c>
      <c r="B13" s="19" t="n">
        <f aca="false">MIN('Debt sizing'!$B$9,$B$6*Assumptions!$B$21)</f>
        <v>399.36</v>
      </c>
      <c r="C13" s="19" t="n">
        <f aca="false">B21</f>
        <v>426.891972666318</v>
      </c>
      <c r="D13" s="19" t="n">
        <f aca="false">C21</f>
        <v>427.324712945443</v>
      </c>
      <c r="E13" s="19" t="n">
        <f aca="false">D21</f>
        <v>427.331514642926</v>
      </c>
      <c r="F13" s="19" t="n">
        <f aca="false">E21</f>
        <v>427.331621550211</v>
      </c>
      <c r="G13" s="19" t="n">
        <f aca="false">F21</f>
        <v>427.331623230552</v>
      </c>
      <c r="H13" s="19" t="n">
        <f aca="false">G21</f>
        <v>427.331623256963</v>
      </c>
      <c r="I13" s="19" t="n">
        <f aca="false">H21</f>
        <v>427.331623257378</v>
      </c>
    </row>
    <row r="14" customFormat="false" ht="15" hidden="false" customHeight="false" outlineLevel="0" collapsed="false">
      <c r="A14" s="2" t="s">
        <v>92</v>
      </c>
      <c r="B14" s="19" t="n">
        <f aca="false">$B$6-B13</f>
        <v>215.04</v>
      </c>
      <c r="C14" s="19" t="n">
        <f aca="false">B18-B21</f>
        <v>229.864908358787</v>
      </c>
      <c r="D14" s="19" t="n">
        <f aca="false">C18-C21</f>
        <v>230.097922355239</v>
      </c>
      <c r="E14" s="19" t="n">
        <f aca="false">D18-D21</f>
        <v>230.101584807729</v>
      </c>
      <c r="F14" s="19" t="n">
        <f aca="false">E18-E21</f>
        <v>230.101642373191</v>
      </c>
      <c r="G14" s="19" t="n">
        <f aca="false">F18-F21</f>
        <v>230.10164327799</v>
      </c>
      <c r="H14" s="19" t="n">
        <f aca="false">G18-G21</f>
        <v>230.101643292211</v>
      </c>
      <c r="I14" s="19" t="n">
        <f aca="false">H18-H21</f>
        <v>230.101643292434</v>
      </c>
    </row>
    <row r="15" customFormat="false" ht="15" hidden="false" customHeight="false" outlineLevel="0" collapsed="false">
      <c r="A15" s="2" t="s">
        <v>93</v>
      </c>
      <c r="B15" s="19" t="n">
        <f aca="false">$B$5/4*((MAX(0,0-B$14)+MAX(0,$B$6*B10-B$14))/2+(MAX(0,$B$6*B10-B$14)+MAX(0,$B$6*C10-B$14))/2+(MAX(0,$B$6*C10-B$14)+MAX(0,$B$6*D10-B$14))/2+(MAX(0,$B$6*D10-B$14)+MAX(0,$B$6*E10-B$14))/2+(MAX(0,$B$6*E10-B$14)+MAX(0,$B$6*F10-B$14))/2+(MAX(0,$B$6*F10-B$14)+MAX(0,$B$6*G10-B$14))/2+(MAX(0,$B$6*G10-B$14)+MAX(0,$B$6*H10-B$14))/2+(MAX(0,$B$6*H10-B$14)+MAX(0,$B$6*I10-B$14))/2+8*(B16+B17))</f>
        <v>20.5974362611967</v>
      </c>
      <c r="C15" s="19" t="n">
        <f aca="false">$B$5/4*((MAX(0,0-C$14)+MAX(0,$B$6*B10-C$14))/2+(MAX(0,$B$6*B10-C$14)+MAX(0,$B$6*C10-C$14))/2+(MAX(0,$B$6*C10-C$14)+MAX(0,$B$6*D10-C$14))/2+(MAX(0,$B$6*D10-C$14)+MAX(0,$B$6*E10-C$14))/2+(MAX(0,$B$6*E10-C$14)+MAX(0,$B$6*F10-C$14))/2+(MAX(0,$B$6*F10-C$14)+MAX(0,$B$6*G10-C$14))/2+(MAX(0,$B$6*G10-C$14)+MAX(0,$B$6*H10-C$14))/2+(MAX(0,$B$6*H10-C$14)+MAX(0,$B$6*I10-C$14))/2+8*(C16+C17))</f>
        <v>19.7630892785752</v>
      </c>
      <c r="D15" s="19" t="n">
        <f aca="false">$B$5/4*((MAX(0,0-D$14)+MAX(0,$B$6*B10-D$14))/2+(MAX(0,$B$6*B10-D$14)+MAX(0,$B$6*C10-D$14))/2+(MAX(0,$B$6*C10-D$14)+MAX(0,$B$6*D10-D$14))/2+(MAX(0,$B$6*D10-D$14)+MAX(0,$B$6*E10-D$14))/2+(MAX(0,$B$6*E10-D$14)+MAX(0,$B$6*F10-D$14))/2+(MAX(0,$B$6*F10-D$14)+MAX(0,$B$6*G10-D$14))/2+(MAX(0,$B$6*G10-D$14)+MAX(0,$B$6*H10-D$14))/2+(MAX(0,$B$6*H10-D$14)+MAX(0,$B$6*I10-D$14))/2+8*(D16+D17))</f>
        <v>19.7499752329337</v>
      </c>
      <c r="E15" s="19" t="n">
        <f aca="false">$B$5/4*((MAX(0,0-E$14)+MAX(0,$B$6*B10-E$14))/2+(MAX(0,$B$6*B10-E$14)+MAX(0,$B$6*C10-E$14))/2+(MAX(0,$B$6*C10-E$14)+MAX(0,$B$6*D10-E$14))/2+(MAX(0,$B$6*D10-E$14)+MAX(0,$B$6*E10-E$14))/2+(MAX(0,$B$6*E10-E$14)+MAX(0,$B$6*F10-E$14))/2+(MAX(0,$B$6*F10-E$14)+MAX(0,$B$6*G10-E$14))/2+(MAX(0,$B$6*G10-E$14)+MAX(0,$B$6*H10-E$14))/2+(MAX(0,$B$6*H10-E$14)+MAX(0,$B$6*I10-E$14))/2+8*(E16+E17))</f>
        <v>19.7497691098259</v>
      </c>
      <c r="F15" s="19" t="n">
        <f aca="false">$B$5/4*((MAX(0,0-F$14)+MAX(0,$B$6*B10-F$14))/2+(MAX(0,$B$6*B10-F$14)+MAX(0,$B$6*C10-F$14))/2+(MAX(0,$B$6*C10-F$14)+MAX(0,$B$6*D10-F$14))/2+(MAX(0,$B$6*D10-F$14)+MAX(0,$B$6*E10-F$14))/2+(MAX(0,$B$6*E10-F$14)+MAX(0,$B$6*F10-F$14))/2+(MAX(0,$B$6*F10-F$14)+MAX(0,$B$6*G10-F$14))/2+(MAX(0,$B$6*G10-F$14)+MAX(0,$B$6*H10-F$14))/2+(MAX(0,$B$6*H10-F$14)+MAX(0,$B$6*I10-F$14))/2+8*(F16+F17))</f>
        <v>19.7497658700373</v>
      </c>
      <c r="G15" s="19" t="n">
        <f aca="false">$B$5/4*((MAX(0,0-G$14)+MAX(0,$B$6*B10-G$14))/2+(MAX(0,$B$6*B10-G$14)+MAX(0,$B$6*C10-G$14))/2+(MAX(0,$B$6*C10-G$14)+MAX(0,$B$6*D10-G$14))/2+(MAX(0,$B$6*D10-G$14)+MAX(0,$B$6*E10-G$14))/2+(MAX(0,$B$6*E10-G$14)+MAX(0,$B$6*F10-G$14))/2+(MAX(0,$B$6*F10-G$14)+MAX(0,$B$6*G10-G$14))/2+(MAX(0,$B$6*G10-G$14)+MAX(0,$B$6*H10-G$14))/2+(MAX(0,$B$6*H10-G$14)+MAX(0,$B$6*I10-G$14))/2+8*(G16+G17))</f>
        <v>19.7497658191151</v>
      </c>
      <c r="H15" s="19" t="n">
        <f aca="false">$B$5/4*((MAX(0,0-H$14)+MAX(0,$B$6*B10-H$14))/2+(MAX(0,$B$6*B10-H$14)+MAX(0,$B$6*C10-H$14))/2+(MAX(0,$B$6*C10-H$14)+MAX(0,$B$6*D10-H$14))/2+(MAX(0,$B$6*D10-H$14)+MAX(0,$B$6*E10-H$14))/2+(MAX(0,$B$6*E10-H$14)+MAX(0,$B$6*F10-H$14))/2+(MAX(0,$B$6*F10-H$14)+MAX(0,$B$6*G10-H$14))/2+(MAX(0,$B$6*G10-H$14)+MAX(0,$B$6*H10-H$14))/2+(MAX(0,$B$6*H10-H$14)+MAX(0,$B$6*I10-H$14))/2+8*(H16+H17))</f>
        <v>19.7497658183148</v>
      </c>
      <c r="I15" s="19" t="n">
        <f aca="false">$B$5/4*((MAX(0,0-I$14)+MAX(0,$B$6*B10-I$14))/2+(MAX(0,$B$6*B10-I$14)+MAX(0,$B$6*C10-I$14))/2+(MAX(0,$B$6*C10-I$14)+MAX(0,$B$6*D10-I$14))/2+(MAX(0,$B$6*D10-I$14)+MAX(0,$B$6*E10-I$14))/2+(MAX(0,$B$6*E10-I$14)+MAX(0,$B$6*F10-I$14))/2+(MAX(0,$B$6*F10-I$14)+MAX(0,$B$6*G10-I$14))/2+(MAX(0,$B$6*G10-I$14)+MAX(0,$B$6*H10-I$14))/2+(MAX(0,$B$6*H10-I$14)+MAX(0,$B$6*I10-I$14))/2+8*(I16+I17))</f>
        <v>19.7497658183022</v>
      </c>
    </row>
    <row r="16" customFormat="false" ht="15" hidden="false" customHeight="false" outlineLevel="0" collapsed="false">
      <c r="A16" s="2" t="s">
        <v>94</v>
      </c>
      <c r="B16" s="19" t="n">
        <f aca="false">B13*Assumptions!$B$18</f>
        <v>5.9904</v>
      </c>
      <c r="C16" s="19" t="n">
        <f aca="false">C13*Assumptions!$B$18</f>
        <v>6.40337958999477</v>
      </c>
      <c r="D16" s="19" t="n">
        <f aca="false">D13*Assumptions!$B$18</f>
        <v>6.40987069418165</v>
      </c>
      <c r="E16" s="19" t="n">
        <f aca="false">E13*Assumptions!$B$18</f>
        <v>6.40997271964389</v>
      </c>
      <c r="F16" s="19" t="n">
        <f aca="false">F13*Assumptions!$B$18</f>
        <v>6.40997432325317</v>
      </c>
      <c r="G16" s="19" t="n">
        <f aca="false">G13*Assumptions!$B$18</f>
        <v>6.40997434845828</v>
      </c>
      <c r="H16" s="19" t="n">
        <f aca="false">H13*Assumptions!$B$18</f>
        <v>6.40997434885445</v>
      </c>
      <c r="I16" s="19" t="n">
        <f aca="false">I13*Assumptions!$B$18</f>
        <v>6.40997434886067</v>
      </c>
    </row>
    <row r="17" customFormat="false" ht="15" hidden="false" customHeight="false" outlineLevel="0" collapsed="false">
      <c r="A17" s="2" t="s">
        <v>95</v>
      </c>
      <c r="B17" s="19" t="n">
        <f aca="false">B13/$B$7*Assumptions!$B$22/12</f>
        <v>15.7690447639077</v>
      </c>
      <c r="C17" s="19" t="n">
        <f aca="false">C13/$B$7*Assumptions!$B$22/12</f>
        <v>16.8561664321115</v>
      </c>
      <c r="D17" s="19" t="n">
        <f aca="false">D13/$B$7*Assumptions!$B$22/12</f>
        <v>16.8732535235394</v>
      </c>
      <c r="E17" s="19" t="n">
        <f aca="false">E13/$B$7*Assumptions!$B$22/12</f>
        <v>16.8735220939323</v>
      </c>
      <c r="F17" s="19" t="n">
        <f aca="false">F13/$B$7*Assumptions!$B$22/12</f>
        <v>16.8735263152508</v>
      </c>
      <c r="G17" s="19" t="n">
        <f aca="false">G13/$B$7*Assumptions!$B$22/12</f>
        <v>16.8735263816004</v>
      </c>
      <c r="H17" s="19" t="n">
        <f aca="false">H13/$B$7*Assumptions!$B$22/12</f>
        <v>16.8735263826432</v>
      </c>
      <c r="I17" s="19" t="n">
        <f aca="false">I13/$B$7*Assumptions!$B$22/12</f>
        <v>16.8735263826596</v>
      </c>
    </row>
    <row r="18" customFormat="false" ht="15" hidden="false" customHeight="false" outlineLevel="0" collapsed="false">
      <c r="A18" s="3" t="s">
        <v>96</v>
      </c>
      <c r="B18" s="19" t="n">
        <f aca="false">$B$6+B15+B16+B17</f>
        <v>656.756881025105</v>
      </c>
      <c r="C18" s="19" t="n">
        <f aca="false">$B$6+C15+C16+C17</f>
        <v>657.422635300682</v>
      </c>
      <c r="D18" s="19" t="n">
        <f aca="false">$B$6+D15+D16+D17</f>
        <v>657.433099450655</v>
      </c>
      <c r="E18" s="19" t="n">
        <f aca="false">$B$6+E15+E16+E17</f>
        <v>657.433263923402</v>
      </c>
      <c r="F18" s="19" t="n">
        <f aca="false">$B$6+F15+F16+F17</f>
        <v>657.433266508542</v>
      </c>
      <c r="G18" s="19" t="n">
        <f aca="false">$B$6+G15+G16+G17</f>
        <v>657.433266549174</v>
      </c>
      <c r="H18" s="19" t="n">
        <f aca="false">$B$6+H15+H16+H17</f>
        <v>657.433266549813</v>
      </c>
      <c r="I18" s="19" t="n">
        <f aca="false">$B$6+I15+I16+I17</f>
        <v>657.433266549823</v>
      </c>
    </row>
    <row r="19" customFormat="false" ht="15" hidden="false" customHeight="false" outlineLevel="0" collapsed="false">
      <c r="A19" s="2" t="s">
        <v>97</v>
      </c>
      <c r="B19" s="19" t="n">
        <f aca="false">'Debt sizing'!$B$9</f>
        <v>538.054770758014</v>
      </c>
      <c r="C19" s="19" t="n">
        <f aca="false">'Debt sizing'!$B$9</f>
        <v>538.054770758014</v>
      </c>
      <c r="D19" s="19" t="n">
        <f aca="false">'Debt sizing'!$B$9</f>
        <v>538.054770758014</v>
      </c>
      <c r="E19" s="19" t="n">
        <f aca="false">'Debt sizing'!$B$9</f>
        <v>538.054770758014</v>
      </c>
      <c r="F19" s="19" t="n">
        <f aca="false">'Debt sizing'!$B$9</f>
        <v>538.054770758014</v>
      </c>
      <c r="G19" s="19" t="n">
        <f aca="false">'Debt sizing'!$B$9</f>
        <v>538.054770758014</v>
      </c>
      <c r="H19" s="19" t="n">
        <f aca="false">'Debt sizing'!$B$9</f>
        <v>538.054770758014</v>
      </c>
      <c r="I19" s="19" t="n">
        <f aca="false">'Debt sizing'!$B$9</f>
        <v>538.054770758014</v>
      </c>
    </row>
    <row r="20" customFormat="false" ht="15" hidden="false" customHeight="false" outlineLevel="0" collapsed="false">
      <c r="A20" s="2" t="s">
        <v>98</v>
      </c>
      <c r="B20" s="19" t="n">
        <f aca="false">B18*Assumptions!$B$21</f>
        <v>426.891972666318</v>
      </c>
      <c r="C20" s="19" t="n">
        <f aca="false">C18*Assumptions!$B$21</f>
        <v>427.324712945443</v>
      </c>
      <c r="D20" s="19" t="n">
        <f aca="false">D18*Assumptions!$B$21</f>
        <v>427.331514642926</v>
      </c>
      <c r="E20" s="19" t="n">
        <f aca="false">E18*Assumptions!$B$21</f>
        <v>427.331621550211</v>
      </c>
      <c r="F20" s="19" t="n">
        <f aca="false">F18*Assumptions!$B$21</f>
        <v>427.331623230552</v>
      </c>
      <c r="G20" s="19" t="n">
        <f aca="false">G18*Assumptions!$B$21</f>
        <v>427.331623256963</v>
      </c>
      <c r="H20" s="19" t="n">
        <f aca="false">H18*Assumptions!$B$21</f>
        <v>427.331623257378</v>
      </c>
      <c r="I20" s="19" t="n">
        <f aca="false">I18*Assumptions!$B$21</f>
        <v>427.331623257385</v>
      </c>
    </row>
    <row r="21" customFormat="false" ht="15" hidden="false" customHeight="false" outlineLevel="0" collapsed="false">
      <c r="A21" s="3" t="s">
        <v>99</v>
      </c>
      <c r="B21" s="19" t="n">
        <f aca="false">IF(UPPER(Assumptions!$B$34)="YES",Assumptions!$B$35,MIN(B19,B20))</f>
        <v>426.891972666318</v>
      </c>
      <c r="C21" s="19" t="n">
        <f aca="false">IF(UPPER(Assumptions!$B$34)="YES",Assumptions!$B$35,MIN(C19,C20))</f>
        <v>427.324712945443</v>
      </c>
      <c r="D21" s="19" t="n">
        <f aca="false">IF(UPPER(Assumptions!$B$34)="YES",Assumptions!$B$35,MIN(D19,D20))</f>
        <v>427.331514642926</v>
      </c>
      <c r="E21" s="19" t="n">
        <f aca="false">IF(UPPER(Assumptions!$B$34)="YES",Assumptions!$B$35,MIN(E19,E20))</f>
        <v>427.331621550211</v>
      </c>
      <c r="F21" s="19" t="n">
        <f aca="false">IF(UPPER(Assumptions!$B$34)="YES",Assumptions!$B$35,MIN(F19,F20))</f>
        <v>427.331623230552</v>
      </c>
      <c r="G21" s="19" t="n">
        <f aca="false">IF(UPPER(Assumptions!$B$34)="YES",Assumptions!$B$35,MIN(G19,G20))</f>
        <v>427.331623256963</v>
      </c>
      <c r="H21" s="19" t="n">
        <f aca="false">IF(UPPER(Assumptions!$B$34)="YES",Assumptions!$B$35,MIN(H19,H20))</f>
        <v>427.331623257378</v>
      </c>
      <c r="I21" s="20" t="n">
        <f aca="false">IF(UPPER(Assumptions!$B$34)="YES",Assumptions!$B$35,MIN(I19,I20))</f>
        <v>427.331623257385</v>
      </c>
    </row>
    <row r="22" customFormat="false" ht="15" hidden="false" customHeight="false" outlineLevel="0" collapsed="false">
      <c r="A22" s="8" t="s">
        <v>100</v>
      </c>
      <c r="B22" s="16" t="n">
        <f aca="false">B21-B13</f>
        <v>27.5319726663179</v>
      </c>
      <c r="C22" s="16" t="n">
        <f aca="false">C21-C13</f>
        <v>0.432740279125028</v>
      </c>
      <c r="D22" s="16" t="n">
        <f aca="false">D21-D13</f>
        <v>0.0068016974826719</v>
      </c>
      <c r="E22" s="16" t="n">
        <f aca="false">E21-E13</f>
        <v>0.000106907285612579</v>
      </c>
      <c r="F22" s="16" t="n">
        <f aca="false">F21-F13</f>
        <v>1.6803406310828E-006</v>
      </c>
      <c r="G22" s="16" t="n">
        <f aca="false">G21-G13</f>
        <v>2.64111577052972E-008</v>
      </c>
      <c r="H22" s="16" t="n">
        <f aca="false">H21-H13</f>
        <v>4.1507064452162E-010</v>
      </c>
      <c r="I22" s="16" t="n">
        <f aca="false">I21-I13</f>
        <v>6.53699316899292E-012</v>
      </c>
    </row>
    <row r="24" customFormat="false" ht="15" hidden="false" customHeight="false" outlineLevel="0" collapsed="false">
      <c r="A24" s="3" t="s">
        <v>101</v>
      </c>
      <c r="B24" s="21" t="n">
        <f aca="false">I21</f>
        <v>427.331623257385</v>
      </c>
    </row>
    <row r="25" customFormat="false" ht="15" hidden="false" customHeight="false" outlineLevel="0" collapsed="false">
      <c r="A25" s="2" t="s">
        <v>102</v>
      </c>
      <c r="B25" s="22" t="n">
        <f aca="false">I22</f>
        <v>6.53699316899292E-012</v>
      </c>
    </row>
    <row r="26" customFormat="false" ht="15" hidden="false" customHeight="false" outlineLevel="0" collapsed="false">
      <c r="A26" s="3" t="s">
        <v>103</v>
      </c>
      <c r="B26" s="0" t="str">
        <f aca="false">IF(ABS(I22)&lt;0.001,"CONVERGED","NOT CONVERGED — add passes")</f>
        <v>CONVERGED</v>
      </c>
    </row>
    <row r="28" customFormat="false" ht="15" hidden="false" customHeight="false" outlineLevel="0" collapsed="false">
      <c r="A28" s="8" t="s">
        <v>104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5"/>
  </cols>
  <sheetData>
    <row r="1" customFormat="false" ht="17.35" hidden="false" customHeight="false" outlineLevel="0" collapsed="false">
      <c r="A1" s="1" t="s">
        <v>105</v>
      </c>
    </row>
    <row r="3" customFormat="false" ht="19.5" hidden="false" customHeight="true" outlineLevel="0" collapsed="false">
      <c r="A3" s="4" t="s">
        <v>106</v>
      </c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2" t="s">
        <v>107</v>
      </c>
      <c r="B4" s="14" t="n">
        <f aca="false">Assumptions!$B$16+Assumptions!$B$17</f>
        <v>0.061</v>
      </c>
    </row>
    <row r="6" customFormat="false" ht="19.5" hidden="false" customHeight="true" outlineLevel="0" collapsed="false">
      <c r="A6" s="4" t="s">
        <v>108</v>
      </c>
      <c r="B6" s="5"/>
      <c r="C6" s="5"/>
      <c r="D6" s="5"/>
      <c r="E6" s="5"/>
      <c r="F6" s="5"/>
      <c r="G6" s="5"/>
    </row>
    <row r="7" customFormat="false" ht="15" hidden="false" customHeight="false" outlineLevel="0" collapsed="false">
      <c r="A7" s="2" t="s">
        <v>109</v>
      </c>
      <c r="B7" s="19" t="n">
        <f aca="false">'Cash flow'!C6</f>
        <v>61.612</v>
      </c>
    </row>
    <row r="8" customFormat="false" ht="15" hidden="false" customHeight="false" outlineLevel="0" collapsed="false">
      <c r="A8" s="2" t="s">
        <v>110</v>
      </c>
      <c r="B8" s="19" t="n">
        <f aca="false">B7/Assumptions!$B$20</f>
        <v>42.4910344827586</v>
      </c>
    </row>
    <row r="9" customFormat="false" ht="15" hidden="false" customHeight="false" outlineLevel="0" collapsed="false">
      <c r="A9" s="3" t="s">
        <v>111</v>
      </c>
      <c r="B9" s="15" t="n">
        <f aca="false">B8*(1-(1+$B$4)^(-Assumptions!$B$23))/$B$4</f>
        <v>538.054770758014</v>
      </c>
      <c r="C9" s="8" t="s">
        <v>112</v>
      </c>
    </row>
    <row r="10" customFormat="false" ht="15" hidden="false" customHeight="false" outlineLevel="0" collapsed="false">
      <c r="A10" s="8" t="s">
        <v>113</v>
      </c>
    </row>
    <row r="11" customFormat="false" ht="19.5" hidden="false" customHeight="true" outlineLevel="0" collapsed="false">
      <c r="A11" s="4" t="s">
        <v>114</v>
      </c>
      <c r="B11" s="5"/>
      <c r="C11" s="5"/>
      <c r="D11" s="5"/>
      <c r="E11" s="5"/>
      <c r="F11" s="5"/>
      <c r="G11" s="5"/>
    </row>
    <row r="12" customFormat="false" ht="15" hidden="false" customHeight="false" outlineLevel="0" collapsed="false">
      <c r="A12" s="2" t="s">
        <v>96</v>
      </c>
      <c r="B12" s="15" t="n">
        <f aca="false">Solve!$I$18</f>
        <v>657.433266549823</v>
      </c>
    </row>
    <row r="13" customFormat="false" ht="15" hidden="false" customHeight="false" outlineLevel="0" collapsed="false">
      <c r="A13" s="3" t="s">
        <v>115</v>
      </c>
      <c r="B13" s="15" t="n">
        <f aca="false">B12*Assumptions!$B$21</f>
        <v>427.331623257385</v>
      </c>
    </row>
    <row r="15" customFormat="false" ht="19.5" hidden="false" customHeight="true" outlineLevel="0" collapsed="false">
      <c r="A15" s="4" t="s">
        <v>116</v>
      </c>
      <c r="B15" s="5"/>
      <c r="C15" s="5"/>
      <c r="D15" s="5"/>
      <c r="E15" s="5"/>
      <c r="F15" s="5"/>
      <c r="G15" s="5"/>
    </row>
    <row r="16" customFormat="false" ht="15" hidden="false" customHeight="false" outlineLevel="0" collapsed="false">
      <c r="A16" s="3" t="s">
        <v>117</v>
      </c>
      <c r="B16" s="21" t="n">
        <f aca="false">Solve!$B$24</f>
        <v>427.331623257385</v>
      </c>
    </row>
    <row r="17" customFormat="false" ht="15" hidden="false" customHeight="false" outlineLevel="0" collapsed="false">
      <c r="A17" s="2" t="s">
        <v>118</v>
      </c>
      <c r="B17" s="0" t="str">
        <f aca="false">IF(UPPER(Assumptions!$B$34)="YES","debt held fixed (stress case)",IF(B9&lt;=B13,"cover","loan to cost"))</f>
        <v>loan to cost</v>
      </c>
    </row>
    <row r="18" customFormat="false" ht="15" hidden="false" customHeight="false" outlineLevel="0" collapsed="false">
      <c r="A18" s="2" t="s">
        <v>119</v>
      </c>
      <c r="B18" s="18" t="n">
        <f aca="false">B16/B12</f>
        <v>0.65</v>
      </c>
    </row>
    <row r="19" customFormat="false" ht="15" hidden="false" customHeight="false" outlineLevel="0" collapsed="false">
      <c r="A19" s="2" t="s">
        <v>120</v>
      </c>
      <c r="B19" s="16" t="n">
        <f aca="false">(1-(1+$B$4)^(-Assumptions!$B$23))/$B$4</f>
        <v>12.6627835096916</v>
      </c>
    </row>
    <row r="20" customFormat="false" ht="15" hidden="false" customHeight="false" outlineLevel="0" collapsed="false">
      <c r="A20" s="3" t="s">
        <v>121</v>
      </c>
      <c r="B20" s="19" t="n">
        <f aca="false">B16/B19</f>
        <v>33.7470527653198</v>
      </c>
    </row>
    <row r="21" customFormat="false" ht="15" hidden="false" customHeight="false" outlineLevel="0" collapsed="false">
      <c r="A21" s="3" t="s">
        <v>122</v>
      </c>
      <c r="B21" s="15" t="n">
        <f aca="false">'Cash flow'!Q12</f>
        <v>247.208706236056</v>
      </c>
      <c r="C21" s="8" t="s">
        <v>123</v>
      </c>
    </row>
    <row r="22" customFormat="false" ht="15" hidden="false" customHeight="false" outlineLevel="0" collapsed="false">
      <c r="A22" s="8" t="s">
        <v>124</v>
      </c>
    </row>
    <row r="24" customFormat="false" ht="15" hidden="false" customHeight="false" outlineLevel="0" collapsed="false">
      <c r="A24" s="4" t="s">
        <v>125</v>
      </c>
    </row>
    <row r="25" customFormat="false" ht="15" hidden="false" customHeight="false" outlineLevel="0" collapsed="false">
      <c r="A25" s="2" t="s">
        <v>126</v>
      </c>
      <c r="B25" s="23" t="n">
        <f aca="false">SUMPRODUCT(('Cash flow'!C4:Q4&lt;=Assumptions!$B$19)*'Cash flow'!C6:Q6/(1+$B$4)^'Cash flow'!C4:Q4)</f>
        <v>691.703098548269</v>
      </c>
    </row>
    <row r="26" customFormat="false" ht="15" hidden="false" customHeight="false" outlineLevel="0" collapsed="false">
      <c r="A26" s="3" t="s">
        <v>127</v>
      </c>
      <c r="B26" s="24" t="n">
        <f aca="false">B25/B16</f>
        <v>1.61865647404159</v>
      </c>
    </row>
    <row r="27" customFormat="false" ht="15" hidden="false" customHeight="false" outlineLevel="0" collapsed="false">
      <c r="A27" s="2" t="s">
        <v>128</v>
      </c>
      <c r="B27" s="25" t="n">
        <f aca="false">B25/B9</f>
        <v>1.28556261581659</v>
      </c>
    </row>
    <row r="28" customFormat="false" ht="15" hidden="false" customHeight="false" outlineLevel="0" collapsed="false">
      <c r="A28" s="2" t="s">
        <v>129</v>
      </c>
      <c r="B28" s="26" t="n">
        <f aca="false">(B21/Assumptions!$B$21*Assumptions!$B$26+Assumptions!$B$12*(1+Assumptions!$B$13)^Assumptions!$B$19)/(Assumptions!$B$4*12/1000)</f>
        <v>27.581027304972</v>
      </c>
      <c r="C28" s="27" t="s">
        <v>130</v>
      </c>
    </row>
    <row r="29" customFormat="false" ht="15" hidden="false" customHeight="false" outlineLevel="0" collapsed="false">
      <c r="A29" s="2" t="s">
        <v>131</v>
      </c>
      <c r="B29" s="28" t="n">
        <f aca="false">B28/(Assumptions!$B$9*(1+Assumptions!$B$10)^(Assumptions!$B$19-1))</f>
        <v>0.348568626977263</v>
      </c>
    </row>
    <row r="30" customFormat="false" ht="15" hidden="false" customHeight="false" outlineLevel="0" collapsed="false">
      <c r="A30" s="27" t="s">
        <v>132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5"/>
    <col collapsed="false" customWidth="true" hidden="false" outlineLevel="0" max="3" min="3" style="0" width="58"/>
  </cols>
  <sheetData>
    <row r="1" customFormat="false" ht="17.35" hidden="false" customHeight="false" outlineLevel="0" collapsed="false">
      <c r="A1" s="1" t="s">
        <v>133</v>
      </c>
    </row>
    <row r="2" customFormat="false" ht="15" hidden="false" customHeight="false" outlineLevel="0" collapsed="false">
      <c r="A2" s="8" t="s">
        <v>134</v>
      </c>
    </row>
    <row r="4" customFormat="false" ht="19.5" hidden="false" customHeight="true" outlineLevel="0" collapsed="false">
      <c r="A4" s="4" t="s">
        <v>135</v>
      </c>
      <c r="B4" s="5"/>
      <c r="C4" s="5"/>
    </row>
    <row r="5" customFormat="false" ht="15" hidden="false" customHeight="false" outlineLevel="0" collapsed="false">
      <c r="A5" s="2" t="s">
        <v>136</v>
      </c>
      <c r="B5" s="15" t="n">
        <f aca="false">Assumptions!$B$4*Assumptions!$B$5</f>
        <v>614.4</v>
      </c>
    </row>
    <row r="6" customFormat="false" ht="15" hidden="false" customHeight="false" outlineLevel="0" collapsed="false">
      <c r="A6" s="2" t="s">
        <v>137</v>
      </c>
      <c r="B6" s="15" t="n">
        <f aca="false">Solve!$I$15</f>
        <v>19.7497658183022</v>
      </c>
    </row>
    <row r="7" customFormat="false" ht="15" hidden="false" customHeight="false" outlineLevel="0" collapsed="false">
      <c r="A7" s="2" t="s">
        <v>138</v>
      </c>
      <c r="B7" s="15" t="n">
        <f aca="false">'Debt sizing'!B16*Assumptions!$B$18</f>
        <v>6.40997434886077</v>
      </c>
    </row>
    <row r="8" customFormat="false" ht="15" hidden="false" customHeight="false" outlineLevel="0" collapsed="false">
      <c r="A8" s="2" t="s">
        <v>139</v>
      </c>
      <c r="B8" s="15" t="n">
        <f aca="false">Solve!$I$17</f>
        <v>16.8735263826596</v>
      </c>
      <c r="C8" s="8" t="s">
        <v>140</v>
      </c>
    </row>
    <row r="10" customFormat="false" ht="15" hidden="false" customHeight="false" outlineLevel="0" collapsed="false">
      <c r="A10" s="3" t="s">
        <v>141</v>
      </c>
      <c r="B10" s="21" t="n">
        <f aca="false">SUM(B5:B8)</f>
        <v>657.433266549823</v>
      </c>
      <c r="C10" s="8" t="s">
        <v>142</v>
      </c>
    </row>
    <row r="12" customFormat="false" ht="19.5" hidden="false" customHeight="true" outlineLevel="0" collapsed="false">
      <c r="A12" s="4" t="s">
        <v>143</v>
      </c>
      <c r="B12" s="5"/>
      <c r="C12" s="5"/>
    </row>
    <row r="13" customFormat="false" ht="15" hidden="false" customHeight="false" outlineLevel="0" collapsed="false">
      <c r="A13" s="2" t="s">
        <v>144</v>
      </c>
      <c r="B13" s="15" t="n">
        <f aca="false">'Debt sizing'!B16</f>
        <v>427.331623257385</v>
      </c>
    </row>
    <row r="14" customFormat="false" ht="15" hidden="false" customHeight="false" outlineLevel="0" collapsed="false">
      <c r="A14" s="2" t="s">
        <v>145</v>
      </c>
      <c r="B14" s="15" t="n">
        <f aca="false">B10-B13</f>
        <v>230.101643292438</v>
      </c>
    </row>
    <row r="15" customFormat="false" ht="15" hidden="false" customHeight="false" outlineLevel="0" collapsed="false">
      <c r="A15" s="3" t="s">
        <v>146</v>
      </c>
      <c r="B15" s="15" t="n">
        <f aca="false">SUM(B13:B14)</f>
        <v>657.433266549823</v>
      </c>
    </row>
    <row r="17" customFormat="false" ht="15" hidden="false" customHeight="false" outlineLevel="0" collapsed="false">
      <c r="A17" s="2" t="s">
        <v>147</v>
      </c>
      <c r="B17" s="15" t="n">
        <f aca="false">B6+B7+B8</f>
        <v>43.0332665498226</v>
      </c>
    </row>
    <row r="18" customFormat="false" ht="15" hidden="false" customHeight="false" outlineLevel="0" collapsed="false">
      <c r="A18" s="2" t="s">
        <v>148</v>
      </c>
      <c r="B18" s="18" t="n">
        <f aca="false">B17/B10</f>
        <v>0.065456478610611</v>
      </c>
    </row>
    <row r="20" customFormat="false" ht="15" hidden="false" customHeight="false" outlineLevel="0" collapsed="false">
      <c r="A20" s="3" t="s">
        <v>149</v>
      </c>
      <c r="B20" s="22" t="n">
        <f aca="false">B10-Solve!$I$18</f>
        <v>0</v>
      </c>
      <c r="C20" s="0" t="str">
        <f aca="false">IF(ABS(B20)&lt;0.001,"ties","DOES NOT TIE")</f>
        <v>ties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9" min="2" style="0" width="12"/>
  </cols>
  <sheetData>
    <row r="1" customFormat="false" ht="17.35" hidden="false" customHeight="false" outlineLevel="0" collapsed="false">
      <c r="A1" s="1" t="s">
        <v>150</v>
      </c>
    </row>
    <row r="3" customFormat="false" ht="15" hidden="false" customHeight="false" outlineLevel="0" collapsed="false">
      <c r="A3" s="3" t="s">
        <v>151</v>
      </c>
      <c r="B3" s="3" t="n">
        <v>1</v>
      </c>
      <c r="C3" s="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</row>
    <row r="4" customFormat="false" ht="15" hidden="false" customHeight="false" outlineLevel="0" collapsed="false">
      <c r="A4" s="2" t="s">
        <v>152</v>
      </c>
      <c r="B4" s="28" t="n">
        <f aca="false">Solve!B9</f>
        <v>0.06</v>
      </c>
      <c r="C4" s="28" t="n">
        <f aca="false">Solve!C9</f>
        <v>0.11</v>
      </c>
      <c r="D4" s="28" t="n">
        <f aca="false">Solve!D9</f>
        <v>0.16</v>
      </c>
      <c r="E4" s="28" t="n">
        <f aca="false">Solve!E9</f>
        <v>0.18</v>
      </c>
      <c r="F4" s="28" t="n">
        <f aca="false">Solve!F9</f>
        <v>0.18</v>
      </c>
      <c r="G4" s="28" t="n">
        <f aca="false">Solve!G9</f>
        <v>0.15</v>
      </c>
      <c r="H4" s="28" t="n">
        <f aca="false">Solve!H9</f>
        <v>0.11</v>
      </c>
      <c r="I4" s="28" t="n">
        <f aca="false">Solve!I9</f>
        <v>0.05</v>
      </c>
    </row>
    <row r="5" customFormat="false" ht="15" hidden="false" customHeight="false" outlineLevel="0" collapsed="false">
      <c r="A5" s="2" t="s">
        <v>153</v>
      </c>
      <c r="B5" s="19" t="n">
        <f aca="false">B4*'Sources and uses'!$B$5</f>
        <v>36.864</v>
      </c>
      <c r="C5" s="19" t="n">
        <f aca="false">C4*'Sources and uses'!$B$5</f>
        <v>67.584</v>
      </c>
      <c r="D5" s="19" t="n">
        <f aca="false">D4*'Sources and uses'!$B$5</f>
        <v>98.304</v>
      </c>
      <c r="E5" s="19" t="n">
        <f aca="false">E4*'Sources and uses'!$B$5</f>
        <v>110.592</v>
      </c>
      <c r="F5" s="19" t="n">
        <f aca="false">F4*'Sources and uses'!$B$5</f>
        <v>110.592</v>
      </c>
      <c r="G5" s="19" t="n">
        <f aca="false">G4*'Sources and uses'!$B$5</f>
        <v>92.16</v>
      </c>
      <c r="H5" s="19" t="n">
        <f aca="false">H4*'Sources and uses'!$B$5</f>
        <v>67.584</v>
      </c>
      <c r="I5" s="19" t="n">
        <f aca="false">I4*'Sources and uses'!$B$5</f>
        <v>30.72</v>
      </c>
    </row>
    <row r="6" customFormat="false" ht="15" hidden="false" customHeight="false" outlineLevel="0" collapsed="false">
      <c r="A6" s="2" t="s">
        <v>154</v>
      </c>
      <c r="B6" s="19" t="n">
        <f aca="false">'Sources and uses'!$B$14</f>
        <v>230.101643292438</v>
      </c>
      <c r="C6" s="19" t="n">
        <f aca="false">B6-B7</f>
        <v>193.237643292438</v>
      </c>
      <c r="D6" s="19" t="n">
        <f aca="false">C6-C7</f>
        <v>125.653643292438</v>
      </c>
      <c r="E6" s="19" t="n">
        <f aca="false">D6-D7</f>
        <v>27.3496432924379</v>
      </c>
      <c r="F6" s="19" t="n">
        <f aca="false">E6-E7</f>
        <v>0</v>
      </c>
      <c r="G6" s="19" t="n">
        <f aca="false">F6-F7</f>
        <v>0</v>
      </c>
      <c r="H6" s="19" t="n">
        <f aca="false">G6-G7</f>
        <v>0</v>
      </c>
      <c r="I6" s="19" t="n">
        <f aca="false">H6-H7</f>
        <v>0</v>
      </c>
    </row>
    <row r="7" customFormat="false" ht="15" hidden="false" customHeight="false" outlineLevel="0" collapsed="false">
      <c r="A7" s="2" t="s">
        <v>155</v>
      </c>
      <c r="B7" s="19" t="n">
        <f aca="false">MIN(B6,B5)</f>
        <v>36.864</v>
      </c>
      <c r="C7" s="19" t="n">
        <f aca="false">MIN(C6,C5)</f>
        <v>67.584</v>
      </c>
      <c r="D7" s="19" t="n">
        <f aca="false">MIN(D6,D5)</f>
        <v>98.304</v>
      </c>
      <c r="E7" s="19" t="n">
        <f aca="false">MIN(E6,E5)</f>
        <v>27.3496432924379</v>
      </c>
      <c r="F7" s="19" t="n">
        <f aca="false">MIN(F6,F5)</f>
        <v>0</v>
      </c>
      <c r="G7" s="19" t="n">
        <f aca="false">MIN(G6,G5)</f>
        <v>0</v>
      </c>
      <c r="H7" s="19" t="n">
        <f aca="false">MIN(H6,H5)</f>
        <v>0</v>
      </c>
      <c r="I7" s="19" t="n">
        <f aca="false">MIN(I6,I5)</f>
        <v>0</v>
      </c>
    </row>
    <row r="8" customFormat="false" ht="15" hidden="false" customHeight="false" outlineLevel="0" collapsed="false">
      <c r="A8" s="2" t="s">
        <v>156</v>
      </c>
      <c r="B8" s="19" t="n">
        <f aca="false">B5-B7</f>
        <v>0</v>
      </c>
      <c r="C8" s="19" t="n">
        <f aca="false">C5-C7</f>
        <v>0</v>
      </c>
      <c r="D8" s="19" t="n">
        <f aca="false">D5-D7</f>
        <v>0</v>
      </c>
      <c r="E8" s="19" t="n">
        <f aca="false">E5-E7</f>
        <v>83.2423567075621</v>
      </c>
      <c r="F8" s="19" t="n">
        <f aca="false">F5-F7</f>
        <v>110.592</v>
      </c>
      <c r="G8" s="19" t="n">
        <f aca="false">G5-G7</f>
        <v>92.16</v>
      </c>
      <c r="H8" s="19" t="n">
        <f aca="false">H5-H7</f>
        <v>67.584</v>
      </c>
      <c r="I8" s="19" t="n">
        <f aca="false">I5-I7</f>
        <v>30.72</v>
      </c>
    </row>
    <row r="9" customFormat="false" ht="15" hidden="false" customHeight="false" outlineLevel="0" collapsed="false">
      <c r="A9" s="2" t="s">
        <v>157</v>
      </c>
      <c r="B9" s="19" t="n">
        <f aca="false">0</f>
        <v>0</v>
      </c>
      <c r="C9" s="19" t="n">
        <f aca="false">B9+B8</f>
        <v>0</v>
      </c>
      <c r="D9" s="19" t="n">
        <f aca="false">C9+C8</f>
        <v>0</v>
      </c>
      <c r="E9" s="19" t="n">
        <f aca="false">D9+D8</f>
        <v>0</v>
      </c>
      <c r="F9" s="19" t="n">
        <f aca="false">E9+E8</f>
        <v>83.2423567075621</v>
      </c>
      <c r="G9" s="19" t="n">
        <f aca="false">F9+F8</f>
        <v>193.834356707562</v>
      </c>
      <c r="H9" s="19" t="n">
        <f aca="false">G9+G8</f>
        <v>285.994356707562</v>
      </c>
      <c r="I9" s="19" t="n">
        <f aca="false">H9+H8</f>
        <v>353.578356707562</v>
      </c>
    </row>
    <row r="10" customFormat="false" ht="15" hidden="false" customHeight="false" outlineLevel="0" collapsed="false">
      <c r="A10" s="2" t="s">
        <v>158</v>
      </c>
      <c r="B10" s="19" t="n">
        <f aca="false">(B9+B8/2)*'Debt sizing'!$B$4/4</f>
        <v>0</v>
      </c>
      <c r="C10" s="19" t="n">
        <f aca="false">(C9+C8/2)*'Debt sizing'!$B$4/4</f>
        <v>0</v>
      </c>
      <c r="D10" s="19" t="n">
        <f aca="false">(D9+D8/2)*'Debt sizing'!$B$4/4</f>
        <v>0</v>
      </c>
      <c r="E10" s="19" t="n">
        <f aca="false">(E9+E8/2)*'Debt sizing'!$B$4/4</f>
        <v>0.634722969895161</v>
      </c>
      <c r="F10" s="19" t="n">
        <f aca="false">(F9+F8/2)*'Debt sizing'!$B$4/4</f>
        <v>2.11270993979032</v>
      </c>
      <c r="G10" s="19" t="n">
        <f aca="false">(G9+G8/2)*'Debt sizing'!$B$4/4</f>
        <v>3.65869393979032</v>
      </c>
      <c r="H10" s="19" t="n">
        <f aca="false">(H9+H8/2)*'Debt sizing'!$B$4/4</f>
        <v>4.87674193979032</v>
      </c>
      <c r="I10" s="19" t="n">
        <f aca="false">(I9+I8/2)*'Debt sizing'!$B$4/4</f>
        <v>5.62630993979032</v>
      </c>
    </row>
    <row r="11" customFormat="false" ht="15" hidden="false" customHeight="false" outlineLevel="0" collapsed="false">
      <c r="A11" s="2" t="s">
        <v>159</v>
      </c>
      <c r="B11" s="29" t="n">
        <f aca="false">('Sources and uses'!$B$7+'Sources and uses'!$B$8)*'Debt sizing'!$B$4/4</f>
        <v>0.355073386155686</v>
      </c>
      <c r="C11" s="29" t="n">
        <f aca="false">('Sources and uses'!$B$7+'Sources and uses'!$B$8)*'Debt sizing'!$B$4/4</f>
        <v>0.355073386155686</v>
      </c>
      <c r="D11" s="29" t="n">
        <f aca="false">('Sources and uses'!$B$7+'Sources and uses'!$B$8)*'Debt sizing'!$B$4/4</f>
        <v>0.355073386155686</v>
      </c>
      <c r="E11" s="29" t="n">
        <f aca="false">('Sources and uses'!$B$7+'Sources and uses'!$B$8)*'Debt sizing'!$B$4/4</f>
        <v>0.355073386155686</v>
      </c>
      <c r="F11" s="29" t="n">
        <f aca="false">('Sources and uses'!$B$7+'Sources and uses'!$B$8)*'Debt sizing'!$B$4/4</f>
        <v>0.355073386155686</v>
      </c>
      <c r="G11" s="29" t="n">
        <f aca="false">('Sources and uses'!$B$7+'Sources and uses'!$B$8)*'Debt sizing'!$B$4/4</f>
        <v>0.355073386155686</v>
      </c>
      <c r="H11" s="29" t="n">
        <f aca="false">('Sources and uses'!$B$7+'Sources and uses'!$B$8)*'Debt sizing'!$B$4/4</f>
        <v>0.355073386155686</v>
      </c>
      <c r="I11" s="29" t="n">
        <f aca="false">('Sources and uses'!$B$7+'Sources and uses'!$B$8)*'Debt sizing'!$B$4/4</f>
        <v>0.355073386155686</v>
      </c>
    </row>
    <row r="12" customFormat="false" ht="15" hidden="false" customHeight="false" outlineLevel="0" collapsed="false">
      <c r="A12" s="3" t="s">
        <v>160</v>
      </c>
      <c r="B12" s="29" t="n">
        <f aca="false">B10+B11</f>
        <v>0.355073386155686</v>
      </c>
      <c r="C12" s="29" t="n">
        <f aca="false">C10+C11</f>
        <v>0.355073386155686</v>
      </c>
      <c r="D12" s="29" t="n">
        <f aca="false">D10+D11</f>
        <v>0.355073386155686</v>
      </c>
      <c r="E12" s="29" t="n">
        <f aca="false">E10+E11</f>
        <v>0.989796356050847</v>
      </c>
      <c r="F12" s="29" t="n">
        <f aca="false">F10+F11</f>
        <v>2.46778332594601</v>
      </c>
      <c r="G12" s="29" t="n">
        <f aca="false">G10+G11</f>
        <v>4.01376732594601</v>
      </c>
      <c r="H12" s="29" t="n">
        <f aca="false">H10+H11</f>
        <v>5.23181532594601</v>
      </c>
      <c r="I12" s="29" t="n">
        <f aca="false">I10+I11</f>
        <v>5.98138332594601</v>
      </c>
    </row>
    <row r="14" customFormat="false" ht="15" hidden="false" customHeight="false" outlineLevel="0" collapsed="false">
      <c r="A14" s="3" t="s">
        <v>161</v>
      </c>
      <c r="B14" s="20" t="n">
        <f aca="false">SUM(B12:I12)</f>
        <v>19.7497658183019</v>
      </c>
    </row>
    <row r="15" customFormat="false" ht="15" hidden="false" customHeight="false" outlineLevel="0" collapsed="false">
      <c r="A15" s="2" t="s">
        <v>162</v>
      </c>
      <c r="B15" s="29" t="n">
        <f aca="false">B14-'Sources and uses'!B6</f>
        <v>-2.30926389122033E-013</v>
      </c>
      <c r="C15" s="30" t="str">
        <f aca="false">IF(ABS(B15)&lt;0.001,"ties","DOES NOT TIE")</f>
        <v>ties</v>
      </c>
    </row>
    <row r="16" customFormat="false" ht="15" hidden="false" customHeight="false" outlineLevel="0" collapsed="false">
      <c r="A16" s="8" t="s">
        <v>163</v>
      </c>
    </row>
    <row r="17" customFormat="false" ht="15" hidden="false" customHeight="false" outlineLevel="0" collapsed="false">
      <c r="A17" s="27" t="s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"/>
    <col collapsed="false" customWidth="true" hidden="false" outlineLevel="0" max="17" min="3" style="0" width="11"/>
  </cols>
  <sheetData>
    <row r="1" customFormat="false" ht="17.35" hidden="false" customHeight="false" outlineLevel="0" collapsed="false">
      <c r="A1" s="1" t="s">
        <v>165</v>
      </c>
    </row>
    <row r="4" customFormat="false" ht="15" hidden="false" customHeight="false" outlineLevel="0" collapsed="false">
      <c r="A4" s="3" t="s">
        <v>166</v>
      </c>
      <c r="C4" s="3" t="n">
        <v>1</v>
      </c>
      <c r="D4" s="3" t="n">
        <v>2</v>
      </c>
      <c r="E4" s="3" t="n">
        <v>3</v>
      </c>
      <c r="F4" s="3" t="n">
        <v>4</v>
      </c>
      <c r="G4" s="3" t="n">
        <v>5</v>
      </c>
      <c r="H4" s="3" t="n">
        <v>6</v>
      </c>
      <c r="I4" s="3" t="n">
        <v>7</v>
      </c>
      <c r="J4" s="3" t="n">
        <v>8</v>
      </c>
      <c r="K4" s="3" t="n">
        <v>9</v>
      </c>
      <c r="L4" s="3" t="n">
        <v>10</v>
      </c>
      <c r="M4" s="3" t="n">
        <v>11</v>
      </c>
      <c r="N4" s="3" t="n">
        <v>12</v>
      </c>
      <c r="O4" s="3" t="n">
        <v>13</v>
      </c>
      <c r="P4" s="3" t="n">
        <v>14</v>
      </c>
      <c r="Q4" s="3" t="n">
        <v>15</v>
      </c>
    </row>
    <row r="5" customFormat="false" ht="15" hidden="false" customHeight="false" outlineLevel="0" collapsed="false">
      <c r="A5" s="2" t="s">
        <v>167</v>
      </c>
      <c r="C5" s="19" t="n">
        <f aca="false">Assumptions!$B$4*1000*Assumptions!$B$9*12/1000000*(1+Assumptions!$B$10)^(C4-1)*IF(C4&gt;Assumptions!$B$11,0.95,1)</f>
        <v>64.512</v>
      </c>
      <c r="D5" s="19" t="n">
        <f aca="false">Assumptions!$B$4*1000*Assumptions!$B$9*12/1000000*(1+Assumptions!$B$10)^(D4-1)*IF(D4&gt;Assumptions!$B$11,0.95,1)</f>
        <v>66.1248</v>
      </c>
      <c r="E5" s="19" t="n">
        <f aca="false">Assumptions!$B$4*1000*Assumptions!$B$9*12/1000000*(1+Assumptions!$B$10)^(E4-1)*IF(E4&gt;Assumptions!$B$11,0.95,1)</f>
        <v>67.77792</v>
      </c>
      <c r="F5" s="19" t="n">
        <f aca="false">Assumptions!$B$4*1000*Assumptions!$B$9*12/1000000*(1+Assumptions!$B$10)^(F4-1)*IF(F4&gt;Assumptions!$B$11,0.95,1)</f>
        <v>69.472368</v>
      </c>
      <c r="G5" s="19" t="n">
        <f aca="false">Assumptions!$B$4*1000*Assumptions!$B$9*12/1000000*(1+Assumptions!$B$10)^(G4-1)*IF(G4&gt;Assumptions!$B$11,0.95,1)</f>
        <v>71.2091772</v>
      </c>
      <c r="H5" s="19" t="n">
        <f aca="false">Assumptions!$B$4*1000*Assumptions!$B$9*12/1000000*(1+Assumptions!$B$10)^(H4-1)*IF(H4&gt;Assumptions!$B$11,0.95,1)</f>
        <v>72.98940663</v>
      </c>
      <c r="I5" s="19" t="n">
        <f aca="false">Assumptions!$B$4*1000*Assumptions!$B$9*12/1000000*(1+Assumptions!$B$10)^(I4-1)*IF(I4&gt;Assumptions!$B$11,0.95,1)</f>
        <v>74.81414179575</v>
      </c>
      <c r="J5" s="19" t="n">
        <f aca="false">Assumptions!$B$4*1000*Assumptions!$B$9*12/1000000*(1+Assumptions!$B$10)^(J4-1)*IF(J4&gt;Assumptions!$B$11,0.95,1)</f>
        <v>76.6844953406437</v>
      </c>
      <c r="K5" s="19" t="n">
        <f aca="false">Assumptions!$B$4*1000*Assumptions!$B$9*12/1000000*(1+Assumptions!$B$10)^(K4-1)*IF(K4&gt;Assumptions!$B$11,0.95,1)</f>
        <v>78.6016077241598</v>
      </c>
      <c r="L5" s="19" t="n">
        <f aca="false">Assumptions!$B$4*1000*Assumptions!$B$9*12/1000000*(1+Assumptions!$B$10)^(L4-1)*IF(L4&gt;Assumptions!$B$11,0.95,1)</f>
        <v>80.5666479172638</v>
      </c>
      <c r="M5" s="19" t="n">
        <f aca="false">Assumptions!$B$4*1000*Assumptions!$B$9*12/1000000*(1+Assumptions!$B$10)^(M4-1)*IF(M4&gt;Assumptions!$B$11,0.95,1)</f>
        <v>82.5808141151954</v>
      </c>
      <c r="N5" s="19" t="n">
        <f aca="false">Assumptions!$B$4*1000*Assumptions!$B$9*12/1000000*(1+Assumptions!$B$10)^(N4-1)*IF(N4&gt;Assumptions!$B$11,0.95,1)</f>
        <v>84.6453344680753</v>
      </c>
      <c r="O5" s="19" t="n">
        <f aca="false">Assumptions!$B$4*1000*Assumptions!$B$9*12/1000000*(1+Assumptions!$B$10)^(O4-1)*IF(O4&gt;Assumptions!$B$11,0.95,1)</f>
        <v>86.7614678297771</v>
      </c>
      <c r="P5" s="19" t="n">
        <f aca="false">Assumptions!$B$4*1000*Assumptions!$B$9*12/1000000*(1+Assumptions!$B$10)^(P4-1)*IF(P4&gt;Assumptions!$B$11,0.95,1)</f>
        <v>88.9305045255215</v>
      </c>
      <c r="Q5" s="19" t="n">
        <f aca="false">Assumptions!$B$4*1000*Assumptions!$B$9*12/1000000*(1+Assumptions!$B$10)^(Q4-1)*IF(Q4&gt;Assumptions!$B$11,0.95,1)</f>
        <v>91.1537671386596</v>
      </c>
    </row>
    <row r="6" customFormat="false" ht="15" hidden="false" customHeight="false" outlineLevel="0" collapsed="false">
      <c r="A6" s="3" t="s">
        <v>168</v>
      </c>
      <c r="C6" s="19" t="n">
        <f aca="false">C5-C7</f>
        <v>61.612</v>
      </c>
      <c r="D6" s="19" t="n">
        <f aca="false">D5-D7</f>
        <v>63.1523</v>
      </c>
      <c r="E6" s="19" t="n">
        <f aca="false">E5-E7</f>
        <v>64.7311075</v>
      </c>
      <c r="F6" s="19" t="n">
        <f aca="false">F5-F7</f>
        <v>66.3493851875</v>
      </c>
      <c r="G6" s="19" t="n">
        <f aca="false">G5-G7</f>
        <v>68.0081198171875</v>
      </c>
      <c r="H6" s="19" t="n">
        <f aca="false">H5-H7</f>
        <v>69.7083228126172</v>
      </c>
      <c r="I6" s="19" t="n">
        <f aca="false">I5-I7</f>
        <v>71.4510308829326</v>
      </c>
      <c r="J6" s="19" t="n">
        <f aca="false">J5-J7</f>
        <v>73.2373066550059</v>
      </c>
      <c r="K6" s="19" t="n">
        <f aca="false">K5-K7</f>
        <v>75.068239321381</v>
      </c>
      <c r="L6" s="19" t="n">
        <f aca="false">L5-L7</f>
        <v>76.9449453044156</v>
      </c>
      <c r="M6" s="19" t="n">
        <f aca="false">M5-M7</f>
        <v>78.8685689370259</v>
      </c>
      <c r="N6" s="19" t="n">
        <f aca="false">N5-N7</f>
        <v>80.8402831604516</v>
      </c>
      <c r="O6" s="19" t="n">
        <f aca="false">O5-O7</f>
        <v>82.8612902394629</v>
      </c>
      <c r="P6" s="19" t="n">
        <f aca="false">P5-P7</f>
        <v>84.9328224954494</v>
      </c>
      <c r="Q6" s="19" t="n">
        <f aca="false">Q5-Q7</f>
        <v>87.0561430578357</v>
      </c>
    </row>
    <row r="7" customFormat="false" ht="15" hidden="false" customHeight="false" outlineLevel="0" collapsed="false">
      <c r="A7" s="2" t="s">
        <v>169</v>
      </c>
      <c r="C7" s="19" t="n">
        <f aca="false">Assumptions!$B$12*(1+Assumptions!$B$13)^(C4-1)</f>
        <v>2.9</v>
      </c>
      <c r="D7" s="19" t="n">
        <f aca="false">Assumptions!$B$12*(1+Assumptions!$B$13)^(D4-1)</f>
        <v>2.9725</v>
      </c>
      <c r="E7" s="19" t="n">
        <f aca="false">Assumptions!$B$12*(1+Assumptions!$B$13)^(E4-1)</f>
        <v>3.0468125</v>
      </c>
      <c r="F7" s="19" t="n">
        <f aca="false">Assumptions!$B$12*(1+Assumptions!$B$13)^(F4-1)</f>
        <v>3.1229828125</v>
      </c>
      <c r="G7" s="19" t="n">
        <f aca="false">Assumptions!$B$12*(1+Assumptions!$B$13)^(G4-1)</f>
        <v>3.2010573828125</v>
      </c>
      <c r="H7" s="19" t="n">
        <f aca="false">Assumptions!$B$12*(1+Assumptions!$B$13)^(H4-1)</f>
        <v>3.28108381738281</v>
      </c>
      <c r="I7" s="19" t="n">
        <f aca="false">Assumptions!$B$12*(1+Assumptions!$B$13)^(I4-1)</f>
        <v>3.36311091281738</v>
      </c>
      <c r="J7" s="19" t="n">
        <f aca="false">Assumptions!$B$12*(1+Assumptions!$B$13)^(J4-1)</f>
        <v>3.44718868563782</v>
      </c>
      <c r="K7" s="19" t="n">
        <f aca="false">Assumptions!$B$12*(1+Assumptions!$B$13)^(K4-1)</f>
        <v>3.53336840277876</v>
      </c>
      <c r="L7" s="19" t="n">
        <f aca="false">Assumptions!$B$12*(1+Assumptions!$B$13)^(L4-1)</f>
        <v>3.62170261284823</v>
      </c>
      <c r="M7" s="19" t="n">
        <f aca="false">Assumptions!$B$12*(1+Assumptions!$B$13)^(M4-1)</f>
        <v>3.71224517816943</v>
      </c>
      <c r="N7" s="19" t="n">
        <f aca="false">Assumptions!$B$12*(1+Assumptions!$B$13)^(N4-1)</f>
        <v>3.80505130762367</v>
      </c>
      <c r="O7" s="19" t="n">
        <f aca="false">Assumptions!$B$12*(1+Assumptions!$B$13)^(O4-1)</f>
        <v>3.90017759031426</v>
      </c>
      <c r="P7" s="19" t="n">
        <f aca="false">Assumptions!$B$12*(1+Assumptions!$B$13)^(P4-1)</f>
        <v>3.99768203007212</v>
      </c>
      <c r="Q7" s="19" t="n">
        <f aca="false">Assumptions!$B$12*(1+Assumptions!$B$13)^(Q4-1)</f>
        <v>4.09762408082392</v>
      </c>
    </row>
    <row r="9" customFormat="false" ht="15" hidden="false" customHeight="false" outlineLevel="0" collapsed="false">
      <c r="A9" s="2" t="s">
        <v>170</v>
      </c>
      <c r="C9" s="19" t="n">
        <f aca="false">'Debt sizing'!$B$20</f>
        <v>33.7470527653198</v>
      </c>
      <c r="D9" s="19" t="n">
        <f aca="false">'Debt sizing'!$B$20</f>
        <v>33.7470527653198</v>
      </c>
      <c r="E9" s="19" t="n">
        <f aca="false">'Debt sizing'!$B$20</f>
        <v>33.7470527653198</v>
      </c>
      <c r="F9" s="19" t="n">
        <f aca="false">'Debt sizing'!$B$20</f>
        <v>33.7470527653198</v>
      </c>
      <c r="G9" s="19" t="n">
        <f aca="false">'Debt sizing'!$B$20</f>
        <v>33.7470527653198</v>
      </c>
      <c r="H9" s="19" t="n">
        <f aca="false">'Debt sizing'!$B$20</f>
        <v>33.7470527653198</v>
      </c>
      <c r="I9" s="19" t="n">
        <f aca="false">'Debt sizing'!$B$20</f>
        <v>33.7470527653198</v>
      </c>
      <c r="J9" s="19" t="n">
        <f aca="false">'Debt sizing'!$B$20</f>
        <v>33.7470527653198</v>
      </c>
      <c r="K9" s="19" t="n">
        <f aca="false">'Debt sizing'!$B$20</f>
        <v>33.7470527653198</v>
      </c>
      <c r="L9" s="19" t="n">
        <f aca="false">'Debt sizing'!$B$20</f>
        <v>33.7470527653198</v>
      </c>
      <c r="M9" s="19" t="n">
        <f aca="false">'Debt sizing'!$B$20</f>
        <v>33.7470527653198</v>
      </c>
      <c r="N9" s="19" t="n">
        <f aca="false">'Debt sizing'!$B$20</f>
        <v>33.7470527653198</v>
      </c>
      <c r="O9" s="19" t="n">
        <f aca="false">'Debt sizing'!$B$20</f>
        <v>33.7470527653198</v>
      </c>
      <c r="P9" s="19" t="n">
        <f aca="false">'Debt sizing'!$B$20</f>
        <v>33.7470527653198</v>
      </c>
      <c r="Q9" s="19" t="n">
        <f aca="false">'Debt sizing'!$B$20</f>
        <v>33.7470527653198</v>
      </c>
    </row>
    <row r="10" customFormat="false" ht="15" hidden="false" customHeight="false" outlineLevel="0" collapsed="false">
      <c r="A10" s="2" t="s">
        <v>171</v>
      </c>
      <c r="C10" s="19" t="n">
        <f aca="false">'Debt sizing'!$B$16*'Debt sizing'!$B$4</f>
        <v>26.0672290187005</v>
      </c>
      <c r="D10" s="19" t="n">
        <f aca="false">C12*'Debt sizing'!$B$4</f>
        <v>25.5987597701567</v>
      </c>
      <c r="E10" s="19" t="n">
        <f aca="false">D12*'Debt sizing'!$B$4</f>
        <v>25.1017138974517</v>
      </c>
      <c r="F10" s="19" t="n">
        <f aca="false">E12*'Debt sizing'!$B$4</f>
        <v>24.5743482265118</v>
      </c>
      <c r="G10" s="19" t="n">
        <f aca="false">F12*'Debt sizing'!$B$4</f>
        <v>24.0148132496445</v>
      </c>
      <c r="H10" s="19" t="n">
        <f aca="false">G12*'Debt sizing'!$B$4</f>
        <v>23.4211466391883</v>
      </c>
      <c r="I10" s="19" t="n">
        <f aca="false">H12*'Debt sizing'!$B$4</f>
        <v>22.7912663654943</v>
      </c>
      <c r="J10" s="19" t="n">
        <f aca="false">I12*'Debt sizing'!$B$4</f>
        <v>22.1229633951049</v>
      </c>
      <c r="K10" s="19" t="n">
        <f aca="false">J12*'Debt sizing'!$B$4</f>
        <v>21.4138939435218</v>
      </c>
      <c r="L10" s="19" t="n">
        <f aca="false">K12*'Debt sizing'!$B$4</f>
        <v>20.6615712553922</v>
      </c>
      <c r="M10" s="19" t="n">
        <f aca="false">L12*'Debt sizing'!$B$4</f>
        <v>19.8633568832866</v>
      </c>
      <c r="N10" s="19" t="n">
        <f aca="false">M12*'Debt sizing'!$B$4</f>
        <v>19.0164514344825</v>
      </c>
      <c r="O10" s="19" t="n">
        <f aca="false">N12*'Debt sizing'!$B$4</f>
        <v>18.1178847533015</v>
      </c>
      <c r="P10" s="19" t="n">
        <f aca="false">O12*'Debt sizing'!$B$4</f>
        <v>17.1645055045683</v>
      </c>
      <c r="Q10" s="19" t="n">
        <f aca="false">P12*'Debt sizing'!$B$4</f>
        <v>16.1529701216625</v>
      </c>
    </row>
    <row r="11" customFormat="false" ht="15" hidden="false" customHeight="false" outlineLevel="0" collapsed="false">
      <c r="A11" s="2" t="s">
        <v>172</v>
      </c>
      <c r="C11" s="19" t="n">
        <f aca="false">C9-C10</f>
        <v>7.67982374661932</v>
      </c>
      <c r="D11" s="19" t="n">
        <f aca="false">D9-D10</f>
        <v>8.1482929951631</v>
      </c>
      <c r="E11" s="19" t="n">
        <f aca="false">E9-E10</f>
        <v>8.64533886786805</v>
      </c>
      <c r="F11" s="19" t="n">
        <f aca="false">F9-F10</f>
        <v>9.172704538808</v>
      </c>
      <c r="G11" s="19" t="n">
        <f aca="false">G9-G10</f>
        <v>9.73223951567528</v>
      </c>
      <c r="H11" s="19" t="n">
        <f aca="false">H9-H10</f>
        <v>10.3259061261315</v>
      </c>
      <c r="I11" s="19" t="n">
        <f aca="false">I9-I10</f>
        <v>10.9557863998255</v>
      </c>
      <c r="J11" s="19" t="n">
        <f aca="false">J9-J10</f>
        <v>11.6240893702149</v>
      </c>
      <c r="K11" s="19" t="n">
        <f aca="false">K9-K10</f>
        <v>12.333158821798</v>
      </c>
      <c r="L11" s="19" t="n">
        <f aca="false">L9-L10</f>
        <v>13.0854815099276</v>
      </c>
      <c r="M11" s="19" t="n">
        <f aca="false">M9-M10</f>
        <v>13.8836958820332</v>
      </c>
      <c r="N11" s="19" t="n">
        <f aca="false">N9-N10</f>
        <v>14.7306013308373</v>
      </c>
      <c r="O11" s="19" t="n">
        <f aca="false">O9-O10</f>
        <v>15.6291680120183</v>
      </c>
      <c r="P11" s="19" t="n">
        <f aca="false">P9-P10</f>
        <v>16.5825472607514</v>
      </c>
      <c r="Q11" s="19" t="n">
        <f aca="false">Q9-Q10</f>
        <v>17.5940826436573</v>
      </c>
    </row>
    <row r="12" customFormat="false" ht="15" hidden="false" customHeight="false" outlineLevel="0" collapsed="false">
      <c r="A12" s="2" t="s">
        <v>173</v>
      </c>
      <c r="C12" s="19" t="n">
        <f aca="false">'Debt sizing'!$B$16-C11</f>
        <v>419.651799510765</v>
      </c>
      <c r="D12" s="19" t="n">
        <f aca="false">C12-D11</f>
        <v>411.503506515602</v>
      </c>
      <c r="E12" s="19" t="n">
        <f aca="false">D12-E11</f>
        <v>402.858167647734</v>
      </c>
      <c r="F12" s="19" t="n">
        <f aca="false">E12-F11</f>
        <v>393.685463108926</v>
      </c>
      <c r="G12" s="19" t="n">
        <f aca="false">F12-G11</f>
        <v>383.953223593251</v>
      </c>
      <c r="H12" s="19" t="n">
        <f aca="false">G12-H11</f>
        <v>373.62731746712</v>
      </c>
      <c r="I12" s="19" t="n">
        <f aca="false">H12-I11</f>
        <v>362.671531067294</v>
      </c>
      <c r="J12" s="19" t="n">
        <f aca="false">I12-J11</f>
        <v>351.047441697079</v>
      </c>
      <c r="K12" s="19" t="n">
        <f aca="false">J12-K11</f>
        <v>338.714282875281</v>
      </c>
      <c r="L12" s="19" t="n">
        <f aca="false">K12-L11</f>
        <v>325.628801365354</v>
      </c>
      <c r="M12" s="19" t="n">
        <f aca="false">L12-M11</f>
        <v>311.74510548332</v>
      </c>
      <c r="N12" s="19" t="n">
        <f aca="false">M12-N11</f>
        <v>297.014504152483</v>
      </c>
      <c r="O12" s="19" t="n">
        <f aca="false">N12-O11</f>
        <v>281.385336140465</v>
      </c>
      <c r="P12" s="19" t="n">
        <f aca="false">O12-P11</f>
        <v>264.802788879713</v>
      </c>
      <c r="Q12" s="19" t="n">
        <f aca="false">P12-Q11</f>
        <v>247.208706236056</v>
      </c>
    </row>
    <row r="13" customFormat="false" ht="15" hidden="false" customHeight="false" outlineLevel="0" collapsed="false">
      <c r="A13" s="3" t="s">
        <v>174</v>
      </c>
      <c r="C13" s="31" t="n">
        <f aca="false">C6/C9</f>
        <v>1.8257001708699</v>
      </c>
      <c r="D13" s="31" t="n">
        <f aca="false">D6/D9</f>
        <v>1.87134267514165</v>
      </c>
      <c r="E13" s="31" t="n">
        <f aca="false">E6/E9</f>
        <v>1.91812624202019</v>
      </c>
      <c r="F13" s="31" t="n">
        <f aca="false">F6/F9</f>
        <v>1.9660793980707</v>
      </c>
      <c r="G13" s="31" t="n">
        <f aca="false">G6/G9</f>
        <v>2.01523138302246</v>
      </c>
      <c r="H13" s="31" t="n">
        <f aca="false">H6/H9</f>
        <v>2.06561216759803</v>
      </c>
      <c r="I13" s="31" t="n">
        <f aca="false">I6/I9</f>
        <v>2.11725247178798</v>
      </c>
      <c r="J13" s="31" t="n">
        <f aca="false">J6/J9</f>
        <v>2.17018378358268</v>
      </c>
      <c r="K13" s="31" t="n">
        <f aca="false">K6/K9</f>
        <v>2.22443837817224</v>
      </c>
      <c r="L13" s="31" t="n">
        <f aca="false">L6/L9</f>
        <v>2.28004933762655</v>
      </c>
      <c r="M13" s="31" t="n">
        <f aca="false">M6/M9</f>
        <v>2.33705057106721</v>
      </c>
      <c r="N13" s="31" t="n">
        <f aca="false">N6/N9</f>
        <v>2.39547683534389</v>
      </c>
      <c r="O13" s="31" t="n">
        <f aca="false">O6/O9</f>
        <v>2.45536375622749</v>
      </c>
      <c r="P13" s="31" t="n">
        <f aca="false">P6/P9</f>
        <v>2.51674785013318</v>
      </c>
      <c r="Q13" s="31" t="n">
        <f aca="false">Q6/Q9</f>
        <v>2.57966654638651</v>
      </c>
    </row>
    <row r="15" customFormat="false" ht="15" hidden="false" customHeight="false" outlineLevel="0" collapsed="false">
      <c r="A15" s="2" t="s">
        <v>175</v>
      </c>
      <c r="C15" s="19" t="n">
        <f aca="false">('Sources and uses'!$B$5+'Sources and uses'!$B$6)*(1-Assumptions!$B$6)/Assumptions!$B$31</f>
        <v>15.2846353812616</v>
      </c>
      <c r="D15" s="19" t="n">
        <f aca="false">('Sources and uses'!$B$5+'Sources and uses'!$B$6)*(1-Assumptions!$B$6)/Assumptions!$B$31</f>
        <v>15.2846353812616</v>
      </c>
      <c r="E15" s="19" t="n">
        <f aca="false">('Sources and uses'!$B$5+'Sources and uses'!$B$6)*(1-Assumptions!$B$6)/Assumptions!$B$31</f>
        <v>15.2846353812616</v>
      </c>
      <c r="F15" s="19" t="n">
        <f aca="false">('Sources and uses'!$B$5+'Sources and uses'!$B$6)*(1-Assumptions!$B$6)/Assumptions!$B$31</f>
        <v>15.2846353812616</v>
      </c>
      <c r="G15" s="19" t="n">
        <f aca="false">('Sources and uses'!$B$5+'Sources and uses'!$B$6)*(1-Assumptions!$B$6)/Assumptions!$B$31</f>
        <v>15.2846353812616</v>
      </c>
      <c r="H15" s="19" t="n">
        <f aca="false">('Sources and uses'!$B$5+'Sources and uses'!$B$6)*(1-Assumptions!$B$6)/Assumptions!$B$31</f>
        <v>15.2846353812616</v>
      </c>
      <c r="I15" s="19" t="n">
        <f aca="false">('Sources and uses'!$B$5+'Sources and uses'!$B$6)*(1-Assumptions!$B$6)/Assumptions!$B$31</f>
        <v>15.2846353812616</v>
      </c>
      <c r="J15" s="19" t="n">
        <f aca="false">('Sources and uses'!$B$5+'Sources and uses'!$B$6)*(1-Assumptions!$B$6)/Assumptions!$B$31</f>
        <v>15.2846353812616</v>
      </c>
      <c r="K15" s="19" t="n">
        <f aca="false">('Sources and uses'!$B$5+'Sources and uses'!$B$6)*(1-Assumptions!$B$6)/Assumptions!$B$31</f>
        <v>15.2846353812616</v>
      </c>
      <c r="L15" s="19" t="n">
        <f aca="false">('Sources and uses'!$B$5+'Sources and uses'!$B$6)*(1-Assumptions!$B$6)/Assumptions!$B$31</f>
        <v>15.2846353812616</v>
      </c>
      <c r="M15" s="19" t="n">
        <f aca="false">('Sources and uses'!$B$5+'Sources and uses'!$B$6)*(1-Assumptions!$B$6)/Assumptions!$B$31</f>
        <v>15.2846353812616</v>
      </c>
      <c r="N15" s="19" t="n">
        <f aca="false">('Sources and uses'!$B$5+'Sources and uses'!$B$6)*(1-Assumptions!$B$6)/Assumptions!$B$31</f>
        <v>15.2846353812616</v>
      </c>
      <c r="O15" s="19" t="n">
        <f aca="false">('Sources and uses'!$B$5+'Sources and uses'!$B$6)*(1-Assumptions!$B$6)/Assumptions!$B$31</f>
        <v>15.2846353812616</v>
      </c>
      <c r="P15" s="19" t="n">
        <f aca="false">('Sources and uses'!$B$5+'Sources and uses'!$B$6)*(1-Assumptions!$B$6)/Assumptions!$B$31</f>
        <v>15.2846353812616</v>
      </c>
      <c r="Q15" s="19" t="n">
        <f aca="false">('Sources and uses'!$B$5+'Sources and uses'!$B$6)*(1-Assumptions!$B$6)/Assumptions!$B$31</f>
        <v>15.2846353812616</v>
      </c>
    </row>
    <row r="16" customFormat="false" ht="15" hidden="false" customHeight="false" outlineLevel="0" collapsed="false">
      <c r="A16" s="2" t="s">
        <v>176</v>
      </c>
      <c r="C16" s="19" t="n">
        <f aca="false">C6-C10-C15</f>
        <v>20.2601356000379</v>
      </c>
      <c r="D16" s="19" t="n">
        <f aca="false">D6-D10-D15</f>
        <v>22.2689048485817</v>
      </c>
      <c r="E16" s="19" t="n">
        <f aca="false">E6-E10-E15</f>
        <v>24.3447582212866</v>
      </c>
      <c r="F16" s="19" t="n">
        <f aca="false">F6-F10-F15</f>
        <v>26.4904015797265</v>
      </c>
      <c r="G16" s="19" t="n">
        <f aca="false">G6-G10-G15</f>
        <v>28.7086711862813</v>
      </c>
      <c r="H16" s="19" t="n">
        <f aca="false">H6-H10-H15</f>
        <v>31.0025407921672</v>
      </c>
      <c r="I16" s="19" t="n">
        <f aca="false">I6-I10-I15</f>
        <v>33.3751291361767</v>
      </c>
      <c r="J16" s="19" t="n">
        <f aca="false">J6-J10-J15</f>
        <v>35.8297078786393</v>
      </c>
      <c r="K16" s="19" t="n">
        <f aca="false">K6-K10-K15</f>
        <v>38.3697099965975</v>
      </c>
      <c r="L16" s="19" t="n">
        <f aca="false">L6-L10-L15</f>
        <v>40.9987386677618</v>
      </c>
      <c r="M16" s="19" t="n">
        <f aca="false">M6-M10-M15</f>
        <v>43.7205766724777</v>
      </c>
      <c r="N16" s="19" t="n">
        <f aca="false">N6-N10-N15</f>
        <v>46.5391963447074</v>
      </c>
      <c r="O16" s="19" t="n">
        <f aca="false">O6-O10-O15</f>
        <v>49.4587701048998</v>
      </c>
      <c r="P16" s="19" t="n">
        <f aca="false">P6-P10-P15</f>
        <v>52.4836816096194</v>
      </c>
      <c r="Q16" s="19" t="n">
        <f aca="false">Q6-Q10-Q15</f>
        <v>55.6185375549115</v>
      </c>
    </row>
    <row r="17" customFormat="false" ht="15" hidden="false" customHeight="false" outlineLevel="0" collapsed="false">
      <c r="A17" s="2" t="s">
        <v>177</v>
      </c>
      <c r="C17" s="19" t="n">
        <f aca="false">MAX(C16,0)*Assumptions!$B$30</f>
        <v>4.25462847600796</v>
      </c>
      <c r="D17" s="19" t="n">
        <f aca="false">MAX(D16,0)*Assumptions!$B$30</f>
        <v>4.67647001820215</v>
      </c>
      <c r="E17" s="19" t="n">
        <f aca="false">MAX(E16,0)*Assumptions!$B$30</f>
        <v>5.11239922647019</v>
      </c>
      <c r="F17" s="19" t="n">
        <f aca="false">MAX(F16,0)*Assumptions!$B$30</f>
        <v>5.56298433174257</v>
      </c>
      <c r="G17" s="19" t="n">
        <f aca="false">MAX(G16,0)*Assumptions!$B$30</f>
        <v>6.02882094911908</v>
      </c>
      <c r="H17" s="19" t="n">
        <f aca="false">MAX(H16,0)*Assumptions!$B$30</f>
        <v>6.51053356635511</v>
      </c>
      <c r="I17" s="19" t="n">
        <f aca="false">MAX(I16,0)*Assumptions!$B$30</f>
        <v>7.0087771185971</v>
      </c>
      <c r="J17" s="19" t="n">
        <f aca="false">MAX(J16,0)*Assumptions!$B$30</f>
        <v>7.52423865451426</v>
      </c>
      <c r="K17" s="19" t="n">
        <f aca="false">MAX(K16,0)*Assumptions!$B$30</f>
        <v>8.05763909928548</v>
      </c>
      <c r="L17" s="19" t="n">
        <f aca="false">MAX(L16,0)*Assumptions!$B$30</f>
        <v>8.60973512022997</v>
      </c>
      <c r="M17" s="19" t="n">
        <f aca="false">MAX(M16,0)*Assumptions!$B$30</f>
        <v>9.18132110122032</v>
      </c>
      <c r="N17" s="19" t="n">
        <f aca="false">MAX(N16,0)*Assumptions!$B$30</f>
        <v>9.77323123238855</v>
      </c>
      <c r="O17" s="19" t="n">
        <f aca="false">MAX(O16,0)*Assumptions!$B$30</f>
        <v>10.3863417220289</v>
      </c>
      <c r="P17" s="19" t="n">
        <f aca="false">MAX(P16,0)*Assumptions!$B$30</f>
        <v>11.0215731380201</v>
      </c>
      <c r="Q17" s="19" t="n">
        <f aca="false">MAX(Q16,0)*Assumptions!$B$30</f>
        <v>11.6798928865314</v>
      </c>
    </row>
    <row r="19" customFormat="false" ht="15" hidden="false" customHeight="false" outlineLevel="0" collapsed="false">
      <c r="A19" s="3" t="s">
        <v>178</v>
      </c>
      <c r="C19" s="19" t="n">
        <f aca="false">C6-C9-C17</f>
        <v>23.6103187586723</v>
      </c>
      <c r="D19" s="19" t="n">
        <f aca="false">D6-D9-D17</f>
        <v>24.7287772164781</v>
      </c>
      <c r="E19" s="19" t="n">
        <f aca="false">E6-E9-E17</f>
        <v>25.87165550821</v>
      </c>
      <c r="F19" s="19" t="n">
        <f aca="false">F6-F9-F17</f>
        <v>27.0393480904376</v>
      </c>
      <c r="G19" s="19" t="n">
        <f aca="false">G6-G9-G17</f>
        <v>28.2322461027486</v>
      </c>
      <c r="H19" s="19" t="n">
        <f aca="false">H6-H9-H17</f>
        <v>29.4507364809423</v>
      </c>
      <c r="I19" s="19" t="n">
        <f aca="false">I6-I9-I17</f>
        <v>30.6952009990157</v>
      </c>
      <c r="J19" s="19" t="n">
        <f aca="false">J6-J9-J17</f>
        <v>31.9660152351719</v>
      </c>
      <c r="K19" s="19" t="n">
        <f aca="false">K6-K9-K17</f>
        <v>33.2635474567758</v>
      </c>
      <c r="L19" s="19" t="n">
        <f aca="false">L6-L9-L17</f>
        <v>34.5881574188658</v>
      </c>
      <c r="M19" s="19" t="n">
        <f aca="false">M6-M9-M17</f>
        <v>35.9401950704858</v>
      </c>
      <c r="N19" s="19" t="n">
        <f aca="false">N6-N9-N17</f>
        <v>37.3199991627432</v>
      </c>
      <c r="O19" s="19" t="n">
        <f aca="false">O6-O9-O17</f>
        <v>38.7278957521141</v>
      </c>
      <c r="P19" s="19" t="n">
        <f aca="false">P6-P9-P17</f>
        <v>40.1641965921096</v>
      </c>
      <c r="Q19" s="19" t="n">
        <f aca="false">Q6-Q9-Q17</f>
        <v>41.6291974059845</v>
      </c>
    </row>
    <row r="21" customFormat="false" ht="15" hidden="false" customHeight="false" outlineLevel="0" collapsed="false">
      <c r="A21" s="8" t="s">
        <v>179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5"/>
    <col collapsed="false" customWidth="true" hidden="false" outlineLevel="0" max="13" min="3" style="0" width="11"/>
    <col collapsed="false" customWidth="true" hidden="false" outlineLevel="0" max="18" min="14" style="0" width="13"/>
  </cols>
  <sheetData>
    <row r="1" customFormat="false" ht="17.35" hidden="false" customHeight="false" outlineLevel="0" collapsed="false">
      <c r="A1" s="1" t="s">
        <v>180</v>
      </c>
    </row>
    <row r="3" customFormat="false" ht="19.5" hidden="false" customHeight="true" outlineLevel="0" collapsed="false">
      <c r="A3" s="4" t="s">
        <v>181</v>
      </c>
      <c r="B3" s="5"/>
      <c r="C3" s="5"/>
    </row>
    <row r="4" customFormat="false" ht="15" hidden="false" customHeight="false" outlineLevel="0" collapsed="false">
      <c r="A4" s="2" t="s">
        <v>182</v>
      </c>
      <c r="B4" s="32" t="n">
        <f aca="false">'Cash flow'!C6/'Sources and uses'!B10</f>
        <v>0.0937159756507862</v>
      </c>
    </row>
    <row r="5" customFormat="false" ht="15" hidden="false" customHeight="false" outlineLevel="0" collapsed="false">
      <c r="A5" s="2" t="s">
        <v>183</v>
      </c>
      <c r="B5" s="31" t="n">
        <f aca="true">MIN(OFFSET('Cash flow'!$C$13,0,0,1,Assumptions!$B$25))</f>
        <v>1.8257001708699</v>
      </c>
    </row>
    <row r="6" customFormat="false" ht="15" hidden="false" customHeight="false" outlineLevel="0" collapsed="false">
      <c r="A6" s="2" t="s">
        <v>184</v>
      </c>
      <c r="B6" s="31" t="n">
        <f aca="false">INDEX('Cash flow'!$C$13:$T$13,Assumptions!$B$25)</f>
        <v>2.28004933762655</v>
      </c>
    </row>
    <row r="8" customFormat="false" ht="19.5" hidden="false" customHeight="true" outlineLevel="0" collapsed="false">
      <c r="A8" s="4" t="s">
        <v>185</v>
      </c>
      <c r="B8" s="5"/>
      <c r="C8" s="5"/>
    </row>
    <row r="9" customFormat="false" ht="15" hidden="false" customHeight="false" outlineLevel="0" collapsed="false">
      <c r="A9" s="2" t="s">
        <v>186</v>
      </c>
      <c r="B9" s="19" t="n">
        <f aca="false">INDEX('Cash flow'!$C$6:$T$6,Assumptions!$B$25+1)</f>
        <v>78.8685689370259</v>
      </c>
    </row>
    <row r="10" customFormat="false" ht="15" hidden="false" customHeight="false" outlineLevel="0" collapsed="false">
      <c r="A10" s="2" t="s">
        <v>187</v>
      </c>
      <c r="B10" s="15" t="n">
        <f aca="false">B9/Assumptions!$B$26</f>
        <v>1087.84233016588</v>
      </c>
    </row>
    <row r="11" customFormat="false" ht="15" hidden="false" customHeight="false" outlineLevel="0" collapsed="false">
      <c r="A11" s="2" t="s">
        <v>188</v>
      </c>
      <c r="B11" s="15" t="n">
        <f aca="false">B10*(1-Assumptions!$B$27)</f>
        <v>1076.96390686422</v>
      </c>
    </row>
    <row r="12" customFormat="false" ht="15" hidden="false" customHeight="false" outlineLevel="0" collapsed="false">
      <c r="A12" s="2" t="s">
        <v>189</v>
      </c>
      <c r="B12" s="15" t="n">
        <f aca="false">INDEX('Cash flow'!$C$12:$T$12,Assumptions!$B$25)</f>
        <v>325.628801365354</v>
      </c>
    </row>
    <row r="13" customFormat="false" ht="15" hidden="false" customHeight="false" outlineLevel="0" collapsed="false">
      <c r="A13" s="2" t="s">
        <v>190</v>
      </c>
      <c r="B13" s="15" t="n">
        <f aca="false">'Sources and uses'!B5+'Sources and uses'!B6-'Cash flow'!C15*Assumptions!$B$25</f>
        <v>481.303412005686</v>
      </c>
    </row>
    <row r="14" customFormat="false" ht="15" hidden="false" customHeight="false" outlineLevel="0" collapsed="false">
      <c r="A14" s="3" t="s">
        <v>191</v>
      </c>
      <c r="B14" s="15" t="n">
        <f aca="false">MAX(B11-B13,0)*Assumptions!$B$30</f>
        <v>125.088703920291</v>
      </c>
    </row>
    <row r="15" customFormat="false" ht="15" hidden="false" customHeight="false" outlineLevel="0" collapsed="false">
      <c r="A15" s="3" t="s">
        <v>192</v>
      </c>
      <c r="B15" s="21" t="n">
        <f aca="false">B11-B12-B14+'Sources and uses'!B8</f>
        <v>643.119927961231</v>
      </c>
    </row>
    <row r="17" customFormat="false" ht="19.5" hidden="false" customHeight="true" outlineLevel="0" collapsed="false">
      <c r="A17" s="33" t="s">
        <v>193</v>
      </c>
      <c r="B17" s="5"/>
      <c r="C17" s="5"/>
    </row>
    <row r="18" customFormat="false" ht="15" hidden="false" customHeight="false" outlineLevel="0" collapsed="false">
      <c r="A18" s="3" t="s">
        <v>166</v>
      </c>
      <c r="B18" s="0" t="n">
        <v>0</v>
      </c>
      <c r="C18" s="3" t="n">
        <v>1</v>
      </c>
      <c r="D18" s="3" t="n">
        <v>2</v>
      </c>
      <c r="E18" s="3" t="n">
        <v>3</v>
      </c>
      <c r="F18" s="3" t="n">
        <v>4</v>
      </c>
      <c r="G18" s="3" t="n">
        <v>5</v>
      </c>
      <c r="H18" s="3" t="n">
        <v>6</v>
      </c>
      <c r="I18" s="3" t="n">
        <v>7</v>
      </c>
      <c r="J18" s="3" t="n">
        <v>8</v>
      </c>
      <c r="K18" s="3" t="n">
        <v>9</v>
      </c>
      <c r="L18" s="3" t="n">
        <v>10</v>
      </c>
      <c r="M18" s="3" t="n">
        <v>11</v>
      </c>
      <c r="N18" s="3" t="n">
        <v>12</v>
      </c>
      <c r="O18" s="3" t="n">
        <v>13</v>
      </c>
      <c r="P18" s="3" t="n">
        <v>14</v>
      </c>
      <c r="Q18" s="3" t="n">
        <v>15</v>
      </c>
      <c r="R18" s="3" t="n">
        <v>16</v>
      </c>
    </row>
    <row r="19" customFormat="false" ht="15" hidden="false" customHeight="false" outlineLevel="0" collapsed="false">
      <c r="A19" s="2" t="s">
        <v>194</v>
      </c>
      <c r="B19" s="19" t="n">
        <f aca="false">-'Sources and uses'!B14</f>
        <v>-230.101643292438</v>
      </c>
      <c r="C19" s="19" t="n">
        <f aca="false">0</f>
        <v>0</v>
      </c>
      <c r="D19" s="29" t="n">
        <f aca="false">IF(D$18-1&lt;=Assumptions!$B$25,INDEX('Cash flow'!$C$19:$Q$19,D$18-1),0)+IF(D$18-1=Assumptions!$B$25,$B$15,0)</f>
        <v>23.6103187586723</v>
      </c>
      <c r="E19" s="29" t="n">
        <f aca="false">IF(E$18-1&lt;=Assumptions!$B$25,INDEX('Cash flow'!$C$19:$Q$19,E$18-1),0)+IF(E$18-1=Assumptions!$B$25,$B$15,0)</f>
        <v>24.7287772164781</v>
      </c>
      <c r="F19" s="29" t="n">
        <f aca="false">IF(F$18-1&lt;=Assumptions!$B$25,INDEX('Cash flow'!$C$19:$Q$19,F$18-1),0)+IF(F$18-1=Assumptions!$B$25,$B$15,0)</f>
        <v>25.87165550821</v>
      </c>
      <c r="G19" s="29" t="n">
        <f aca="false">IF(G$18-1&lt;=Assumptions!$B$25,INDEX('Cash flow'!$C$19:$Q$19,G$18-1),0)+IF(G$18-1=Assumptions!$B$25,$B$15,0)</f>
        <v>27.0393480904376</v>
      </c>
      <c r="H19" s="29" t="n">
        <f aca="false">IF(H$18-1&lt;=Assumptions!$B$25,INDEX('Cash flow'!$C$19:$Q$19,H$18-1),0)+IF(H$18-1=Assumptions!$B$25,$B$15,0)</f>
        <v>28.2322461027486</v>
      </c>
      <c r="I19" s="29" t="n">
        <f aca="false">IF(I$18-1&lt;=Assumptions!$B$25,INDEX('Cash flow'!$C$19:$Q$19,I$18-1),0)+IF(I$18-1=Assumptions!$B$25,$B$15,0)</f>
        <v>29.4507364809423</v>
      </c>
      <c r="J19" s="29" t="n">
        <f aca="false">IF(J$18-1&lt;=Assumptions!$B$25,INDEX('Cash flow'!$C$19:$Q$19,J$18-1),0)+IF(J$18-1=Assumptions!$B$25,$B$15,0)</f>
        <v>30.6952009990157</v>
      </c>
      <c r="K19" s="29" t="n">
        <f aca="false">IF(K$18-1&lt;=Assumptions!$B$25,INDEX('Cash flow'!$C$19:$Q$19,K$18-1),0)+IF(K$18-1=Assumptions!$B$25,$B$15,0)</f>
        <v>31.9660152351719</v>
      </c>
      <c r="L19" s="29" t="n">
        <f aca="false">IF(L$18-1&lt;=Assumptions!$B$25,INDEX('Cash flow'!$C$19:$Q$19,L$18-1),0)+IF(L$18-1=Assumptions!$B$25,$B$15,0)</f>
        <v>33.2635474567758</v>
      </c>
      <c r="M19" s="29" t="n">
        <f aca="false">IF(M$18-1&lt;=Assumptions!$B$25,INDEX('Cash flow'!$C$19:$Q$19,M$18-1),0)+IF(M$18-1=Assumptions!$B$25,$B$15,0)</f>
        <v>677.708085380097</v>
      </c>
      <c r="N19" s="29" t="n">
        <f aca="false">IF(N$18-1&lt;=Assumptions!$B$25,INDEX('Cash flow'!$C$19:$Q$19,N$18-1),0)+IF(N$18-1=Assumptions!$B$25,$B$15,0)</f>
        <v>0</v>
      </c>
      <c r="O19" s="29" t="n">
        <f aca="false">IF(O$18-1&lt;=Assumptions!$B$25,INDEX('Cash flow'!$C$19:$Q$19,O$18-1),0)+IF(O$18-1=Assumptions!$B$25,$B$15,0)</f>
        <v>0</v>
      </c>
      <c r="P19" s="29" t="n">
        <f aca="false">IF(P$18-1&lt;=Assumptions!$B$25,INDEX('Cash flow'!$C$19:$Q$19,P$18-1),0)+IF(P$18-1=Assumptions!$B$25,$B$15,0)</f>
        <v>0</v>
      </c>
      <c r="Q19" s="29" t="n">
        <f aca="false">IF(Q$18-1&lt;=Assumptions!$B$25,INDEX('Cash flow'!$C$19:$Q$19,Q$18-1),0)+IF(Q$18-1=Assumptions!$B$25,$B$15,0)</f>
        <v>0</v>
      </c>
      <c r="R19" s="29" t="n">
        <f aca="false">IF(R$18-1&lt;=Assumptions!$B$25,INDEX('Cash flow'!$C$19:$Q$19,R$18-1),0)+IF(R$18-1=Assumptions!$B$25,$B$15,0)</f>
        <v>0</v>
      </c>
    </row>
    <row r="20" customFormat="false" ht="15" hidden="false" customHeight="false" outlineLevel="0" collapsed="false">
      <c r="A20" s="27" t="s">
        <v>195</v>
      </c>
    </row>
    <row r="21" customFormat="false" ht="19.5" hidden="false" customHeight="true" outlineLevel="0" collapsed="false">
      <c r="A21" s="4" t="s">
        <v>196</v>
      </c>
      <c r="B21" s="5"/>
      <c r="C21" s="5"/>
    </row>
    <row r="22" customFormat="false" ht="15" hidden="false" customHeight="false" outlineLevel="0" collapsed="false">
      <c r="A22" s="3" t="s">
        <v>197</v>
      </c>
      <c r="B22" s="34" t="n">
        <f aca="false">IRR(B19:R19)</f>
        <v>0.16599452809649</v>
      </c>
    </row>
    <row r="23" customFormat="false" ht="15" hidden="false" customHeight="false" outlineLevel="0" collapsed="false">
      <c r="A23" s="3" t="s">
        <v>198</v>
      </c>
      <c r="B23" s="35" t="n">
        <f aca="false">SUM(D19:R19)/-B19</f>
        <v>4.05284342121514</v>
      </c>
    </row>
    <row r="24" customFormat="false" ht="15" hidden="false" customHeight="false" outlineLevel="0" collapsed="false">
      <c r="A24" s="2" t="s">
        <v>199</v>
      </c>
      <c r="B24" s="15" t="n">
        <f aca="false">SUM(D19:R19)-B15</f>
        <v>289.446003267318</v>
      </c>
    </row>
    <row r="25" customFormat="false" ht="15" hidden="false" customHeight="false" outlineLevel="0" collapsed="false">
      <c r="A25" s="2" t="s">
        <v>200</v>
      </c>
      <c r="B25" s="18" t="n">
        <f aca="false">B15/SUM(D19:R19)</f>
        <v>0.689624086003221</v>
      </c>
    </row>
    <row r="27" customFormat="false" ht="15" hidden="false" customHeight="false" outlineLevel="0" collapsed="false">
      <c r="A27" s="8" t="s">
        <v>201</v>
      </c>
    </row>
    <row r="29" customFormat="false" ht="15" hidden="false" customHeight="false" outlineLevel="0" collapsed="false">
      <c r="A29" s="4" t="s">
        <v>202</v>
      </c>
    </row>
    <row r="30" customFormat="false" ht="15" hidden="false" customHeight="false" outlineLevel="0" collapsed="false">
      <c r="A30" s="3" t="s">
        <v>166</v>
      </c>
      <c r="B30" s="3" t="n">
        <v>0</v>
      </c>
      <c r="C30" s="3" t="n">
        <v>1</v>
      </c>
      <c r="D30" s="3" t="n">
        <v>2</v>
      </c>
      <c r="E30" s="3" t="n">
        <v>3</v>
      </c>
      <c r="F30" s="3" t="n">
        <v>4</v>
      </c>
      <c r="G30" s="3" t="n">
        <v>5</v>
      </c>
      <c r="H30" s="3" t="n">
        <v>6</v>
      </c>
      <c r="I30" s="3" t="n">
        <v>7</v>
      </c>
      <c r="J30" s="3" t="n">
        <v>8</v>
      </c>
      <c r="K30" s="3" t="n">
        <v>9</v>
      </c>
      <c r="L30" s="3" t="n">
        <v>10</v>
      </c>
      <c r="M30" s="3" t="n">
        <v>11</v>
      </c>
      <c r="N30" s="3" t="n">
        <v>12</v>
      </c>
      <c r="O30" s="3" t="n">
        <v>13</v>
      </c>
      <c r="P30" s="3" t="n">
        <v>14</v>
      </c>
      <c r="Q30" s="3" t="n">
        <v>15</v>
      </c>
      <c r="R30" s="3" t="n">
        <v>16</v>
      </c>
    </row>
    <row r="31" customFormat="false" ht="15" hidden="false" customHeight="false" outlineLevel="0" collapsed="false">
      <c r="A31" s="2" t="s">
        <v>203</v>
      </c>
      <c r="B31" s="29" t="n">
        <f aca="false">-('Sources and uses'!B5+'Sources and uses'!B6)</f>
        <v>-634.149765818302</v>
      </c>
      <c r="C31" s="29" t="n">
        <f aca="false">0</f>
        <v>0</v>
      </c>
      <c r="D31" s="29" t="n">
        <f aca="false">IF(D$30-1&lt;=Assumptions!$B$25,INDEX('Cash flow'!$C$6:$Q$6,D$30-1),0)+IF(D$30-1=Assumptions!$B$25,$B$11,0)</f>
        <v>61.612</v>
      </c>
      <c r="E31" s="29" t="n">
        <f aca="false">IF(E$30-1&lt;=Assumptions!$B$25,INDEX('Cash flow'!$C$6:$Q$6,E$30-1),0)+IF(E$30-1=Assumptions!$B$25,$B$11,0)</f>
        <v>63.1523</v>
      </c>
      <c r="F31" s="29" t="n">
        <f aca="false">IF(F$30-1&lt;=Assumptions!$B$25,INDEX('Cash flow'!$C$6:$Q$6,F$30-1),0)+IF(F$30-1=Assumptions!$B$25,$B$11,0)</f>
        <v>64.7311075</v>
      </c>
      <c r="G31" s="29" t="n">
        <f aca="false">IF(G$30-1&lt;=Assumptions!$B$25,INDEX('Cash flow'!$C$6:$Q$6,G$30-1),0)+IF(G$30-1=Assumptions!$B$25,$B$11,0)</f>
        <v>66.3493851875</v>
      </c>
      <c r="H31" s="29" t="n">
        <f aca="false">IF(H$30-1&lt;=Assumptions!$B$25,INDEX('Cash flow'!$C$6:$Q$6,H$30-1),0)+IF(H$30-1=Assumptions!$B$25,$B$11,0)</f>
        <v>68.0081198171875</v>
      </c>
      <c r="I31" s="29" t="n">
        <f aca="false">IF(I$30-1&lt;=Assumptions!$B$25,INDEX('Cash flow'!$C$6:$Q$6,I$30-1),0)+IF(I$30-1=Assumptions!$B$25,$B$11,0)</f>
        <v>69.7083228126172</v>
      </c>
      <c r="J31" s="29" t="n">
        <f aca="false">IF(J$30-1&lt;=Assumptions!$B$25,INDEX('Cash flow'!$C$6:$Q$6,J$30-1),0)+IF(J$30-1=Assumptions!$B$25,$B$11,0)</f>
        <v>71.4510308829326</v>
      </c>
      <c r="K31" s="29" t="n">
        <f aca="false">IF(K$30-1&lt;=Assumptions!$B$25,INDEX('Cash flow'!$C$6:$Q$6,K$30-1),0)+IF(K$30-1=Assumptions!$B$25,$B$11,0)</f>
        <v>73.2373066550059</v>
      </c>
      <c r="L31" s="29" t="n">
        <f aca="false">IF(L$30-1&lt;=Assumptions!$B$25,INDEX('Cash flow'!$C$6:$Q$6,L$30-1),0)+IF(L$30-1=Assumptions!$B$25,$B$11,0)</f>
        <v>75.068239321381</v>
      </c>
      <c r="M31" s="29" t="n">
        <f aca="false">IF(M$30-1&lt;=Assumptions!$B$25,INDEX('Cash flow'!$C$6:$Q$6,M$30-1),0)+IF(M$30-1=Assumptions!$B$25,$B$11,0)</f>
        <v>1153.90885216863</v>
      </c>
      <c r="N31" s="29" t="n">
        <f aca="false">IF(N$30-1&lt;=Assumptions!$B$25,INDEX('Cash flow'!$C$6:$Q$6,N$30-1),0)+IF(N$30-1=Assumptions!$B$25,$B$11,0)</f>
        <v>0</v>
      </c>
      <c r="O31" s="29" t="n">
        <f aca="false">IF(O$30-1&lt;=Assumptions!$B$25,INDEX('Cash flow'!$C$6:$Q$6,O$30-1),0)+IF(O$30-1=Assumptions!$B$25,$B$11,0)</f>
        <v>0</v>
      </c>
      <c r="P31" s="29" t="n">
        <f aca="false">IF(P$30-1&lt;=Assumptions!$B$25,INDEX('Cash flow'!$C$6:$Q$6,P$30-1),0)+IF(P$30-1=Assumptions!$B$25,$B$11,0)</f>
        <v>0</v>
      </c>
      <c r="Q31" s="29" t="n">
        <f aca="false">IF(Q$30-1&lt;=Assumptions!$B$25,INDEX('Cash flow'!$C$6:$Q$6,Q$30-1),0)+IF(Q$30-1=Assumptions!$B$25,$B$11,0)</f>
        <v>0</v>
      </c>
      <c r="R31" s="29" t="n">
        <f aca="false">IF(R$30-1&lt;=Assumptions!$B$25,INDEX('Cash flow'!$C$6:$Q$6,R$30-1),0)+IF(R$30-1=Assumptions!$B$25,$B$11,0)</f>
        <v>0</v>
      </c>
    </row>
    <row r="32" customFormat="false" ht="15" hidden="false" customHeight="false" outlineLevel="0" collapsed="false">
      <c r="A32" s="3" t="s">
        <v>204</v>
      </c>
      <c r="B32" s="36" t="n">
        <f aca="false">IRR(B31:R31)</f>
        <v>0.123356946925803</v>
      </c>
    </row>
    <row r="33" customFormat="false" ht="15" hidden="false" customHeight="false" outlineLevel="0" collapsed="false">
      <c r="A33" s="27" t="s">
        <v>205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13"/>
    <col collapsed="false" customWidth="true" hidden="false" outlineLevel="0" max="4" min="4" style="0" width="11"/>
    <col collapsed="false" customWidth="true" hidden="false" outlineLevel="0" max="5" min="5" style="0" width="60"/>
  </cols>
  <sheetData>
    <row r="1" customFormat="false" ht="17.35" hidden="false" customHeight="false" outlineLevel="0" collapsed="false">
      <c r="A1" s="1" t="s">
        <v>206</v>
      </c>
    </row>
    <row r="2" customFormat="false" ht="15" hidden="false" customHeight="false" outlineLevel="0" collapsed="false">
      <c r="A2" s="27" t="s">
        <v>207</v>
      </c>
    </row>
    <row r="4" customFormat="false" ht="15" hidden="false" customHeight="false" outlineLevel="0" collapsed="false">
      <c r="A4" s="4" t="s">
        <v>103</v>
      </c>
      <c r="B4" s="4" t="s">
        <v>208</v>
      </c>
      <c r="C4" s="4" t="s">
        <v>209</v>
      </c>
      <c r="D4" s="4" t="s">
        <v>210</v>
      </c>
      <c r="E4" s="4" t="s">
        <v>211</v>
      </c>
    </row>
    <row r="5" customFormat="false" ht="15" hidden="false" customHeight="false" outlineLevel="0" collapsed="false">
      <c r="A5" s="37" t="s">
        <v>212</v>
      </c>
      <c r="B5" s="38" t="n">
        <v>538.1</v>
      </c>
      <c r="C5" s="38" t="n">
        <f aca="false">'Debt sizing'!B9</f>
        <v>538.054770758014</v>
      </c>
      <c r="D5" s="30" t="str">
        <f aca="false">IF(ISNUMBER(C5)=FALSE(),"CHECK",IF(ABS(C5-B5)&lt;=0.05,"OK","CHECK"))</f>
        <v>OK</v>
      </c>
      <c r="E5" s="39"/>
    </row>
    <row r="6" customFormat="false" ht="15" hidden="false" customHeight="false" outlineLevel="0" collapsed="false">
      <c r="A6" s="37" t="s">
        <v>213</v>
      </c>
      <c r="B6" s="38" t="n">
        <v>427.3</v>
      </c>
      <c r="C6" s="38" t="n">
        <f aca="false">'Debt sizing'!B16</f>
        <v>427.331623257385</v>
      </c>
      <c r="D6" s="30" t="str">
        <f aca="false">IF(ISNUMBER(C6)=FALSE(),"CHECK",IF(ABS(C6-B6)&lt;=0.05,"OK","CHECK"))</f>
        <v>OK</v>
      </c>
      <c r="E6" s="39"/>
    </row>
    <row r="7" customFormat="false" ht="15" hidden="false" customHeight="false" outlineLevel="0" collapsed="false">
      <c r="A7" s="37" t="s">
        <v>96</v>
      </c>
      <c r="B7" s="38" t="n">
        <v>657.4</v>
      </c>
      <c r="C7" s="38" t="n">
        <f aca="false">'Sources and uses'!B10</f>
        <v>657.433266549823</v>
      </c>
      <c r="D7" s="30" t="str">
        <f aca="false">IF(ISNUMBER(C7)=FALSE(),"CHECK",IF(ABS(C7-B7)&lt;=0.05,"OK","CHECK"))</f>
        <v>OK</v>
      </c>
      <c r="E7" s="39"/>
    </row>
    <row r="8" customFormat="false" ht="15" hidden="false" customHeight="false" outlineLevel="0" collapsed="false">
      <c r="A8" s="37" t="s">
        <v>93</v>
      </c>
      <c r="B8" s="38" t="n">
        <v>19.7</v>
      </c>
      <c r="C8" s="38" t="n">
        <f aca="false">'Sources and uses'!B6</f>
        <v>19.7497658183022</v>
      </c>
      <c r="D8" s="30" t="str">
        <f aca="false">IF(ISNUMBER(C8)=FALSE(),"CHECK",IF(ABS(C8-B8)&lt;=0.05,"OK","CHECK"))</f>
        <v>OK</v>
      </c>
      <c r="E8" s="39" t="s">
        <v>214</v>
      </c>
    </row>
    <row r="9" customFormat="false" ht="15" hidden="false" customHeight="false" outlineLevel="0" collapsed="false">
      <c r="A9" s="37" t="s">
        <v>95</v>
      </c>
      <c r="B9" s="38" t="n">
        <v>16.9</v>
      </c>
      <c r="C9" s="38" t="n">
        <f aca="false">'Sources and uses'!B8</f>
        <v>16.8735263826596</v>
      </c>
      <c r="D9" s="30" t="str">
        <f aca="false">IF(ISNUMBER(C9)=FALSE(),"CHECK",IF(ABS(C9-B9)&lt;=0.05,"OK","CHECK"))</f>
        <v>OK</v>
      </c>
      <c r="E9" s="39" t="s">
        <v>215</v>
      </c>
    </row>
    <row r="10" customFormat="false" ht="15" hidden="false" customHeight="false" outlineLevel="0" collapsed="false">
      <c r="A10" s="37" t="s">
        <v>121</v>
      </c>
      <c r="B10" s="40" t="n">
        <v>33.75</v>
      </c>
      <c r="C10" s="40" t="n">
        <f aca="false">'Debt sizing'!B20</f>
        <v>33.7470527653198</v>
      </c>
      <c r="D10" s="30" t="str">
        <f aca="false">IF(ISNUMBER(C10)=FALSE(),"CHECK",IF(ABS(C10-B10)&lt;=0.005,"OK","CHECK"))</f>
        <v>OK</v>
      </c>
      <c r="E10" s="39"/>
    </row>
    <row r="11" customFormat="false" ht="15" hidden="false" customHeight="false" outlineLevel="0" collapsed="false">
      <c r="A11" s="37" t="s">
        <v>122</v>
      </c>
      <c r="B11" s="38" t="n">
        <v>247.2</v>
      </c>
      <c r="C11" s="38" t="n">
        <f aca="false">'Debt sizing'!B21</f>
        <v>247.208706236056</v>
      </c>
      <c r="D11" s="30" t="str">
        <f aca="false">IF(ISNUMBER(C11)=FALSE(),"CHECK",IF(ABS(C11-B11)&lt;=0.05,"OK","CHECK"))</f>
        <v>OK</v>
      </c>
      <c r="E11" s="39"/>
    </row>
    <row r="12" customFormat="false" ht="15" hidden="false" customHeight="false" outlineLevel="0" collapsed="false">
      <c r="A12" s="37" t="s">
        <v>216</v>
      </c>
      <c r="B12" s="41" t="n">
        <v>1.826</v>
      </c>
      <c r="C12" s="41" t="n">
        <f aca="false">Returns!B5</f>
        <v>1.8257001708699</v>
      </c>
      <c r="D12" s="30" t="str">
        <f aca="false">IF(ISNUMBER(C12)=FALSE(),"CHECK",IF(ABS(C12-B12)&lt;=0.0005,"OK","CHECK"))</f>
        <v>OK</v>
      </c>
      <c r="E12" s="39"/>
    </row>
    <row r="13" customFormat="false" ht="15" hidden="false" customHeight="false" outlineLevel="0" collapsed="false">
      <c r="A13" s="37" t="s">
        <v>217</v>
      </c>
      <c r="B13" s="41" t="n">
        <v>2.28</v>
      </c>
      <c r="C13" s="41" t="n">
        <f aca="false">Returns!B6</f>
        <v>2.28004933762655</v>
      </c>
      <c r="D13" s="30" t="str">
        <f aca="false">IF(ISNUMBER(C13)=FALSE(),"CHECK",IF(ABS(C13-B13)&lt;=0.0005,"OK","CHECK"))</f>
        <v>OK</v>
      </c>
      <c r="E13" s="39"/>
    </row>
    <row r="14" customFormat="false" ht="15" hidden="false" customHeight="false" outlineLevel="0" collapsed="false">
      <c r="A14" s="37" t="s">
        <v>218</v>
      </c>
      <c r="B14" s="42" t="n">
        <v>0.0937</v>
      </c>
      <c r="C14" s="42" t="n">
        <f aca="false">Returns!B4</f>
        <v>0.0937159756507862</v>
      </c>
      <c r="D14" s="30" t="str">
        <f aca="false">IF(ISNUMBER(C14)=FALSE(),"CHECK",IF(ABS(C14-B14)&lt;=0.00005,"OK","CHECK"))</f>
        <v>OK</v>
      </c>
      <c r="E14" s="39" t="s">
        <v>219</v>
      </c>
    </row>
    <row r="15" customFormat="false" ht="15" hidden="false" customHeight="false" outlineLevel="0" collapsed="false">
      <c r="A15" s="37" t="s">
        <v>220</v>
      </c>
      <c r="B15" s="40" t="n">
        <v>4.25</v>
      </c>
      <c r="C15" s="40" t="n">
        <f aca="false">'Cash flow'!C17</f>
        <v>4.25462847600796</v>
      </c>
      <c r="D15" s="30" t="str">
        <f aca="false">IF(ISNUMBER(C15)=FALSE(),"CHECK",IF(ABS(C15-B15)&lt;=0.005,"OK","CHECK"))</f>
        <v>OK</v>
      </c>
      <c r="E15" s="39" t="s">
        <v>221</v>
      </c>
    </row>
    <row r="16" customFormat="false" ht="15" hidden="false" customHeight="false" outlineLevel="0" collapsed="false">
      <c r="A16" s="37" t="s">
        <v>222</v>
      </c>
      <c r="B16" s="40" t="n">
        <v>23.61</v>
      </c>
      <c r="C16" s="40" t="n">
        <f aca="false">'Cash flow'!C19</f>
        <v>23.6103187586723</v>
      </c>
      <c r="D16" s="30" t="str">
        <f aca="false">IF(ISNUMBER(C16)=FALSE(),"CHECK",IF(ABS(C16-B16)&lt;=0.005,"OK","CHECK"))</f>
        <v>OK</v>
      </c>
      <c r="E16" s="39"/>
    </row>
    <row r="17" customFormat="false" ht="15" hidden="false" customHeight="false" outlineLevel="0" collapsed="false">
      <c r="A17" s="37" t="s">
        <v>223</v>
      </c>
      <c r="B17" s="38" t="n">
        <v>125.1</v>
      </c>
      <c r="C17" s="38" t="n">
        <f aca="false">Returns!B14</f>
        <v>125.088703920291</v>
      </c>
      <c r="D17" s="30" t="str">
        <f aca="false">IF(ISNUMBER(C17)=FALSE(),"CHECK",IF(ABS(C17-B17)&lt;=0.05,"OK","CHECK"))</f>
        <v>OK</v>
      </c>
      <c r="E17" s="39"/>
    </row>
    <row r="18" customFormat="false" ht="15" hidden="false" customHeight="false" outlineLevel="0" collapsed="false">
      <c r="A18" s="37" t="s">
        <v>224</v>
      </c>
      <c r="B18" s="38" t="n">
        <v>643.1</v>
      </c>
      <c r="C18" s="38" t="n">
        <f aca="false">Returns!B15</f>
        <v>643.119927961231</v>
      </c>
      <c r="D18" s="30" t="str">
        <f aca="false">IF(ISNUMBER(C18)=FALSE(),"CHECK",IF(ABS(C18-B18)&lt;=0.05,"OK","CHECK"))</f>
        <v>OK</v>
      </c>
      <c r="E18" s="39"/>
    </row>
    <row r="19" customFormat="false" ht="15" hidden="false" customHeight="false" outlineLevel="0" collapsed="false">
      <c r="A19" s="37" t="s">
        <v>197</v>
      </c>
      <c r="B19" s="42" t="n">
        <v>0.166</v>
      </c>
      <c r="C19" s="42" t="n">
        <f aca="false">Returns!B22</f>
        <v>0.16599452809649</v>
      </c>
      <c r="D19" s="30" t="str">
        <f aca="false">IF(ISNUMBER(C19)=FALSE(),"CHECK",IF(ABS(C19-B19)&lt;=0.00005,"OK","CHECK"))</f>
        <v>OK</v>
      </c>
      <c r="E19" s="39" t="s">
        <v>225</v>
      </c>
    </row>
    <row r="20" customFormat="false" ht="15" hidden="false" customHeight="false" outlineLevel="0" collapsed="false">
      <c r="A20" s="37" t="s">
        <v>198</v>
      </c>
      <c r="B20" s="43" t="n">
        <v>4.05</v>
      </c>
      <c r="C20" s="43" t="n">
        <f aca="false">Returns!B23</f>
        <v>4.05284342121514</v>
      </c>
      <c r="D20" s="30" t="str">
        <f aca="false">IF(ISNUMBER(C20)=FALSE(),"CHECK",IF(ABS(C20-B20)&lt;=0.005,"OK","CHECK"))</f>
        <v>OK</v>
      </c>
      <c r="E20" s="39"/>
    </row>
    <row r="21" customFormat="false" ht="15" hidden="false" customHeight="false" outlineLevel="0" collapsed="false">
      <c r="A21" s="37" t="s">
        <v>226</v>
      </c>
      <c r="B21" s="44" t="n">
        <v>0.69</v>
      </c>
      <c r="C21" s="44" t="n">
        <f aca="false">Returns!B25</f>
        <v>0.689624086003221</v>
      </c>
      <c r="D21" s="30" t="str">
        <f aca="false">IF(ISNUMBER(C21)=FALSE(),"CHECK",IF(ABS(C21-B21)&lt;=0.0005,"OK","CHECK"))</f>
        <v>OK</v>
      </c>
      <c r="E21" s="39"/>
    </row>
    <row r="22" customFormat="false" ht="15" hidden="false" customHeight="false" outlineLevel="0" collapsed="false">
      <c r="A22" s="37" t="s">
        <v>127</v>
      </c>
      <c r="B22" s="41" t="n">
        <v>1.619</v>
      </c>
      <c r="C22" s="41" t="n">
        <f aca="false">'Debt sizing'!B26</f>
        <v>1.61865647404159</v>
      </c>
      <c r="D22" s="30" t="str">
        <f aca="false">IF(ISNUMBER(C22)=FALSE(),"CHECK",IF(ABS(C22-B22)&lt;=0.0005,"OK","CHECK"))</f>
        <v>OK</v>
      </c>
      <c r="E22" s="39" t="s">
        <v>227</v>
      </c>
    </row>
    <row r="23" customFormat="false" ht="15" hidden="false" customHeight="false" outlineLevel="0" collapsed="false">
      <c r="A23" s="37" t="s">
        <v>228</v>
      </c>
      <c r="B23" s="43" t="n">
        <v>27.58</v>
      </c>
      <c r="C23" s="43" t="n">
        <f aca="false">'Debt sizing'!B28</f>
        <v>27.581027304972</v>
      </c>
      <c r="D23" s="30" t="str">
        <f aca="false">IF(ISNUMBER(C23)=FALSE(),"CHECK",IF(ABS(C23-B23)&lt;=0.005,"OK","CHECK"))</f>
        <v>OK</v>
      </c>
      <c r="E23" s="39" t="s">
        <v>229</v>
      </c>
    </row>
    <row r="24" customFormat="false" ht="15" hidden="false" customHeight="false" outlineLevel="0" collapsed="false">
      <c r="A24" s="37" t="s">
        <v>230</v>
      </c>
      <c r="B24" s="42" t="n">
        <v>0.1234</v>
      </c>
      <c r="C24" s="42" t="n">
        <f aca="false">Returns!B32</f>
        <v>0.123356946925803</v>
      </c>
      <c r="D24" s="30" t="str">
        <f aca="false">IF(ISNUMBER(C24)=FALSE(),"CHECK",IF(ABS(C24-B24)&lt;=0.00005,"OK","CHECK"))</f>
        <v>OK</v>
      </c>
      <c r="E24" s="39" t="s">
        <v>231</v>
      </c>
    </row>
    <row r="25" customFormat="false" ht="15" hidden="false" customHeight="false" outlineLevel="0" collapsed="false">
      <c r="A25" s="37" t="s">
        <v>232</v>
      </c>
      <c r="C25" s="45" t="str">
        <f aca="false">IF(Solve!B26="CONVERGED","OK","CHECK")</f>
        <v>OK</v>
      </c>
      <c r="D25" s="30" t="str">
        <f aca="false">IF(C25="","",IF(C25="OK","OK","CHECK"))</f>
        <v>OK</v>
      </c>
      <c r="E25" s="39" t="s">
        <v>233</v>
      </c>
    </row>
    <row r="26" customFormat="false" ht="15" hidden="false" customHeight="false" outlineLevel="0" collapsed="false">
      <c r="A26" s="37" t="s">
        <v>234</v>
      </c>
      <c r="C26" s="45" t="str">
        <f aca="false">IF(ABS('Sources and uses'!B20)&lt;0.001,"OK","CHECK")</f>
        <v>OK</v>
      </c>
      <c r="D26" s="30" t="str">
        <f aca="false">IF(C26="","",IF(C26="OK","OK","CHECK"))</f>
        <v>OK</v>
      </c>
      <c r="E26" s="39" t="s">
        <v>233</v>
      </c>
    </row>
    <row r="27" customFormat="false" ht="15" hidden="false" customHeight="false" outlineLevel="0" collapsed="false">
      <c r="A27" s="37" t="s">
        <v>235</v>
      </c>
      <c r="C27" s="45" t="str">
        <f aca="false">IF(ABS('Sources and uses'!B8-'Debt sizing'!B20*Assumptions!B22/12)&lt;0.000001,"OK","CHECK")</f>
        <v>OK</v>
      </c>
      <c r="D27" s="30" t="str">
        <f aca="false">IF(C27="","",IF(C27="OK","OK","CHECK"))</f>
        <v>OK</v>
      </c>
      <c r="E27" s="39" t="s">
        <v>236</v>
      </c>
    </row>
    <row r="28" customFormat="false" ht="15" hidden="false" customHeight="false" outlineLevel="0" collapsed="false">
      <c r="A28" s="37" t="s">
        <v>237</v>
      </c>
      <c r="C28" s="45" t="str">
        <f aca="false">IF(ABS(IDC!B15)&lt;0.001,"OK","CHECK")</f>
        <v>OK</v>
      </c>
      <c r="D28" s="30" t="str">
        <f aca="false">IF(C28="","",IF(C28="OK","OK","CHECK"))</f>
        <v>OK</v>
      </c>
      <c r="E28" s="39" t="s">
        <v>233</v>
      </c>
    </row>
    <row r="29" customFormat="false" ht="15" hidden="false" customHeight="false" outlineLevel="0" collapsed="false">
      <c r="A29" s="37" t="s">
        <v>238</v>
      </c>
      <c r="C29" s="45" t="str">
        <f aca="false">IF(IF(UPPER(Assumptions!B34)="YES",ABS('Debt sizing'!B16-Assumptions!B35)&lt;0.000001,ABS('Debt sizing'!B16-MIN('Debt sizing'!B9,'Debt sizing'!B13))&lt;0.001),"OK","CHECK")</f>
        <v>OK</v>
      </c>
      <c r="D29" s="30" t="str">
        <f aca="false">IF(C29="","",IF(C29="OK","OK","CHECK"))</f>
        <v>OK</v>
      </c>
      <c r="E29" s="39" t="s">
        <v>233</v>
      </c>
    </row>
    <row r="30" customFormat="false" ht="15" hidden="false" customHeight="false" outlineLevel="0" collapsed="false">
      <c r="A30" s="37" t="s">
        <v>239</v>
      </c>
      <c r="C30" s="45" t="str">
        <f aca="false">IF(ABS('Cash flow'!C5-Assumptions!B4*Assumptions!B9*12/1000)&lt;0.000000001,"OK","CHECK")</f>
        <v>OK</v>
      </c>
      <c r="D30" s="30" t="str">
        <f aca="false">IF(C30="","",IF(C30="OK","OK","CHECK"))</f>
        <v>OK</v>
      </c>
      <c r="E30" s="39" t="s">
        <v>240</v>
      </c>
    </row>
    <row r="31" customFormat="false" ht="15" hidden="false" customHeight="false" outlineLevel="0" collapsed="false">
      <c r="A31" s="37" t="s">
        <v>241</v>
      </c>
      <c r="C31" s="45" t="str">
        <f aca="false">IF(ABS('Debt sizing'!B21-'Debt sizing'!B20*(1-(1+'Debt sizing'!B4)^(-(Assumptions!B23-Assumptions!B19)))/'Debt sizing'!B4)&lt;0.000001,"OK","CHECK")</f>
        <v>OK</v>
      </c>
      <c r="D31" s="30" t="str">
        <f aca="false">IF(C31="","",IF(C31="OK","OK","CHECK"))</f>
        <v>OK</v>
      </c>
      <c r="E31" s="39" t="s">
        <v>233</v>
      </c>
    </row>
    <row r="32" customFormat="false" ht="15" hidden="false" customHeight="false" outlineLevel="0" collapsed="false">
      <c r="A32" s="37" t="s">
        <v>242</v>
      </c>
      <c r="C32" s="45" t="str">
        <f aca="false">IF(ABS('Cash flow'!C13-'Cash flow'!C6/'Debt sizing'!B20)&lt;0.000000000001,"OK","CHECK")</f>
        <v>OK</v>
      </c>
      <c r="D32" s="30" t="str">
        <f aca="false">IF(C32="","",IF(C32="OK","OK","CHECK"))</f>
        <v>OK</v>
      </c>
      <c r="E32" s="39" t="s">
        <v>233</v>
      </c>
    </row>
    <row r="33" customFormat="false" ht="15" hidden="false" customHeight="false" outlineLevel="0" collapsed="false">
      <c r="A33" s="37" t="s">
        <v>243</v>
      </c>
      <c r="C33" s="45" t="str">
        <f aca="false">IF(AND(Returns!B19&lt;0,COUNTIF(Returns!D19:R19,"&lt;0")=0),"OK","CHECK")</f>
        <v>OK</v>
      </c>
      <c r="D33" s="30" t="str">
        <f aca="false">IF(C33="","",IF(C33="OK","OK","CHECK"))</f>
        <v>OK</v>
      </c>
      <c r="E33" s="39" t="s">
        <v>244</v>
      </c>
    </row>
    <row r="34" customFormat="false" ht="15" hidden="false" customHeight="false" outlineLevel="0" collapsed="false">
      <c r="A34" s="37" t="s">
        <v>245</v>
      </c>
      <c r="C34" s="45" t="str">
        <f aca="false">IF(AND(Returns!C19=0,Returns!D19&lt;&gt;0),"OK","CHECK")</f>
        <v>OK</v>
      </c>
      <c r="D34" s="30" t="str">
        <f aca="false">IF(C34="","",IF(C34="OK","OK","CHECK"))</f>
        <v>OK</v>
      </c>
      <c r="E34" s="39" t="s">
        <v>246</v>
      </c>
    </row>
    <row r="35" customFormat="false" ht="15" hidden="false" customHeight="false" outlineLevel="0" collapsed="false">
      <c r="A35" s="37" t="s">
        <v>247</v>
      </c>
      <c r="C35" s="45" t="str">
        <f aca="false">IF(AND(Assumptions!B25&gt;=1,Assumptions!B25&lt;=14,INT(Assumptions!B25)=Assumptions!B25),"OK","CHECK")</f>
        <v>OK</v>
      </c>
      <c r="D35" s="30" t="str">
        <f aca="false">IF(C35="","",IF(C35="OK","OK","CHECK"))</f>
        <v>OK</v>
      </c>
      <c r="E35" s="39" t="s">
        <v>248</v>
      </c>
    </row>
    <row r="37" customFormat="false" ht="15" hidden="false" customHeight="false" outlineLevel="0" collapsed="false">
      <c r="A37" s="3" t="s">
        <v>249</v>
      </c>
      <c r="C37" s="30" t="str">
        <f aca="false">COUNTIF(D5:D35,"OK")&amp;" / 31"</f>
        <v>31 / 31</v>
      </c>
      <c r="D37" s="46" t="str">
        <f aca="false">IF(COUNTIF(D5:D35,"OK")=31,"ALL OK",IF(D5&lt;&gt;"OK","INPUTS MISSING","SOME FAIL"))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2026-09-02T03:01:20Z</dcterms:created>
  <dc:creator>openpyxl</dc:creator>
  <dc:description/>
  <dc:language>en-US</dc:language>
  <cp:lastModifiedBy/>
  <dcterms:modified xsi:type="dcterms:W3CDTF">2026-09-24T01:18:21Z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