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Volatility and the Price" sheetId="3" state="visible" r:id="rId5"/>
    <sheet name="Vega Across Strikes" sheetId="4" state="visible" r:id="rId6"/>
    <sheet name="Library Tests" sheetId="5" state="visible" r:id="rId7"/>
    <sheet name="Checks" sheetId="6" state="visible" r:id="rId8"/>
  </sheets>
  <definedNames>
    <definedName function="false" hidden="false" name="D1" vbProcedure="false">Inputs!$B$17</definedName>
    <definedName function="false" hidden="false" name="D2" vbProcedure="false">Inputs!$B$18</definedName>
    <definedName function="false" hidden="false" name="DENSD1" vbProcedure="false">Inputs!$B$21</definedName>
    <definedName function="false" hidden="false" name="DIV" vbProcedure="false">Inputs!$B$11</definedName>
    <definedName function="false" hidden="false" name="K" vbProcedure="false">Inputs!$B$8</definedName>
    <definedName function="false" hidden="false" name="LOT" vbProcedure="false">Inputs!$B$13</definedName>
    <definedName function="false" hidden="false" name="ND1" vbProcedure="false">Inputs!$B$19</definedName>
    <definedName function="false" hidden="false" name="ND2" vbProcedure="false">Inputs!$B$20</definedName>
    <definedName function="false" hidden="false" name="PRICE" vbProcedure="false">Inputs!$B$23</definedName>
    <definedName function="false" hidden="false" name="RF" vbProcedure="false">Inputs!$B$10</definedName>
    <definedName function="false" hidden="false" name="S" vbProcedure="false">Inputs!$B$7</definedName>
    <definedName function="false" hidden="false" name="SIG" vbProcedure="false">Inputs!$B$12</definedName>
    <definedName function="false" hidden="false" name="T" vbProcedure="false">Inputs!$B$9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<sst xmlns="http://schemas.openxmlformats.org/spreadsheetml/2006/main" count="114" uniqueCount="98">
  <si>
    <t xml:space="preserve">Workbook 3 - Volatility and the Price</t>
  </si>
  <si>
    <t xml:space="preserve">Companion to Quantitative Finance by Julian R. Sterling</t>
  </si>
  <si>
    <t xml:space="preserve">What this workbook does</t>
  </si>
  <si>
    <t xml:space="preserve">It measures what the unobservable input is worth, shows that vega itself is not constant, solves for implied volatility by iteration, and then runs the library tests of Chapter 17 - each with a PASS or a FAIL.</t>
  </si>
  <si>
    <t xml:space="preserve">Use the tests on your own library</t>
  </si>
  <si>
    <t xml:space="preserve">Point the formulas at your pricing function instead of this one. Parity must hold to machine precision, zero volatility must give the discounted intrinsic value, and every monotonicity must hold. Most implementation bugs fail at least one of these.</t>
  </si>
  <si>
    <t xml:space="preserve">The book</t>
  </si>
  <si>
    <t xml:space="preserve">Quantitative Finance, by Julian R. Sterling. All four workbooks: julianrsterling.com/quant</t>
  </si>
  <si>
    <t xml:space="preserve">Revised 24 September 2026</t>
  </si>
  <si>
    <t xml:space="preserve">The implied-volatility iteration was wrong: its second pass subtracted the strike term of the price instead of adding it, and returned a volatility of -227 per cent and a price of -70.98 for a quote of 12.50. It is now six passes of Newton's method, which reach 26.7302 per cent and reproduce the quote to the sixth decimal. Vega is now shown across strikes and maturities, as the page said, on its own sheet; the note that placed its peak in the volatility column is corrected. Five checks added, thirteen in all.</t>
  </si>
  <si>
    <t xml:space="preserve">Inputs</t>
  </si>
  <si>
    <t xml:space="preserve">Yellow cells only. Everything else is a formula.</t>
  </si>
  <si>
    <t xml:space="preserve">Kestrel 100</t>
  </si>
  <si>
    <t xml:space="preserve">Spot</t>
  </si>
  <si>
    <t xml:space="preserve">The observable one.</t>
  </si>
  <si>
    <t xml:space="preserve">Strike</t>
  </si>
  <si>
    <t xml:space="preserve">In the contract.</t>
  </si>
  <si>
    <t xml:space="preserve">Maturity, years</t>
  </si>
  <si>
    <t xml:space="preserve">A calendar.</t>
  </si>
  <si>
    <t xml:space="preserve">Risk-free rate</t>
  </si>
  <si>
    <t xml:space="preserve">A market quote.</t>
  </si>
  <si>
    <t xml:space="preserve">Dividend yield</t>
  </si>
  <si>
    <t xml:space="preserve">A forecast, and a small one here.</t>
  </si>
  <si>
    <t xml:space="preserve">Implied volatility</t>
  </si>
  <si>
    <t xml:space="preserve">The only input nobody can observe.</t>
  </si>
  <si>
    <t xml:space="preserve">Contracts</t>
  </si>
  <si>
    <t xml:space="preserve">Intermediate quantities</t>
  </si>
  <si>
    <t xml:space="preserve">d1</t>
  </si>
  <si>
    <t xml:space="preserve">d2</t>
  </si>
  <si>
    <t xml:space="preserve">N(d1)</t>
  </si>
  <si>
    <t xml:space="preserve">N(d2)</t>
  </si>
  <si>
    <t xml:space="preserve">n(d1), the density</t>
  </si>
  <si>
    <t xml:space="preserve">Closed-form price</t>
  </si>
  <si>
    <t xml:space="preserve">Value of the lot</t>
  </si>
  <si>
    <t xml:space="preserve">What the input is worth</t>
  </si>
  <si>
    <t xml:space="preserve">Chapters 9 and 10.</t>
  </si>
  <si>
    <t xml:space="preserve">Volatility</t>
  </si>
  <si>
    <t xml:space="preserve">Price</t>
  </si>
  <si>
    <t xml:space="preserve">Difference</t>
  </si>
  <si>
    <t xml:space="preserve">Vega estimate</t>
  </si>
  <si>
    <t xml:space="preserve">Eight points, 20 to 28</t>
  </si>
  <si>
    <t xml:space="preserve">  as a share of the price</t>
  </si>
  <si>
    <t xml:space="preserve">Vega is not constant</t>
  </si>
  <si>
    <t xml:space="preserve">The fourth column is vega recomputed at each volatility. Near the money it barely moves with the volatility itself, from 0.3778 at 16 per cent to 0.3833 at 28; it is across strikes and maturities that it is not constant, on the next sheet.</t>
  </si>
  <si>
    <t xml:space="preserve">Solving for implied volatility</t>
  </si>
  <si>
    <t xml:space="preserve">A quoted price</t>
  </si>
  <si>
    <t xml:space="preserve">Starting guess: the input volatility</t>
  </si>
  <si>
    <t xml:space="preserve">  pass 1</t>
  </si>
  <si>
    <t xml:space="preserve">  pass 2</t>
  </si>
  <si>
    <t xml:space="preserve">  pass 3</t>
  </si>
  <si>
    <t xml:space="preserve">  pass 4</t>
  </si>
  <si>
    <t xml:space="preserve">  pass 5</t>
  </si>
  <si>
    <t xml:space="preserve">  pass 6</t>
  </si>
  <si>
    <t xml:space="preserve">  the price it reproduces</t>
  </si>
  <si>
    <t xml:space="preserve">  the last two passes differ by</t>
  </si>
  <si>
    <t xml:space="preserve">Newton's method: each pass adds the pricing error divided by vega at the previous guess. An implied volatility is not a measurement. It is the number that makes a model reproduce a price, so quoting it is quoting the price in different units.</t>
  </si>
  <si>
    <t xml:space="preserve">Chapter 9. Vega per point of volatility, across strikes and maturities, on the inputs of this workbook.</t>
  </si>
  <si>
    <t xml:space="preserve">Strike \ maturity, years</t>
  </si>
  <si>
    <t xml:space="preserve">Strike at which vega peaks</t>
  </si>
  <si>
    <t xml:space="preserve">  vega there, per point</t>
  </si>
  <si>
    <t xml:space="preserve">  the largest in the column above</t>
  </si>
  <si>
    <t xml:space="preserve">Vega peaks where d1 is nought, at a strike of S exp((r - q + sigma^2/2) T): 107.12 at one year, just above the money. It falls away in both directions across strikes, and it grows with the square root of maturity. A one-month option ten per cent out of the money has a small fraction of the vega of the one-year at the money: a point of volatility is worth very different amounts on different contracts.</t>
  </si>
  <si>
    <t xml:space="preserve">An afternoon's worth of tests</t>
  </si>
  <si>
    <t xml:space="preserve">Chapter 17. Every one of these should hold before you trust a pricing library.</t>
  </si>
  <si>
    <t xml:space="preserve">Test</t>
  </si>
  <si>
    <t xml:space="preserve">Value</t>
  </si>
  <si>
    <t xml:space="preserve">Expected</t>
  </si>
  <si>
    <t xml:space="preserve">Result</t>
  </si>
  <si>
    <t xml:space="preserve">Put-call parity: C - P - S exp(-qT) + K exp(-rT)</t>
  </si>
  <si>
    <t xml:space="preserve">The put, by parity</t>
  </si>
  <si>
    <t xml:space="preserve">Zero volatility gives the discounted intrinsic value</t>
  </si>
  <si>
    <t xml:space="preserve">Deeply in the money: spot at 1000</t>
  </si>
  <si>
    <t xml:space="preserve">Deeply out of the money: spot at 10</t>
  </si>
  <si>
    <t xml:space="preserve">Price rises with volatility</t>
  </si>
  <si>
    <t xml:space="preserve">Price rises with maturity</t>
  </si>
  <si>
    <t xml:space="preserve">Price falls as the strike rises</t>
  </si>
  <si>
    <t xml:space="preserve">Tests passing</t>
  </si>
  <si>
    <t xml:space="preserve">Checks against the printed book</t>
  </si>
  <si>
    <t xml:space="preserve">Every line reproduces a figure printed in Chapters 9, 16 and 17, or an identity that must hold.</t>
  </si>
  <si>
    <t xml:space="preserve">Ch.</t>
  </si>
  <si>
    <t xml:space="preserve">Figure as printed in the book</t>
  </si>
  <si>
    <t xml:space="preserve">Printed</t>
  </si>
  <si>
    <t xml:space="preserve">Workbook</t>
  </si>
  <si>
    <t xml:space="preserve">9</t>
  </si>
  <si>
    <t xml:space="preserve">Price at 20 per cent</t>
  </si>
  <si>
    <t xml:space="preserve">Price at 24 per cent</t>
  </si>
  <si>
    <t xml:space="preserve">Price at 28 per cent</t>
  </si>
  <si>
    <t xml:space="preserve">Eight points of volatility</t>
  </si>
  <si>
    <t xml:space="preserve">Vega at the money, one year, from the grid</t>
  </si>
  <si>
    <t xml:space="preserve">No strike on the grid has more vega than the peak (1 = yes)</t>
  </si>
  <si>
    <t xml:space="preserve">16</t>
  </si>
  <si>
    <t xml:space="preserve">The implied volatility reproduces the quoted price</t>
  </si>
  <si>
    <t xml:space="preserve">  the last two passes agree</t>
  </si>
  <si>
    <t xml:space="preserve">17</t>
  </si>
  <si>
    <t xml:space="preserve">Zero-volatility price</t>
  </si>
  <si>
    <t xml:space="preserve">Deeply in the money, spot at 1000</t>
  </si>
  <si>
    <t xml:space="preserve">Library tests passing</t>
  </si>
  <si>
    <t xml:space="preserve">Checks passing</t>
  </si>
</sst>
</file>

<file path=xl/styles.xml><?xml version="1.0" encoding="utf-8"?>
<styleSheet xmlns="http://schemas.openxmlformats.org/spreadsheetml/2006/main">
  <numFmts count="15">
    <numFmt numFmtId="164" formatCode="General"/>
    <numFmt numFmtId="165" formatCode="#,##0.00;\-#,##0.00"/>
    <numFmt numFmtId="166" formatCode="0.0000"/>
    <numFmt numFmtId="167" formatCode="0.00%;\-0.00%"/>
    <numFmt numFmtId="168" formatCode="#,##0"/>
    <numFmt numFmtId="169" formatCode="0.000000"/>
    <numFmt numFmtId="170" formatCode="0.0%;\-0.0%"/>
    <numFmt numFmtId="171" formatCode="#,##0.000000"/>
    <numFmt numFmtId="172" formatCode="0.000000%"/>
    <numFmt numFmtId="173" formatCode="0.0000%"/>
    <numFmt numFmtId="174" formatCode="0.000000000"/>
    <numFmt numFmtId="175" formatCode="0.000"/>
    <numFmt numFmtId="176" formatCode="0"/>
    <numFmt numFmtId="177" formatCode="0.00"/>
    <numFmt numFmtId="178" formatCode="@"/>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i val="true"/>
      <sz val="9"/>
      <color rgb="FF5A6A70"/>
      <name val="Cambria"/>
      <family val="0"/>
      <charset val="1"/>
    </font>
    <font>
      <b val="true"/>
      <sz val="11"/>
      <color rgb="FF1A1A1A"/>
      <name val="Calibri"/>
      <family val="0"/>
      <charset val="1"/>
    </font>
    <font>
      <b val="true"/>
      <sz val="10"/>
      <color rgb="FFFFFFFF"/>
      <name val="Calibri"/>
      <family val="0"/>
      <charset val="1"/>
    </font>
    <font>
      <i val="true"/>
      <sz val="9"/>
      <color rgb="FF5A6A70"/>
      <name val="Calibri"/>
      <family val="0"/>
      <charset val="1"/>
    </font>
    <font>
      <b val="true"/>
      <sz val="11"/>
      <color rgb="FF1E7A3C"/>
      <name val="Cambria"/>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11" fillId="3" borderId="3" xfId="0" applyFont="true" applyBorder="true" applyAlignment="true" applyProtection="false">
      <alignment horizontal="left" vertical="center" textRotation="0" wrapText="true" indent="0" shrinkToFit="false"/>
      <protection locked="true" hidden="false"/>
    </xf>
    <xf numFmtId="164" fontId="11" fillId="3" borderId="3" xfId="0" applyFont="true" applyBorder="true" applyAlignment="true" applyProtection="false">
      <alignment horizontal="right" vertical="center" textRotation="0" wrapText="true" indent="0" shrinkToFit="false"/>
      <protection locked="true" hidden="false"/>
    </xf>
    <xf numFmtId="167" fontId="8" fillId="4" borderId="3" xfId="0" applyFont="true" applyBorder="tru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10"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bottom" textRotation="0" wrapText="true" indent="0" shrinkToFit="false"/>
      <protection locked="true" hidden="false"/>
    </xf>
    <xf numFmtId="175" fontId="8" fillId="2" borderId="0" xfId="0" applyFont="true" applyBorder="false" applyAlignment="true" applyProtection="false">
      <alignment horizontal="general" vertical="bottom" textRotation="0" wrapText="true" indent="0" shrinkToFit="false"/>
      <protection locked="true" hidden="false"/>
    </xf>
    <xf numFmtId="176" fontId="8" fillId="2" borderId="0" xfId="0" applyFont="true" applyBorder="false" applyAlignment="false" applyProtection="false">
      <alignment horizontal="general" vertical="bottom" textRotation="0" wrapText="false" indent="0" shrinkToFit="false"/>
      <protection locked="true" hidden="false"/>
    </xf>
    <xf numFmtId="169" fontId="10" fillId="4" borderId="0" xfId="0" applyFont="true" applyBorder="false" applyAlignment="false" applyProtection="false">
      <alignment horizontal="general" vertical="bottom" textRotation="0" wrapText="false" indent="0" shrinkToFit="false"/>
      <protection locked="true" hidden="false"/>
    </xf>
    <xf numFmtId="177" fontId="10" fillId="0"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bottom" textRotation="0" wrapText="false" indent="0" shrinkToFit="false"/>
      <protection locked="true" hidden="false"/>
    </xf>
    <xf numFmtId="178" fontId="10" fillId="0" borderId="0" xfId="0" applyFont="true" applyBorder="false" applyAlignment="true" applyProtection="false">
      <alignment horizontal="left" vertical="bottom" textRotation="0" wrapText="false" indent="0" shrinkToFit="false"/>
      <protection locked="true" hidden="false"/>
    </xf>
    <xf numFmtId="164" fontId="11" fillId="3" borderId="3" xfId="0" applyFont="true" applyBorder="true" applyAlignment="true" applyProtection="false">
      <alignment horizontal="general" vertical="bottom" textRotation="0" wrapText="tru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center"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true" applyProtection="false">
      <alignment horizontal="left"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78"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B42318"/>
      </font>
    </dxf>
  </dxfs>
  <colors>
    <indexedColors>
      <rgbColor rgb="FF000000"/>
      <rgbColor rgb="FFFFFFFF"/>
      <rgbColor rgb="FFFF0000"/>
      <rgbColor rgb="FF00FF00"/>
      <rgbColor rgb="FF0000FF"/>
      <rgbColor rgb="FFFFFF00"/>
      <rgbColor rgb="FFFF00FF"/>
      <rgbColor rgb="FF00FFFF"/>
      <rgbColor rgb="FF80000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B42318"/>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15" hidden="false" customHeight="true" outlineLevel="0" collapsed="false">
      <c r="A15" s="5" t="s">
        <v>7</v>
      </c>
    </row>
    <row r="17" customFormat="false" ht="15" hidden="false" customHeight="false" outlineLevel="0" collapsed="false">
      <c r="A17" s="6" t="s">
        <v>8</v>
      </c>
    </row>
    <row r="19" customFormat="false" ht="55.2" hidden="false" customHeight="false" outlineLevel="0" collapsed="false">
      <c r="A19" s="5" t="s">
        <v>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2"/>
    <col collapsed="false" customWidth="true" hidden="false" outlineLevel="0" max="2" min="2" style="0" width="16"/>
    <col collapsed="false" customWidth="true" hidden="false" outlineLevel="0" max="3" min="3" style="0" width="4"/>
    <col collapsed="false" customWidth="true" hidden="false" outlineLevel="0" max="4" min="4" style="0" width="56"/>
  </cols>
  <sheetData>
    <row r="1" customFormat="false" ht="24" hidden="false" customHeight="true" outlineLevel="0" collapsed="false">
      <c r="A1" s="1" t="s">
        <v>10</v>
      </c>
    </row>
    <row r="2" customFormat="false" ht="15" hidden="false" customHeight="false" outlineLevel="0" collapsed="false">
      <c r="A2" s="2" t="s">
        <v>11</v>
      </c>
    </row>
    <row r="3" customFormat="false" ht="15" hidden="false" customHeight="false" outlineLevel="0" collapsed="false">
      <c r="A3" s="3"/>
      <c r="B3" s="3"/>
      <c r="C3" s="3"/>
      <c r="D3" s="3"/>
    </row>
    <row r="5" customFormat="false" ht="15" hidden="false" customHeight="false" outlineLevel="0" collapsed="false">
      <c r="A5" s="4" t="s">
        <v>12</v>
      </c>
      <c r="B5" s="7"/>
      <c r="C5" s="7"/>
      <c r="D5" s="7"/>
    </row>
    <row r="7" customFormat="false" ht="15" hidden="false" customHeight="false" outlineLevel="0" collapsed="false">
      <c r="A7" s="8" t="s">
        <v>13</v>
      </c>
      <c r="B7" s="9" t="n">
        <v>100</v>
      </c>
      <c r="D7" s="10" t="s">
        <v>14</v>
      </c>
    </row>
    <row r="8" customFormat="false" ht="15" hidden="false" customHeight="false" outlineLevel="0" collapsed="false">
      <c r="A8" s="8" t="s">
        <v>15</v>
      </c>
      <c r="B8" s="9" t="n">
        <v>100</v>
      </c>
      <c r="D8" s="10" t="s">
        <v>16</v>
      </c>
    </row>
    <row r="9" customFormat="false" ht="15" hidden="false" customHeight="false" outlineLevel="0" collapsed="false">
      <c r="A9" s="8" t="s">
        <v>17</v>
      </c>
      <c r="B9" s="11" t="n">
        <v>1</v>
      </c>
      <c r="D9" s="10" t="s">
        <v>18</v>
      </c>
    </row>
    <row r="10" customFormat="false" ht="15" hidden="false" customHeight="false" outlineLevel="0" collapsed="false">
      <c r="A10" s="8" t="s">
        <v>19</v>
      </c>
      <c r="B10" s="12" t="n">
        <v>0.04</v>
      </c>
      <c r="D10" s="10" t="s">
        <v>20</v>
      </c>
    </row>
    <row r="11" customFormat="false" ht="15" hidden="false" customHeight="false" outlineLevel="0" collapsed="false">
      <c r="A11" s="8" t="s">
        <v>21</v>
      </c>
      <c r="B11" s="12" t="n">
        <v>0</v>
      </c>
      <c r="D11" s="10" t="s">
        <v>22</v>
      </c>
    </row>
    <row r="12" customFormat="false" ht="15" hidden="false" customHeight="false" outlineLevel="0" collapsed="false">
      <c r="A12" s="8" t="s">
        <v>23</v>
      </c>
      <c r="B12" s="12" t="n">
        <v>0.24</v>
      </c>
      <c r="D12" s="10" t="s">
        <v>24</v>
      </c>
    </row>
    <row r="13" customFormat="false" ht="15" hidden="false" customHeight="false" outlineLevel="0" collapsed="false">
      <c r="A13" s="8" t="s">
        <v>25</v>
      </c>
      <c r="B13" s="13" t="n">
        <v>10000</v>
      </c>
    </row>
    <row r="15" customFormat="false" ht="15" hidden="false" customHeight="false" outlineLevel="0" collapsed="false">
      <c r="A15" s="4" t="s">
        <v>26</v>
      </c>
      <c r="B15" s="7"/>
      <c r="C15" s="7"/>
      <c r="D15" s="7"/>
    </row>
    <row r="17" customFormat="false" ht="15" hidden="false" customHeight="false" outlineLevel="0" collapsed="false">
      <c r="A17" s="8" t="s">
        <v>27</v>
      </c>
      <c r="B17" s="14" t="n">
        <f aca="false">(LN(S/K)+(RF-DIV+SIG^2/2)*T)/(SIG*SQRT(T))</f>
        <v>0.286666666666667</v>
      </c>
    </row>
    <row r="18" customFormat="false" ht="15" hidden="false" customHeight="false" outlineLevel="0" collapsed="false">
      <c r="A18" s="8" t="s">
        <v>28</v>
      </c>
      <c r="B18" s="14" t="n">
        <f aca="false">D1-SIG*SQRT(T)</f>
        <v>0.0466666666666667</v>
      </c>
    </row>
    <row r="19" customFormat="false" ht="15" hidden="false" customHeight="false" outlineLevel="0" collapsed="false">
      <c r="A19" s="8" t="s">
        <v>29</v>
      </c>
      <c r="B19" s="14" t="n">
        <f aca="false">NORMSDIST(D1)</f>
        <v>0.612816218520811</v>
      </c>
    </row>
    <row r="20" customFormat="false" ht="15" hidden="false" customHeight="false" outlineLevel="0" collapsed="false">
      <c r="A20" s="8" t="s">
        <v>30</v>
      </c>
      <c r="B20" s="14" t="n">
        <f aca="false">NORMSDIST(D2)</f>
        <v>0.518610551232876</v>
      </c>
    </row>
    <row r="21" customFormat="false" ht="15" hidden="false" customHeight="false" outlineLevel="0" collapsed="false">
      <c r="A21" s="8" t="s">
        <v>31</v>
      </c>
      <c r="B21" s="14" t="n">
        <f aca="false">EXP(-(D1^2)/2)/SQRT(2*PI())</f>
        <v>0.38288238639453</v>
      </c>
    </row>
    <row r="23" customFormat="false" ht="15" hidden="false" customHeight="false" outlineLevel="0" collapsed="false">
      <c r="A23" s="15" t="s">
        <v>32</v>
      </c>
      <c r="B23" s="16" t="n">
        <f aca="false">S*EXP(-DIV*T)*ND1-K*EXP(-RF*T)*ND2</f>
        <v>11.4540677863298</v>
      </c>
    </row>
    <row r="24" customFormat="false" ht="15" hidden="false" customHeight="false" outlineLevel="0" collapsed="false">
      <c r="A24" s="8" t="s">
        <v>33</v>
      </c>
      <c r="B24" s="17" t="n">
        <f aca="false">PRICE*LOT</f>
        <v>114540.677863298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4" min="2" style="0" width="17"/>
    <col collapsed="false" customWidth="true" hidden="false" outlineLevel="0" max="5" min="5" style="0" width="4"/>
    <col collapsed="false" customWidth="true" hidden="false" outlineLevel="0" max="6" min="6" style="0" width="48"/>
  </cols>
  <sheetData>
    <row r="1" customFormat="false" ht="24" hidden="false" customHeight="true" outlineLevel="0" collapsed="false">
      <c r="A1" s="1" t="s">
        <v>34</v>
      </c>
    </row>
    <row r="2" customFormat="false" ht="15" hidden="false" customHeight="false" outlineLevel="0" collapsed="false">
      <c r="A2" s="2" t="s">
        <v>35</v>
      </c>
    </row>
    <row r="3" customFormat="false" ht="15" hidden="false" customHeight="false" outlineLevel="0" collapsed="false">
      <c r="A3" s="3"/>
      <c r="B3" s="3"/>
      <c r="C3" s="3"/>
      <c r="D3" s="3"/>
    </row>
    <row r="5" customFormat="false" ht="30" hidden="false" customHeight="true" outlineLevel="0" collapsed="false">
      <c r="A5" s="18" t="s">
        <v>36</v>
      </c>
      <c r="B5" s="19" t="s">
        <v>37</v>
      </c>
      <c r="C5" s="19" t="s">
        <v>38</v>
      </c>
      <c r="D5" s="19" t="s">
        <v>39</v>
      </c>
    </row>
    <row r="6" customFormat="false" ht="15" hidden="false" customHeight="false" outlineLevel="0" collapsed="false">
      <c r="A6" s="12" t="n">
        <v>0.16</v>
      </c>
      <c r="B6" s="14" t="n">
        <f aca="false">S*EXP(-DIV*T)*NORMSDIST((LN(S/K)+(RF-DIV+A6^2/2)*T)/(A6*SQRT(T)))-K*EXP(-RF*T)*NORMSDIST((LN(S/K)+(RF-DIV+A6^2/2)*T)/(A6*SQRT(T))-A6*SQRT(T))</f>
        <v>8.40568818148075</v>
      </c>
      <c r="C6" s="14" t="n">
        <f aca="false">B6-PRICE</f>
        <v>-3.04837960484909</v>
      </c>
      <c r="D6" s="14" t="n">
        <f aca="false">(S*EXP(-DIV*T)*NORMSDIST((LN(S/K)+(RF-DIV+(A6+0.0001)^2/2)*T)/((A6+0.0001)*SQRT(T)))-K*EXP(-RF*T)*NORMSDIST((LN(S/K)+(RF-DIV+(A6+0.0001)^2/2)*T)/((A6+0.0001)*SQRT(T))-(A6+0.0001)*SQRT(T))-B6)/0.0001/100</f>
        <v>0.377807295159016</v>
      </c>
    </row>
    <row r="7" customFormat="false" ht="15" hidden="false" customHeight="false" outlineLevel="0" collapsed="false">
      <c r="A7" s="12" t="n">
        <v>0.2</v>
      </c>
      <c r="B7" s="14" t="n">
        <f aca="false">S*EXP(-DIV*T)*NORMSDIST((LN(S/K)+(RF-DIV+A7^2/2)*T)/(A7*SQRT(T)))-K*EXP(-RF*T)*NORMSDIST((LN(S/K)+(RF-DIV+A7^2/2)*T)/(A7*SQRT(T))-A7*SQRT(T))</f>
        <v>9.92505371727444</v>
      </c>
      <c r="C7" s="14" t="n">
        <f aca="false">B7-PRICE</f>
        <v>-1.52901406905539</v>
      </c>
      <c r="D7" s="14" t="n">
        <f aca="false">(S*EXP(-DIV*T)*NORMSDIST((LN(S/K)+(RF-DIV+(A7+0.0001)^2/2)*T)/((A7+0.0001)*SQRT(T)))-K*EXP(-RF*T)*NORMSDIST((LN(S/K)+(RF-DIV+(A7+0.0001)^2/2)*T)/((A7+0.0001)*SQRT(T))-(A7+0.0001)*SQRT(T))-B7)/0.0001/100</f>
        <v>0.381390673818061</v>
      </c>
    </row>
    <row r="8" customFormat="false" ht="15" hidden="false" customHeight="false" outlineLevel="0" collapsed="false">
      <c r="A8" s="12" t="n">
        <v>0.22</v>
      </c>
      <c r="B8" s="14" t="n">
        <f aca="false">S*EXP(-DIV*T)*NORMSDIST((LN(S/K)+(RF-DIV+A8^2/2)*T)/(A8*SQRT(T)))-K*EXP(-RF*T)*NORMSDIST((LN(S/K)+(RF-DIV+A8^2/2)*T)/(A8*SQRT(T))-A8*SQRT(T))</f>
        <v>10.6888229447584</v>
      </c>
      <c r="C8" s="14" t="n">
        <f aca="false">B8-PRICE</f>
        <v>-0.765244841571395</v>
      </c>
      <c r="D8" s="14" t="n">
        <f aca="false">(S*EXP(-DIV*T)*NORMSDIST((LN(S/K)+(RF-DIV+(A8+0.0001)^2/2)*T)/((A8+0.0001)*SQRT(T)))-K*EXP(-RF*T)*NORMSDIST((LN(S/K)+(RF-DIV+(A8+0.0001)^2/2)*T)/((A8+0.0001)*SQRT(T))-(A8+0.0001)*SQRT(T))-B8)/0.0001/100</f>
        <v>0.382314121955574</v>
      </c>
    </row>
    <row r="9" customFormat="false" ht="15" hidden="false" customHeight="false" outlineLevel="0" collapsed="false">
      <c r="A9" s="20" t="n">
        <v>0.24</v>
      </c>
      <c r="B9" s="21" t="n">
        <f aca="false">S*EXP(-DIV*T)*NORMSDIST((LN(S/K)+(RF-DIV+A9^2/2)*T)/(A9*SQRT(T)))-K*EXP(-RF*T)*NORMSDIST((LN(S/K)+(RF-DIV+A9^2/2)*T)/(A9*SQRT(T))-A9*SQRT(T))</f>
        <v>11.4540677863298</v>
      </c>
      <c r="C9" s="21" t="n">
        <f aca="false">B9-PRICE</f>
        <v>0</v>
      </c>
      <c r="D9" s="21" t="n">
        <f aca="false">(S*EXP(-DIV*T)*NORMSDIST((LN(S/K)+(RF-DIV+(A9+0.0001)^2/2)*T)/((A9+0.0001)*SQRT(T)))-K*EXP(-RF*T)*NORMSDIST((LN(S/K)+(RF-DIV+(A9+0.0001)^2/2)*T)/((A9+0.0001)*SQRT(T))-(A9+0.0001)*SQRT(T))-B9)/0.0001/100</f>
        <v>0.382883452420657</v>
      </c>
    </row>
    <row r="10" customFormat="false" ht="15" hidden="false" customHeight="false" outlineLevel="0" collapsed="false">
      <c r="A10" s="12" t="n">
        <v>0.26</v>
      </c>
      <c r="B10" s="14" t="n">
        <f aca="false">S*EXP(-DIV*T)*NORMSDIST((LN(S/K)+(RF-DIV+A10^2/2)*T)/(A10*SQRT(T)))-K*EXP(-RF*T)*NORMSDIST((LN(S/K)+(RF-DIV+A10^2/2)*T)/(A10*SQRT(T))-A10*SQRT(T))</f>
        <v>12.2201785611172</v>
      </c>
      <c r="C10" s="14" t="n">
        <f aca="false">B10-PRICE</f>
        <v>0.76611077478735</v>
      </c>
      <c r="D10" s="14" t="n">
        <f aca="false">(S*EXP(-DIV*T)*NORMSDIST((LN(S/K)+(RF-DIV+(A10+0.0001)^2/2)*T)/((A10+0.0001)*SQRT(T)))-K*EXP(-RF*T)*NORMSDIST((LN(S/K)+(RF-DIV+(A10+0.0001)^2/2)*T)/((A10+0.0001)*SQRT(T))-(A10+0.0001)*SQRT(T))-B10)/0.0001/100</f>
        <v>0.38319106374729</v>
      </c>
    </row>
    <row r="11" customFormat="false" ht="15" hidden="false" customHeight="false" outlineLevel="0" collapsed="false">
      <c r="A11" s="12" t="n">
        <v>0.28</v>
      </c>
      <c r="B11" s="14" t="n">
        <f aca="false">S*EXP(-DIV*T)*NORMSDIST((LN(S/K)+(RF-DIV+A11^2/2)*T)/(A11*SQRT(T)))-K*EXP(-RF*T)*NORMSDIST((LN(S/K)+(RF-DIV+A11^2/2)*T)/(A11*SQRT(T))-A11*SQRT(T))</f>
        <v>12.9866966152782</v>
      </c>
      <c r="C11" s="14" t="n">
        <f aca="false">B11-PRICE</f>
        <v>1.53262882894833</v>
      </c>
      <c r="D11" s="14" t="n">
        <f aca="false">(S*EXP(-DIV*T)*NORMSDIST((LN(S/K)+(RF-DIV+(A11+0.0001)^2/2)*T)/((A11+0.0001)*SQRT(T)))-K*EXP(-RF*T)*NORMSDIST((LN(S/K)+(RF-DIV+(A11+0.0001)^2/2)*T)/((A11+0.0001)*SQRT(T))-(A11+0.0001)*SQRT(T))-B11)/0.0001/100</f>
        <v>0.383298020013001</v>
      </c>
    </row>
    <row r="12" customFormat="false" ht="15" hidden="false" customHeight="false" outlineLevel="0" collapsed="false">
      <c r="A12" s="12" t="n">
        <v>0.32</v>
      </c>
      <c r="B12" s="14" t="n">
        <f aca="false">S*EXP(-DIV*T)*NORMSDIST((LN(S/K)+(RF-DIV+A12^2/2)*T)/(A12*SQRT(T)))-K*EXP(-RF*T)*NORMSDIST((LN(S/K)+(RF-DIV+A12^2/2)*T)/(A12*SQRT(T))-A12*SQRT(T))</f>
        <v>14.5195954514433</v>
      </c>
      <c r="C12" s="14" t="n">
        <f aca="false">B12-PRICE</f>
        <v>3.0655276651135</v>
      </c>
      <c r="D12" s="14" t="n">
        <f aca="false">(S*EXP(-DIV*T)*NORMSDIST((LN(S/K)+(RF-DIV+(A12+0.0001)^2/2)*T)/((A12+0.0001)*SQRT(T)))-K*EXP(-RF*T)*NORMSDIST((LN(S/K)+(RF-DIV+(A12+0.0001)^2/2)*T)/((A12+0.0001)*SQRT(T))-(A12+0.0001)*SQRT(T))-B12)/0.0001/100</f>
        <v>0.383064233268726</v>
      </c>
    </row>
    <row r="14" customFormat="false" ht="15" hidden="false" customHeight="false" outlineLevel="0" collapsed="false">
      <c r="A14" s="15" t="s">
        <v>40</v>
      </c>
      <c r="B14" s="16" t="n">
        <f aca="false">B11-B7</f>
        <v>3.06164289800372</v>
      </c>
    </row>
    <row r="15" customFormat="false" ht="15" hidden="false" customHeight="false" outlineLevel="0" collapsed="false">
      <c r="A15" s="15" t="s">
        <v>41</v>
      </c>
      <c r="B15" s="22" t="n">
        <f aca="false">B14/PRICE</f>
        <v>0.267297431368244</v>
      </c>
    </row>
    <row r="17" customFormat="false" ht="15" hidden="false" customHeight="false" outlineLevel="0" collapsed="false">
      <c r="A17" s="4" t="s">
        <v>42</v>
      </c>
      <c r="B17" s="7"/>
      <c r="C17" s="7"/>
      <c r="D17" s="7"/>
    </row>
    <row r="19" customFormat="false" ht="15" hidden="false" customHeight="false" outlineLevel="0" collapsed="false">
      <c r="A19" s="23" t="s">
        <v>43</v>
      </c>
    </row>
    <row r="22" customFormat="false" ht="15" hidden="false" customHeight="false" outlineLevel="0" collapsed="false">
      <c r="A22" s="4" t="s">
        <v>44</v>
      </c>
      <c r="B22" s="7"/>
      <c r="C22" s="7"/>
      <c r="D22" s="7"/>
    </row>
    <row r="24" customFormat="false" ht="15" hidden="false" customHeight="false" outlineLevel="0" collapsed="false">
      <c r="A24" s="8" t="s">
        <v>45</v>
      </c>
      <c r="B24" s="24" t="n">
        <v>12.5</v>
      </c>
    </row>
    <row r="25" customFormat="false" ht="15" hidden="false" customHeight="false" outlineLevel="0" collapsed="false">
      <c r="A25" s="8" t="s">
        <v>46</v>
      </c>
      <c r="B25" s="25" t="n">
        <f aca="false">SIG</f>
        <v>0.24</v>
      </c>
    </row>
    <row r="26" customFormat="false" ht="15" hidden="false" customHeight="false" outlineLevel="0" collapsed="false">
      <c r="A26" s="8" t="s">
        <v>47</v>
      </c>
      <c r="B26" s="25" t="n">
        <f aca="false">B25+($B$24-(S*EXP(-DIV*T)*NORMSDIST((LN(S/K)+(RF-DIV+B25^2/2)*T)/(B25*SQRT(T)))-K*EXP(-RF*T)*NORMSDIST((LN(S/K)+(RF-DIV+B25^2/2)*T)/(B25*SQRT(T))-B25*SQRT(T))))/(S*EXP(-DIV*T)*EXP(-(((LN(S/K)+(RF-DIV+B25^2/2)*T)/(B25*SQRT(T)))^2)/2)/SQRT(2*PI())*SQRT(T))</f>
        <v>0.267317323826759</v>
      </c>
    </row>
    <row r="27" customFormat="false" ht="15" hidden="false" customHeight="false" outlineLevel="0" collapsed="false">
      <c r="A27" s="8" t="s">
        <v>48</v>
      </c>
      <c r="B27" s="25" t="n">
        <f aca="false">B26+($B$24-(S*EXP(-DIV*T)*NORMSDIST((LN(S/K)+(RF-DIV+B26^2/2)*T)/(B26*SQRT(T)))-K*EXP(-RF*T)*NORMSDIST((LN(S/K)+(RF-DIV+B26^2/2)*T)/(B26*SQRT(T))-B26*SQRT(T))))/(S*EXP(-DIV*T)*EXP(-(((LN(S/K)+(RF-DIV+B26^2/2)*T)/(B26*SQRT(T)))^2)/2)/SQRT(2*PI())*SQRT(T))</f>
        <v>0.267301797882311</v>
      </c>
    </row>
    <row r="28" customFormat="false" ht="15" hidden="false" customHeight="false" outlineLevel="0" collapsed="false">
      <c r="A28" s="8" t="s">
        <v>49</v>
      </c>
      <c r="B28" s="25" t="n">
        <f aca="false">B27+($B$24-(S*EXP(-DIV*T)*NORMSDIST((LN(S/K)+(RF-DIV+B27^2/2)*T)/(B27*SQRT(T)))-K*EXP(-RF*T)*NORMSDIST((LN(S/K)+(RF-DIV+B27^2/2)*T)/(B27*SQRT(T))-B27*SQRT(T))))/(S*EXP(-DIV*T)*EXP(-(((LN(S/K)+(RF-DIV+B27^2/2)*T)/(B27*SQRT(T)))^2)/2)/SQRT(2*PI())*SQRT(T))</f>
        <v>0.26730179788027</v>
      </c>
    </row>
    <row r="29" customFormat="false" ht="15" hidden="false" customHeight="false" outlineLevel="0" collapsed="false">
      <c r="A29" s="8" t="s">
        <v>50</v>
      </c>
      <c r="B29" s="25" t="n">
        <f aca="false">B28+($B$24-(S*EXP(-DIV*T)*NORMSDIST((LN(S/K)+(RF-DIV+B28^2/2)*T)/(B28*SQRT(T)))-K*EXP(-RF*T)*NORMSDIST((LN(S/K)+(RF-DIV+B28^2/2)*T)/(B28*SQRT(T))-B28*SQRT(T))))/(S*EXP(-DIV*T)*EXP(-(((LN(S/K)+(RF-DIV+B28^2/2)*T)/(B28*SQRT(T)))^2)/2)/SQRT(2*PI())*SQRT(T))</f>
        <v>0.26730179788027</v>
      </c>
    </row>
    <row r="30" customFormat="false" ht="15" hidden="false" customHeight="false" outlineLevel="0" collapsed="false">
      <c r="A30" s="8" t="s">
        <v>51</v>
      </c>
      <c r="B30" s="25" t="n">
        <f aca="false">B29+($B$24-(S*EXP(-DIV*T)*NORMSDIST((LN(S/K)+(RF-DIV+B29^2/2)*T)/(B29*SQRT(T)))-K*EXP(-RF*T)*NORMSDIST((LN(S/K)+(RF-DIV+B29^2/2)*T)/(B29*SQRT(T))-B29*SQRT(T))))/(S*EXP(-DIV*T)*EXP(-(((LN(S/K)+(RF-DIV+B29^2/2)*T)/(B29*SQRT(T)))^2)/2)/SQRT(2*PI())*SQRT(T))</f>
        <v>0.26730179788027</v>
      </c>
    </row>
    <row r="31" customFormat="false" ht="15" hidden="false" customHeight="false" outlineLevel="0" collapsed="false">
      <c r="A31" s="8" t="s">
        <v>52</v>
      </c>
      <c r="B31" s="25" t="n">
        <f aca="false">B30+($B$24-(S*EXP(-DIV*T)*NORMSDIST((LN(S/K)+(RF-DIV+B30^2/2)*T)/(B30*SQRT(T)))-K*EXP(-RF*T)*NORMSDIST((LN(S/K)+(RF-DIV+B30^2/2)*T)/(B30*SQRT(T))-B30*SQRT(T))))/(S*EXP(-DIV*T)*EXP(-(((LN(S/K)+(RF-DIV+B30^2/2)*T)/(B30*SQRT(T)))^2)/2)/SQRT(2*PI())*SQRT(T))</f>
        <v>0.26730179788027</v>
      </c>
    </row>
    <row r="32" customFormat="false" ht="15" hidden="false" customHeight="false" outlineLevel="0" collapsed="false">
      <c r="A32" s="15" t="s">
        <v>23</v>
      </c>
      <c r="B32" s="26" t="n">
        <f aca="false">B31</f>
        <v>0.26730179788027</v>
      </c>
    </row>
    <row r="33" customFormat="false" ht="15" hidden="false" customHeight="false" outlineLevel="0" collapsed="false">
      <c r="A33" s="8" t="s">
        <v>53</v>
      </c>
      <c r="B33" s="14" t="n">
        <f aca="false">(S*EXP(-DIV*T)*NORMSDIST((LN(S/K)+(RF-DIV+B32^2/2)*T)/(B32*SQRT(T)))-K*EXP(-RF*T)*NORMSDIST((LN(S/K)+(RF-DIV+B32^2/2)*T)/(B32*SQRT(T))-B32*SQRT(T)))</f>
        <v>12.5</v>
      </c>
    </row>
    <row r="34" customFormat="false" ht="15" hidden="false" customHeight="false" outlineLevel="0" collapsed="false">
      <c r="A34" s="8" t="s">
        <v>54</v>
      </c>
      <c r="B34" s="27" t="n">
        <f aca="false">B31-B30</f>
        <v>0</v>
      </c>
    </row>
    <row r="35" customFormat="false" ht="15" hidden="false" customHeight="false" outlineLevel="0" collapsed="false">
      <c r="A35" s="28" t="s">
        <v>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6" min="2" style="0" width="14"/>
    <col collapsed="false" customWidth="true" hidden="false" outlineLevel="0" max="7" min="7" style="0" width="4"/>
  </cols>
  <sheetData>
    <row r="1" customFormat="false" ht="19.7" hidden="false" customHeight="false" outlineLevel="0" collapsed="false">
      <c r="A1" s="29" t="s">
        <v>42</v>
      </c>
    </row>
    <row r="2" customFormat="false" ht="15" hidden="false" customHeight="false" outlineLevel="0" collapsed="false">
      <c r="A2" s="2" t="s">
        <v>56</v>
      </c>
    </row>
    <row r="5" customFormat="false" ht="15" hidden="false" customHeight="false" outlineLevel="0" collapsed="false">
      <c r="A5" s="30" t="s">
        <v>57</v>
      </c>
      <c r="B5" s="31" t="n">
        <v>0.0833333333333333</v>
      </c>
      <c r="C5" s="31" t="n">
        <v>0.25</v>
      </c>
      <c r="D5" s="31" t="n">
        <v>0.5</v>
      </c>
      <c r="E5" s="31" t="n">
        <v>1</v>
      </c>
      <c r="F5" s="31" t="n">
        <v>2</v>
      </c>
    </row>
    <row r="6" customFormat="false" ht="15" hidden="false" customHeight="false" outlineLevel="0" collapsed="false">
      <c r="A6" s="32" t="n">
        <v>70</v>
      </c>
      <c r="B6" s="14" t="n">
        <f aca="false">(S*EXP(-DIV*B$5)*EXP(-(((LN(S/$A6)+(RF-DIV+SIG^2/2)*B$5)/(SIG*SQRT(B$5)))^2)/2)/SQRT(2*PI())*SQRT(B$5))/100</f>
        <v>1.31716124875917E-007</v>
      </c>
      <c r="C6" s="14" t="n">
        <f aca="false">(S*EXP(-DIV*C$5)*EXP(-(((LN(S/$A6)+(RF-DIV+SIG^2/2)*C$5)/(SIG*SQRT(C$5)))^2)/2)/SQRT(2*PI())*SQRT(C$5))/100</f>
        <v>0.00155598914646758</v>
      </c>
      <c r="D6" s="14" t="n">
        <f aca="false">(S*EXP(-DIV*D$5)*EXP(-(((LN(S/$A6)+(RF-DIV+SIG^2/2)*D$5)/(SIG*SQRT(D$5)))^2)/2)/SQRT(2*PI())*SQRT(D$5))/100</f>
        <v>0.0198269388733716</v>
      </c>
      <c r="E6" s="14" t="n">
        <f aca="false">(S*EXP(-DIV*E$5)*EXP(-(((LN(S/$A6)+(RF-DIV+SIG^2/2)*E$5)/(SIG*SQRT(E$5)))^2)/2)/SQRT(2*PI())*SQRT(E$5))/100</f>
        <v>0.0828792790546273</v>
      </c>
      <c r="F6" s="14" t="n">
        <f aca="false">(S*EXP(-DIV*F$5)*EXP(-(((LN(S/$A6)+(RF-DIV+SIG^2/2)*F$5)/(SIG*SQRT(F$5)))^2)/2)/SQRT(2*PI())*SQRT(F$5))/100</f>
        <v>0.195395745699946</v>
      </c>
    </row>
    <row r="7" customFormat="false" ht="15" hidden="false" customHeight="false" outlineLevel="0" collapsed="false">
      <c r="A7" s="32" t="n">
        <v>80</v>
      </c>
      <c r="B7" s="21" t="n">
        <f aca="false">(S*EXP(-DIV*B$5)*EXP(-(((LN(S/$A7)+(RF-DIV+SIG^2/2)*B$5)/(SIG*SQRT(B$5)))^2)/2)/SQRT(2*PI())*SQRT(B$5))/100</f>
        <v>0.000491462963425273</v>
      </c>
      <c r="C7" s="21" t="n">
        <f aca="false">(S*EXP(-DIV*C$5)*EXP(-(((LN(S/$A7)+(RF-DIV+SIG^2/2)*C$5)/(SIG*SQRT(C$5)))^2)/2)/SQRT(2*PI())*SQRT(C$5))/100</f>
        <v>0.0268412427127146</v>
      </c>
      <c r="D7" s="21" t="n">
        <f aca="false">(S*EXP(-DIV*D$5)*EXP(-(((LN(S/$A7)+(RF-DIV+SIG^2/2)*D$5)/(SIG*SQRT(D$5)))^2)/2)/SQRT(2*PI())*SQRT(D$5))/100</f>
        <v>0.0891841700354458</v>
      </c>
      <c r="E7" s="21" t="n">
        <f aca="false">(S*EXP(-DIV*E$5)*EXP(-(((LN(S/$A7)+(RF-DIV+SIG^2/2)*E$5)/(SIG*SQRT(E$5)))^2)/2)/SQRT(2*PI())*SQRT(E$5))/100</f>
        <v>0.190368942647457</v>
      </c>
      <c r="F7" s="21" t="n">
        <f aca="false">(S*EXP(-DIV*F$5)*EXP(-(((LN(S/$A7)+(RF-DIV+SIG^2/2)*F$5)/(SIG*SQRT(F$5)))^2)/2)/SQRT(2*PI())*SQRT(F$5))/100</f>
        <v>0.320718675513538</v>
      </c>
    </row>
    <row r="8" customFormat="false" ht="15" hidden="false" customHeight="false" outlineLevel="0" collapsed="false">
      <c r="A8" s="32" t="n">
        <v>90</v>
      </c>
      <c r="B8" s="14" t="n">
        <f aca="false">(S*EXP(-DIV*B$5)*EXP(-(((LN(S/$A8)+(RF-DIV+SIG^2/2)*B$5)/(SIG*SQRT(B$5)))^2)/2)/SQRT(2*PI())*SQRT(B$5))/100</f>
        <v>0.0318409992989549</v>
      </c>
      <c r="C8" s="14" t="n">
        <f aca="false">(S*EXP(-DIV*C$5)*EXP(-(((LN(S/$A8)+(RF-DIV+SIG^2/2)*C$5)/(SIG*SQRT(C$5)))^2)/2)/SQRT(2*PI())*SQRT(C$5))/100</f>
        <v>0.118404210976616</v>
      </c>
      <c r="D8" s="14" t="n">
        <f aca="false">(S*EXP(-DIV*D$5)*EXP(-(((LN(S/$A8)+(RF-DIV+SIG^2/2)*D$5)/(SIG*SQRT(D$5)))^2)/2)/SQRT(2*PI())*SQRT(D$5))/100</f>
        <v>0.200964553549787</v>
      </c>
      <c r="E8" s="14" t="n">
        <f aca="false">(S*EXP(-DIV*E$5)*EXP(-(((LN(S/$A8)+(RF-DIV+SIG^2/2)*E$5)/(SIG*SQRT(E$5)))^2)/2)/SQRT(2*PI())*SQRT(E$5))/100</f>
        <v>0.306592385571079</v>
      </c>
      <c r="F8" s="14" t="n">
        <f aca="false">(S*EXP(-DIV*F$5)*EXP(-(((LN(S/$A8)+(RF-DIV+SIG^2/2)*F$5)/(SIG*SQRT(F$5)))^2)/2)/SQRT(2*PI())*SQRT(F$5))/100</f>
        <v>0.436672966304766</v>
      </c>
    </row>
    <row r="9" customFormat="false" ht="15" hidden="false" customHeight="false" outlineLevel="0" collapsed="false">
      <c r="A9" s="32" t="n">
        <v>100</v>
      </c>
      <c r="B9" s="33" t="n">
        <f aca="false">(S*EXP(-DIV*B$5)*EXP(-(((LN(S/$A9)+(RF-DIV+SIG^2/2)*B$5)/(SIG*SQRT(B$5)))^2)/2)/SQRT(2*PI())*SQRT(B$5))/100</f>
        <v>0.114771058312456</v>
      </c>
      <c r="C9" s="33" t="n">
        <f aca="false">(S*EXP(-DIV*C$5)*EXP(-(((LN(S/$A9)+(RF-DIV+SIG^2/2)*C$5)/(SIG*SQRT(C$5)))^2)/2)/SQRT(2*PI())*SQRT(C$5))/100</f>
        <v>0.197432616331889</v>
      </c>
      <c r="D9" s="33" t="n">
        <f aca="false">(S*EXP(-DIV*D$5)*EXP(-(((LN(S/$A9)+(RF-DIV+SIG^2/2)*D$5)/(SIG*SQRT(D$5)))^2)/2)/SQRT(2*PI())*SQRT(D$5))/100</f>
        <v>0.276358437860848</v>
      </c>
      <c r="E9" s="33" t="n">
        <f aca="false">(S*EXP(-DIV*E$5)*EXP(-(((LN(S/$A9)+(RF-DIV+SIG^2/2)*E$5)/(SIG*SQRT(E$5)))^2)/2)/SQRT(2*PI())*SQRT(E$5))/100</f>
        <v>0.38288238639453</v>
      </c>
      <c r="F9" s="33" t="n">
        <f aca="false">(S*EXP(-DIV*F$5)*EXP(-(((LN(S/$A9)+(RF-DIV+SIG^2/2)*F$5)/(SIG*SQRT(F$5)))^2)/2)/SQRT(2*PI())*SQRT(F$5))/100</f>
        <v>0.51967964700561</v>
      </c>
    </row>
    <row r="10" customFormat="false" ht="15" hidden="false" customHeight="false" outlineLevel="0" collapsed="false">
      <c r="A10" s="32" t="n">
        <v>110</v>
      </c>
      <c r="B10" s="14" t="n">
        <f aca="false">(S*EXP(-DIV*B$5)*EXP(-(((LN(S/$A10)+(RF-DIV+SIG^2/2)*B$5)/(SIG*SQRT(B$5)))^2)/2)/SQRT(2*PI())*SQRT(B$5))/100</f>
        <v>0.0499253503888982</v>
      </c>
      <c r="C10" s="14" t="n">
        <f aca="false">(S*EXP(-DIV*C$5)*EXP(-(((LN(S/$A10)+(RF-DIV+SIG^2/2)*C$5)/(SIG*SQRT(C$5)))^2)/2)/SQRT(2*PI())*SQRT(C$5))/100</f>
        <v>0.161389764432559</v>
      </c>
      <c r="D10" s="14" t="n">
        <f aca="false">(S*EXP(-DIV*D$5)*EXP(-(((LN(S/$A10)+(RF-DIV+SIG^2/2)*D$5)/(SIG*SQRT(D$5)))^2)/2)/SQRT(2*PI())*SQRT(D$5))/100</f>
        <v>0.26449770252475</v>
      </c>
      <c r="E10" s="14" t="n">
        <f aca="false">(S*EXP(-DIV*E$5)*EXP(-(((LN(S/$A10)+(RF-DIV+SIG^2/2)*E$5)/(SIG*SQRT(E$5)))^2)/2)/SQRT(2*PI())*SQRT(E$5))/100</f>
        <v>0.396515900066811</v>
      </c>
      <c r="F10" s="14" t="n">
        <f aca="false">(S*EXP(-DIV*F$5)*EXP(-(((LN(S/$A10)+(RF-DIV+SIG^2/2)*F$5)/(SIG*SQRT(F$5)))^2)/2)/SQRT(2*PI())*SQRT(F$5))/100</f>
        <v>0.559827140208721</v>
      </c>
    </row>
    <row r="11" customFormat="false" ht="15" hidden="false" customHeight="false" outlineLevel="0" collapsed="false">
      <c r="A11" s="32" t="n">
        <v>120</v>
      </c>
      <c r="B11" s="21" t="n">
        <f aca="false">(S*EXP(-DIV*B$5)*EXP(-(((LN(S/$A11)+(RF-DIV+SIG^2/2)*B$5)/(SIG*SQRT(B$5)))^2)/2)/SQRT(2*PI())*SQRT(B$5))/100</f>
        <v>0.00447314847846964</v>
      </c>
      <c r="C11" s="21" t="n">
        <f aca="false">(S*EXP(-DIV*C$5)*EXP(-(((LN(S/$A11)+(RF-DIV+SIG^2/2)*C$5)/(SIG*SQRT(C$5)))^2)/2)/SQRT(2*PI())*SQRT(C$5))/100</f>
        <v>0.0773982146580372</v>
      </c>
      <c r="D11" s="21" t="n">
        <f aca="false">(S*EXP(-DIV*D$5)*EXP(-(((LN(S/$A11)+(RF-DIV+SIG^2/2)*D$5)/(SIG*SQRT(D$5)))^2)/2)/SQRT(2*PI())*SQRT(D$5))/100</f>
        <v>0.192937901223312</v>
      </c>
      <c r="E11" s="21" t="n">
        <f aca="false">(S*EXP(-DIV*E$5)*EXP(-(((LN(S/$A11)+(RF-DIV+SIG^2/2)*E$5)/(SIG*SQRT(E$5)))^2)/2)/SQRT(2*PI())*SQRT(E$5))/100</f>
        <v>0.356719292716185</v>
      </c>
      <c r="F11" s="21" t="n">
        <f aca="false">(S*EXP(-DIV*F$5)*EXP(-(((LN(S/$A11)+(RF-DIV+SIG^2/2)*F$5)/(SIG*SQRT(F$5)))^2)/2)/SQRT(2*PI())*SQRT(F$5))/100</f>
        <v>0.559313256743221</v>
      </c>
    </row>
    <row r="12" customFormat="false" ht="15" hidden="false" customHeight="false" outlineLevel="0" collapsed="false">
      <c r="A12" s="32" t="n">
        <v>130</v>
      </c>
      <c r="B12" s="14" t="n">
        <f aca="false">(S*EXP(-DIV*B$5)*EXP(-(((LN(S/$A12)+(RF-DIV+SIG^2/2)*B$5)/(SIG*SQRT(B$5)))^2)/2)/SQRT(2*PI())*SQRT(B$5))/100</f>
        <v>0.000120754662745758</v>
      </c>
      <c r="C12" s="14" t="n">
        <f aca="false">(S*EXP(-DIV*C$5)*EXP(-(((LN(S/$A12)+(RF-DIV+SIG^2/2)*C$5)/(SIG*SQRT(C$5)))^2)/2)/SQRT(2*PI())*SQRT(C$5))/100</f>
        <v>0.0247462128718292</v>
      </c>
      <c r="D12" s="14" t="n">
        <f aca="false">(S*EXP(-DIV*D$5)*EXP(-(((LN(S/$A12)+(RF-DIV+SIG^2/2)*D$5)/(SIG*SQRT(D$5)))^2)/2)/SQRT(2*PI())*SQRT(D$5))/100</f>
        <v>0.114437181542757</v>
      </c>
      <c r="E12" s="14" t="n">
        <f aca="false">(S*EXP(-DIV*E$5)*EXP(-(((LN(S/$A12)+(RF-DIV+SIG^2/2)*E$5)/(SIG*SQRT(E$5)))^2)/2)/SQRT(2*PI())*SQRT(E$5))/100</f>
        <v>0.288178848817487</v>
      </c>
      <c r="F12" s="14" t="n">
        <f aca="false">(S*EXP(-DIV*F$5)*EXP(-(((LN(S/$A12)+(RF-DIV+SIG^2/2)*F$5)/(SIG*SQRT(F$5)))^2)/2)/SQRT(2*PI())*SQRT(F$5))/100</f>
        <v>0.527331321217128</v>
      </c>
    </row>
    <row r="14" customFormat="false" ht="15" hidden="false" customHeight="false" outlineLevel="0" collapsed="false">
      <c r="A14" s="15" t="s">
        <v>58</v>
      </c>
      <c r="B14" s="34" t="n">
        <f aca="false">S*EXP((RF-DIV+SIG^2/2)*B$5)</f>
        <v>100.574980034413</v>
      </c>
      <c r="C14" s="34" t="n">
        <f aca="false">S*EXP((RF-DIV+SIG^2/2)*C$5)</f>
        <v>101.734877173397</v>
      </c>
      <c r="D14" s="34" t="n">
        <f aca="false">S*EXP((RF-DIV+SIG^2/2)*D$5)</f>
        <v>103.499852334861</v>
      </c>
      <c r="E14" s="34" t="n">
        <f aca="false">S*EXP((RF-DIV+SIG^2/2)*E$5)</f>
        <v>107.122194333381</v>
      </c>
      <c r="F14" s="34" t="n">
        <f aca="false">S*EXP((RF-DIV+SIG^2/2)*F$5)</f>
        <v>114.751645187987</v>
      </c>
    </row>
    <row r="15" customFormat="false" ht="15" hidden="false" customHeight="false" outlineLevel="0" collapsed="false">
      <c r="A15" s="15" t="s">
        <v>59</v>
      </c>
      <c r="B15" s="16" t="n">
        <f aca="false">(S*EXP(-DIV*B$5)*EXP(-(((LN(S/B14)+(RF-DIV+SIG^2/2)*B$5)/(SIG*SQRT(B$5)))^2)/2)/SQRT(2*PI())*SQRT(B$5))/100</f>
        <v>0.115164716490445</v>
      </c>
      <c r="C15" s="16" t="n">
        <f aca="false">(S*EXP(-DIV*C$5)*EXP(-(((LN(S/C14)+(RF-DIV+SIG^2/2)*C$5)/(SIG*SQRT(C$5)))^2)/2)/SQRT(2*PI())*SQRT(C$5))/100</f>
        <v>0.199471140200716</v>
      </c>
      <c r="D15" s="16" t="n">
        <f aca="false">(S*EXP(-DIV*D$5)*EXP(-(((LN(S/D14)+(RF-DIV+SIG^2/2)*D$5)/(SIG*SQRT(D$5)))^2)/2)/SQRT(2*PI())*SQRT(D$5))/100</f>
        <v>0.282094791773878</v>
      </c>
      <c r="E15" s="16" t="n">
        <f aca="false">(S*EXP(-DIV*E$5)*EXP(-(((LN(S/E14)+(RF-DIV+SIG^2/2)*E$5)/(SIG*SQRT(E$5)))^2)/2)/SQRT(2*PI())*SQRT(E$5))/100</f>
        <v>0.398942280401433</v>
      </c>
      <c r="F15" s="16" t="n">
        <f aca="false">(S*EXP(-DIV*F$5)*EXP(-(((LN(S/F14)+(RF-DIV+SIG^2/2)*F$5)/(SIG*SQRT(F$5)))^2)/2)/SQRT(2*PI())*SQRT(F$5))/100</f>
        <v>0.564189583547756</v>
      </c>
    </row>
    <row r="16" customFormat="false" ht="15" hidden="false" customHeight="false" outlineLevel="0" collapsed="false">
      <c r="A16" s="8" t="s">
        <v>60</v>
      </c>
      <c r="B16" s="14" t="n">
        <f aca="false">MAX(B6:B12)</f>
        <v>0.114771058312456</v>
      </c>
      <c r="C16" s="14" t="n">
        <f aca="false">MAX(C6:C12)</f>
        <v>0.197432616331889</v>
      </c>
      <c r="D16" s="14" t="n">
        <f aca="false">MAX(D6:D12)</f>
        <v>0.276358437860848</v>
      </c>
      <c r="E16" s="14" t="n">
        <f aca="false">MAX(E6:E12)</f>
        <v>0.396515900066811</v>
      </c>
      <c r="F16" s="14" t="n">
        <f aca="false">MAX(F6:F12)</f>
        <v>0.559827140208721</v>
      </c>
    </row>
    <row r="18" customFormat="false" ht="15" hidden="false" customHeight="false" outlineLevel="0" collapsed="false">
      <c r="A18" s="28" t="s">
        <v>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3" min="2" style="0" width="18"/>
    <col collapsed="false" customWidth="true" hidden="false" outlineLevel="0" max="4" min="4" style="0" width="14"/>
    <col collapsed="false" customWidth="true" hidden="false" outlineLevel="0" max="5" min="5" style="0" width="4"/>
    <col collapsed="false" customWidth="true" hidden="false" outlineLevel="0" max="6" min="6" style="0" width="44"/>
  </cols>
  <sheetData>
    <row r="1" customFormat="false" ht="24" hidden="false" customHeight="true" outlineLevel="0" collapsed="false">
      <c r="A1" s="1" t="s">
        <v>62</v>
      </c>
    </row>
    <row r="2" customFormat="false" ht="15" hidden="false" customHeight="false" outlineLevel="0" collapsed="false">
      <c r="A2" s="2" t="s">
        <v>63</v>
      </c>
    </row>
    <row r="3" customFormat="false" ht="15" hidden="false" customHeight="false" outlineLevel="0" collapsed="false">
      <c r="A3" s="3"/>
      <c r="B3" s="3"/>
      <c r="C3" s="3"/>
      <c r="D3" s="3"/>
    </row>
    <row r="5" customFormat="false" ht="30" hidden="false" customHeight="true" outlineLevel="0" collapsed="false">
      <c r="A5" s="18" t="s">
        <v>64</v>
      </c>
      <c r="B5" s="19" t="s">
        <v>65</v>
      </c>
      <c r="C5" s="19" t="s">
        <v>66</v>
      </c>
      <c r="D5" s="19" t="s">
        <v>67</v>
      </c>
    </row>
    <row r="6" customFormat="false" ht="15" hidden="false" customHeight="false" outlineLevel="0" collapsed="false">
      <c r="A6" s="8" t="s">
        <v>68</v>
      </c>
      <c r="B6" s="14" t="n">
        <f aca="false">PRICE-(K*EXP(-RF*T)*NORMSDIST(-D2)-S*EXP(-DIV*T)*NORMSDIST(-D1))-S*EXP(-DIV*T)+K*EXP(-RF*T)</f>
        <v>0</v>
      </c>
      <c r="C6" s="35" t="n">
        <v>0</v>
      </c>
      <c r="D6" s="36" t="str">
        <f aca="false">IF(ABS(B6-C6)&lt;=0.000000001,"PASS","FAIL")</f>
        <v>PASS</v>
      </c>
    </row>
    <row r="7" customFormat="false" ht="15" hidden="false" customHeight="false" outlineLevel="0" collapsed="false">
      <c r="A7" s="8" t="s">
        <v>69</v>
      </c>
      <c r="B7" s="14" t="n">
        <f aca="false">K*EXP(-RF*T)*NORMSDIST(-D2)-S*EXP(-DIV*T)*NORMSDIST(-D1)</f>
        <v>7.53301170156215</v>
      </c>
      <c r="C7" s="35" t="n">
        <v>7.533012</v>
      </c>
      <c r="D7" s="36" t="str">
        <f aca="false">IF(ABS(B7-C7)&lt;=0.0000005,"PASS","FAIL")</f>
        <v>PASS</v>
      </c>
    </row>
    <row r="8" customFormat="false" ht="15" hidden="false" customHeight="false" outlineLevel="0" collapsed="false">
      <c r="A8" s="8" t="s">
        <v>70</v>
      </c>
      <c r="B8" s="14" t="n">
        <f aca="false">S*EXP(-DIV*T)*NORMSDIST((LN(S/K)+(RF-DIV+0.000001^2/2)*T)/(0.000001*SQRT(T)))-K*EXP(-RF*T)*NORMSDIST((LN(S/K)+(RF-DIV+0.000001^2/2)*T)/(0.000001*SQRT(T))-0.000001*SQRT(T))</f>
        <v>3.92105608476768</v>
      </c>
      <c r="C8" s="35" t="n">
        <v>3.921056</v>
      </c>
      <c r="D8" s="36" t="str">
        <f aca="false">IF(ABS(B8-C8)&lt;=0.00001,"PASS","FAIL")</f>
        <v>PASS</v>
      </c>
    </row>
    <row r="9" customFormat="false" ht="15" hidden="false" customHeight="false" outlineLevel="0" collapsed="false">
      <c r="A9" s="8" t="s">
        <v>71</v>
      </c>
      <c r="B9" s="14" t="n">
        <f aca="false">1000*EXP(-DIV*T)*NORMSDIST((LN(1000/K)+(RF-DIV+SIG^2/2)*T)/(SIG*SQRT(T)))-K*EXP(-RF*T)*NORMSDIST((LN(1000/K)+(RF-DIV+SIG^2/2)*T)/(SIG*SQRT(T))-SIG*SQRT(T))</f>
        <v>903.921056084768</v>
      </c>
      <c r="C9" s="35" t="n">
        <v>903.921056</v>
      </c>
      <c r="D9" s="36" t="str">
        <f aca="false">IF(ABS(B9-C9)&lt;=0.00001,"PASS","FAIL")</f>
        <v>PASS</v>
      </c>
    </row>
    <row r="10" customFormat="false" ht="15" hidden="false" customHeight="false" outlineLevel="0" collapsed="false">
      <c r="A10" s="8" t="s">
        <v>72</v>
      </c>
      <c r="B10" s="14" t="n">
        <f aca="false">10*EXP(-DIV*T)*NORMSDIST((LN(10/K)+(RF-DIV+SIG^2/2)*T)/(SIG*SQRT(T)))-K*EXP(-RF*T)*NORMSDIST((LN(10/K)+(RF-DIV+SIG^2/2)*T)/(SIG*SQRT(T))-SIG*SQRT(T))</f>
        <v>1.61124029455704E-021</v>
      </c>
      <c r="C10" s="35" t="n">
        <v>0</v>
      </c>
      <c r="D10" s="36" t="str">
        <f aca="false">IF(ABS(B10-C10)&lt;=0.0001,"PASS","FAIL")</f>
        <v>PASS</v>
      </c>
    </row>
    <row r="11" customFormat="false" ht="15" hidden="false" customHeight="false" outlineLevel="0" collapsed="false">
      <c r="A11" s="8" t="s">
        <v>73</v>
      </c>
      <c r="B11" s="14" t="n">
        <f aca="false">IF(S*EXP(-DIV*T)*NORMSDIST((LN(S/K)+(RF-DIV+(SIG+0.01)^2/2)*T)/((SIG+0.01)*SQRT(T)))-K*EXP(-RF*T)*NORMSDIST((LN(S/K)+(RF-DIV+(SIG+0.01)^2/2)*T)/((SIG+0.01)*SQRT(T))-(SIG+0.01)*SQRT(T))&gt;PRICE,1,0)</f>
        <v>1</v>
      </c>
      <c r="C11" s="35" t="n">
        <v>1</v>
      </c>
      <c r="D11" s="36" t="str">
        <f aca="false">IF(ABS(B11-C11)&lt;=0,"PASS","FAIL")</f>
        <v>PASS</v>
      </c>
    </row>
    <row r="12" customFormat="false" ht="15" hidden="false" customHeight="false" outlineLevel="0" collapsed="false">
      <c r="A12" s="8" t="s">
        <v>74</v>
      </c>
      <c r="B12" s="14" t="n">
        <f aca="false">IF(S*EXP(-DIV*(T+0.1))*NORMSDIST((LN(S/K)+(RF-DIV+SIG^2/2)*(T+0.1))/(SIG*SQRT((T+0.1))))-K*EXP(-RF*(T+0.1))*NORMSDIST((LN(S/K)+(RF-DIV+SIG^2/2)*(T+0.1))/(SIG*SQRT((T+0.1)))-SIG*SQRT((T+0.1)))&gt;PRICE,1,0)</f>
        <v>1</v>
      </c>
      <c r="C12" s="35" t="n">
        <v>1</v>
      </c>
      <c r="D12" s="36" t="str">
        <f aca="false">IF(ABS(B12-C12)&lt;=0,"PASS","FAIL")</f>
        <v>PASS</v>
      </c>
    </row>
    <row r="13" customFormat="false" ht="15" hidden="false" customHeight="false" outlineLevel="0" collapsed="false">
      <c r="A13" s="8" t="s">
        <v>75</v>
      </c>
      <c r="B13" s="14" t="n">
        <f aca="false">IF(S*EXP(-DIV*T)*NORMSDIST((LN(S/(K*1.1))+(RF-DIV+SIG^2/2)*T)/(SIG*SQRT(T)))-(K*1.1)*EXP(-RF*T)*NORMSDIST((LN(S/(K*1.1))+(RF-DIV+SIG^2/2)*T)/(SIG*SQRT(T))-SIG*SQRT(T))&lt;PRICE,1,0)</f>
        <v>1</v>
      </c>
      <c r="C13" s="35" t="n">
        <v>1</v>
      </c>
      <c r="D13" s="36" t="str">
        <f aca="false">IF(ABS(B13-C13)&lt;=0,"PASS","FAIL")</f>
        <v>PASS</v>
      </c>
    </row>
    <row r="15" customFormat="false" ht="15" hidden="false" customHeight="false" outlineLevel="0" collapsed="false">
      <c r="B15" s="15" t="s">
        <v>76</v>
      </c>
      <c r="C15" s="37" t="str">
        <f aca="false">COUNTIF(D6:D13,"PASS")&amp;" of "&amp;8</f>
        <v>8 of 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2" min="2" style="0" width="58"/>
    <col collapsed="false" customWidth="true" hidden="false" outlineLevel="0" max="4" min="3" style="0" width="18"/>
    <col collapsed="false" customWidth="true" hidden="false" outlineLevel="0" max="5" min="5" style="0" width="14"/>
    <col collapsed="false" customWidth="true" hidden="false" outlineLevel="0" max="6" min="6" style="0" width="11"/>
  </cols>
  <sheetData>
    <row r="1" customFormat="false" ht="24" hidden="false" customHeight="true" outlineLevel="0" collapsed="false">
      <c r="A1" s="1" t="s">
        <v>77</v>
      </c>
    </row>
    <row r="2" customFormat="false" ht="15" hidden="false" customHeight="false" outlineLevel="0" collapsed="false">
      <c r="A2" s="2" t="s">
        <v>78</v>
      </c>
    </row>
    <row r="3" customFormat="false" ht="15" hidden="false" customHeight="false" outlineLevel="0" collapsed="false">
      <c r="A3" s="3"/>
      <c r="B3" s="3"/>
      <c r="C3" s="3"/>
      <c r="D3" s="3"/>
      <c r="E3" s="3"/>
      <c r="F3" s="3"/>
    </row>
    <row r="5" customFormat="false" ht="30" hidden="false" customHeight="true" outlineLevel="0" collapsed="false">
      <c r="A5" s="38" t="s">
        <v>79</v>
      </c>
      <c r="B5" s="38" t="s">
        <v>80</v>
      </c>
      <c r="C5" s="38" t="s">
        <v>81</v>
      </c>
      <c r="D5" s="38" t="s">
        <v>82</v>
      </c>
      <c r="E5" s="38" t="s">
        <v>38</v>
      </c>
      <c r="F5" s="38" t="s">
        <v>67</v>
      </c>
    </row>
    <row r="6" customFormat="false" ht="15" hidden="false" customHeight="false" outlineLevel="0" collapsed="false">
      <c r="A6" s="8" t="s">
        <v>83</v>
      </c>
      <c r="B6" s="8" t="s">
        <v>84</v>
      </c>
      <c r="C6" s="14" t="n">
        <v>9.925054</v>
      </c>
      <c r="D6" s="14" t="n">
        <f aca="false">ROUND('Volatility and the Price'!B7,6)</f>
        <v>9.925054</v>
      </c>
      <c r="E6" s="14" t="n">
        <f aca="false">D6-C6</f>
        <v>0</v>
      </c>
      <c r="F6" s="36" t="str">
        <f aca="false">IF(ABS(D6-C6)&lt;=0.0000005,"PASS","FAIL")</f>
        <v>PASS</v>
      </c>
    </row>
    <row r="7" customFormat="false" ht="15" hidden="false" customHeight="false" outlineLevel="0" collapsed="false">
      <c r="A7" s="39" t="s">
        <v>83</v>
      </c>
      <c r="B7" s="39" t="s">
        <v>85</v>
      </c>
      <c r="C7" s="21" t="n">
        <v>11.454068</v>
      </c>
      <c r="D7" s="21" t="n">
        <f aca="false">ROUND('Volatility and the Price'!B9,6)</f>
        <v>11.454068</v>
      </c>
      <c r="E7" s="21" t="n">
        <f aca="false">D7-C7</f>
        <v>0</v>
      </c>
      <c r="F7" s="40" t="str">
        <f aca="false">IF(ABS(D7-C7)&lt;=0.0000005,"PASS","FAIL")</f>
        <v>PASS</v>
      </c>
    </row>
    <row r="8" customFormat="false" ht="15" hidden="false" customHeight="false" outlineLevel="0" collapsed="false">
      <c r="A8" s="8" t="s">
        <v>83</v>
      </c>
      <c r="B8" s="8" t="s">
        <v>86</v>
      </c>
      <c r="C8" s="14" t="n">
        <v>12.986697</v>
      </c>
      <c r="D8" s="14" t="n">
        <f aca="false">ROUND('Volatility and the Price'!B11,6)</f>
        <v>12.986697</v>
      </c>
      <c r="E8" s="14" t="n">
        <f aca="false">D8-C8</f>
        <v>0</v>
      </c>
      <c r="F8" s="36" t="str">
        <f aca="false">IF(ABS(D8-C8)&lt;=0.0000005,"PASS","FAIL")</f>
        <v>PASS</v>
      </c>
    </row>
    <row r="9" customFormat="false" ht="15" hidden="false" customHeight="false" outlineLevel="0" collapsed="false">
      <c r="A9" s="39" t="s">
        <v>83</v>
      </c>
      <c r="B9" s="39" t="s">
        <v>87</v>
      </c>
      <c r="C9" s="21" t="n">
        <v>3.061643</v>
      </c>
      <c r="D9" s="21" t="n">
        <f aca="false">ROUND('Volatility and the Price'!B14,6)</f>
        <v>3.061643</v>
      </c>
      <c r="E9" s="21" t="n">
        <f aca="false">D9-C9</f>
        <v>0</v>
      </c>
      <c r="F9" s="40" t="str">
        <f aca="false">IF(ABS(D9-C9)&lt;=0.0000005,"PASS","FAIL")</f>
        <v>PASS</v>
      </c>
    </row>
    <row r="10" customFormat="false" ht="15" hidden="false" customHeight="false" outlineLevel="0" collapsed="false">
      <c r="A10" s="8" t="s">
        <v>83</v>
      </c>
      <c r="B10" s="8" t="s">
        <v>41</v>
      </c>
      <c r="C10" s="41" t="n">
        <v>0.267</v>
      </c>
      <c r="D10" s="41" t="n">
        <f aca="false">ROUND('Volatility and the Price'!B15,3)</f>
        <v>0.267</v>
      </c>
      <c r="E10" s="41" t="n">
        <f aca="false">D10-C10</f>
        <v>0</v>
      </c>
      <c r="F10" s="36" t="str">
        <f aca="false">IF(ABS(D10-C10)&lt;=0.0005,"PASS","FAIL")</f>
        <v>PASS</v>
      </c>
    </row>
    <row r="11" customFormat="false" ht="15" hidden="false" customHeight="false" outlineLevel="0" collapsed="false">
      <c r="A11" s="39" t="s">
        <v>83</v>
      </c>
      <c r="B11" s="39" t="s">
        <v>88</v>
      </c>
      <c r="C11" s="21" t="n">
        <v>0.382882</v>
      </c>
      <c r="D11" s="21" t="n">
        <f aca="false">ROUND('Vega Across Strikes'!E9,6)</f>
        <v>0.382882</v>
      </c>
      <c r="E11" s="21" t="n">
        <f aca="false">D11-C11</f>
        <v>0</v>
      </c>
      <c r="F11" s="40" t="str">
        <f aca="false">IF(ABS(D11-C11)&lt;=0.0000005,"PASS","FAIL")</f>
        <v>PASS</v>
      </c>
    </row>
    <row r="12" customFormat="false" ht="15" hidden="false" customHeight="false" outlineLevel="0" collapsed="false">
      <c r="A12" s="8" t="s">
        <v>83</v>
      </c>
      <c r="B12" s="8" t="s">
        <v>89</v>
      </c>
      <c r="C12" s="42" t="n">
        <v>1</v>
      </c>
      <c r="D12" s="42" t="n">
        <f aca="false">IF(AND('Vega Across Strikes'!B15&gt;='Vega Across Strikes'!B16,'Vega Across Strikes'!C15&gt;='Vega Across Strikes'!C16,'Vega Across Strikes'!D15&gt;='Vega Across Strikes'!D16,'Vega Across Strikes'!E15&gt;='Vega Across Strikes'!E16,'Vega Across Strikes'!F15&gt;='Vega Across Strikes'!F16),1,0)</f>
        <v>1</v>
      </c>
      <c r="E12" s="42" t="n">
        <f aca="false">D12-C12</f>
        <v>0</v>
      </c>
      <c r="F12" s="36" t="str">
        <f aca="false">IF(ABS(D12-C12)&lt;=0,"PASS","FAIL")</f>
        <v>PASS</v>
      </c>
    </row>
    <row r="13" customFormat="false" ht="15" hidden="false" customHeight="false" outlineLevel="0" collapsed="false">
      <c r="A13" s="39" t="s">
        <v>90</v>
      </c>
      <c r="B13" s="39" t="s">
        <v>91</v>
      </c>
      <c r="C13" s="21" t="n">
        <v>12.5</v>
      </c>
      <c r="D13" s="21" t="n">
        <f aca="false">ROUND('Volatility and the Price'!B33,6)</f>
        <v>12.5</v>
      </c>
      <c r="E13" s="21" t="n">
        <f aca="false">D13-C13</f>
        <v>0</v>
      </c>
      <c r="F13" s="40" t="str">
        <f aca="false">IF(ABS(D13-C13)&lt;=0.0000005,"PASS","FAIL")</f>
        <v>PASS</v>
      </c>
    </row>
    <row r="14" customFormat="false" ht="15" hidden="false" customHeight="false" outlineLevel="0" collapsed="false">
      <c r="A14" s="8" t="s">
        <v>90</v>
      </c>
      <c r="B14" s="8" t="s">
        <v>92</v>
      </c>
      <c r="C14" s="27" t="n">
        <v>0</v>
      </c>
      <c r="D14" s="27" t="n">
        <f aca="false">ROUND('Volatility and the Price'!B34,9)</f>
        <v>0</v>
      </c>
      <c r="E14" s="27" t="n">
        <f aca="false">D14-C14</f>
        <v>0</v>
      </c>
      <c r="F14" s="43" t="str">
        <f aca="false">IF(ABS(D14-C14)&lt;=0.000000001,"PASS","FAIL")</f>
        <v>PASS</v>
      </c>
    </row>
    <row r="15" customFormat="false" ht="15" hidden="false" customHeight="false" outlineLevel="0" collapsed="false">
      <c r="A15" s="39" t="s">
        <v>93</v>
      </c>
      <c r="B15" s="39" t="s">
        <v>69</v>
      </c>
      <c r="C15" s="21" t="n">
        <v>7.533012</v>
      </c>
      <c r="D15" s="44" t="n">
        <f aca="false">ROUND('Library Tests'!B7,6)</f>
        <v>7.533012</v>
      </c>
      <c r="E15" s="21" t="n">
        <f aca="false">D15-C15</f>
        <v>0</v>
      </c>
      <c r="F15" s="45" t="str">
        <f aca="false">IF(ABS(D15-C15)&lt;=0.0000005,"PASS","FAIL")</f>
        <v>PASS</v>
      </c>
    </row>
    <row r="16" customFormat="false" ht="15" hidden="false" customHeight="false" outlineLevel="0" collapsed="false">
      <c r="A16" s="8" t="s">
        <v>93</v>
      </c>
      <c r="B16" s="8" t="s">
        <v>94</v>
      </c>
      <c r="C16" s="14" t="n">
        <v>3.921056</v>
      </c>
      <c r="D16" s="14" t="n">
        <f aca="false">ROUND('Library Tests'!B8,6)</f>
        <v>3.921056</v>
      </c>
      <c r="E16" s="14" t="n">
        <f aca="false">D16-C16</f>
        <v>0</v>
      </c>
      <c r="F16" s="43" t="str">
        <f aca="false">IF(ABS(D16-C16)&lt;=0.00001,"PASS","FAIL")</f>
        <v>PASS</v>
      </c>
    </row>
    <row r="17" customFormat="false" ht="15" hidden="false" customHeight="false" outlineLevel="0" collapsed="false">
      <c r="A17" s="39" t="s">
        <v>93</v>
      </c>
      <c r="B17" s="39" t="s">
        <v>95</v>
      </c>
      <c r="C17" s="21" t="n">
        <v>903.921056</v>
      </c>
      <c r="D17" s="21" t="n">
        <f aca="false">ROUND('Library Tests'!B9,6)</f>
        <v>903.921056</v>
      </c>
      <c r="E17" s="21" t="n">
        <f aca="false">D17-C17</f>
        <v>0</v>
      </c>
      <c r="F17" s="45" t="str">
        <f aca="false">IF(ABS(D17-C17)&lt;=0.00001,"PASS","FAIL")</f>
        <v>PASS</v>
      </c>
    </row>
    <row r="18" customFormat="false" ht="15" hidden="false" customHeight="false" outlineLevel="0" collapsed="false">
      <c r="A18" s="8" t="s">
        <v>93</v>
      </c>
      <c r="B18" s="8" t="s">
        <v>96</v>
      </c>
      <c r="C18" s="42" t="n">
        <v>8</v>
      </c>
      <c r="D18" s="42" t="n">
        <f aca="false">COUNTIF('Library Tests'!D6:D13,"PASS")</f>
        <v>8</v>
      </c>
      <c r="E18" s="42" t="n">
        <f aca="false">D18-C18</f>
        <v>0</v>
      </c>
      <c r="F18" s="43" t="str">
        <f aca="false">IF(ABS(D18-C18)&lt;=0,"PASS","FAIL")</f>
        <v>PASS</v>
      </c>
    </row>
    <row r="20" customFormat="false" ht="15" hidden="false" customHeight="false" outlineLevel="0" collapsed="false">
      <c r="B20" s="15" t="s">
        <v>97</v>
      </c>
      <c r="D20" s="46" t="str">
        <f aca="false">COUNTIF(F6:F18,"PASS")&amp;" of "&amp;13</f>
        <v>13 of 13</v>
      </c>
    </row>
  </sheetData>
  <conditionalFormatting sqref="F6:F18">
    <cfRule type="cellIs" priority="2"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2026-08-28T18:31:04Z</dcterms:created>
  <dc:creator>openpyxl</dc:creator>
  <dc:description/>
  <dc:language>en-US</dc:language>
  <cp:lastModifiedBy/>
  <dcterms:modified xsi:type="dcterms:W3CDTF">2026-09-24T19:44:41Z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