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 Inputs" sheetId="1" state="visible" r:id="rId3"/>
    <sheet name="2 The funnel" sheetId="2" state="visible" r:id="rId4"/>
    <sheet name="3 The diary" sheetId="3" state="visible" r:id="rId5"/>
    <sheet name="4 The queue" sheetId="4" state="visible" r:id="rId6"/>
    <sheet name="5 The cash" sheetId="5" state="visible" r:id="rId7"/>
    <sheet name="6 The slip" sheetId="6" state="visible" r:id="rId8"/>
    <sheet name="7 The two rules" sheetId="7" state="visible" r:id="rId9"/>
    <sheet name="8 The cliff" sheetId="8" state="visible" r:id="rId10"/>
    <sheet name="9 Two constraints" sheetId="9" state="visible" r:id="rId11"/>
    <sheet name="10 Check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<sst xmlns="http://schemas.openxmlformats.org/spreadsheetml/2006/main" count="307" uniqueCount="280">
  <si>
    <t xml:space="preserve">The Raise as a Queue — inputs</t>
  </si>
  <si>
    <t xml:space="preserve">Every amber cell is an input. All but six are figures the book states; three session counts are assumptions and three durations are deduced, each labelled. Overwrite any of them.</t>
  </si>
  <si>
    <t xml:space="preserve">THE FUNNEL — chapter 17, the table</t>
  </si>
  <si>
    <t xml:space="preserve">Names screened</t>
  </si>
  <si>
    <t xml:space="preserve">ch.17 table, first row</t>
  </si>
  <si>
    <t xml:space="preserve">Conversion: screened to first meeting</t>
  </si>
  <si>
    <t xml:space="preserve">"Half grant a first meeting"</t>
  </si>
  <si>
    <t xml:space="preserve">Conversion: first to second meeting</t>
  </si>
  <si>
    <t xml:space="preserve">"Half produce a second"</t>
  </si>
  <si>
    <t xml:space="preserve">Conversion: second meeting to diligence</t>
  </si>
  <si>
    <t xml:space="preserve">"Half enter diligence"</t>
  </si>
  <si>
    <t xml:space="preserve">Conversion: diligence to soft circle</t>
  </si>
  <si>
    <t xml:space="preserve">"Half reach a soft circle"</t>
  </si>
  <si>
    <t xml:space="preserve">Conversion: soft circle to commitment</t>
  </si>
  <si>
    <t xml:space="preserve">"Two-thirds convert"</t>
  </si>
  <si>
    <t xml:space="preserve">Average commitment</t>
  </si>
  <si>
    <t xml:space="preserve">ch.17, "an average commitment of 12,500,000"</t>
  </si>
  <si>
    <t xml:space="preserve">First close target</t>
  </si>
  <si>
    <t xml:space="preserve">ch.17, "a first close of 100,000,000"</t>
  </si>
  <si>
    <t xml:space="preserve">THE DIARY — chapter 17</t>
  </si>
  <si>
    <t xml:space="preserve">First meetings the founder holds per active week</t>
  </si>
  <si>
    <t xml:space="preserve">"six to eight first meetings a week"; 90 in 15 weeks = 6</t>
  </si>
  <si>
    <t xml:space="preserve">Sessions per second meeting</t>
  </si>
  <si>
    <t xml:space="preserve">ASSUMPTION — not stated by the book</t>
  </si>
  <si>
    <t xml:space="preserve">Sessions per diligence process</t>
  </si>
  <si>
    <t xml:space="preserve">Sessions per closing</t>
  </si>
  <si>
    <t xml:space="preserve">THE CALENDAR — chapters 17 and 20</t>
  </si>
  <si>
    <t xml:space="preserve">Start week of the raise</t>
  </si>
  <si>
    <t xml:space="preserve">ch.17, "a twelve-month plan starting in June"</t>
  </si>
  <si>
    <t xml:space="preserve">Weeks: first meeting to second meeting</t>
  </si>
  <si>
    <t xml:space="preserve">deduced — see note below</t>
  </si>
  <si>
    <t xml:space="preserve">Weeks: second meeting to entering diligence</t>
  </si>
  <si>
    <t xml:space="preserve">Weeks: duration of diligence</t>
  </si>
  <si>
    <t xml:space="preserve">Weeks: papers due before the committee sits</t>
  </si>
  <si>
    <t xml:space="preserve">ch.17, "one to three weeks in advance"</t>
  </si>
  <si>
    <t xml:space="preserve">Weeks: committee approval to closed</t>
  </si>
  <si>
    <t xml:space="preserve">ch.20, "the final six weeks are administrative"</t>
  </si>
  <si>
    <t xml:space="preserve">Committee weeks in the year (quarterly)</t>
  </si>
  <si>
    <t xml:space="preserve">ch.20, committees "monthly or quarterly" — set on rows 44 to 46</t>
  </si>
  <si>
    <t xml:space="preserve">Dead weeks — August</t>
  </si>
  <si>
    <t xml:space="preserve">ch.17, "raises reliably lose most of August" — set on rows 44 to 46</t>
  </si>
  <si>
    <t xml:space="preserve">Dead weeks — December</t>
  </si>
  <si>
    <t xml:space="preserve">ch.17, "most of the last three weeks of December" — set on rows 44 to 46</t>
  </si>
  <si>
    <t xml:space="preserve">THE HOUSE — chapter 17 and appendix C</t>
  </si>
  <si>
    <t xml:space="preserve">Management company cost per month (ch.17 house)</t>
  </si>
  <si>
    <t xml:space="preserve">ch.17, "2,400,000, or 200,000 a month"</t>
  </si>
  <si>
    <t xml:space="preserve">Management fee rate (ch.17 house)</t>
  </si>
  <si>
    <t xml:space="preserve">ch.17, "a management fee of 1.5 per cent"</t>
  </si>
  <si>
    <t xml:space="preserve">Management company cost per year (appendix C house)</t>
  </si>
  <si>
    <t xml:space="preserve">appendix C, case 1</t>
  </si>
  <si>
    <t xml:space="preserve">Management fee rate (appendix C house)</t>
  </si>
  <si>
    <t xml:space="preserve">Note on the three deduced durations</t>
  </si>
  <si>
    <t xml:space="preserve">Chapter 15 says a full institutional diligence process takes six to nine months. The four durations above</t>
  </si>
  <si>
    <t xml:space="preserve">sum to 4+4+12+2+6 = 28 weeks, or 6.4 months, before any wait for a committee date. Adding the average</t>
  </si>
  <si>
    <t xml:space="preserve">wait for a quarterly committee brings the total inside the band the book states. No other value was</t>
  </si>
  <si>
    <t xml:space="preserve">chosen to make an answer come out; change them and every sheet re-solves.</t>
  </si>
  <si>
    <t xml:space="preserve">THE CALENDAR AS NUMBERS — the weeks the queue and the diary actually read</t>
  </si>
  <si>
    <t xml:space="preserve">Committee weeks in the year, in ascending order</t>
  </si>
  <si>
    <t xml:space="preserve">four dates a year; the queue repeats them every 52 weeks</t>
  </si>
  <si>
    <t xml:space="preserve">Dead weeks — August: first and last week of the year</t>
  </si>
  <si>
    <t xml:space="preserve">ch.17, "most of August"</t>
  </si>
  <si>
    <t xml:space="preserve">Dead weeks — December: first and last week of the year</t>
  </si>
  <si>
    <t xml:space="preserve">ch.17, "the last three weeks of December"</t>
  </si>
  <si>
    <t xml:space="preserve">The printed funnel against the stated rules</t>
  </si>
  <si>
    <t xml:space="preserve">Chapter 17 prints a column of numbers and, beside it, the rule that is supposed to generate it. They are not the same funnel.</t>
  </si>
  <si>
    <t xml:space="preserve">Stage</t>
  </si>
  <si>
    <t xml:space="preserve">Book prints</t>
  </si>
  <si>
    <t xml:space="preserve">Implied conversion</t>
  </si>
  <si>
    <t xml:space="preserve">Stated rule</t>
  </si>
  <si>
    <t xml:space="preserve">Strict application</t>
  </si>
  <si>
    <t xml:space="preserve">The rule as the book words it</t>
  </si>
  <si>
    <t xml:space="preserve">—</t>
  </si>
  <si>
    <t xml:space="preserve">First meetings</t>
  </si>
  <si>
    <t xml:space="preserve">Half grant a first meeting</t>
  </si>
  <si>
    <t xml:space="preserve">Second meetings</t>
  </si>
  <si>
    <t xml:space="preserve">Half produce a second</t>
  </si>
  <si>
    <t xml:space="preserve">In diligence</t>
  </si>
  <si>
    <t xml:space="preserve">Half enter diligence</t>
  </si>
  <si>
    <t xml:space="preserve">Soft circles</t>
  </si>
  <si>
    <t xml:space="preserve">Half reach a soft circle</t>
  </si>
  <si>
    <t xml:space="preserve">Commitments</t>
  </si>
  <si>
    <t xml:space="preserve">Two-thirds convert</t>
  </si>
  <si>
    <t xml:space="preserve">Commitments x average commitment</t>
  </si>
  <si>
    <t xml:space="preserve">the book prints 100,000,000 as the first close</t>
  </si>
  <si>
    <t xml:space="preserve">Shortfall of the stated rules against the printed column</t>
  </si>
  <si>
    <t xml:space="preserve">Conversations per commitment (book: "about twenty-two")</t>
  </si>
  <si>
    <t xml:space="preserve">Screened names the stated rules require for the first close (target / ticket)</t>
  </si>
  <si>
    <t xml:space="preserve">the book asks for 180</t>
  </si>
  <si>
    <t xml:space="preserve">Stages whose printed step departs from the rule beside it</t>
  </si>
  <si>
    <t xml:space="preserve">three: 90 to 40, 40 to 22 and 22 to 12</t>
  </si>
  <si>
    <t xml:space="preserve">Three of the five stages do not obey the rule printed beside them. 90 to 40 is 44.4 per cent, not a half;</t>
  </si>
  <si>
    <t xml:space="preserve">40 to 22 is 55.0 per cent, and 22 to 12 is 54.5 per cent. The roundings run in opposite directions and</t>
  </si>
  <si>
    <t xml:space="preserve">very nearly cancel, which is why the error at the bottom is only 6.25 per cent and why nobody notices it.</t>
  </si>
  <si>
    <t xml:space="preserve">It matters anyway: a founder who is told 'half' and builds a list of 180 is planning to close 7.5 investors</t>
  </si>
  <si>
    <t xml:space="preserve">and 93,750,000, and will discover the difference in the last six weeks of the raise, when there is no</t>
  </si>
  <si>
    <t xml:space="preserve">list left to work.</t>
  </si>
  <si>
    <t xml:space="preserve">The founder's diary, counted</t>
  </si>
  <si>
    <t xml:space="preserve">Chapter 17 counts first meetings and stops. The funnel it prints implies three more kinds of session.</t>
  </si>
  <si>
    <t xml:space="preserve">Session type</t>
  </si>
  <si>
    <t xml:space="preserve">Count</t>
  </si>
  <si>
    <t xml:space="preserve">Sessions each</t>
  </si>
  <si>
    <t xml:space="preserve">Total sessions</t>
  </si>
  <si>
    <t xml:space="preserve">Source of the count</t>
  </si>
  <si>
    <t xml:space="preserve">ch.17 table</t>
  </si>
  <si>
    <t xml:space="preserve">Diligence sessions</t>
  </si>
  <si>
    <t xml:space="preserve">Closings</t>
  </si>
  <si>
    <t xml:space="preserve">TOTAL SESSIONS</t>
  </si>
  <si>
    <t xml:space="preserve">Working weeks in a year (52 less the dead weeks set on sheet 1)</t>
  </si>
  <si>
    <t xml:space="preserve">Weeks of diary at the stated rate</t>
  </si>
  <si>
    <t xml:space="preserve">Years of the founder’s capacity the funnel requires</t>
  </si>
  <si>
    <t xml:space="preserve">The book asks the founder to commit</t>
  </si>
  <si>
    <t xml:space="preserve">Shortfall against what the book asks</t>
  </si>
  <si>
    <t xml:space="preserve">The three 'sessions each' figures on sheet 1 are the only assumptions in this workbook that the book does</t>
  </si>
  <si>
    <t xml:space="preserve">not supply. Set them all to one and the total falls to the number of investor relationships rather than</t>
  </si>
  <si>
    <t xml:space="preserve">the number of meetings; the conclusion below does not change sign, only size.</t>
  </si>
  <si>
    <t xml:space="preserve">Chapter 17 tells the founder that ninety first meetings is fifteen weeks of travel and that a founder who</t>
  </si>
  <si>
    <t xml:space="preserve">cannot commit half the year should hire someone or reduce the target. Fifteen weeks is a third of a working</t>
  </si>
  <si>
    <t xml:space="preserve">year. The rest of the funnel — the second meetings, the diligence sessions, the closing calls — is the other</t>
  </si>
  <si>
    <t xml:space="preserve">two thirds, and it is not in the fifteen.</t>
  </si>
  <si>
    <t xml:space="preserve">The same funnel, run on a calendar</t>
  </si>
  <si>
    <t xml:space="preserve">One row per week. First meetings are held at the stated rate in weeks that are not dead; everything downstream follows on the stated durations and then waits for a committee.</t>
  </si>
  <si>
    <t xml:space="preserve">Week</t>
  </si>
  <si>
    <t xml:space="preserve">Wk of yr</t>
  </si>
  <si>
    <t xml:space="preserve">Dead</t>
  </si>
  <si>
    <t xml:space="preserve">First mtgs left</t>
  </si>
  <si>
    <t xml:space="preserve">Mtgs held</t>
  </si>
  <si>
    <t xml:space="preserve">Commit-ments</t>
  </si>
  <si>
    <t xml:space="preserve">Money</t>
  </si>
  <si>
    <t xml:space="preserve">Soft circle wk</t>
  </si>
  <si>
    <t xml:space="preserve">Papers wk</t>
  </si>
  <si>
    <t xml:space="preserve">Committee wk</t>
  </si>
  <si>
    <t xml:space="preserve">Close wk</t>
  </si>
  <si>
    <t xml:space="preserve">Money approved</t>
  </si>
  <si>
    <t xml:space="preserve">Close week</t>
  </si>
  <si>
    <t xml:space="preserve">Cumulative</t>
  </si>
  <si>
    <t xml:space="preserve">Month from start</t>
  </si>
  <si>
    <t xml:space="preserve">Committee weeks</t>
  </si>
  <si>
    <t xml:space="preserve">Active count</t>
  </si>
  <si>
    <t xml:space="preserve">TOTAL RAISED BY THE FUNNEL</t>
  </si>
  <si>
    <t xml:space="preserve">Week the target is reached</t>
  </si>
  <si>
    <t xml:space="preserve">Month the target is reached</t>
  </si>
  <si>
    <t xml:space="preserve">Burn against a first close that arrives in lumps</t>
  </si>
  <si>
    <t xml:space="preserve">The management company pays itself every month. The fund pays it four times a year, and only after a committee has sat.</t>
  </si>
  <si>
    <t xml:space="preserve">Month</t>
  </si>
  <si>
    <t xml:space="preserve">Capital closed</t>
  </si>
  <si>
    <t xml:space="preserve">Fee this month</t>
  </si>
  <si>
    <t xml:space="preserve">Net this month</t>
  </si>
  <si>
    <t xml:space="preserve">Partner funding to date</t>
  </si>
  <si>
    <t xml:space="preserve">Partner funding required by month 12</t>
  </si>
  <si>
    <t xml:space="preserve">Partner funding required by month 24</t>
  </si>
  <si>
    <t xml:space="preserve">Partner funding required by month 36</t>
  </si>
  <si>
    <t xml:space="preserve">First month the house is cash-positive</t>
  </si>
  <si>
    <t xml:space="preserve">Capital that must be closed for the fee to cover the burn</t>
  </si>
  <si>
    <t xml:space="preserve">Fee a month on the book's 100,000,000 first close</t>
  </si>
  <si>
    <t xml:space="preserve">That fee as a share of the burn</t>
  </si>
  <si>
    <t xml:space="preserve">The last three lines are the finding, and they do not depend on the calendar at all. Chapter 17's own house</t>
  </si>
  <si>
    <t xml:space="preserve">costs 200,000 a month. Chapter 17's own fee is 1.5 per cent. Chapter 17's own first close is 100,000,000,</t>
  </si>
  <si>
    <t xml:space="preserve">which pays 125,000 a month. The house is losing 75,000 a month on the day the first close completes, and it</t>
  </si>
  <si>
    <t xml:space="preserve">goes on losing until the second close. Nothing in the chapter says so, and the chapter is about the cost of</t>
  </si>
  <si>
    <t xml:space="preserve">a raise running late.</t>
  </si>
  <si>
    <t xml:space="preserve">Chapter 17's own arithmetic, and the sentence it leads to</t>
  </si>
  <si>
    <t xml:space="preserve">The book computes the cost of a six-month slip. It never computes whether the original date was reachable.</t>
  </si>
  <si>
    <t xml:space="preserve">Planned first close, month</t>
  </si>
  <si>
    <t xml:space="preserve">Actual first close, month</t>
  </si>
  <si>
    <t xml:space="preserve">Months of slip</t>
  </si>
  <si>
    <t xml:space="preserve">Additional burn</t>
  </si>
  <si>
    <t xml:space="preserve">book: 1,200,000</t>
  </si>
  <si>
    <t xml:space="preserve">Foregone fee income</t>
  </si>
  <si>
    <t xml:space="preserve">book: 750,000</t>
  </si>
  <si>
    <t xml:space="preserve">Combined effect on the partners</t>
  </si>
  <si>
    <t xml:space="preserve">book: 1,950,000</t>
  </si>
  <si>
    <t xml:space="preserve">Month the first close ACTUALLY lands on this calendar</t>
  </si>
  <si>
    <t xml:space="preserve">Total the funnel raises, ever</t>
  </si>
  <si>
    <t xml:space="preserve">The three lines above reproduce the book to the unit, which is the point of putting them here: the model is</t>
  </si>
  <si>
    <t xml:space="preserve">not disagreeing with the arithmetic. It is disagreeing with the premise. On the book's own funnel, its own</t>
  </si>
  <si>
    <t xml:space="preserve">meeting rate, its own calendar and its own committee cycle, the first close does not slip from month nine</t>
  </si>
  <si>
    <t xml:space="preserve">to month fifteen. It never reaches a hundred million at all, because the funnel contains 93,750,000 and the</t>
  </si>
  <si>
    <t xml:space="preserve">last of it arrives at the second committee date.</t>
  </si>
  <si>
    <t xml:space="preserve">1,950,000 is not the cost of the delay. It is the cost of the plan.</t>
  </si>
  <si>
    <t xml:space="preserve">The first close rule and the break-even rule, in the same table</t>
  </si>
  <si>
    <t xml:space="preserve">Chapter 20 sets the first close at a quarter to a third of target. Appendix C sets break-even at full fund size. The fee at first close is charged on what has closed.</t>
  </si>
  <si>
    <t xml:space="preserve">Appendix C house — budget 2,125,000 a year, fee 1.75 per cent</t>
  </si>
  <si>
    <t xml:space="preserve">Target</t>
  </si>
  <si>
    <t xml:space="preserve">Close at 1/4</t>
  </si>
  <si>
    <t xml:space="preserve">Fee on it</t>
  </si>
  <si>
    <t xml:space="preserve">Close at 1/3</t>
  </si>
  <si>
    <t xml:space="preserve">Gap at 1/4</t>
  </si>
  <si>
    <t xml:space="preserve">Gap at 1/3</t>
  </si>
  <si>
    <t xml:space="preserve">Months of budget the fee covers, 1/3</t>
  </si>
  <si>
    <t xml:space="preserve">Target at which a 1/4 close covers the budget</t>
  </si>
  <si>
    <t xml:space="preserve">Target at which a 1/3 close covers the budget</t>
  </si>
  <si>
    <t xml:space="preserve">Chapter 17 house — budget 2,400,000 a year, fee 1.50 per cent</t>
  </si>
  <si>
    <t xml:space="preserve">Chapter 20 gives three tests for the first close threshold and the first of them is that the fee 'fund the</t>
  </si>
  <si>
    <t xml:space="preserve">management company at a level that survives operational review — which usually means combining fee income</t>
  </si>
  <si>
    <t xml:space="preserve">with committed partner capital to reach twelve months of runway'. The columns headed Gap are that committed</t>
  </si>
  <si>
    <t xml:space="preserve">partner capital, and they are the number a first-time founder is asked for in operational due diligence.</t>
  </si>
  <si>
    <t xml:space="preserve">The book's own worked fund is 300,000,000 and its own worked first close is 100,000,000. On the Appendix C</t>
  </si>
  <si>
    <t xml:space="preserve">house that first close earns 1,750,000 against 2,125,000 of cost. The rules are simultaneously satisfiable</t>
  </si>
  <si>
    <t xml:space="preserve">only above a target of about 364,000,000 — and a first-time manager raising 364,000,000 is not the founder</t>
  </si>
  <si>
    <t xml:space="preserve">either chapter is describing.</t>
  </si>
  <si>
    <t xml:space="preserve">Chapter 18 says a thin runway is a diligence finding. This sheet is where the thinness comes from.</t>
  </si>
  <si>
    <t xml:space="preserve">What one week of slippage costs</t>
  </si>
  <si>
    <t xml:space="preserve">The start week is moved one week at a time. Nothing else changes. Every row re-runs the whole queue.</t>
  </si>
  <si>
    <t xml:space="preserve">Start week</t>
  </si>
  <si>
    <t xml:space="preserve">Closed by month 12</t>
  </si>
  <si>
    <t xml:space="preserve">Total ever closed</t>
  </si>
  <si>
    <t xml:space="preserve">First close, month</t>
  </si>
  <si>
    <t xml:space="preserve">The line does not slope. It steps, and the steps are worth tens of millions.</t>
  </si>
  <si>
    <t xml:space="preserve">A soft circle that misses a papers deadline by one day waits an entire quarter, and the cohort behind it</t>
  </si>
  <si>
    <t xml:space="preserve">waits with it, because the cohorts are only a week apart and the committees are thirteen weeks apart.</t>
  </si>
  <si>
    <t xml:space="preserve">Chapter 17 states this exactly once — 'miss the first of March by two days and the item slips a full</t>
  </si>
  <si>
    <t xml:space="preserve">quarter — not two days' — and then prints a funnel with no dates in it.</t>
  </si>
  <si>
    <t xml:space="preserve">Capital closed by month twelve — the list against the diary</t>
  </si>
  <si>
    <t xml:space="preserve">Six list sizes by five meeting rates. Each of the thirty combinations re-runs the whole queue on the rows below.</t>
  </si>
  <si>
    <t xml:space="preserve">Screened names</t>
  </si>
  <si>
    <t xml:space="preserve">4 a week</t>
  </si>
  <si>
    <t xml:space="preserve">6 a week</t>
  </si>
  <si>
    <t xml:space="preserve">8 a week</t>
  </si>
  <si>
    <t xml:space="preserve">10 a week</t>
  </si>
  <si>
    <t xml:space="preserve">12 a week</t>
  </si>
  <si>
    <t xml:space="preserve">Two constraints, and the boundary between them is the whole lesson.</t>
  </si>
  <si>
    <t xml:space="preserve">Read ACROSS a row and more names stop helping once the diary is full: the extra meetings land after the</t>
  </si>
  <si>
    <t xml:space="preserve">papers deadline for the same committee and wait a quarter with everyone else.</t>
  </si>
  <si>
    <t xml:space="preserve">Read DOWN a column and more diary stops helping once the list is exhausted: the names run out before the</t>
  </si>
  <si>
    <t xml:space="preserve">weeks do.</t>
  </si>
  <si>
    <t xml:space="preserve">The book's own plan — 180 names, six a week — sits on the corner where both constraints bind at once,</t>
  </si>
  <si>
    <t xml:space="preserve">which is the worst place a plan can sit, because neither working harder nor calling more people moves it.</t>
  </si>
  <si>
    <t xml:space="preserve">The instruction the book gives, that the pipeline must be an order of magnitude larger than the register,</t>
  </si>
  <si>
    <t xml:space="preserve">is directionally right and quantitatively light: eight commitments need 192 screened names to exist at all</t>
  </si>
  <si>
    <t xml:space="preserve">on the book's own conversion rates, and appreciably more for the eight to exist by a date.</t>
  </si>
  <si>
    <t xml:space="preserve">Screened</t>
  </si>
  <si>
    <t xml:space="preserve">Rate</t>
  </si>
  <si>
    <t xml:space="preserve">Controls</t>
  </si>
  <si>
    <t xml:space="preserve">Each row is a formula that tests something the book asserts or the model must satisfy. Change an input and read this sheet.</t>
  </si>
  <si>
    <t xml:space="preserve">Control</t>
  </si>
  <si>
    <t xml:space="preserve">Value</t>
  </si>
  <si>
    <t xml:space="preserve">Expected</t>
  </si>
  <si>
    <t xml:space="preserve">Result</t>
  </si>
  <si>
    <t xml:space="preserve">1. Funnel: the book's printed column multiplies to its own first close</t>
  </si>
  <si>
    <t xml:space="preserve">2. Funnel: conversations per commitment reproduces the book's 'about twenty-two'</t>
  </si>
  <si>
    <t xml:space="preserve">3. Funnel: the stated rules applied strictly give fewer than eight commitments</t>
  </si>
  <si>
    <t xml:space="preserve">4. Funnel: the shortfall of the stated rules is 6,250,000</t>
  </si>
  <si>
    <t xml:space="preserve">5. Funnel: eight commitments require 192 screened names on the stated rules</t>
  </si>
  <si>
    <t xml:space="preserve">6. Diary: total sessions the printed funnel implies</t>
  </si>
  <si>
    <t xml:space="preserve">7. Diary: the funnel needs more than the half-year the book asks for</t>
  </si>
  <si>
    <t xml:space="preserve">8. Queue: every cohort that holds meetings is assigned a committee</t>
  </si>
  <si>
    <t xml:space="preserve">9. Queue: no close week precedes its committee week</t>
  </si>
  <si>
    <t xml:space="preserve">10. Queue: first meetings scheduled equal screened names times the first conversion</t>
  </si>
  <si>
    <t xml:space="preserve">11. Queue: no first meeting is held in a dead week</t>
  </si>
  <si>
    <t xml:space="preserve">12. Queue: money aggregated by committee equals money by cohort</t>
  </si>
  <si>
    <t xml:space="preserve">13. Queue: the funnel never reaches the book's first close</t>
  </si>
  <si>
    <t xml:space="preserve">14. Cash: the fee at first close covers less than the burn</t>
  </si>
  <si>
    <t xml:space="preserve">15. Cash: capital needed for the fee to cover the burn</t>
  </si>
  <si>
    <t xml:space="preserve">16. Cash: the house is never cash-positive on this plan</t>
  </si>
  <si>
    <t xml:space="preserve">17. Cash: partner funding needed by month 24</t>
  </si>
  <si>
    <t xml:space="preserve">18. Cash: partner funding is monotonically increasing while the house loses money</t>
  </si>
  <si>
    <t xml:space="preserve">19. Slip: additional burn reproduces the book's 1,200,000</t>
  </si>
  <si>
    <t xml:space="preserve">20. Slip: foregone fee reproduces the book's 750,000</t>
  </si>
  <si>
    <t xml:space="preserve">21. Slip: the combined figure reproduces the book's 1,950,000</t>
  </si>
  <si>
    <t xml:space="preserve">22. Two rules: a quarter-close covers the Appendix C budget only above 485,714,286</t>
  </si>
  <si>
    <t xml:space="preserve">23. Two rules: a third-close covers the Appendix C budget only above 364,285,714</t>
  </si>
  <si>
    <t xml:space="preserve">24. Two rules: the book's 300,000,000 fund fails the runway test at a quarter</t>
  </si>
  <si>
    <t xml:space="preserve">25. Two rules: the gap falls to zero as the target rises</t>
  </si>
  <si>
    <t xml:space="preserve">26. Two rules: months of budget covered are capped at twelve and reached at the crossover</t>
  </si>
  <si>
    <t xml:space="preserve">27. Cliff: the response to the start week is not monotonic</t>
  </si>
  <si>
    <t xml:space="preserve">greater than zero</t>
  </si>
  <si>
    <t xml:space="preserve">28. Cliff: the worst and best start weeks differ by more than 10,000,000</t>
  </si>
  <si>
    <t xml:space="preserve">29. Constraints: the grid is weakly increasing in the screened list</t>
  </si>
  <si>
    <t xml:space="preserve">30. Constraints: the grid is weakly increasing in the meeting rate</t>
  </si>
  <si>
    <t xml:space="preserve">31. Constraints: the book's own cell is below the book's own first close</t>
  </si>
  <si>
    <t xml:space="preserve">32. Constraints: raising only the rate from the book's cell does not reach the target</t>
  </si>
  <si>
    <t xml:space="preserve">33. Constraints: raising only the list from the book's cell does reach the target</t>
  </si>
  <si>
    <t xml:space="preserve">34. Funnel: three of the five printed steps depart from the rule beside them (Appendix F says two)</t>
  </si>
  <si>
    <t xml:space="preserve">35. Calendar: the committee weeks on sheet 1 are ascending and inside the year</t>
  </si>
  <si>
    <t xml:space="preserve">36. Calendar: the queue's committee list is built from the weeks on sheet 1</t>
  </si>
  <si>
    <t xml:space="preserve">37. Calendar: the dead weeks the queue counts in a year equal the dead weeks set on sheet 1</t>
  </si>
  <si>
    <t xml:space="preserve">38. Diary: the working year is 52 weeks less the dead weeks set on sheet 1</t>
  </si>
  <si>
    <t xml:space="preserve">39. Cliff: starting three weeks after the book (week 25) closes the same by month twelve as week 22</t>
  </si>
  <si>
    <t xml:space="preserve">40. Cliff: it takes six weeks (week 28) to close twenty per cent less, not three</t>
  </si>
  <si>
    <t xml:space="preserve">CONTROLS PASSING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</si>
</sst>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"/>
    <numFmt numFmtId="166" formatCode="#,##0"/>
    <numFmt numFmtId="167" formatCode="0"/>
    <numFmt numFmtId="168" formatCode="#,##0.00"/>
    <numFmt numFmtId="169" formatCode="0.0%"/>
    <numFmt numFmtId="170" formatCode="0.0"/>
    <numFmt numFmtId="171" formatCode="0.00"/>
    <numFmt numFmtId="172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Cambria"/>
      <family val="0"/>
      <charset val="1"/>
    </font>
    <font>
      <i val="true"/>
      <sz val="9"/>
      <color rgb="FF666666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DEDED"/>
        <bgColor rgb="FFFFF2CC"/>
      </patternFill>
    </fill>
    <fill>
      <patternFill patternType="solid">
        <fgColor rgb="FFFFF2CC"/>
        <bgColor rgb="FFEDEDED"/>
      </patternFill>
    </fill>
    <fill>
      <patternFill patternType="solid">
        <fgColor rgb="FF1B1F2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1F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15" hidden="false" customHeight="false" outlineLevel="0" collapsed="false">
      <c r="A5" s="0" t="s">
        <v>3</v>
      </c>
      <c r="B5" s="5" t="n">
        <v>180</v>
      </c>
      <c r="C5" s="2" t="s">
        <v>4</v>
      </c>
    </row>
    <row r="6" customFormat="false" ht="15" hidden="false" customHeight="false" outlineLevel="0" collapsed="false">
      <c r="A6" s="0" t="s">
        <v>5</v>
      </c>
      <c r="B6" s="6" t="n">
        <v>0.5</v>
      </c>
      <c r="C6" s="2" t="s">
        <v>6</v>
      </c>
    </row>
    <row r="7" customFormat="false" ht="15" hidden="false" customHeight="false" outlineLevel="0" collapsed="false">
      <c r="A7" s="0" t="s">
        <v>7</v>
      </c>
      <c r="B7" s="6" t="n">
        <v>0.5</v>
      </c>
      <c r="C7" s="2" t="s">
        <v>8</v>
      </c>
    </row>
    <row r="8" customFormat="false" ht="15" hidden="false" customHeight="false" outlineLevel="0" collapsed="false">
      <c r="A8" s="0" t="s">
        <v>9</v>
      </c>
      <c r="B8" s="6" t="n">
        <v>0.5</v>
      </c>
      <c r="C8" s="2" t="s">
        <v>10</v>
      </c>
    </row>
    <row r="9" customFormat="false" ht="15" hidden="false" customHeight="false" outlineLevel="0" collapsed="false">
      <c r="A9" s="0" t="s">
        <v>11</v>
      </c>
      <c r="B9" s="6" t="n">
        <v>0.5</v>
      </c>
      <c r="C9" s="2" t="s">
        <v>12</v>
      </c>
    </row>
    <row r="10" customFormat="false" ht="15" hidden="false" customHeight="false" outlineLevel="0" collapsed="false">
      <c r="A10" s="0" t="s">
        <v>13</v>
      </c>
      <c r="B10" s="6" t="n">
        <v>0.666666666666667</v>
      </c>
      <c r="C10" s="2" t="s">
        <v>14</v>
      </c>
    </row>
    <row r="11" customFormat="false" ht="15" hidden="false" customHeight="false" outlineLevel="0" collapsed="false">
      <c r="A11" s="0" t="s">
        <v>15</v>
      </c>
      <c r="B11" s="7" t="n">
        <v>12500000</v>
      </c>
      <c r="C11" s="2" t="s">
        <v>16</v>
      </c>
    </row>
    <row r="12" customFormat="false" ht="15" hidden="false" customHeight="false" outlineLevel="0" collapsed="false">
      <c r="A12" s="0" t="s">
        <v>17</v>
      </c>
      <c r="B12" s="7" t="n">
        <v>100000000</v>
      </c>
      <c r="C12" s="2" t="s">
        <v>18</v>
      </c>
    </row>
    <row r="14" customFormat="false" ht="15" hidden="false" customHeight="false" outlineLevel="0" collapsed="false">
      <c r="A14" s="3" t="s">
        <v>19</v>
      </c>
      <c r="B14" s="4"/>
      <c r="C14" s="4"/>
    </row>
    <row r="15" customFormat="false" ht="15" hidden="false" customHeight="false" outlineLevel="0" collapsed="false">
      <c r="A15" s="0" t="s">
        <v>20</v>
      </c>
      <c r="B15" s="5" t="n">
        <v>6</v>
      </c>
      <c r="C15" s="2" t="s">
        <v>21</v>
      </c>
    </row>
    <row r="16" customFormat="false" ht="15" hidden="false" customHeight="false" outlineLevel="0" collapsed="false">
      <c r="A16" s="0" t="s">
        <v>22</v>
      </c>
      <c r="B16" s="5" t="n">
        <v>1</v>
      </c>
      <c r="C16" s="2" t="s">
        <v>23</v>
      </c>
    </row>
    <row r="17" customFormat="false" ht="15" hidden="false" customHeight="false" outlineLevel="0" collapsed="false">
      <c r="A17" s="0" t="s">
        <v>24</v>
      </c>
      <c r="B17" s="5" t="n">
        <v>2</v>
      </c>
      <c r="C17" s="2" t="s">
        <v>23</v>
      </c>
    </row>
    <row r="18" customFormat="false" ht="15" hidden="false" customHeight="false" outlineLevel="0" collapsed="false">
      <c r="A18" s="0" t="s">
        <v>25</v>
      </c>
      <c r="B18" s="5" t="n">
        <v>3</v>
      </c>
      <c r="C18" s="2" t="s">
        <v>23</v>
      </c>
    </row>
    <row r="20" customFormat="false" ht="15" hidden="false" customHeight="false" outlineLevel="0" collapsed="false">
      <c r="A20" s="3" t="s">
        <v>26</v>
      </c>
      <c r="B20" s="4"/>
      <c r="C20" s="4"/>
    </row>
    <row r="21" customFormat="false" ht="15" hidden="false" customHeight="false" outlineLevel="0" collapsed="false">
      <c r="A21" s="0" t="s">
        <v>27</v>
      </c>
      <c r="B21" s="5" t="n">
        <v>22</v>
      </c>
      <c r="C21" s="2" t="s">
        <v>28</v>
      </c>
    </row>
    <row r="22" customFormat="false" ht="15" hidden="false" customHeight="false" outlineLevel="0" collapsed="false">
      <c r="A22" s="0" t="s">
        <v>29</v>
      </c>
      <c r="B22" s="5" t="n">
        <v>4</v>
      </c>
      <c r="C22" s="2" t="s">
        <v>30</v>
      </c>
    </row>
    <row r="23" customFormat="false" ht="15" hidden="false" customHeight="false" outlineLevel="0" collapsed="false">
      <c r="A23" s="0" t="s">
        <v>31</v>
      </c>
      <c r="B23" s="5" t="n">
        <v>4</v>
      </c>
      <c r="C23" s="2" t="s">
        <v>30</v>
      </c>
    </row>
    <row r="24" customFormat="false" ht="15" hidden="false" customHeight="false" outlineLevel="0" collapsed="false">
      <c r="A24" s="0" t="s">
        <v>32</v>
      </c>
      <c r="B24" s="5" t="n">
        <v>12</v>
      </c>
      <c r="C24" s="2" t="s">
        <v>30</v>
      </c>
    </row>
    <row r="25" customFormat="false" ht="15" hidden="false" customHeight="false" outlineLevel="0" collapsed="false">
      <c r="A25" s="0" t="s">
        <v>33</v>
      </c>
      <c r="B25" s="5" t="n">
        <v>2</v>
      </c>
      <c r="C25" s="2" t="s">
        <v>34</v>
      </c>
    </row>
    <row r="26" customFormat="false" ht="15" hidden="false" customHeight="false" outlineLevel="0" collapsed="false">
      <c r="A26" s="0" t="s">
        <v>35</v>
      </c>
      <c r="B26" s="5" t="n">
        <v>6</v>
      </c>
      <c r="C26" s="2" t="s">
        <v>36</v>
      </c>
    </row>
    <row r="27" customFormat="false" ht="15" hidden="false" customHeight="false" outlineLevel="0" collapsed="false">
      <c r="A27" s="0" t="s">
        <v>37</v>
      </c>
      <c r="B27" s="8" t="str">
        <f aca="false">B44&amp;","&amp;C44&amp;","&amp;D44&amp;","&amp;E44</f>
        <v>13,26,39,49</v>
      </c>
      <c r="C27" s="2" t="s">
        <v>38</v>
      </c>
    </row>
    <row r="28" customFormat="false" ht="15" hidden="false" customHeight="false" outlineLevel="0" collapsed="false">
      <c r="A28" s="0" t="s">
        <v>39</v>
      </c>
      <c r="B28" s="8" t="str">
        <f aca="false">B45&amp;"-"&amp;C45</f>
        <v>31-34</v>
      </c>
      <c r="C28" s="2" t="s">
        <v>40</v>
      </c>
    </row>
    <row r="29" customFormat="false" ht="15" hidden="false" customHeight="false" outlineLevel="0" collapsed="false">
      <c r="A29" s="0" t="s">
        <v>41</v>
      </c>
      <c r="B29" s="8" t="str">
        <f aca="false">B46&amp;"-"&amp;C46</f>
        <v>50-52</v>
      </c>
      <c r="C29" s="2" t="s">
        <v>42</v>
      </c>
    </row>
    <row r="31" customFormat="false" ht="15" hidden="false" customHeight="false" outlineLevel="0" collapsed="false">
      <c r="A31" s="3" t="s">
        <v>43</v>
      </c>
      <c r="B31" s="4"/>
      <c r="C31" s="4"/>
    </row>
    <row r="32" customFormat="false" ht="15" hidden="false" customHeight="false" outlineLevel="0" collapsed="false">
      <c r="A32" s="0" t="s">
        <v>44</v>
      </c>
      <c r="B32" s="7" t="n">
        <v>200000</v>
      </c>
      <c r="C32" s="2" t="s">
        <v>45</v>
      </c>
    </row>
    <row r="33" customFormat="false" ht="15" hidden="false" customHeight="false" outlineLevel="0" collapsed="false">
      <c r="A33" s="0" t="s">
        <v>46</v>
      </c>
      <c r="B33" s="6" t="n">
        <v>0.015</v>
      </c>
      <c r="C33" s="2" t="s">
        <v>47</v>
      </c>
    </row>
    <row r="34" customFormat="false" ht="15" hidden="false" customHeight="false" outlineLevel="0" collapsed="false">
      <c r="A34" s="0" t="s">
        <v>48</v>
      </c>
      <c r="B34" s="7" t="n">
        <v>2125000</v>
      </c>
      <c r="C34" s="2" t="s">
        <v>49</v>
      </c>
    </row>
    <row r="35" customFormat="false" ht="15" hidden="false" customHeight="false" outlineLevel="0" collapsed="false">
      <c r="A35" s="0" t="s">
        <v>50</v>
      </c>
      <c r="B35" s="6" t="n">
        <v>0.0175</v>
      </c>
      <c r="C35" s="2" t="s">
        <v>49</v>
      </c>
    </row>
    <row r="37" customFormat="false" ht="15" hidden="false" customHeight="false" outlineLevel="0" collapsed="false">
      <c r="A37" s="9" t="s">
        <v>51</v>
      </c>
    </row>
    <row r="38" customFormat="false" ht="15" hidden="false" customHeight="false" outlineLevel="0" collapsed="false">
      <c r="A38" s="2" t="s">
        <v>52</v>
      </c>
    </row>
    <row r="39" customFormat="false" ht="15" hidden="false" customHeight="false" outlineLevel="0" collapsed="false">
      <c r="A39" s="2" t="s">
        <v>53</v>
      </c>
    </row>
    <row r="40" customFormat="false" ht="15" hidden="false" customHeight="false" outlineLevel="0" collapsed="false">
      <c r="A40" s="2" t="s">
        <v>54</v>
      </c>
    </row>
    <row r="41" customFormat="false" ht="15" hidden="false" customHeight="false" outlineLevel="0" collapsed="false">
      <c r="A41" s="2" t="s">
        <v>55</v>
      </c>
    </row>
    <row r="43" customFormat="false" ht="15" hidden="false" customHeight="false" outlineLevel="0" collapsed="false">
      <c r="A43" s="3" t="s">
        <v>56</v>
      </c>
    </row>
    <row r="44" customFormat="false" ht="15" hidden="false" customHeight="false" outlineLevel="0" collapsed="false">
      <c r="A44" s="0" t="s">
        <v>57</v>
      </c>
      <c r="B44" s="10" t="n">
        <v>13</v>
      </c>
      <c r="C44" s="10" t="n">
        <v>26</v>
      </c>
      <c r="D44" s="10" t="n">
        <v>39</v>
      </c>
      <c r="E44" s="10" t="n">
        <v>49</v>
      </c>
      <c r="F44" s="2" t="s">
        <v>58</v>
      </c>
    </row>
    <row r="45" customFormat="false" ht="15" hidden="false" customHeight="false" outlineLevel="0" collapsed="false">
      <c r="A45" s="0" t="s">
        <v>59</v>
      </c>
      <c r="B45" s="10" t="n">
        <v>31</v>
      </c>
      <c r="C45" s="10" t="n">
        <v>34</v>
      </c>
      <c r="F45" s="2" t="s">
        <v>60</v>
      </c>
    </row>
    <row r="46" customFormat="false" ht="15" hidden="false" customHeight="false" outlineLevel="0" collapsed="false">
      <c r="A46" s="0" t="s">
        <v>61</v>
      </c>
      <c r="B46" s="10" t="n">
        <v>50</v>
      </c>
      <c r="C46" s="10" t="n">
        <v>52</v>
      </c>
      <c r="F46" s="2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5" min="3" style="0" width="16"/>
    <col collapsed="false" customWidth="true" hidden="false" outlineLevel="0" max="6" min="6" style="0" width="44"/>
  </cols>
  <sheetData>
    <row r="1" customFormat="false" ht="16.15" hidden="false" customHeight="false" outlineLevel="0" collapsed="false">
      <c r="A1" s="1" t="s">
        <v>63</v>
      </c>
    </row>
    <row r="2" customFormat="false" ht="15" hidden="false" customHeight="false" outlineLevel="0" collapsed="false">
      <c r="A2" s="2" t="s">
        <v>64</v>
      </c>
    </row>
    <row r="4" customFormat="false" ht="28.35" hidden="false" customHeight="false" outlineLevel="0" collapsed="false">
      <c r="A4" s="11" t="s">
        <v>65</v>
      </c>
      <c r="B4" s="11" t="s">
        <v>66</v>
      </c>
      <c r="C4" s="11" t="s">
        <v>67</v>
      </c>
      <c r="D4" s="11" t="s">
        <v>68</v>
      </c>
      <c r="E4" s="11" t="s">
        <v>69</v>
      </c>
      <c r="F4" s="11" t="s">
        <v>70</v>
      </c>
    </row>
    <row r="5" customFormat="false" ht="15" hidden="false" customHeight="false" outlineLevel="0" collapsed="false">
      <c r="A5" s="0" t="s">
        <v>3</v>
      </c>
      <c r="B5" s="12" t="n">
        <v>180</v>
      </c>
      <c r="E5" s="13" t="n">
        <f aca="false">'1 Inputs'!$B$5</f>
        <v>180</v>
      </c>
      <c r="F5" s="2" t="s">
        <v>71</v>
      </c>
    </row>
    <row r="6" customFormat="false" ht="15" hidden="false" customHeight="false" outlineLevel="0" collapsed="false">
      <c r="A6" s="0" t="s">
        <v>72</v>
      </c>
      <c r="B6" s="12" t="n">
        <v>90</v>
      </c>
      <c r="C6" s="14" t="n">
        <f aca="false">B6/B5</f>
        <v>0.5</v>
      </c>
      <c r="D6" s="14" t="n">
        <f aca="false">'1 Inputs'!$B$6</f>
        <v>0.5</v>
      </c>
      <c r="E6" s="13" t="n">
        <f aca="false">E5*'1 Inputs'!$B$6</f>
        <v>90</v>
      </c>
      <c r="F6" s="2" t="s">
        <v>73</v>
      </c>
    </row>
    <row r="7" customFormat="false" ht="15" hidden="false" customHeight="false" outlineLevel="0" collapsed="false">
      <c r="A7" s="0" t="s">
        <v>74</v>
      </c>
      <c r="B7" s="12" t="n">
        <v>40</v>
      </c>
      <c r="C7" s="14" t="n">
        <f aca="false">B7/B6</f>
        <v>0.444444444444444</v>
      </c>
      <c r="D7" s="14" t="n">
        <f aca="false">'1 Inputs'!$B$7</f>
        <v>0.5</v>
      </c>
      <c r="E7" s="13" t="n">
        <f aca="false">E6*'1 Inputs'!$B$7</f>
        <v>45</v>
      </c>
      <c r="F7" s="2" t="s">
        <v>75</v>
      </c>
    </row>
    <row r="8" customFormat="false" ht="15" hidden="false" customHeight="false" outlineLevel="0" collapsed="false">
      <c r="A8" s="0" t="s">
        <v>76</v>
      </c>
      <c r="B8" s="12" t="n">
        <v>22</v>
      </c>
      <c r="C8" s="14" t="n">
        <f aca="false">B8/B7</f>
        <v>0.55</v>
      </c>
      <c r="D8" s="14" t="n">
        <f aca="false">'1 Inputs'!$B$8</f>
        <v>0.5</v>
      </c>
      <c r="E8" s="13" t="n">
        <f aca="false">E7*'1 Inputs'!$B$8</f>
        <v>22.5</v>
      </c>
      <c r="F8" s="2" t="s">
        <v>77</v>
      </c>
    </row>
    <row r="9" customFormat="false" ht="15" hidden="false" customHeight="false" outlineLevel="0" collapsed="false">
      <c r="A9" s="0" t="s">
        <v>78</v>
      </c>
      <c r="B9" s="12" t="n">
        <v>12</v>
      </c>
      <c r="C9" s="14" t="n">
        <f aca="false">B9/B8</f>
        <v>0.545454545454545</v>
      </c>
      <c r="D9" s="14" t="n">
        <f aca="false">'1 Inputs'!$B$9</f>
        <v>0.5</v>
      </c>
      <c r="E9" s="13" t="n">
        <f aca="false">E8*'1 Inputs'!$B$9</f>
        <v>11.25</v>
      </c>
      <c r="F9" s="2" t="s">
        <v>79</v>
      </c>
    </row>
    <row r="10" customFormat="false" ht="15" hidden="false" customHeight="false" outlineLevel="0" collapsed="false">
      <c r="A10" s="0" t="s">
        <v>80</v>
      </c>
      <c r="B10" s="12" t="n">
        <v>8</v>
      </c>
      <c r="C10" s="14" t="n">
        <f aca="false">B10/B9</f>
        <v>0.666666666666667</v>
      </c>
      <c r="D10" s="14" t="n">
        <f aca="false">'1 Inputs'!$B$10</f>
        <v>0.666666666666667</v>
      </c>
      <c r="E10" s="13" t="n">
        <f aca="false">E9*'1 Inputs'!$B$10</f>
        <v>7.5</v>
      </c>
      <c r="F10" s="2" t="s">
        <v>81</v>
      </c>
    </row>
    <row r="12" customFormat="false" ht="15" hidden="false" customHeight="false" outlineLevel="0" collapsed="false">
      <c r="A12" s="9" t="s">
        <v>82</v>
      </c>
      <c r="B12" s="12" t="n">
        <f aca="false">B10*'1 Inputs'!$B$11</f>
        <v>100000000</v>
      </c>
      <c r="E12" s="12" t="n">
        <f aca="false">E10*'1 Inputs'!$B$11</f>
        <v>93750000</v>
      </c>
      <c r="F12" s="2" t="s">
        <v>83</v>
      </c>
    </row>
    <row r="13" customFormat="false" ht="15" hidden="false" customHeight="false" outlineLevel="0" collapsed="false">
      <c r="A13" s="9" t="s">
        <v>84</v>
      </c>
      <c r="E13" s="12" t="n">
        <f aca="false">E12-B12</f>
        <v>-6250000</v>
      </c>
      <c r="F13" s="14" t="str">
        <f aca="false">IFERROR(TEXT(ABS(E13)/B12,"0.0%")&amp;" short of the book's figure","")</f>
        <v>6.3% short of the book's figure</v>
      </c>
    </row>
    <row r="14" customFormat="false" ht="15" hidden="false" customHeight="false" outlineLevel="0" collapsed="false">
      <c r="A14" s="0" t="s">
        <v>85</v>
      </c>
      <c r="B14" s="15" t="n">
        <f aca="false">B5/B10</f>
        <v>22.5</v>
      </c>
      <c r="E14" s="15" t="n">
        <f aca="false">E5/E10</f>
        <v>24</v>
      </c>
    </row>
    <row r="15" customFormat="false" ht="15" hidden="false" customHeight="false" outlineLevel="0" collapsed="false">
      <c r="A15" s="9" t="s">
        <v>86</v>
      </c>
      <c r="B15" s="16" t="n">
        <f aca="false">('1 Inputs'!$B$12/'1 Inputs'!$B$11)/('1 Inputs'!$B$6*'1 Inputs'!$B$7*'1 Inputs'!$B$8*'1 Inputs'!$B$9*'1 Inputs'!$B$10)</f>
        <v>192</v>
      </c>
      <c r="F15" s="2" t="s">
        <v>87</v>
      </c>
    </row>
    <row r="16" customFormat="false" ht="15" hidden="false" customHeight="false" outlineLevel="0" collapsed="false">
      <c r="A16" s="0" t="s">
        <v>88</v>
      </c>
      <c r="B16" s="16" t="n">
        <f aca="false">SUMPRODUCT((ABS(C6:C10-D6:D10)&gt;0.0005)*1)</f>
        <v>3</v>
      </c>
      <c r="F16" s="2" t="s">
        <v>89</v>
      </c>
    </row>
    <row r="17" customFormat="false" ht="15" hidden="false" customHeight="false" outlineLevel="0" collapsed="false">
      <c r="A17" s="2" t="s">
        <v>90</v>
      </c>
    </row>
    <row r="18" customFormat="false" ht="15" hidden="false" customHeight="false" outlineLevel="0" collapsed="false">
      <c r="A18" s="2" t="s">
        <v>91</v>
      </c>
    </row>
    <row r="19" customFormat="false" ht="15" hidden="false" customHeight="false" outlineLevel="0" collapsed="false">
      <c r="A19" s="2" t="s">
        <v>92</v>
      </c>
    </row>
    <row r="20" customFormat="false" ht="15" hidden="false" customHeight="false" outlineLevel="0" collapsed="false">
      <c r="A20" s="2" t="s">
        <v>93</v>
      </c>
    </row>
    <row r="21" customFormat="false" ht="15" hidden="false" customHeight="false" outlineLevel="0" collapsed="false">
      <c r="A21" s="2" t="s">
        <v>94</v>
      </c>
    </row>
    <row r="22" customFormat="false" ht="15" hidden="false" customHeight="false" outlineLevel="0" collapsed="false">
      <c r="A22" s="2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4" min="3" style="0" width="16"/>
    <col collapsed="false" customWidth="true" hidden="false" outlineLevel="0" max="5" min="5" style="0" width="46"/>
  </cols>
  <sheetData>
    <row r="1" customFormat="false" ht="16.15" hidden="false" customHeight="false" outlineLevel="0" collapsed="false">
      <c r="A1" s="1" t="s">
        <v>96</v>
      </c>
    </row>
    <row r="2" customFormat="false" ht="15" hidden="false" customHeight="false" outlineLevel="0" collapsed="false">
      <c r="A2" s="2" t="s">
        <v>97</v>
      </c>
    </row>
    <row r="4" customFormat="false" ht="15" hidden="false" customHeight="false" outlineLevel="0" collapsed="false">
      <c r="A4" s="11" t="s">
        <v>98</v>
      </c>
      <c r="B4" s="11" t="s">
        <v>99</v>
      </c>
      <c r="C4" s="11" t="s">
        <v>100</v>
      </c>
      <c r="D4" s="11" t="s">
        <v>101</v>
      </c>
      <c r="E4" s="11" t="s">
        <v>102</v>
      </c>
    </row>
    <row r="5" customFormat="false" ht="15" hidden="false" customHeight="false" outlineLevel="0" collapsed="false">
      <c r="A5" s="0" t="s">
        <v>72</v>
      </c>
      <c r="B5" s="13" t="n">
        <f aca="false">'2 The funnel'!E6</f>
        <v>90</v>
      </c>
      <c r="C5" s="16" t="n">
        <f aca="false">1</f>
        <v>1</v>
      </c>
      <c r="D5" s="13" t="n">
        <f aca="false">B5*C5</f>
        <v>90</v>
      </c>
      <c r="E5" s="2" t="s">
        <v>103</v>
      </c>
    </row>
    <row r="6" customFormat="false" ht="15" hidden="false" customHeight="false" outlineLevel="0" collapsed="false">
      <c r="A6" s="0" t="s">
        <v>74</v>
      </c>
      <c r="B6" s="13" t="n">
        <f aca="false">'2 The funnel'!E7</f>
        <v>45</v>
      </c>
      <c r="C6" s="16" t="n">
        <f aca="false">'1 Inputs'!$B$16</f>
        <v>1</v>
      </c>
      <c r="D6" s="13" t="n">
        <f aca="false">B6*C6</f>
        <v>45</v>
      </c>
      <c r="E6" s="2" t="s">
        <v>103</v>
      </c>
    </row>
    <row r="7" customFormat="false" ht="15" hidden="false" customHeight="false" outlineLevel="0" collapsed="false">
      <c r="A7" s="0" t="s">
        <v>104</v>
      </c>
      <c r="B7" s="13" t="n">
        <f aca="false">'2 The funnel'!E8</f>
        <v>22.5</v>
      </c>
      <c r="C7" s="16" t="n">
        <f aca="false">'1 Inputs'!$B$17</f>
        <v>2</v>
      </c>
      <c r="D7" s="13" t="n">
        <f aca="false">B7*C7</f>
        <v>45</v>
      </c>
      <c r="E7" s="2" t="s">
        <v>103</v>
      </c>
    </row>
    <row r="8" customFormat="false" ht="15" hidden="false" customHeight="false" outlineLevel="0" collapsed="false">
      <c r="A8" s="0" t="s">
        <v>105</v>
      </c>
      <c r="B8" s="13" t="n">
        <f aca="false">'2 The funnel'!E10</f>
        <v>7.5</v>
      </c>
      <c r="C8" s="16" t="n">
        <f aca="false">'1 Inputs'!$B$18</f>
        <v>3</v>
      </c>
      <c r="D8" s="13" t="n">
        <f aca="false">B8*C8</f>
        <v>22.5</v>
      </c>
      <c r="E8" s="2" t="s">
        <v>103</v>
      </c>
    </row>
    <row r="9" customFormat="false" ht="15" hidden="false" customHeight="false" outlineLevel="0" collapsed="false">
      <c r="A9" s="9" t="s">
        <v>106</v>
      </c>
      <c r="D9" s="13" t="n">
        <f aca="false">SUM(D5:D8)</f>
        <v>202.5</v>
      </c>
    </row>
    <row r="11" customFormat="false" ht="15" hidden="false" customHeight="false" outlineLevel="0" collapsed="false">
      <c r="A11" s="0" t="s">
        <v>107</v>
      </c>
      <c r="B11" s="16" t="n">
        <f aca="false">52-('1 Inputs'!$C$45-'1 Inputs'!$B$45+1)-('1 Inputs'!$C$46-'1 Inputs'!$B$46+1)</f>
        <v>45</v>
      </c>
    </row>
    <row r="12" customFormat="false" ht="15" hidden="false" customHeight="false" outlineLevel="0" collapsed="false">
      <c r="A12" s="0" t="s">
        <v>108</v>
      </c>
      <c r="B12" s="15" t="n">
        <f aca="false">D9/'1 Inputs'!$B$15</f>
        <v>33.75</v>
      </c>
    </row>
    <row r="13" customFormat="false" ht="15" hidden="false" customHeight="false" outlineLevel="0" collapsed="false">
      <c r="A13" s="0" t="s">
        <v>109</v>
      </c>
      <c r="B13" s="17" t="n">
        <f aca="false">B12/B11</f>
        <v>0.75</v>
      </c>
    </row>
    <row r="14" customFormat="false" ht="15" hidden="false" customHeight="false" outlineLevel="0" collapsed="false">
      <c r="A14" s="0" t="s">
        <v>110</v>
      </c>
      <c r="B14" s="17" t="n">
        <v>0.5</v>
      </c>
    </row>
    <row r="15" customFormat="false" ht="15" hidden="false" customHeight="false" outlineLevel="0" collapsed="false">
      <c r="A15" s="0" t="s">
        <v>111</v>
      </c>
      <c r="B15" s="17" t="n">
        <f aca="false">B13-B14</f>
        <v>0.25</v>
      </c>
    </row>
    <row r="17" customFormat="false" ht="15" hidden="false" customHeight="false" outlineLevel="0" collapsed="false">
      <c r="A17" s="2" t="s">
        <v>112</v>
      </c>
    </row>
    <row r="18" customFormat="false" ht="15" hidden="false" customHeight="false" outlineLevel="0" collapsed="false">
      <c r="A18" s="2" t="s">
        <v>113</v>
      </c>
    </row>
    <row r="19" customFormat="false" ht="15" hidden="false" customHeight="false" outlineLevel="0" collapsed="false">
      <c r="A19" s="2" t="s">
        <v>114</v>
      </c>
    </row>
    <row r="20" customFormat="false" ht="15" hidden="false" customHeight="false" outlineLevel="0" collapsed="false">
      <c r="A20" s="2" t="s">
        <v>115</v>
      </c>
    </row>
    <row r="21" customFormat="false" ht="15" hidden="false" customHeight="false" outlineLevel="0" collapsed="false">
      <c r="A21" s="2" t="s">
        <v>116</v>
      </c>
    </row>
    <row r="22" customFormat="false" ht="15" hidden="false" customHeight="false" outlineLevel="0" collapsed="false">
      <c r="A22" s="2" t="s">
        <v>117</v>
      </c>
    </row>
    <row r="23" customFormat="false" ht="15" hidden="false" customHeight="false" outlineLevel="0" collapsed="false">
      <c r="A23" s="2" t="s">
        <v>118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9"/>
    <col collapsed="false" customWidth="true" hidden="false" outlineLevel="0" max="3" min="3" style="0" width="7"/>
    <col collapsed="false" customWidth="true" hidden="false" outlineLevel="0" max="4" min="4" style="0" width="14"/>
    <col collapsed="false" customWidth="true" hidden="false" outlineLevel="0" max="6" min="5" style="0" width="12"/>
    <col collapsed="false" customWidth="true" hidden="false" outlineLevel="0" max="7" min="7" style="0" width="16"/>
    <col collapsed="false" customWidth="true" hidden="false" outlineLevel="0" max="9" min="8" style="0" width="11"/>
    <col collapsed="false" customWidth="true" hidden="false" outlineLevel="0" max="10" min="10" style="0" width="12"/>
    <col collapsed="false" customWidth="true" hidden="false" outlineLevel="0" max="11" min="11" style="0" width="11"/>
    <col collapsed="false" customWidth="true" hidden="false" outlineLevel="0" max="12" min="12" style="0" width="3"/>
    <col collapsed="false" customWidth="true" hidden="false" outlineLevel="0" max="14" min="14" style="0" width="12"/>
    <col collapsed="false" customWidth="true" hidden="false" outlineLevel="0" max="16" min="15" style="0" width="16"/>
    <col collapsed="false" customWidth="true" hidden="false" outlineLevel="0" max="17" min="17" style="0" width="14"/>
    <col collapsed="false" customWidth="true" hidden="false" outlineLevel="0" max="18" min="18" style="0" width="16"/>
    <col collapsed="false" customWidth="true" hidden="false" outlineLevel="0" max="20" min="20" style="0" width="16"/>
  </cols>
  <sheetData>
    <row r="1" customFormat="false" ht="16.15" hidden="false" customHeight="false" outlineLevel="0" collapsed="false">
      <c r="A1" s="1" t="s">
        <v>119</v>
      </c>
    </row>
    <row r="2" customFormat="false" ht="15" hidden="false" customHeight="false" outlineLevel="0" collapsed="false">
      <c r="A2" s="2" t="s">
        <v>120</v>
      </c>
    </row>
    <row r="4" customFormat="false" ht="28.35" hidden="false" customHeight="false" outlineLevel="0" collapsed="false">
      <c r="A4" s="11" t="s">
        <v>121</v>
      </c>
      <c r="B4" s="11" t="s">
        <v>122</v>
      </c>
      <c r="C4" s="11" t="s">
        <v>123</v>
      </c>
      <c r="D4" s="11" t="s">
        <v>124</v>
      </c>
      <c r="E4" s="11" t="s">
        <v>125</v>
      </c>
      <c r="F4" s="11" t="s">
        <v>126</v>
      </c>
      <c r="G4" s="11" t="s">
        <v>127</v>
      </c>
      <c r="H4" s="11" t="s">
        <v>128</v>
      </c>
      <c r="I4" s="11" t="s">
        <v>129</v>
      </c>
      <c r="J4" s="11" t="s">
        <v>130</v>
      </c>
      <c r="K4" s="11" t="s">
        <v>131</v>
      </c>
      <c r="N4" s="11" t="s">
        <v>130</v>
      </c>
      <c r="O4" s="11" t="s">
        <v>132</v>
      </c>
      <c r="P4" s="11" t="s">
        <v>133</v>
      </c>
      <c r="Q4" s="11" t="s">
        <v>134</v>
      </c>
      <c r="R4" s="11" t="s">
        <v>135</v>
      </c>
      <c r="T4" s="18" t="s">
        <v>136</v>
      </c>
      <c r="U4" s="18" t="s">
        <v>121</v>
      </c>
      <c r="V4" s="18" t="s">
        <v>123</v>
      </c>
      <c r="W4" s="18" t="s">
        <v>137</v>
      </c>
    </row>
    <row r="5" customFormat="false" ht="15" hidden="false" customHeight="false" outlineLevel="0" collapsed="false">
      <c r="A5" s="0" t="n">
        <v>1</v>
      </c>
      <c r="B5" s="0" t="n">
        <f aca="false">MOD(A5-1,52)+1</f>
        <v>1</v>
      </c>
      <c r="C5" s="0" t="n">
        <f aca="false">IF(OR(AND(B5&gt;='1 Inputs'!$B$45,B5&lt;='1 Inputs'!$C$45),AND(B5&gt;='1 Inputs'!$B$46,B5&lt;='1 Inputs'!$C$46)),1,0)</f>
        <v>0</v>
      </c>
      <c r="D5" s="13" t="n">
        <f aca="false">'1 Inputs'!$B$5*'1 Inputs'!$B$6</f>
        <v>90</v>
      </c>
      <c r="E5" s="13" t="n">
        <f aca="false">IF(A5&lt;'1 Inputs'!$B$21,0,IF(C5=1,0,MIN('1 Inputs'!$B$15,D5)))</f>
        <v>0</v>
      </c>
      <c r="F5" s="13" t="n">
        <f aca="false">E5*'1 Inputs'!$B$7*'1 Inputs'!$B$8*'1 Inputs'!$B$9*'1 Inputs'!$B$10</f>
        <v>0</v>
      </c>
      <c r="G5" s="12" t="n">
        <f aca="false">F5*'1 Inputs'!$B$11</f>
        <v>0</v>
      </c>
      <c r="H5" s="19" t="n">
        <f aca="false">A5+'1 Inputs'!$B$22+'1 Inputs'!$B$23+'1 Inputs'!$B$24</f>
        <v>21</v>
      </c>
      <c r="I5" s="19" t="n">
        <f aca="false">H5+'1 Inputs'!$B$25</f>
        <v>23</v>
      </c>
      <c r="J5" s="0" t="str">
        <f aca="false">IF(E5=0,"",IFERROR(INDEX($T$5:$T$40,MATCH(I5,$T$5:$T$40,1)+IF(INDEX($T$5:$T$40,MATCH(I5,$T$5:$T$40,1))=I5,0,1)),$T$5))</f>
        <v/>
      </c>
      <c r="K5" s="0" t="str">
        <f aca="false">IF(J5="","",J5+'1 Inputs'!$B$26)</f>
        <v/>
      </c>
      <c r="N5" s="16" t="n">
        <f aca="false">T5</f>
        <v>13</v>
      </c>
      <c r="O5" s="12" t="n">
        <f aca="false">SUMIF($J$5:$J$204,N5,$G$5:$G$204)</f>
        <v>0</v>
      </c>
      <c r="P5" s="19" t="n">
        <f aca="false">N5+'1 Inputs'!$B$26</f>
        <v>19</v>
      </c>
      <c r="Q5" s="12" t="n">
        <f aca="false">IF(ROW()=5,O5,Q4+O5)</f>
        <v>0</v>
      </c>
      <c r="R5" s="15" t="n">
        <f aca="false">(P5-'1 Inputs'!$B$21)/52*12</f>
        <v>-0.692307692307692</v>
      </c>
      <c r="S5" s="19" t="n">
        <f aca="false">IF(Q5&gt;='1 Inputs'!$B$12,P5,999999)</f>
        <v>999999</v>
      </c>
      <c r="T5" s="16" t="n">
        <f aca="false">'1 Inputs'!$B$44</f>
        <v>13</v>
      </c>
      <c r="U5" s="0" t="n">
        <v>1</v>
      </c>
      <c r="V5" s="19" t="n">
        <f aca="false">IF(OR(AND((MOD(U5-1,52)+1)&gt;='1 Inputs'!$B$45,(MOD(U5-1,52)+1)&lt;='1 Inputs'!$C$45),AND((MOD(U5-1,52)+1)&gt;='1 Inputs'!$B$46,(MOD(U5-1,52)+1)&lt;='1 Inputs'!$C$46)),1,0)</f>
        <v>0</v>
      </c>
      <c r="W5" s="19" t="n">
        <f aca="false">1-V5</f>
        <v>1</v>
      </c>
    </row>
    <row r="6" customFormat="false" ht="15" hidden="false" customHeight="false" outlineLevel="0" collapsed="false">
      <c r="A6" s="0" t="n">
        <v>2</v>
      </c>
      <c r="B6" s="0" t="n">
        <f aca="false">MOD(A6-1,52)+1</f>
        <v>2</v>
      </c>
      <c r="C6" s="0" t="n">
        <f aca="false">IF(OR(AND(B6&gt;='1 Inputs'!$B$45,B6&lt;='1 Inputs'!$C$45),AND(B6&gt;='1 Inputs'!$B$46,B6&lt;='1 Inputs'!$C$46)),1,0)</f>
        <v>0</v>
      </c>
      <c r="D6" s="13" t="n">
        <f aca="false">D5-E5</f>
        <v>90</v>
      </c>
      <c r="E6" s="13" t="n">
        <f aca="false">IF(A6&lt;'1 Inputs'!$B$21,0,IF(C6=1,0,MIN('1 Inputs'!$B$15,D6)))</f>
        <v>0</v>
      </c>
      <c r="F6" s="13" t="n">
        <f aca="false">E6*'1 Inputs'!$B$7*'1 Inputs'!$B$8*'1 Inputs'!$B$9*'1 Inputs'!$B$10</f>
        <v>0</v>
      </c>
      <c r="G6" s="12" t="n">
        <f aca="false">F6*'1 Inputs'!$B$11</f>
        <v>0</v>
      </c>
      <c r="H6" s="19" t="n">
        <f aca="false">A6+'1 Inputs'!$B$22+'1 Inputs'!$B$23+'1 Inputs'!$B$24</f>
        <v>22</v>
      </c>
      <c r="I6" s="19" t="n">
        <f aca="false">H6+'1 Inputs'!$B$25</f>
        <v>24</v>
      </c>
      <c r="J6" s="0" t="str">
        <f aca="false">IF(E6=0,"",IFERROR(INDEX($T$5:$T$40,MATCH(I6,$T$5:$T$40,1)+IF(INDEX($T$5:$T$40,MATCH(I6,$T$5:$T$40,1))=I6,0,1)),$T$5))</f>
        <v/>
      </c>
      <c r="K6" s="0" t="str">
        <f aca="false">IF(J6="","",J6+'1 Inputs'!$B$26)</f>
        <v/>
      </c>
      <c r="N6" s="16" t="n">
        <f aca="false">T6</f>
        <v>26</v>
      </c>
      <c r="O6" s="12" t="n">
        <f aca="false">SUMIF($J$5:$J$204,N6,$G$5:$G$204)</f>
        <v>0</v>
      </c>
      <c r="P6" s="19" t="n">
        <f aca="false">N6+'1 Inputs'!$B$26</f>
        <v>32</v>
      </c>
      <c r="Q6" s="12" t="n">
        <f aca="false">IF(ROW()=5,O6,Q5+O6)</f>
        <v>0</v>
      </c>
      <c r="R6" s="15" t="n">
        <f aca="false">(P6-'1 Inputs'!$B$21)/52*12</f>
        <v>2.30769230769231</v>
      </c>
      <c r="S6" s="19" t="n">
        <f aca="false">IF(Q6&gt;='1 Inputs'!$B$12,P6,999999)</f>
        <v>999999</v>
      </c>
      <c r="T6" s="16" t="n">
        <f aca="false">'1 Inputs'!$C$44</f>
        <v>26</v>
      </c>
      <c r="U6" s="0" t="n">
        <v>2</v>
      </c>
      <c r="V6" s="19" t="n">
        <f aca="false">IF(OR(AND((MOD(U6-1,52)+1)&gt;='1 Inputs'!$B$45,(MOD(U6-1,52)+1)&lt;='1 Inputs'!$C$45),AND((MOD(U6-1,52)+1)&gt;='1 Inputs'!$B$46,(MOD(U6-1,52)+1)&lt;='1 Inputs'!$C$46)),1,0)</f>
        <v>0</v>
      </c>
      <c r="W6" s="19" t="n">
        <f aca="false">W5+1-V6</f>
        <v>2</v>
      </c>
    </row>
    <row r="7" customFormat="false" ht="15" hidden="false" customHeight="false" outlineLevel="0" collapsed="false">
      <c r="A7" s="0" t="n">
        <v>3</v>
      </c>
      <c r="B7" s="0" t="n">
        <f aca="false">MOD(A7-1,52)+1</f>
        <v>3</v>
      </c>
      <c r="C7" s="0" t="n">
        <f aca="false">IF(OR(AND(B7&gt;='1 Inputs'!$B$45,B7&lt;='1 Inputs'!$C$45),AND(B7&gt;='1 Inputs'!$B$46,B7&lt;='1 Inputs'!$C$46)),1,0)</f>
        <v>0</v>
      </c>
      <c r="D7" s="13" t="n">
        <f aca="false">D6-E6</f>
        <v>90</v>
      </c>
      <c r="E7" s="13" t="n">
        <f aca="false">IF(A7&lt;'1 Inputs'!$B$21,0,IF(C7=1,0,MIN('1 Inputs'!$B$15,D7)))</f>
        <v>0</v>
      </c>
      <c r="F7" s="13" t="n">
        <f aca="false">E7*'1 Inputs'!$B$7*'1 Inputs'!$B$8*'1 Inputs'!$B$9*'1 Inputs'!$B$10</f>
        <v>0</v>
      </c>
      <c r="G7" s="12" t="n">
        <f aca="false">F7*'1 Inputs'!$B$11</f>
        <v>0</v>
      </c>
      <c r="H7" s="19" t="n">
        <f aca="false">A7+'1 Inputs'!$B$22+'1 Inputs'!$B$23+'1 Inputs'!$B$24</f>
        <v>23</v>
      </c>
      <c r="I7" s="19" t="n">
        <f aca="false">H7+'1 Inputs'!$B$25</f>
        <v>25</v>
      </c>
      <c r="J7" s="0" t="str">
        <f aca="false">IF(E7=0,"",IFERROR(INDEX($T$5:$T$40,MATCH(I7,$T$5:$T$40,1)+IF(INDEX($T$5:$T$40,MATCH(I7,$T$5:$T$40,1))=I7,0,1)),$T$5))</f>
        <v/>
      </c>
      <c r="K7" s="0" t="str">
        <f aca="false">IF(J7="","",J7+'1 Inputs'!$B$26)</f>
        <v/>
      </c>
      <c r="N7" s="16" t="n">
        <f aca="false">T7</f>
        <v>39</v>
      </c>
      <c r="O7" s="12" t="n">
        <f aca="false">SUMIF($J$5:$J$204,N7,$G$5:$G$204)</f>
        <v>0</v>
      </c>
      <c r="P7" s="19" t="n">
        <f aca="false">N7+'1 Inputs'!$B$26</f>
        <v>45</v>
      </c>
      <c r="Q7" s="12" t="n">
        <f aca="false">IF(ROW()=5,O7,Q6+O7)</f>
        <v>0</v>
      </c>
      <c r="R7" s="15" t="n">
        <f aca="false">(P7-'1 Inputs'!$B$21)/52*12</f>
        <v>5.30769230769231</v>
      </c>
      <c r="S7" s="19" t="n">
        <f aca="false">IF(Q7&gt;='1 Inputs'!$B$12,P7,999999)</f>
        <v>999999</v>
      </c>
      <c r="T7" s="16" t="n">
        <f aca="false">'1 Inputs'!$D$44</f>
        <v>39</v>
      </c>
      <c r="U7" s="0" t="n">
        <v>3</v>
      </c>
      <c r="V7" s="19" t="n">
        <f aca="false">IF(OR(AND((MOD(U7-1,52)+1)&gt;='1 Inputs'!$B$45,(MOD(U7-1,52)+1)&lt;='1 Inputs'!$C$45),AND((MOD(U7-1,52)+1)&gt;='1 Inputs'!$B$46,(MOD(U7-1,52)+1)&lt;='1 Inputs'!$C$46)),1,0)</f>
        <v>0</v>
      </c>
      <c r="W7" s="19" t="n">
        <f aca="false">W6+1-V7</f>
        <v>3</v>
      </c>
    </row>
    <row r="8" customFormat="false" ht="15" hidden="false" customHeight="false" outlineLevel="0" collapsed="false">
      <c r="A8" s="0" t="n">
        <v>4</v>
      </c>
      <c r="B8" s="0" t="n">
        <f aca="false">MOD(A8-1,52)+1</f>
        <v>4</v>
      </c>
      <c r="C8" s="0" t="n">
        <f aca="false">IF(OR(AND(B8&gt;='1 Inputs'!$B$45,B8&lt;='1 Inputs'!$C$45),AND(B8&gt;='1 Inputs'!$B$46,B8&lt;='1 Inputs'!$C$46)),1,0)</f>
        <v>0</v>
      </c>
      <c r="D8" s="13" t="n">
        <f aca="false">D7-E7</f>
        <v>90</v>
      </c>
      <c r="E8" s="13" t="n">
        <f aca="false">IF(A8&lt;'1 Inputs'!$B$21,0,IF(C8=1,0,MIN('1 Inputs'!$B$15,D8)))</f>
        <v>0</v>
      </c>
      <c r="F8" s="13" t="n">
        <f aca="false">E8*'1 Inputs'!$B$7*'1 Inputs'!$B$8*'1 Inputs'!$B$9*'1 Inputs'!$B$10</f>
        <v>0</v>
      </c>
      <c r="G8" s="12" t="n">
        <f aca="false">F8*'1 Inputs'!$B$11</f>
        <v>0</v>
      </c>
      <c r="H8" s="19" t="n">
        <f aca="false">A8+'1 Inputs'!$B$22+'1 Inputs'!$B$23+'1 Inputs'!$B$24</f>
        <v>24</v>
      </c>
      <c r="I8" s="19" t="n">
        <f aca="false">H8+'1 Inputs'!$B$25</f>
        <v>26</v>
      </c>
      <c r="J8" s="0" t="str">
        <f aca="false">IF(E8=0,"",IFERROR(INDEX($T$5:$T$40,MATCH(I8,$T$5:$T$40,1)+IF(INDEX($T$5:$T$40,MATCH(I8,$T$5:$T$40,1))=I8,0,1)),$T$5))</f>
        <v/>
      </c>
      <c r="K8" s="0" t="str">
        <f aca="false">IF(J8="","",J8+'1 Inputs'!$B$26)</f>
        <v/>
      </c>
      <c r="N8" s="16" t="n">
        <f aca="false">T8</f>
        <v>49</v>
      </c>
      <c r="O8" s="12" t="n">
        <f aca="false">SUMIF($J$5:$J$204,N8,$G$5:$G$204)</f>
        <v>37500000</v>
      </c>
      <c r="P8" s="19" t="n">
        <f aca="false">N8+'1 Inputs'!$B$26</f>
        <v>55</v>
      </c>
      <c r="Q8" s="12" t="n">
        <f aca="false">IF(ROW()=5,O8,Q7+O8)</f>
        <v>37500000</v>
      </c>
      <c r="R8" s="15" t="n">
        <f aca="false">(P8-'1 Inputs'!$B$21)/52*12</f>
        <v>7.61538461538462</v>
      </c>
      <c r="S8" s="19" t="n">
        <f aca="false">IF(Q8&gt;='1 Inputs'!$B$12,P8,999999)</f>
        <v>999999</v>
      </c>
      <c r="T8" s="16" t="n">
        <f aca="false">'1 Inputs'!$E$44</f>
        <v>49</v>
      </c>
      <c r="U8" s="0" t="n">
        <v>4</v>
      </c>
      <c r="V8" s="19" t="n">
        <f aca="false">IF(OR(AND((MOD(U8-1,52)+1)&gt;='1 Inputs'!$B$45,(MOD(U8-1,52)+1)&lt;='1 Inputs'!$C$45),AND((MOD(U8-1,52)+1)&gt;='1 Inputs'!$B$46,(MOD(U8-1,52)+1)&lt;='1 Inputs'!$C$46)),1,0)</f>
        <v>0</v>
      </c>
      <c r="W8" s="19" t="n">
        <f aca="false">W7+1-V8</f>
        <v>4</v>
      </c>
    </row>
    <row r="9" customFormat="false" ht="15" hidden="false" customHeight="false" outlineLevel="0" collapsed="false">
      <c r="A9" s="0" t="n">
        <v>5</v>
      </c>
      <c r="B9" s="0" t="n">
        <f aca="false">MOD(A9-1,52)+1</f>
        <v>5</v>
      </c>
      <c r="C9" s="0" t="n">
        <f aca="false">IF(OR(AND(B9&gt;='1 Inputs'!$B$45,B9&lt;='1 Inputs'!$C$45),AND(B9&gt;='1 Inputs'!$B$46,B9&lt;='1 Inputs'!$C$46)),1,0)</f>
        <v>0</v>
      </c>
      <c r="D9" s="13" t="n">
        <f aca="false">D8-E8</f>
        <v>90</v>
      </c>
      <c r="E9" s="13" t="n">
        <f aca="false">IF(A9&lt;'1 Inputs'!$B$21,0,IF(C9=1,0,MIN('1 Inputs'!$B$15,D9)))</f>
        <v>0</v>
      </c>
      <c r="F9" s="13" t="n">
        <f aca="false">E9*'1 Inputs'!$B$7*'1 Inputs'!$B$8*'1 Inputs'!$B$9*'1 Inputs'!$B$10</f>
        <v>0</v>
      </c>
      <c r="G9" s="12" t="n">
        <f aca="false">F9*'1 Inputs'!$B$11</f>
        <v>0</v>
      </c>
      <c r="H9" s="19" t="n">
        <f aca="false">A9+'1 Inputs'!$B$22+'1 Inputs'!$B$23+'1 Inputs'!$B$24</f>
        <v>25</v>
      </c>
      <c r="I9" s="19" t="n">
        <f aca="false">H9+'1 Inputs'!$B$25</f>
        <v>27</v>
      </c>
      <c r="J9" s="0" t="str">
        <f aca="false">IF(E9=0,"",IFERROR(INDEX($T$5:$T$40,MATCH(I9,$T$5:$T$40,1)+IF(INDEX($T$5:$T$40,MATCH(I9,$T$5:$T$40,1))=I9,0,1)),$T$5))</f>
        <v/>
      </c>
      <c r="K9" s="0" t="str">
        <f aca="false">IF(J9="","",J9+'1 Inputs'!$B$26)</f>
        <v/>
      </c>
      <c r="N9" s="19" t="n">
        <f aca="false">T9</f>
        <v>65</v>
      </c>
      <c r="O9" s="12" t="n">
        <f aca="false">SUMIF($J$5:$J$204,N9,$G$5:$G$204)</f>
        <v>56250000</v>
      </c>
      <c r="P9" s="19" t="n">
        <f aca="false">N9+'1 Inputs'!$B$26</f>
        <v>71</v>
      </c>
      <c r="Q9" s="12" t="n">
        <f aca="false">IF(ROW()=5,O9,Q8+O9)</f>
        <v>93750000</v>
      </c>
      <c r="R9" s="15" t="n">
        <f aca="false">(P9-'1 Inputs'!$B$21)/52*12</f>
        <v>11.3076923076923</v>
      </c>
      <c r="S9" s="19" t="n">
        <f aca="false">IF(Q9&gt;='1 Inputs'!$B$12,P9,999999)</f>
        <v>999999</v>
      </c>
      <c r="T9" s="19" t="n">
        <f aca="false">T5+52</f>
        <v>65</v>
      </c>
      <c r="U9" s="0" t="n">
        <v>5</v>
      </c>
      <c r="V9" s="19" t="n">
        <f aca="false">IF(OR(AND((MOD(U9-1,52)+1)&gt;='1 Inputs'!$B$45,(MOD(U9-1,52)+1)&lt;='1 Inputs'!$C$45),AND((MOD(U9-1,52)+1)&gt;='1 Inputs'!$B$46,(MOD(U9-1,52)+1)&lt;='1 Inputs'!$C$46)),1,0)</f>
        <v>0</v>
      </c>
      <c r="W9" s="19" t="n">
        <f aca="false">W8+1-V9</f>
        <v>5</v>
      </c>
    </row>
    <row r="10" customFormat="false" ht="15" hidden="false" customHeight="false" outlineLevel="0" collapsed="false">
      <c r="A10" s="0" t="n">
        <v>6</v>
      </c>
      <c r="B10" s="0" t="n">
        <f aca="false">MOD(A10-1,52)+1</f>
        <v>6</v>
      </c>
      <c r="C10" s="0" t="n">
        <f aca="false">IF(OR(AND(B10&gt;='1 Inputs'!$B$45,B10&lt;='1 Inputs'!$C$45),AND(B10&gt;='1 Inputs'!$B$46,B10&lt;='1 Inputs'!$C$46)),1,0)</f>
        <v>0</v>
      </c>
      <c r="D10" s="13" t="n">
        <f aca="false">D9-E9</f>
        <v>90</v>
      </c>
      <c r="E10" s="13" t="n">
        <f aca="false">IF(A10&lt;'1 Inputs'!$B$21,0,IF(C10=1,0,MIN('1 Inputs'!$B$15,D10)))</f>
        <v>0</v>
      </c>
      <c r="F10" s="13" t="n">
        <f aca="false">E10*'1 Inputs'!$B$7*'1 Inputs'!$B$8*'1 Inputs'!$B$9*'1 Inputs'!$B$10</f>
        <v>0</v>
      </c>
      <c r="G10" s="12" t="n">
        <f aca="false">F10*'1 Inputs'!$B$11</f>
        <v>0</v>
      </c>
      <c r="H10" s="19" t="n">
        <f aca="false">A10+'1 Inputs'!$B$22+'1 Inputs'!$B$23+'1 Inputs'!$B$24</f>
        <v>26</v>
      </c>
      <c r="I10" s="19" t="n">
        <f aca="false">H10+'1 Inputs'!$B$25</f>
        <v>28</v>
      </c>
      <c r="J10" s="0" t="str">
        <f aca="false">IF(E10=0,"",IFERROR(INDEX($T$5:$T$40,MATCH(I10,$T$5:$T$40,1)+IF(INDEX($T$5:$T$40,MATCH(I10,$T$5:$T$40,1))=I10,0,1)),$T$5))</f>
        <v/>
      </c>
      <c r="K10" s="0" t="str">
        <f aca="false">IF(J10="","",J10+'1 Inputs'!$B$26)</f>
        <v/>
      </c>
      <c r="N10" s="19" t="n">
        <f aca="false">T10</f>
        <v>78</v>
      </c>
      <c r="O10" s="12" t="n">
        <f aca="false">SUMIF($J$5:$J$204,N10,$G$5:$G$204)</f>
        <v>0</v>
      </c>
      <c r="P10" s="19" t="n">
        <f aca="false">N10+'1 Inputs'!$B$26</f>
        <v>84</v>
      </c>
      <c r="Q10" s="12" t="n">
        <f aca="false">IF(ROW()=5,O10,Q9+O10)</f>
        <v>93750000</v>
      </c>
      <c r="R10" s="15" t="n">
        <f aca="false">(P10-'1 Inputs'!$B$21)/52*12</f>
        <v>14.3076923076923</v>
      </c>
      <c r="S10" s="19" t="n">
        <f aca="false">IF(Q10&gt;='1 Inputs'!$B$12,P10,999999)</f>
        <v>999999</v>
      </c>
      <c r="T10" s="19" t="n">
        <f aca="false">T6+52</f>
        <v>78</v>
      </c>
      <c r="U10" s="0" t="n">
        <v>6</v>
      </c>
      <c r="V10" s="19" t="n">
        <f aca="false">IF(OR(AND((MOD(U10-1,52)+1)&gt;='1 Inputs'!$B$45,(MOD(U10-1,52)+1)&lt;='1 Inputs'!$C$45),AND((MOD(U10-1,52)+1)&gt;='1 Inputs'!$B$46,(MOD(U10-1,52)+1)&lt;='1 Inputs'!$C$46)),1,0)</f>
        <v>0</v>
      </c>
      <c r="W10" s="19" t="n">
        <f aca="false">W9+1-V10</f>
        <v>6</v>
      </c>
    </row>
    <row r="11" customFormat="false" ht="15" hidden="false" customHeight="false" outlineLevel="0" collapsed="false">
      <c r="A11" s="0" t="n">
        <v>7</v>
      </c>
      <c r="B11" s="0" t="n">
        <f aca="false">MOD(A11-1,52)+1</f>
        <v>7</v>
      </c>
      <c r="C11" s="0" t="n">
        <f aca="false">IF(OR(AND(B11&gt;='1 Inputs'!$B$45,B11&lt;='1 Inputs'!$C$45),AND(B11&gt;='1 Inputs'!$B$46,B11&lt;='1 Inputs'!$C$46)),1,0)</f>
        <v>0</v>
      </c>
      <c r="D11" s="13" t="n">
        <f aca="false">D10-E10</f>
        <v>90</v>
      </c>
      <c r="E11" s="13" t="n">
        <f aca="false">IF(A11&lt;'1 Inputs'!$B$21,0,IF(C11=1,0,MIN('1 Inputs'!$B$15,D11)))</f>
        <v>0</v>
      </c>
      <c r="F11" s="13" t="n">
        <f aca="false">E11*'1 Inputs'!$B$7*'1 Inputs'!$B$8*'1 Inputs'!$B$9*'1 Inputs'!$B$10</f>
        <v>0</v>
      </c>
      <c r="G11" s="12" t="n">
        <f aca="false">F11*'1 Inputs'!$B$11</f>
        <v>0</v>
      </c>
      <c r="H11" s="19" t="n">
        <f aca="false">A11+'1 Inputs'!$B$22+'1 Inputs'!$B$23+'1 Inputs'!$B$24</f>
        <v>27</v>
      </c>
      <c r="I11" s="19" t="n">
        <f aca="false">H11+'1 Inputs'!$B$25</f>
        <v>29</v>
      </c>
      <c r="J11" s="0" t="str">
        <f aca="false">IF(E11=0,"",IFERROR(INDEX($T$5:$T$40,MATCH(I11,$T$5:$T$40,1)+IF(INDEX($T$5:$T$40,MATCH(I11,$T$5:$T$40,1))=I11,0,1)),$T$5))</f>
        <v/>
      </c>
      <c r="K11" s="0" t="str">
        <f aca="false">IF(J11="","",J11+'1 Inputs'!$B$26)</f>
        <v/>
      </c>
      <c r="N11" s="19" t="n">
        <f aca="false">T11</f>
        <v>91</v>
      </c>
      <c r="O11" s="12" t="n">
        <f aca="false">SUMIF($J$5:$J$204,N11,$G$5:$G$204)</f>
        <v>0</v>
      </c>
      <c r="P11" s="19" t="n">
        <f aca="false">N11+'1 Inputs'!$B$26</f>
        <v>97</v>
      </c>
      <c r="Q11" s="12" t="n">
        <f aca="false">IF(ROW()=5,O11,Q10+O11)</f>
        <v>93750000</v>
      </c>
      <c r="R11" s="15" t="n">
        <f aca="false">(P11-'1 Inputs'!$B$21)/52*12</f>
        <v>17.3076923076923</v>
      </c>
      <c r="S11" s="19" t="n">
        <f aca="false">IF(Q11&gt;='1 Inputs'!$B$12,P11,999999)</f>
        <v>999999</v>
      </c>
      <c r="T11" s="19" t="n">
        <f aca="false">T7+52</f>
        <v>91</v>
      </c>
      <c r="U11" s="0" t="n">
        <v>7</v>
      </c>
      <c r="V11" s="19" t="n">
        <f aca="false">IF(OR(AND((MOD(U11-1,52)+1)&gt;='1 Inputs'!$B$45,(MOD(U11-1,52)+1)&lt;='1 Inputs'!$C$45),AND((MOD(U11-1,52)+1)&gt;='1 Inputs'!$B$46,(MOD(U11-1,52)+1)&lt;='1 Inputs'!$C$46)),1,0)</f>
        <v>0</v>
      </c>
      <c r="W11" s="19" t="n">
        <f aca="false">W10+1-V11</f>
        <v>7</v>
      </c>
    </row>
    <row r="12" customFormat="false" ht="15" hidden="false" customHeight="false" outlineLevel="0" collapsed="false">
      <c r="A12" s="0" t="n">
        <v>8</v>
      </c>
      <c r="B12" s="0" t="n">
        <f aca="false">MOD(A12-1,52)+1</f>
        <v>8</v>
      </c>
      <c r="C12" s="0" t="n">
        <f aca="false">IF(OR(AND(B12&gt;='1 Inputs'!$B$45,B12&lt;='1 Inputs'!$C$45),AND(B12&gt;='1 Inputs'!$B$46,B12&lt;='1 Inputs'!$C$46)),1,0)</f>
        <v>0</v>
      </c>
      <c r="D12" s="13" t="n">
        <f aca="false">D11-E11</f>
        <v>90</v>
      </c>
      <c r="E12" s="13" t="n">
        <f aca="false">IF(A12&lt;'1 Inputs'!$B$21,0,IF(C12=1,0,MIN('1 Inputs'!$B$15,D12)))</f>
        <v>0</v>
      </c>
      <c r="F12" s="13" t="n">
        <f aca="false">E12*'1 Inputs'!$B$7*'1 Inputs'!$B$8*'1 Inputs'!$B$9*'1 Inputs'!$B$10</f>
        <v>0</v>
      </c>
      <c r="G12" s="12" t="n">
        <f aca="false">F12*'1 Inputs'!$B$11</f>
        <v>0</v>
      </c>
      <c r="H12" s="19" t="n">
        <f aca="false">A12+'1 Inputs'!$B$22+'1 Inputs'!$B$23+'1 Inputs'!$B$24</f>
        <v>28</v>
      </c>
      <c r="I12" s="19" t="n">
        <f aca="false">H12+'1 Inputs'!$B$25</f>
        <v>30</v>
      </c>
      <c r="J12" s="0" t="str">
        <f aca="false">IF(E12=0,"",IFERROR(INDEX($T$5:$T$40,MATCH(I12,$T$5:$T$40,1)+IF(INDEX($T$5:$T$40,MATCH(I12,$T$5:$T$40,1))=I12,0,1)),$T$5))</f>
        <v/>
      </c>
      <c r="K12" s="0" t="str">
        <f aca="false">IF(J12="","",J12+'1 Inputs'!$B$26)</f>
        <v/>
      </c>
      <c r="N12" s="19" t="n">
        <f aca="false">T12</f>
        <v>101</v>
      </c>
      <c r="O12" s="12" t="n">
        <f aca="false">SUMIF($J$5:$J$204,N12,$G$5:$G$204)</f>
        <v>0</v>
      </c>
      <c r="P12" s="19" t="n">
        <f aca="false">N12+'1 Inputs'!$B$26</f>
        <v>107</v>
      </c>
      <c r="Q12" s="12" t="n">
        <f aca="false">IF(ROW()=5,O12,Q11+O12)</f>
        <v>93750000</v>
      </c>
      <c r="R12" s="15" t="n">
        <f aca="false">(P12-'1 Inputs'!$B$21)/52*12</f>
        <v>19.6153846153846</v>
      </c>
      <c r="S12" s="19" t="n">
        <f aca="false">IF(Q12&gt;='1 Inputs'!$B$12,P12,999999)</f>
        <v>999999</v>
      </c>
      <c r="T12" s="19" t="n">
        <f aca="false">T8+52</f>
        <v>101</v>
      </c>
      <c r="U12" s="0" t="n">
        <v>8</v>
      </c>
      <c r="V12" s="19" t="n">
        <f aca="false">IF(OR(AND((MOD(U12-1,52)+1)&gt;='1 Inputs'!$B$45,(MOD(U12-1,52)+1)&lt;='1 Inputs'!$C$45),AND((MOD(U12-1,52)+1)&gt;='1 Inputs'!$B$46,(MOD(U12-1,52)+1)&lt;='1 Inputs'!$C$46)),1,0)</f>
        <v>0</v>
      </c>
      <c r="W12" s="19" t="n">
        <f aca="false">W11+1-V12</f>
        <v>8</v>
      </c>
    </row>
    <row r="13" customFormat="false" ht="15" hidden="false" customHeight="false" outlineLevel="0" collapsed="false">
      <c r="A13" s="0" t="n">
        <v>9</v>
      </c>
      <c r="B13" s="0" t="n">
        <f aca="false">MOD(A13-1,52)+1</f>
        <v>9</v>
      </c>
      <c r="C13" s="0" t="n">
        <f aca="false">IF(OR(AND(B13&gt;='1 Inputs'!$B$45,B13&lt;='1 Inputs'!$C$45),AND(B13&gt;='1 Inputs'!$B$46,B13&lt;='1 Inputs'!$C$46)),1,0)</f>
        <v>0</v>
      </c>
      <c r="D13" s="13" t="n">
        <f aca="false">D12-E12</f>
        <v>90</v>
      </c>
      <c r="E13" s="13" t="n">
        <f aca="false">IF(A13&lt;'1 Inputs'!$B$21,0,IF(C13=1,0,MIN('1 Inputs'!$B$15,D13)))</f>
        <v>0</v>
      </c>
      <c r="F13" s="13" t="n">
        <f aca="false">E13*'1 Inputs'!$B$7*'1 Inputs'!$B$8*'1 Inputs'!$B$9*'1 Inputs'!$B$10</f>
        <v>0</v>
      </c>
      <c r="G13" s="12" t="n">
        <f aca="false">F13*'1 Inputs'!$B$11</f>
        <v>0</v>
      </c>
      <c r="H13" s="19" t="n">
        <f aca="false">A13+'1 Inputs'!$B$22+'1 Inputs'!$B$23+'1 Inputs'!$B$24</f>
        <v>29</v>
      </c>
      <c r="I13" s="19" t="n">
        <f aca="false">H13+'1 Inputs'!$B$25</f>
        <v>31</v>
      </c>
      <c r="J13" s="0" t="str">
        <f aca="false">IF(E13=0,"",IFERROR(INDEX($T$5:$T$40,MATCH(I13,$T$5:$T$40,1)+IF(INDEX($T$5:$T$40,MATCH(I13,$T$5:$T$40,1))=I13,0,1)),$T$5))</f>
        <v/>
      </c>
      <c r="K13" s="0" t="str">
        <f aca="false">IF(J13="","",J13+'1 Inputs'!$B$26)</f>
        <v/>
      </c>
      <c r="N13" s="19" t="n">
        <f aca="false">T13</f>
        <v>117</v>
      </c>
      <c r="O13" s="12" t="n">
        <f aca="false">SUMIF($J$5:$J$204,N13,$G$5:$G$204)</f>
        <v>0</v>
      </c>
      <c r="P13" s="19" t="n">
        <f aca="false">N13+'1 Inputs'!$B$26</f>
        <v>123</v>
      </c>
      <c r="Q13" s="12" t="n">
        <f aca="false">IF(ROW()=5,O13,Q12+O13)</f>
        <v>93750000</v>
      </c>
      <c r="R13" s="15" t="n">
        <f aca="false">(P13-'1 Inputs'!$B$21)/52*12</f>
        <v>23.3076923076923</v>
      </c>
      <c r="S13" s="19" t="n">
        <f aca="false">IF(Q13&gt;='1 Inputs'!$B$12,P13,999999)</f>
        <v>999999</v>
      </c>
      <c r="T13" s="19" t="n">
        <f aca="false">T9+52</f>
        <v>117</v>
      </c>
      <c r="U13" s="0" t="n">
        <v>9</v>
      </c>
      <c r="V13" s="19" t="n">
        <f aca="false">IF(OR(AND((MOD(U13-1,52)+1)&gt;='1 Inputs'!$B$45,(MOD(U13-1,52)+1)&lt;='1 Inputs'!$C$45),AND((MOD(U13-1,52)+1)&gt;='1 Inputs'!$B$46,(MOD(U13-1,52)+1)&lt;='1 Inputs'!$C$46)),1,0)</f>
        <v>0</v>
      </c>
      <c r="W13" s="19" t="n">
        <f aca="false">W12+1-V13</f>
        <v>9</v>
      </c>
    </row>
    <row r="14" customFormat="false" ht="15" hidden="false" customHeight="false" outlineLevel="0" collapsed="false">
      <c r="A14" s="0" t="n">
        <v>10</v>
      </c>
      <c r="B14" s="0" t="n">
        <f aca="false">MOD(A14-1,52)+1</f>
        <v>10</v>
      </c>
      <c r="C14" s="0" t="n">
        <f aca="false">IF(OR(AND(B14&gt;='1 Inputs'!$B$45,B14&lt;='1 Inputs'!$C$45),AND(B14&gt;='1 Inputs'!$B$46,B14&lt;='1 Inputs'!$C$46)),1,0)</f>
        <v>0</v>
      </c>
      <c r="D14" s="13" t="n">
        <f aca="false">D13-E13</f>
        <v>90</v>
      </c>
      <c r="E14" s="13" t="n">
        <f aca="false">IF(A14&lt;'1 Inputs'!$B$21,0,IF(C14=1,0,MIN('1 Inputs'!$B$15,D14)))</f>
        <v>0</v>
      </c>
      <c r="F14" s="13" t="n">
        <f aca="false">E14*'1 Inputs'!$B$7*'1 Inputs'!$B$8*'1 Inputs'!$B$9*'1 Inputs'!$B$10</f>
        <v>0</v>
      </c>
      <c r="G14" s="12" t="n">
        <f aca="false">F14*'1 Inputs'!$B$11</f>
        <v>0</v>
      </c>
      <c r="H14" s="19" t="n">
        <f aca="false">A14+'1 Inputs'!$B$22+'1 Inputs'!$B$23+'1 Inputs'!$B$24</f>
        <v>30</v>
      </c>
      <c r="I14" s="19" t="n">
        <f aca="false">H14+'1 Inputs'!$B$25</f>
        <v>32</v>
      </c>
      <c r="J14" s="0" t="str">
        <f aca="false">IF(E14=0,"",IFERROR(INDEX($T$5:$T$40,MATCH(I14,$T$5:$T$40,1)+IF(INDEX($T$5:$T$40,MATCH(I14,$T$5:$T$40,1))=I14,0,1)),$T$5))</f>
        <v/>
      </c>
      <c r="K14" s="0" t="str">
        <f aca="false">IF(J14="","",J14+'1 Inputs'!$B$26)</f>
        <v/>
      </c>
      <c r="N14" s="19" t="n">
        <f aca="false">T14</f>
        <v>130</v>
      </c>
      <c r="O14" s="12" t="n">
        <f aca="false">SUMIF($J$5:$J$204,N14,$G$5:$G$204)</f>
        <v>0</v>
      </c>
      <c r="P14" s="19" t="n">
        <f aca="false">N14+'1 Inputs'!$B$26</f>
        <v>136</v>
      </c>
      <c r="Q14" s="12" t="n">
        <f aca="false">IF(ROW()=5,O14,Q13+O14)</f>
        <v>93750000</v>
      </c>
      <c r="R14" s="15" t="n">
        <f aca="false">(P14-'1 Inputs'!$B$21)/52*12</f>
        <v>26.3076923076923</v>
      </c>
      <c r="S14" s="19" t="n">
        <f aca="false">IF(Q14&gt;='1 Inputs'!$B$12,P14,999999)</f>
        <v>999999</v>
      </c>
      <c r="T14" s="19" t="n">
        <f aca="false">T10+52</f>
        <v>130</v>
      </c>
      <c r="U14" s="0" t="n">
        <v>10</v>
      </c>
      <c r="V14" s="19" t="n">
        <f aca="false">IF(OR(AND((MOD(U14-1,52)+1)&gt;='1 Inputs'!$B$45,(MOD(U14-1,52)+1)&lt;='1 Inputs'!$C$45),AND((MOD(U14-1,52)+1)&gt;='1 Inputs'!$B$46,(MOD(U14-1,52)+1)&lt;='1 Inputs'!$C$46)),1,0)</f>
        <v>0</v>
      </c>
      <c r="W14" s="19" t="n">
        <f aca="false">W13+1-V14</f>
        <v>10</v>
      </c>
    </row>
    <row r="15" customFormat="false" ht="15" hidden="false" customHeight="false" outlineLevel="0" collapsed="false">
      <c r="A15" s="0" t="n">
        <v>11</v>
      </c>
      <c r="B15" s="0" t="n">
        <f aca="false">MOD(A15-1,52)+1</f>
        <v>11</v>
      </c>
      <c r="C15" s="0" t="n">
        <f aca="false">IF(OR(AND(B15&gt;='1 Inputs'!$B$45,B15&lt;='1 Inputs'!$C$45),AND(B15&gt;='1 Inputs'!$B$46,B15&lt;='1 Inputs'!$C$46)),1,0)</f>
        <v>0</v>
      </c>
      <c r="D15" s="13" t="n">
        <f aca="false">D14-E14</f>
        <v>90</v>
      </c>
      <c r="E15" s="13" t="n">
        <f aca="false">IF(A15&lt;'1 Inputs'!$B$21,0,IF(C15=1,0,MIN('1 Inputs'!$B$15,D15)))</f>
        <v>0</v>
      </c>
      <c r="F15" s="13" t="n">
        <f aca="false">E15*'1 Inputs'!$B$7*'1 Inputs'!$B$8*'1 Inputs'!$B$9*'1 Inputs'!$B$10</f>
        <v>0</v>
      </c>
      <c r="G15" s="12" t="n">
        <f aca="false">F15*'1 Inputs'!$B$11</f>
        <v>0</v>
      </c>
      <c r="H15" s="19" t="n">
        <f aca="false">A15+'1 Inputs'!$B$22+'1 Inputs'!$B$23+'1 Inputs'!$B$24</f>
        <v>31</v>
      </c>
      <c r="I15" s="19" t="n">
        <f aca="false">H15+'1 Inputs'!$B$25</f>
        <v>33</v>
      </c>
      <c r="J15" s="0" t="str">
        <f aca="false">IF(E15=0,"",IFERROR(INDEX($T$5:$T$40,MATCH(I15,$T$5:$T$40,1)+IF(INDEX($T$5:$T$40,MATCH(I15,$T$5:$T$40,1))=I15,0,1)),$T$5))</f>
        <v/>
      </c>
      <c r="K15" s="0" t="str">
        <f aca="false">IF(J15="","",J15+'1 Inputs'!$B$26)</f>
        <v/>
      </c>
      <c r="N15" s="19" t="n">
        <f aca="false">T15</f>
        <v>143</v>
      </c>
      <c r="O15" s="12" t="n">
        <f aca="false">SUMIF($J$5:$J$204,N15,$G$5:$G$204)</f>
        <v>0</v>
      </c>
      <c r="P15" s="19" t="n">
        <f aca="false">N15+'1 Inputs'!$B$26</f>
        <v>149</v>
      </c>
      <c r="Q15" s="12" t="n">
        <f aca="false">IF(ROW()=5,O15,Q14+O15)</f>
        <v>93750000</v>
      </c>
      <c r="R15" s="15" t="n">
        <f aca="false">(P15-'1 Inputs'!$B$21)/52*12</f>
        <v>29.3076923076923</v>
      </c>
      <c r="S15" s="19" t="n">
        <f aca="false">IF(Q15&gt;='1 Inputs'!$B$12,P15,999999)</f>
        <v>999999</v>
      </c>
      <c r="T15" s="19" t="n">
        <f aca="false">T11+52</f>
        <v>143</v>
      </c>
      <c r="U15" s="0" t="n">
        <v>11</v>
      </c>
      <c r="V15" s="19" t="n">
        <f aca="false">IF(OR(AND((MOD(U15-1,52)+1)&gt;='1 Inputs'!$B$45,(MOD(U15-1,52)+1)&lt;='1 Inputs'!$C$45),AND((MOD(U15-1,52)+1)&gt;='1 Inputs'!$B$46,(MOD(U15-1,52)+1)&lt;='1 Inputs'!$C$46)),1,0)</f>
        <v>0</v>
      </c>
      <c r="W15" s="19" t="n">
        <f aca="false">W14+1-V15</f>
        <v>11</v>
      </c>
    </row>
    <row r="16" customFormat="false" ht="15" hidden="false" customHeight="false" outlineLevel="0" collapsed="false">
      <c r="A16" s="0" t="n">
        <v>12</v>
      </c>
      <c r="B16" s="0" t="n">
        <f aca="false">MOD(A16-1,52)+1</f>
        <v>12</v>
      </c>
      <c r="C16" s="0" t="n">
        <f aca="false">IF(OR(AND(B16&gt;='1 Inputs'!$B$45,B16&lt;='1 Inputs'!$C$45),AND(B16&gt;='1 Inputs'!$B$46,B16&lt;='1 Inputs'!$C$46)),1,0)</f>
        <v>0</v>
      </c>
      <c r="D16" s="13" t="n">
        <f aca="false">D15-E15</f>
        <v>90</v>
      </c>
      <c r="E16" s="13" t="n">
        <f aca="false">IF(A16&lt;'1 Inputs'!$B$21,0,IF(C16=1,0,MIN('1 Inputs'!$B$15,D16)))</f>
        <v>0</v>
      </c>
      <c r="F16" s="13" t="n">
        <f aca="false">E16*'1 Inputs'!$B$7*'1 Inputs'!$B$8*'1 Inputs'!$B$9*'1 Inputs'!$B$10</f>
        <v>0</v>
      </c>
      <c r="G16" s="12" t="n">
        <f aca="false">F16*'1 Inputs'!$B$11</f>
        <v>0</v>
      </c>
      <c r="H16" s="19" t="n">
        <f aca="false">A16+'1 Inputs'!$B$22+'1 Inputs'!$B$23+'1 Inputs'!$B$24</f>
        <v>32</v>
      </c>
      <c r="I16" s="19" t="n">
        <f aca="false">H16+'1 Inputs'!$B$25</f>
        <v>34</v>
      </c>
      <c r="J16" s="0" t="str">
        <f aca="false">IF(E16=0,"",IFERROR(INDEX($T$5:$T$40,MATCH(I16,$T$5:$T$40,1)+IF(INDEX($T$5:$T$40,MATCH(I16,$T$5:$T$40,1))=I16,0,1)),$T$5))</f>
        <v/>
      </c>
      <c r="K16" s="0" t="str">
        <f aca="false">IF(J16="","",J16+'1 Inputs'!$B$26)</f>
        <v/>
      </c>
      <c r="N16" s="19" t="n">
        <f aca="false">T16</f>
        <v>153</v>
      </c>
      <c r="O16" s="12" t="n">
        <f aca="false">SUMIF($J$5:$J$204,N16,$G$5:$G$204)</f>
        <v>0</v>
      </c>
      <c r="P16" s="19" t="n">
        <f aca="false">N16+'1 Inputs'!$B$26</f>
        <v>159</v>
      </c>
      <c r="Q16" s="12" t="n">
        <f aca="false">IF(ROW()=5,O16,Q15+O16)</f>
        <v>93750000</v>
      </c>
      <c r="R16" s="15" t="n">
        <f aca="false">(P16-'1 Inputs'!$B$21)/52*12</f>
        <v>31.6153846153846</v>
      </c>
      <c r="S16" s="19" t="n">
        <f aca="false">IF(Q16&gt;='1 Inputs'!$B$12,P16,999999)</f>
        <v>999999</v>
      </c>
      <c r="T16" s="19" t="n">
        <f aca="false">T12+52</f>
        <v>153</v>
      </c>
      <c r="U16" s="0" t="n">
        <v>12</v>
      </c>
      <c r="V16" s="19" t="n">
        <f aca="false">IF(OR(AND((MOD(U16-1,52)+1)&gt;='1 Inputs'!$B$45,(MOD(U16-1,52)+1)&lt;='1 Inputs'!$C$45),AND((MOD(U16-1,52)+1)&gt;='1 Inputs'!$B$46,(MOD(U16-1,52)+1)&lt;='1 Inputs'!$C$46)),1,0)</f>
        <v>0</v>
      </c>
      <c r="W16" s="19" t="n">
        <f aca="false">W15+1-V16</f>
        <v>12</v>
      </c>
    </row>
    <row r="17" customFormat="false" ht="15" hidden="false" customHeight="false" outlineLevel="0" collapsed="false">
      <c r="A17" s="0" t="n">
        <v>13</v>
      </c>
      <c r="B17" s="0" t="n">
        <f aca="false">MOD(A17-1,52)+1</f>
        <v>13</v>
      </c>
      <c r="C17" s="0" t="n">
        <f aca="false">IF(OR(AND(B17&gt;='1 Inputs'!$B$45,B17&lt;='1 Inputs'!$C$45),AND(B17&gt;='1 Inputs'!$B$46,B17&lt;='1 Inputs'!$C$46)),1,0)</f>
        <v>0</v>
      </c>
      <c r="D17" s="13" t="n">
        <f aca="false">D16-E16</f>
        <v>90</v>
      </c>
      <c r="E17" s="13" t="n">
        <f aca="false">IF(A17&lt;'1 Inputs'!$B$21,0,IF(C17=1,0,MIN('1 Inputs'!$B$15,D17)))</f>
        <v>0</v>
      </c>
      <c r="F17" s="13" t="n">
        <f aca="false">E17*'1 Inputs'!$B$7*'1 Inputs'!$B$8*'1 Inputs'!$B$9*'1 Inputs'!$B$10</f>
        <v>0</v>
      </c>
      <c r="G17" s="12" t="n">
        <f aca="false">F17*'1 Inputs'!$B$11</f>
        <v>0</v>
      </c>
      <c r="H17" s="19" t="n">
        <f aca="false">A17+'1 Inputs'!$B$22+'1 Inputs'!$B$23+'1 Inputs'!$B$24</f>
        <v>33</v>
      </c>
      <c r="I17" s="19" t="n">
        <f aca="false">H17+'1 Inputs'!$B$25</f>
        <v>35</v>
      </c>
      <c r="J17" s="0" t="str">
        <f aca="false">IF(E17=0,"",IFERROR(INDEX($T$5:$T$40,MATCH(I17,$T$5:$T$40,1)+IF(INDEX($T$5:$T$40,MATCH(I17,$T$5:$T$40,1))=I17,0,1)),$T$5))</f>
        <v/>
      </c>
      <c r="K17" s="0" t="str">
        <f aca="false">IF(J17="","",J17+'1 Inputs'!$B$26)</f>
        <v/>
      </c>
      <c r="N17" s="19" t="n">
        <f aca="false">T17</f>
        <v>169</v>
      </c>
      <c r="O17" s="12" t="n">
        <f aca="false">SUMIF($J$5:$J$204,N17,$G$5:$G$204)</f>
        <v>0</v>
      </c>
      <c r="P17" s="19" t="n">
        <f aca="false">N17+'1 Inputs'!$B$26</f>
        <v>175</v>
      </c>
      <c r="Q17" s="12" t="n">
        <f aca="false">IF(ROW()=5,O17,Q16+O17)</f>
        <v>93750000</v>
      </c>
      <c r="R17" s="15" t="n">
        <f aca="false">(P17-'1 Inputs'!$B$21)/52*12</f>
        <v>35.3076923076923</v>
      </c>
      <c r="S17" s="19" t="n">
        <f aca="false">IF(Q17&gt;='1 Inputs'!$B$12,P17,999999)</f>
        <v>999999</v>
      </c>
      <c r="T17" s="19" t="n">
        <f aca="false">T13+52</f>
        <v>169</v>
      </c>
      <c r="U17" s="0" t="n">
        <v>13</v>
      </c>
      <c r="V17" s="19" t="n">
        <f aca="false">IF(OR(AND((MOD(U17-1,52)+1)&gt;='1 Inputs'!$B$45,(MOD(U17-1,52)+1)&lt;='1 Inputs'!$C$45),AND((MOD(U17-1,52)+1)&gt;='1 Inputs'!$B$46,(MOD(U17-1,52)+1)&lt;='1 Inputs'!$C$46)),1,0)</f>
        <v>0</v>
      </c>
      <c r="W17" s="19" t="n">
        <f aca="false">W16+1-V17</f>
        <v>13</v>
      </c>
    </row>
    <row r="18" customFormat="false" ht="15" hidden="false" customHeight="false" outlineLevel="0" collapsed="false">
      <c r="A18" s="0" t="n">
        <v>14</v>
      </c>
      <c r="B18" s="0" t="n">
        <f aca="false">MOD(A18-1,52)+1</f>
        <v>14</v>
      </c>
      <c r="C18" s="0" t="n">
        <f aca="false">IF(OR(AND(B18&gt;='1 Inputs'!$B$45,B18&lt;='1 Inputs'!$C$45),AND(B18&gt;='1 Inputs'!$B$46,B18&lt;='1 Inputs'!$C$46)),1,0)</f>
        <v>0</v>
      </c>
      <c r="D18" s="13" t="n">
        <f aca="false">D17-E17</f>
        <v>90</v>
      </c>
      <c r="E18" s="13" t="n">
        <f aca="false">IF(A18&lt;'1 Inputs'!$B$21,0,IF(C18=1,0,MIN('1 Inputs'!$B$15,D18)))</f>
        <v>0</v>
      </c>
      <c r="F18" s="13" t="n">
        <f aca="false">E18*'1 Inputs'!$B$7*'1 Inputs'!$B$8*'1 Inputs'!$B$9*'1 Inputs'!$B$10</f>
        <v>0</v>
      </c>
      <c r="G18" s="12" t="n">
        <f aca="false">F18*'1 Inputs'!$B$11</f>
        <v>0</v>
      </c>
      <c r="H18" s="19" t="n">
        <f aca="false">A18+'1 Inputs'!$B$22+'1 Inputs'!$B$23+'1 Inputs'!$B$24</f>
        <v>34</v>
      </c>
      <c r="I18" s="19" t="n">
        <f aca="false">H18+'1 Inputs'!$B$25</f>
        <v>36</v>
      </c>
      <c r="J18" s="0" t="str">
        <f aca="false">IF(E18=0,"",IFERROR(INDEX($T$5:$T$40,MATCH(I18,$T$5:$T$40,1)+IF(INDEX($T$5:$T$40,MATCH(I18,$T$5:$T$40,1))=I18,0,1)),$T$5))</f>
        <v/>
      </c>
      <c r="K18" s="0" t="str">
        <f aca="false">IF(J18="","",J18+'1 Inputs'!$B$26)</f>
        <v/>
      </c>
      <c r="N18" s="19" t="n">
        <f aca="false">T18</f>
        <v>182</v>
      </c>
      <c r="O18" s="12" t="n">
        <f aca="false">SUMIF($J$5:$J$204,N18,$G$5:$G$204)</f>
        <v>0</v>
      </c>
      <c r="P18" s="19" t="n">
        <f aca="false">N18+'1 Inputs'!$B$26</f>
        <v>188</v>
      </c>
      <c r="Q18" s="12" t="n">
        <f aca="false">IF(ROW()=5,O18,Q17+O18)</f>
        <v>93750000</v>
      </c>
      <c r="R18" s="15" t="n">
        <f aca="false">(P18-'1 Inputs'!$B$21)/52*12</f>
        <v>38.3076923076923</v>
      </c>
      <c r="S18" s="19" t="n">
        <f aca="false">IF(Q18&gt;='1 Inputs'!$B$12,P18,999999)</f>
        <v>999999</v>
      </c>
      <c r="T18" s="19" t="n">
        <f aca="false">T14+52</f>
        <v>182</v>
      </c>
      <c r="U18" s="0" t="n">
        <v>14</v>
      </c>
      <c r="V18" s="19" t="n">
        <f aca="false">IF(OR(AND((MOD(U18-1,52)+1)&gt;='1 Inputs'!$B$45,(MOD(U18-1,52)+1)&lt;='1 Inputs'!$C$45),AND((MOD(U18-1,52)+1)&gt;='1 Inputs'!$B$46,(MOD(U18-1,52)+1)&lt;='1 Inputs'!$C$46)),1,0)</f>
        <v>0</v>
      </c>
      <c r="W18" s="19" t="n">
        <f aca="false">W17+1-V18</f>
        <v>14</v>
      </c>
    </row>
    <row r="19" customFormat="false" ht="15" hidden="false" customHeight="false" outlineLevel="0" collapsed="false">
      <c r="A19" s="0" t="n">
        <v>15</v>
      </c>
      <c r="B19" s="0" t="n">
        <f aca="false">MOD(A19-1,52)+1</f>
        <v>15</v>
      </c>
      <c r="C19" s="0" t="n">
        <f aca="false">IF(OR(AND(B19&gt;='1 Inputs'!$B$45,B19&lt;='1 Inputs'!$C$45),AND(B19&gt;='1 Inputs'!$B$46,B19&lt;='1 Inputs'!$C$46)),1,0)</f>
        <v>0</v>
      </c>
      <c r="D19" s="13" t="n">
        <f aca="false">D18-E18</f>
        <v>90</v>
      </c>
      <c r="E19" s="13" t="n">
        <f aca="false">IF(A19&lt;'1 Inputs'!$B$21,0,IF(C19=1,0,MIN('1 Inputs'!$B$15,D19)))</f>
        <v>0</v>
      </c>
      <c r="F19" s="13" t="n">
        <f aca="false">E19*'1 Inputs'!$B$7*'1 Inputs'!$B$8*'1 Inputs'!$B$9*'1 Inputs'!$B$10</f>
        <v>0</v>
      </c>
      <c r="G19" s="12" t="n">
        <f aca="false">F19*'1 Inputs'!$B$11</f>
        <v>0</v>
      </c>
      <c r="H19" s="19" t="n">
        <f aca="false">A19+'1 Inputs'!$B$22+'1 Inputs'!$B$23+'1 Inputs'!$B$24</f>
        <v>35</v>
      </c>
      <c r="I19" s="19" t="n">
        <f aca="false">H19+'1 Inputs'!$B$25</f>
        <v>37</v>
      </c>
      <c r="J19" s="0" t="str">
        <f aca="false">IF(E19=0,"",IFERROR(INDEX($T$5:$T$40,MATCH(I19,$T$5:$T$40,1)+IF(INDEX($T$5:$T$40,MATCH(I19,$T$5:$T$40,1))=I19,0,1)),$T$5))</f>
        <v/>
      </c>
      <c r="K19" s="0" t="str">
        <f aca="false">IF(J19="","",J19+'1 Inputs'!$B$26)</f>
        <v/>
      </c>
      <c r="N19" s="19" t="n">
        <f aca="false">T19</f>
        <v>195</v>
      </c>
      <c r="O19" s="12" t="n">
        <f aca="false">SUMIF($J$5:$J$204,N19,$G$5:$G$204)</f>
        <v>0</v>
      </c>
      <c r="P19" s="19" t="n">
        <f aca="false">N19+'1 Inputs'!$B$26</f>
        <v>201</v>
      </c>
      <c r="Q19" s="12" t="n">
        <f aca="false">IF(ROW()=5,O19,Q18+O19)</f>
        <v>93750000</v>
      </c>
      <c r="R19" s="15" t="n">
        <f aca="false">(P19-'1 Inputs'!$B$21)/52*12</f>
        <v>41.3076923076923</v>
      </c>
      <c r="S19" s="19" t="n">
        <f aca="false">IF(Q19&gt;='1 Inputs'!$B$12,P19,999999)</f>
        <v>999999</v>
      </c>
      <c r="T19" s="19" t="n">
        <f aca="false">T15+52</f>
        <v>195</v>
      </c>
      <c r="U19" s="0" t="n">
        <v>15</v>
      </c>
      <c r="V19" s="19" t="n">
        <f aca="false">IF(OR(AND((MOD(U19-1,52)+1)&gt;='1 Inputs'!$B$45,(MOD(U19-1,52)+1)&lt;='1 Inputs'!$C$45),AND((MOD(U19-1,52)+1)&gt;='1 Inputs'!$B$46,(MOD(U19-1,52)+1)&lt;='1 Inputs'!$C$46)),1,0)</f>
        <v>0</v>
      </c>
      <c r="W19" s="19" t="n">
        <f aca="false">W18+1-V19</f>
        <v>15</v>
      </c>
    </row>
    <row r="20" customFormat="false" ht="15" hidden="false" customHeight="false" outlineLevel="0" collapsed="false">
      <c r="A20" s="0" t="n">
        <v>16</v>
      </c>
      <c r="B20" s="0" t="n">
        <f aca="false">MOD(A20-1,52)+1</f>
        <v>16</v>
      </c>
      <c r="C20" s="0" t="n">
        <f aca="false">IF(OR(AND(B20&gt;='1 Inputs'!$B$45,B20&lt;='1 Inputs'!$C$45),AND(B20&gt;='1 Inputs'!$B$46,B20&lt;='1 Inputs'!$C$46)),1,0)</f>
        <v>0</v>
      </c>
      <c r="D20" s="13" t="n">
        <f aca="false">D19-E19</f>
        <v>90</v>
      </c>
      <c r="E20" s="13" t="n">
        <f aca="false">IF(A20&lt;'1 Inputs'!$B$21,0,IF(C20=1,0,MIN('1 Inputs'!$B$15,D20)))</f>
        <v>0</v>
      </c>
      <c r="F20" s="13" t="n">
        <f aca="false">E20*'1 Inputs'!$B$7*'1 Inputs'!$B$8*'1 Inputs'!$B$9*'1 Inputs'!$B$10</f>
        <v>0</v>
      </c>
      <c r="G20" s="12" t="n">
        <f aca="false">F20*'1 Inputs'!$B$11</f>
        <v>0</v>
      </c>
      <c r="H20" s="19" t="n">
        <f aca="false">A20+'1 Inputs'!$B$22+'1 Inputs'!$B$23+'1 Inputs'!$B$24</f>
        <v>36</v>
      </c>
      <c r="I20" s="19" t="n">
        <f aca="false">H20+'1 Inputs'!$B$25</f>
        <v>38</v>
      </c>
      <c r="J20" s="0" t="str">
        <f aca="false">IF(E20=0,"",IFERROR(INDEX($T$5:$T$40,MATCH(I20,$T$5:$T$40,1)+IF(INDEX($T$5:$T$40,MATCH(I20,$T$5:$T$40,1))=I20,0,1)),$T$5))</f>
        <v/>
      </c>
      <c r="K20" s="0" t="str">
        <f aca="false">IF(J20="","",J20+'1 Inputs'!$B$26)</f>
        <v/>
      </c>
      <c r="N20" s="19" t="n">
        <f aca="false">T20</f>
        <v>205</v>
      </c>
      <c r="O20" s="12" t="n">
        <f aca="false">SUMIF($J$5:$J$204,N20,$G$5:$G$204)</f>
        <v>0</v>
      </c>
      <c r="P20" s="19" t="n">
        <f aca="false">N20+'1 Inputs'!$B$26</f>
        <v>211</v>
      </c>
      <c r="Q20" s="12" t="n">
        <f aca="false">IF(ROW()=5,O20,Q19+O20)</f>
        <v>93750000</v>
      </c>
      <c r="R20" s="15" t="n">
        <f aca="false">(P20-'1 Inputs'!$B$21)/52*12</f>
        <v>43.6153846153846</v>
      </c>
      <c r="S20" s="19" t="n">
        <f aca="false">IF(Q20&gt;='1 Inputs'!$B$12,P20,999999)</f>
        <v>999999</v>
      </c>
      <c r="T20" s="19" t="n">
        <f aca="false">T16+52</f>
        <v>205</v>
      </c>
      <c r="U20" s="0" t="n">
        <v>16</v>
      </c>
      <c r="V20" s="19" t="n">
        <f aca="false">IF(OR(AND((MOD(U20-1,52)+1)&gt;='1 Inputs'!$B$45,(MOD(U20-1,52)+1)&lt;='1 Inputs'!$C$45),AND((MOD(U20-1,52)+1)&gt;='1 Inputs'!$B$46,(MOD(U20-1,52)+1)&lt;='1 Inputs'!$C$46)),1,0)</f>
        <v>0</v>
      </c>
      <c r="W20" s="19" t="n">
        <f aca="false">W19+1-V20</f>
        <v>16</v>
      </c>
    </row>
    <row r="21" customFormat="false" ht="15" hidden="false" customHeight="false" outlineLevel="0" collapsed="false">
      <c r="A21" s="0" t="n">
        <v>17</v>
      </c>
      <c r="B21" s="0" t="n">
        <f aca="false">MOD(A21-1,52)+1</f>
        <v>17</v>
      </c>
      <c r="C21" s="0" t="n">
        <f aca="false">IF(OR(AND(B21&gt;='1 Inputs'!$B$45,B21&lt;='1 Inputs'!$C$45),AND(B21&gt;='1 Inputs'!$B$46,B21&lt;='1 Inputs'!$C$46)),1,0)</f>
        <v>0</v>
      </c>
      <c r="D21" s="13" t="n">
        <f aca="false">D20-E20</f>
        <v>90</v>
      </c>
      <c r="E21" s="13" t="n">
        <f aca="false">IF(A21&lt;'1 Inputs'!$B$21,0,IF(C21=1,0,MIN('1 Inputs'!$B$15,D21)))</f>
        <v>0</v>
      </c>
      <c r="F21" s="13" t="n">
        <f aca="false">E21*'1 Inputs'!$B$7*'1 Inputs'!$B$8*'1 Inputs'!$B$9*'1 Inputs'!$B$10</f>
        <v>0</v>
      </c>
      <c r="G21" s="12" t="n">
        <f aca="false">F21*'1 Inputs'!$B$11</f>
        <v>0</v>
      </c>
      <c r="H21" s="19" t="n">
        <f aca="false">A21+'1 Inputs'!$B$22+'1 Inputs'!$B$23+'1 Inputs'!$B$24</f>
        <v>37</v>
      </c>
      <c r="I21" s="19" t="n">
        <f aca="false">H21+'1 Inputs'!$B$25</f>
        <v>39</v>
      </c>
      <c r="J21" s="0" t="str">
        <f aca="false">IF(E21=0,"",IFERROR(INDEX($T$5:$T$40,MATCH(I21,$T$5:$T$40,1)+IF(INDEX($T$5:$T$40,MATCH(I21,$T$5:$T$40,1))=I21,0,1)),$T$5))</f>
        <v/>
      </c>
      <c r="K21" s="0" t="str">
        <f aca="false">IF(J21="","",J21+'1 Inputs'!$B$26)</f>
        <v/>
      </c>
      <c r="N21" s="19" t="n">
        <f aca="false">T21</f>
        <v>221</v>
      </c>
      <c r="O21" s="12" t="n">
        <f aca="false">SUMIF($J$5:$J$204,N21,$G$5:$G$204)</f>
        <v>0</v>
      </c>
      <c r="P21" s="19" t="n">
        <f aca="false">N21+'1 Inputs'!$B$26</f>
        <v>227</v>
      </c>
      <c r="Q21" s="12" t="n">
        <f aca="false">IF(ROW()=5,O21,Q20+O21)</f>
        <v>93750000</v>
      </c>
      <c r="R21" s="15" t="n">
        <f aca="false">(P21-'1 Inputs'!$B$21)/52*12</f>
        <v>47.3076923076923</v>
      </c>
      <c r="S21" s="19" t="n">
        <f aca="false">IF(Q21&gt;='1 Inputs'!$B$12,P21,999999)</f>
        <v>999999</v>
      </c>
      <c r="T21" s="19" t="n">
        <f aca="false">T17+52</f>
        <v>221</v>
      </c>
      <c r="U21" s="0" t="n">
        <v>17</v>
      </c>
      <c r="V21" s="19" t="n">
        <f aca="false">IF(OR(AND((MOD(U21-1,52)+1)&gt;='1 Inputs'!$B$45,(MOD(U21-1,52)+1)&lt;='1 Inputs'!$C$45),AND((MOD(U21-1,52)+1)&gt;='1 Inputs'!$B$46,(MOD(U21-1,52)+1)&lt;='1 Inputs'!$C$46)),1,0)</f>
        <v>0</v>
      </c>
      <c r="W21" s="19" t="n">
        <f aca="false">W20+1-V21</f>
        <v>17</v>
      </c>
    </row>
    <row r="22" customFormat="false" ht="15" hidden="false" customHeight="false" outlineLevel="0" collapsed="false">
      <c r="A22" s="0" t="n">
        <v>18</v>
      </c>
      <c r="B22" s="0" t="n">
        <f aca="false">MOD(A22-1,52)+1</f>
        <v>18</v>
      </c>
      <c r="C22" s="0" t="n">
        <f aca="false">IF(OR(AND(B22&gt;='1 Inputs'!$B$45,B22&lt;='1 Inputs'!$C$45),AND(B22&gt;='1 Inputs'!$B$46,B22&lt;='1 Inputs'!$C$46)),1,0)</f>
        <v>0</v>
      </c>
      <c r="D22" s="13" t="n">
        <f aca="false">D21-E21</f>
        <v>90</v>
      </c>
      <c r="E22" s="13" t="n">
        <f aca="false">IF(A22&lt;'1 Inputs'!$B$21,0,IF(C22=1,0,MIN('1 Inputs'!$B$15,D22)))</f>
        <v>0</v>
      </c>
      <c r="F22" s="13" t="n">
        <f aca="false">E22*'1 Inputs'!$B$7*'1 Inputs'!$B$8*'1 Inputs'!$B$9*'1 Inputs'!$B$10</f>
        <v>0</v>
      </c>
      <c r="G22" s="12" t="n">
        <f aca="false">F22*'1 Inputs'!$B$11</f>
        <v>0</v>
      </c>
      <c r="H22" s="19" t="n">
        <f aca="false">A22+'1 Inputs'!$B$22+'1 Inputs'!$B$23+'1 Inputs'!$B$24</f>
        <v>38</v>
      </c>
      <c r="I22" s="19" t="n">
        <f aca="false">H22+'1 Inputs'!$B$25</f>
        <v>40</v>
      </c>
      <c r="J22" s="0" t="str">
        <f aca="false">IF(E22=0,"",IFERROR(INDEX($T$5:$T$40,MATCH(I22,$T$5:$T$40,1)+IF(INDEX($T$5:$T$40,MATCH(I22,$T$5:$T$40,1))=I22,0,1)),$T$5))</f>
        <v/>
      </c>
      <c r="K22" s="0" t="str">
        <f aca="false">IF(J22="","",J22+'1 Inputs'!$B$26)</f>
        <v/>
      </c>
      <c r="N22" s="19" t="n">
        <f aca="false">T22</f>
        <v>234</v>
      </c>
      <c r="O22" s="12" t="n">
        <f aca="false">SUMIF($J$5:$J$204,N22,$G$5:$G$204)</f>
        <v>0</v>
      </c>
      <c r="P22" s="19" t="n">
        <f aca="false">N22+'1 Inputs'!$B$26</f>
        <v>240</v>
      </c>
      <c r="Q22" s="12" t="n">
        <f aca="false">IF(ROW()=5,O22,Q21+O22)</f>
        <v>93750000</v>
      </c>
      <c r="R22" s="15" t="n">
        <f aca="false">(P22-'1 Inputs'!$B$21)/52*12</f>
        <v>50.3076923076923</v>
      </c>
      <c r="S22" s="19" t="n">
        <f aca="false">IF(Q22&gt;='1 Inputs'!$B$12,P22,999999)</f>
        <v>999999</v>
      </c>
      <c r="T22" s="19" t="n">
        <f aca="false">T18+52</f>
        <v>234</v>
      </c>
      <c r="U22" s="0" t="n">
        <v>18</v>
      </c>
      <c r="V22" s="19" t="n">
        <f aca="false">IF(OR(AND((MOD(U22-1,52)+1)&gt;='1 Inputs'!$B$45,(MOD(U22-1,52)+1)&lt;='1 Inputs'!$C$45),AND((MOD(U22-1,52)+1)&gt;='1 Inputs'!$B$46,(MOD(U22-1,52)+1)&lt;='1 Inputs'!$C$46)),1,0)</f>
        <v>0</v>
      </c>
      <c r="W22" s="19" t="n">
        <f aca="false">W21+1-V22</f>
        <v>18</v>
      </c>
    </row>
    <row r="23" customFormat="false" ht="15" hidden="false" customHeight="false" outlineLevel="0" collapsed="false">
      <c r="A23" s="0" t="n">
        <v>19</v>
      </c>
      <c r="B23" s="0" t="n">
        <f aca="false">MOD(A23-1,52)+1</f>
        <v>19</v>
      </c>
      <c r="C23" s="0" t="n">
        <f aca="false">IF(OR(AND(B23&gt;='1 Inputs'!$B$45,B23&lt;='1 Inputs'!$C$45),AND(B23&gt;='1 Inputs'!$B$46,B23&lt;='1 Inputs'!$C$46)),1,0)</f>
        <v>0</v>
      </c>
      <c r="D23" s="13" t="n">
        <f aca="false">D22-E22</f>
        <v>90</v>
      </c>
      <c r="E23" s="13" t="n">
        <f aca="false">IF(A23&lt;'1 Inputs'!$B$21,0,IF(C23=1,0,MIN('1 Inputs'!$B$15,D23)))</f>
        <v>0</v>
      </c>
      <c r="F23" s="13" t="n">
        <f aca="false">E23*'1 Inputs'!$B$7*'1 Inputs'!$B$8*'1 Inputs'!$B$9*'1 Inputs'!$B$10</f>
        <v>0</v>
      </c>
      <c r="G23" s="12" t="n">
        <f aca="false">F23*'1 Inputs'!$B$11</f>
        <v>0</v>
      </c>
      <c r="H23" s="19" t="n">
        <f aca="false">A23+'1 Inputs'!$B$22+'1 Inputs'!$B$23+'1 Inputs'!$B$24</f>
        <v>39</v>
      </c>
      <c r="I23" s="19" t="n">
        <f aca="false">H23+'1 Inputs'!$B$25</f>
        <v>41</v>
      </c>
      <c r="J23" s="0" t="str">
        <f aca="false">IF(E23=0,"",IFERROR(INDEX($T$5:$T$40,MATCH(I23,$T$5:$T$40,1)+IF(INDEX($T$5:$T$40,MATCH(I23,$T$5:$T$40,1))=I23,0,1)),$T$5))</f>
        <v/>
      </c>
      <c r="K23" s="0" t="str">
        <f aca="false">IF(J23="","",J23+'1 Inputs'!$B$26)</f>
        <v/>
      </c>
      <c r="N23" s="19" t="n">
        <f aca="false">T23</f>
        <v>247</v>
      </c>
      <c r="O23" s="12" t="n">
        <f aca="false">SUMIF($J$5:$J$204,N23,$G$5:$G$204)</f>
        <v>0</v>
      </c>
      <c r="P23" s="19" t="n">
        <f aca="false">N23+'1 Inputs'!$B$26</f>
        <v>253</v>
      </c>
      <c r="Q23" s="12" t="n">
        <f aca="false">IF(ROW()=5,O23,Q22+O23)</f>
        <v>93750000</v>
      </c>
      <c r="R23" s="15" t="n">
        <f aca="false">(P23-'1 Inputs'!$B$21)/52*12</f>
        <v>53.3076923076923</v>
      </c>
      <c r="S23" s="19" t="n">
        <f aca="false">IF(Q23&gt;='1 Inputs'!$B$12,P23,999999)</f>
        <v>999999</v>
      </c>
      <c r="T23" s="19" t="n">
        <f aca="false">T19+52</f>
        <v>247</v>
      </c>
      <c r="U23" s="0" t="n">
        <v>19</v>
      </c>
      <c r="V23" s="19" t="n">
        <f aca="false">IF(OR(AND((MOD(U23-1,52)+1)&gt;='1 Inputs'!$B$45,(MOD(U23-1,52)+1)&lt;='1 Inputs'!$C$45),AND((MOD(U23-1,52)+1)&gt;='1 Inputs'!$B$46,(MOD(U23-1,52)+1)&lt;='1 Inputs'!$C$46)),1,0)</f>
        <v>0</v>
      </c>
      <c r="W23" s="19" t="n">
        <f aca="false">W22+1-V23</f>
        <v>19</v>
      </c>
    </row>
    <row r="24" customFormat="false" ht="15" hidden="false" customHeight="false" outlineLevel="0" collapsed="false">
      <c r="A24" s="0" t="n">
        <v>20</v>
      </c>
      <c r="B24" s="0" t="n">
        <f aca="false">MOD(A24-1,52)+1</f>
        <v>20</v>
      </c>
      <c r="C24" s="0" t="n">
        <f aca="false">IF(OR(AND(B24&gt;='1 Inputs'!$B$45,B24&lt;='1 Inputs'!$C$45),AND(B24&gt;='1 Inputs'!$B$46,B24&lt;='1 Inputs'!$C$46)),1,0)</f>
        <v>0</v>
      </c>
      <c r="D24" s="13" t="n">
        <f aca="false">D23-E23</f>
        <v>90</v>
      </c>
      <c r="E24" s="13" t="n">
        <f aca="false">IF(A24&lt;'1 Inputs'!$B$21,0,IF(C24=1,0,MIN('1 Inputs'!$B$15,D24)))</f>
        <v>0</v>
      </c>
      <c r="F24" s="13" t="n">
        <f aca="false">E24*'1 Inputs'!$B$7*'1 Inputs'!$B$8*'1 Inputs'!$B$9*'1 Inputs'!$B$10</f>
        <v>0</v>
      </c>
      <c r="G24" s="12" t="n">
        <f aca="false">F24*'1 Inputs'!$B$11</f>
        <v>0</v>
      </c>
      <c r="H24" s="19" t="n">
        <f aca="false">A24+'1 Inputs'!$B$22+'1 Inputs'!$B$23+'1 Inputs'!$B$24</f>
        <v>40</v>
      </c>
      <c r="I24" s="19" t="n">
        <f aca="false">H24+'1 Inputs'!$B$25</f>
        <v>42</v>
      </c>
      <c r="J24" s="0" t="str">
        <f aca="false">IF(E24=0,"",IFERROR(INDEX($T$5:$T$40,MATCH(I24,$T$5:$T$40,1)+IF(INDEX($T$5:$T$40,MATCH(I24,$T$5:$T$40,1))=I24,0,1)),$T$5))</f>
        <v/>
      </c>
      <c r="K24" s="0" t="str">
        <f aca="false">IF(J24="","",J24+'1 Inputs'!$B$26)</f>
        <v/>
      </c>
      <c r="N24" s="19" t="n">
        <f aca="false">T24</f>
        <v>257</v>
      </c>
      <c r="O24" s="12" t="n">
        <f aca="false">SUMIF($J$5:$J$204,N24,$G$5:$G$204)</f>
        <v>0</v>
      </c>
      <c r="P24" s="19" t="n">
        <f aca="false">N24+'1 Inputs'!$B$26</f>
        <v>263</v>
      </c>
      <c r="Q24" s="12" t="n">
        <f aca="false">IF(ROW()=5,O24,Q23+O24)</f>
        <v>93750000</v>
      </c>
      <c r="R24" s="15" t="n">
        <f aca="false">(P24-'1 Inputs'!$B$21)/52*12</f>
        <v>55.6153846153846</v>
      </c>
      <c r="S24" s="19" t="n">
        <f aca="false">IF(Q24&gt;='1 Inputs'!$B$12,P24,999999)</f>
        <v>999999</v>
      </c>
      <c r="T24" s="19" t="n">
        <f aca="false">T20+52</f>
        <v>257</v>
      </c>
      <c r="U24" s="0" t="n">
        <v>20</v>
      </c>
      <c r="V24" s="19" t="n">
        <f aca="false">IF(OR(AND((MOD(U24-1,52)+1)&gt;='1 Inputs'!$B$45,(MOD(U24-1,52)+1)&lt;='1 Inputs'!$C$45),AND((MOD(U24-1,52)+1)&gt;='1 Inputs'!$B$46,(MOD(U24-1,52)+1)&lt;='1 Inputs'!$C$46)),1,0)</f>
        <v>0</v>
      </c>
      <c r="W24" s="19" t="n">
        <f aca="false">W23+1-V24</f>
        <v>20</v>
      </c>
    </row>
    <row r="25" customFormat="false" ht="15" hidden="false" customHeight="false" outlineLevel="0" collapsed="false">
      <c r="A25" s="0" t="n">
        <v>21</v>
      </c>
      <c r="B25" s="0" t="n">
        <f aca="false">MOD(A25-1,52)+1</f>
        <v>21</v>
      </c>
      <c r="C25" s="0" t="n">
        <f aca="false">IF(OR(AND(B25&gt;='1 Inputs'!$B$45,B25&lt;='1 Inputs'!$C$45),AND(B25&gt;='1 Inputs'!$B$46,B25&lt;='1 Inputs'!$C$46)),1,0)</f>
        <v>0</v>
      </c>
      <c r="D25" s="13" t="n">
        <f aca="false">D24-E24</f>
        <v>90</v>
      </c>
      <c r="E25" s="13" t="n">
        <f aca="false">IF(A25&lt;'1 Inputs'!$B$21,0,IF(C25=1,0,MIN('1 Inputs'!$B$15,D25)))</f>
        <v>0</v>
      </c>
      <c r="F25" s="13" t="n">
        <f aca="false">E25*'1 Inputs'!$B$7*'1 Inputs'!$B$8*'1 Inputs'!$B$9*'1 Inputs'!$B$10</f>
        <v>0</v>
      </c>
      <c r="G25" s="12" t="n">
        <f aca="false">F25*'1 Inputs'!$B$11</f>
        <v>0</v>
      </c>
      <c r="H25" s="19" t="n">
        <f aca="false">A25+'1 Inputs'!$B$22+'1 Inputs'!$B$23+'1 Inputs'!$B$24</f>
        <v>41</v>
      </c>
      <c r="I25" s="19" t="n">
        <f aca="false">H25+'1 Inputs'!$B$25</f>
        <v>43</v>
      </c>
      <c r="J25" s="0" t="str">
        <f aca="false">IF(E25=0,"",IFERROR(INDEX($T$5:$T$40,MATCH(I25,$T$5:$T$40,1)+IF(INDEX($T$5:$T$40,MATCH(I25,$T$5:$T$40,1))=I25,0,1)),$T$5))</f>
        <v/>
      </c>
      <c r="K25" s="0" t="str">
        <f aca="false">IF(J25="","",J25+'1 Inputs'!$B$26)</f>
        <v/>
      </c>
      <c r="N25" s="19" t="n">
        <f aca="false">T25</f>
        <v>273</v>
      </c>
      <c r="O25" s="12" t="n">
        <f aca="false">SUMIF($J$5:$J$204,N25,$G$5:$G$204)</f>
        <v>0</v>
      </c>
      <c r="P25" s="19" t="n">
        <f aca="false">N25+'1 Inputs'!$B$26</f>
        <v>279</v>
      </c>
      <c r="Q25" s="12" t="n">
        <f aca="false">IF(ROW()=5,O25,Q24+O25)</f>
        <v>93750000</v>
      </c>
      <c r="R25" s="15" t="n">
        <f aca="false">(P25-'1 Inputs'!$B$21)/52*12</f>
        <v>59.3076923076923</v>
      </c>
      <c r="S25" s="19" t="n">
        <f aca="false">IF(Q25&gt;='1 Inputs'!$B$12,P25,999999)</f>
        <v>999999</v>
      </c>
      <c r="T25" s="19" t="n">
        <f aca="false">T21+52</f>
        <v>273</v>
      </c>
      <c r="U25" s="0" t="n">
        <v>21</v>
      </c>
      <c r="V25" s="19" t="n">
        <f aca="false">IF(OR(AND((MOD(U25-1,52)+1)&gt;='1 Inputs'!$B$45,(MOD(U25-1,52)+1)&lt;='1 Inputs'!$C$45),AND((MOD(U25-1,52)+1)&gt;='1 Inputs'!$B$46,(MOD(U25-1,52)+1)&lt;='1 Inputs'!$C$46)),1,0)</f>
        <v>0</v>
      </c>
      <c r="W25" s="19" t="n">
        <f aca="false">W24+1-V25</f>
        <v>21</v>
      </c>
    </row>
    <row r="26" customFormat="false" ht="15" hidden="false" customHeight="false" outlineLevel="0" collapsed="false">
      <c r="A26" s="0" t="n">
        <v>22</v>
      </c>
      <c r="B26" s="0" t="n">
        <f aca="false">MOD(A26-1,52)+1</f>
        <v>22</v>
      </c>
      <c r="C26" s="0" t="n">
        <f aca="false">IF(OR(AND(B26&gt;='1 Inputs'!$B$45,B26&lt;='1 Inputs'!$C$45),AND(B26&gt;='1 Inputs'!$B$46,B26&lt;='1 Inputs'!$C$46)),1,0)</f>
        <v>0</v>
      </c>
      <c r="D26" s="13" t="n">
        <f aca="false">D25-E25</f>
        <v>90</v>
      </c>
      <c r="E26" s="13" t="n">
        <f aca="false">IF(A26&lt;'1 Inputs'!$B$21,0,IF(C26=1,0,MIN('1 Inputs'!$B$15,D26)))</f>
        <v>6</v>
      </c>
      <c r="F26" s="13" t="n">
        <f aca="false">E26*'1 Inputs'!$B$7*'1 Inputs'!$B$8*'1 Inputs'!$B$9*'1 Inputs'!$B$10</f>
        <v>0.5</v>
      </c>
      <c r="G26" s="12" t="n">
        <f aca="false">F26*'1 Inputs'!$B$11</f>
        <v>6250000</v>
      </c>
      <c r="H26" s="19" t="n">
        <f aca="false">A26+'1 Inputs'!$B$22+'1 Inputs'!$B$23+'1 Inputs'!$B$24</f>
        <v>42</v>
      </c>
      <c r="I26" s="19" t="n">
        <f aca="false">H26+'1 Inputs'!$B$25</f>
        <v>44</v>
      </c>
      <c r="J26" s="16" t="n">
        <f aca="false">IF(E26=0,"",IFERROR(INDEX($T$5:$T$40,MATCH(I26,$T$5:$T$40,1)+IF(INDEX($T$5:$T$40,MATCH(I26,$T$5:$T$40,1))=I26,0,1)),$T$5))</f>
        <v>49</v>
      </c>
      <c r="K26" s="19" t="n">
        <f aca="false">IF(J26="","",J26+'1 Inputs'!$B$26)</f>
        <v>55</v>
      </c>
      <c r="N26" s="19" t="n">
        <f aca="false">T26</f>
        <v>286</v>
      </c>
      <c r="O26" s="12" t="n">
        <f aca="false">SUMIF($J$5:$J$204,N26,$G$5:$G$204)</f>
        <v>0</v>
      </c>
      <c r="P26" s="19" t="n">
        <f aca="false">N26+'1 Inputs'!$B$26</f>
        <v>292</v>
      </c>
      <c r="Q26" s="12" t="n">
        <f aca="false">IF(ROW()=5,O26,Q25+O26)</f>
        <v>93750000</v>
      </c>
      <c r="R26" s="15" t="n">
        <f aca="false">(P26-'1 Inputs'!$B$21)/52*12</f>
        <v>62.3076923076923</v>
      </c>
      <c r="S26" s="19" t="n">
        <f aca="false">IF(Q26&gt;='1 Inputs'!$B$12,P26,999999)</f>
        <v>999999</v>
      </c>
      <c r="T26" s="19" t="n">
        <f aca="false">T22+52</f>
        <v>286</v>
      </c>
      <c r="U26" s="0" t="n">
        <v>22</v>
      </c>
      <c r="V26" s="19" t="n">
        <f aca="false">IF(OR(AND((MOD(U26-1,52)+1)&gt;='1 Inputs'!$B$45,(MOD(U26-1,52)+1)&lt;='1 Inputs'!$C$45),AND((MOD(U26-1,52)+1)&gt;='1 Inputs'!$B$46,(MOD(U26-1,52)+1)&lt;='1 Inputs'!$C$46)),1,0)</f>
        <v>0</v>
      </c>
      <c r="W26" s="19" t="n">
        <f aca="false">W25+1-V26</f>
        <v>22</v>
      </c>
    </row>
    <row r="27" customFormat="false" ht="15" hidden="false" customHeight="false" outlineLevel="0" collapsed="false">
      <c r="A27" s="0" t="n">
        <v>23</v>
      </c>
      <c r="B27" s="0" t="n">
        <f aca="false">MOD(A27-1,52)+1</f>
        <v>23</v>
      </c>
      <c r="C27" s="0" t="n">
        <f aca="false">IF(OR(AND(B27&gt;='1 Inputs'!$B$45,B27&lt;='1 Inputs'!$C$45),AND(B27&gt;='1 Inputs'!$B$46,B27&lt;='1 Inputs'!$C$46)),1,0)</f>
        <v>0</v>
      </c>
      <c r="D27" s="13" t="n">
        <f aca="false">D26-E26</f>
        <v>84</v>
      </c>
      <c r="E27" s="13" t="n">
        <f aca="false">IF(A27&lt;'1 Inputs'!$B$21,0,IF(C27=1,0,MIN('1 Inputs'!$B$15,D27)))</f>
        <v>6</v>
      </c>
      <c r="F27" s="13" t="n">
        <f aca="false">E27*'1 Inputs'!$B$7*'1 Inputs'!$B$8*'1 Inputs'!$B$9*'1 Inputs'!$B$10</f>
        <v>0.5</v>
      </c>
      <c r="G27" s="12" t="n">
        <f aca="false">F27*'1 Inputs'!$B$11</f>
        <v>6250000</v>
      </c>
      <c r="H27" s="19" t="n">
        <f aca="false">A27+'1 Inputs'!$B$22+'1 Inputs'!$B$23+'1 Inputs'!$B$24</f>
        <v>43</v>
      </c>
      <c r="I27" s="19" t="n">
        <f aca="false">H27+'1 Inputs'!$B$25</f>
        <v>45</v>
      </c>
      <c r="J27" s="16" t="n">
        <f aca="false">IF(E27=0,"",IFERROR(INDEX($T$5:$T$40,MATCH(I27,$T$5:$T$40,1)+IF(INDEX($T$5:$T$40,MATCH(I27,$T$5:$T$40,1))=I27,0,1)),$T$5))</f>
        <v>49</v>
      </c>
      <c r="K27" s="19" t="n">
        <f aca="false">IF(J27="","",J27+'1 Inputs'!$B$26)</f>
        <v>55</v>
      </c>
      <c r="N27" s="19" t="n">
        <f aca="false">T27</f>
        <v>299</v>
      </c>
      <c r="O27" s="12" t="n">
        <f aca="false">SUMIF($J$5:$J$204,N27,$G$5:$G$204)</f>
        <v>0</v>
      </c>
      <c r="P27" s="19" t="n">
        <f aca="false">N27+'1 Inputs'!$B$26</f>
        <v>305</v>
      </c>
      <c r="Q27" s="12" t="n">
        <f aca="false">IF(ROW()=5,O27,Q26+O27)</f>
        <v>93750000</v>
      </c>
      <c r="R27" s="15" t="n">
        <f aca="false">(P27-'1 Inputs'!$B$21)/52*12</f>
        <v>65.3076923076923</v>
      </c>
      <c r="S27" s="19" t="n">
        <f aca="false">IF(Q27&gt;='1 Inputs'!$B$12,P27,999999)</f>
        <v>999999</v>
      </c>
      <c r="T27" s="19" t="n">
        <f aca="false">T23+52</f>
        <v>299</v>
      </c>
      <c r="U27" s="0" t="n">
        <v>23</v>
      </c>
      <c r="V27" s="19" t="n">
        <f aca="false">IF(OR(AND((MOD(U27-1,52)+1)&gt;='1 Inputs'!$B$45,(MOD(U27-1,52)+1)&lt;='1 Inputs'!$C$45),AND((MOD(U27-1,52)+1)&gt;='1 Inputs'!$B$46,(MOD(U27-1,52)+1)&lt;='1 Inputs'!$C$46)),1,0)</f>
        <v>0</v>
      </c>
      <c r="W27" s="19" t="n">
        <f aca="false">W26+1-V27</f>
        <v>23</v>
      </c>
    </row>
    <row r="28" customFormat="false" ht="15" hidden="false" customHeight="false" outlineLevel="0" collapsed="false">
      <c r="A28" s="0" t="n">
        <v>24</v>
      </c>
      <c r="B28" s="0" t="n">
        <f aca="false">MOD(A28-1,52)+1</f>
        <v>24</v>
      </c>
      <c r="C28" s="0" t="n">
        <f aca="false">IF(OR(AND(B28&gt;='1 Inputs'!$B$45,B28&lt;='1 Inputs'!$C$45),AND(B28&gt;='1 Inputs'!$B$46,B28&lt;='1 Inputs'!$C$46)),1,0)</f>
        <v>0</v>
      </c>
      <c r="D28" s="13" t="n">
        <f aca="false">D27-E27</f>
        <v>78</v>
      </c>
      <c r="E28" s="13" t="n">
        <f aca="false">IF(A28&lt;'1 Inputs'!$B$21,0,IF(C28=1,0,MIN('1 Inputs'!$B$15,D28)))</f>
        <v>6</v>
      </c>
      <c r="F28" s="13" t="n">
        <f aca="false">E28*'1 Inputs'!$B$7*'1 Inputs'!$B$8*'1 Inputs'!$B$9*'1 Inputs'!$B$10</f>
        <v>0.5</v>
      </c>
      <c r="G28" s="12" t="n">
        <f aca="false">F28*'1 Inputs'!$B$11</f>
        <v>6250000</v>
      </c>
      <c r="H28" s="19" t="n">
        <f aca="false">A28+'1 Inputs'!$B$22+'1 Inputs'!$B$23+'1 Inputs'!$B$24</f>
        <v>44</v>
      </c>
      <c r="I28" s="19" t="n">
        <f aca="false">H28+'1 Inputs'!$B$25</f>
        <v>46</v>
      </c>
      <c r="J28" s="16" t="n">
        <f aca="false">IF(E28=0,"",IFERROR(INDEX($T$5:$T$40,MATCH(I28,$T$5:$T$40,1)+IF(INDEX($T$5:$T$40,MATCH(I28,$T$5:$T$40,1))=I28,0,1)),$T$5))</f>
        <v>49</v>
      </c>
      <c r="K28" s="19" t="n">
        <f aca="false">IF(J28="","",J28+'1 Inputs'!$B$26)</f>
        <v>55</v>
      </c>
      <c r="N28" s="19" t="n">
        <f aca="false">T28</f>
        <v>309</v>
      </c>
      <c r="O28" s="12" t="n">
        <f aca="false">SUMIF($J$5:$J$204,N28,$G$5:$G$204)</f>
        <v>0</v>
      </c>
      <c r="P28" s="19" t="n">
        <f aca="false">N28+'1 Inputs'!$B$26</f>
        <v>315</v>
      </c>
      <c r="Q28" s="12" t="n">
        <f aca="false">IF(ROW()=5,O28,Q27+O28)</f>
        <v>93750000</v>
      </c>
      <c r="R28" s="15" t="n">
        <f aca="false">(P28-'1 Inputs'!$B$21)/52*12</f>
        <v>67.6153846153846</v>
      </c>
      <c r="S28" s="19" t="n">
        <f aca="false">IF(Q28&gt;='1 Inputs'!$B$12,P28,999999)</f>
        <v>999999</v>
      </c>
      <c r="T28" s="19" t="n">
        <f aca="false">T24+52</f>
        <v>309</v>
      </c>
      <c r="U28" s="0" t="n">
        <v>24</v>
      </c>
      <c r="V28" s="19" t="n">
        <f aca="false">IF(OR(AND((MOD(U28-1,52)+1)&gt;='1 Inputs'!$B$45,(MOD(U28-1,52)+1)&lt;='1 Inputs'!$C$45),AND((MOD(U28-1,52)+1)&gt;='1 Inputs'!$B$46,(MOD(U28-1,52)+1)&lt;='1 Inputs'!$C$46)),1,0)</f>
        <v>0</v>
      </c>
      <c r="W28" s="19" t="n">
        <f aca="false">W27+1-V28</f>
        <v>24</v>
      </c>
    </row>
    <row r="29" customFormat="false" ht="15" hidden="false" customHeight="false" outlineLevel="0" collapsed="false">
      <c r="A29" s="0" t="n">
        <v>25</v>
      </c>
      <c r="B29" s="0" t="n">
        <f aca="false">MOD(A29-1,52)+1</f>
        <v>25</v>
      </c>
      <c r="C29" s="0" t="n">
        <f aca="false">IF(OR(AND(B29&gt;='1 Inputs'!$B$45,B29&lt;='1 Inputs'!$C$45),AND(B29&gt;='1 Inputs'!$B$46,B29&lt;='1 Inputs'!$C$46)),1,0)</f>
        <v>0</v>
      </c>
      <c r="D29" s="13" t="n">
        <f aca="false">D28-E28</f>
        <v>72</v>
      </c>
      <c r="E29" s="13" t="n">
        <f aca="false">IF(A29&lt;'1 Inputs'!$B$21,0,IF(C29=1,0,MIN('1 Inputs'!$B$15,D29)))</f>
        <v>6</v>
      </c>
      <c r="F29" s="13" t="n">
        <f aca="false">E29*'1 Inputs'!$B$7*'1 Inputs'!$B$8*'1 Inputs'!$B$9*'1 Inputs'!$B$10</f>
        <v>0.5</v>
      </c>
      <c r="G29" s="12" t="n">
        <f aca="false">F29*'1 Inputs'!$B$11</f>
        <v>6250000</v>
      </c>
      <c r="H29" s="19" t="n">
        <f aca="false">A29+'1 Inputs'!$B$22+'1 Inputs'!$B$23+'1 Inputs'!$B$24</f>
        <v>45</v>
      </c>
      <c r="I29" s="19" t="n">
        <f aca="false">H29+'1 Inputs'!$B$25</f>
        <v>47</v>
      </c>
      <c r="J29" s="16" t="n">
        <f aca="false">IF(E29=0,"",IFERROR(INDEX($T$5:$T$40,MATCH(I29,$T$5:$T$40,1)+IF(INDEX($T$5:$T$40,MATCH(I29,$T$5:$T$40,1))=I29,0,1)),$T$5))</f>
        <v>49</v>
      </c>
      <c r="K29" s="19" t="n">
        <f aca="false">IF(J29="","",J29+'1 Inputs'!$B$26)</f>
        <v>55</v>
      </c>
      <c r="N29" s="19" t="n">
        <f aca="false">T29</f>
        <v>325</v>
      </c>
      <c r="O29" s="12" t="n">
        <f aca="false">SUMIF($J$5:$J$204,N29,$G$5:$G$204)</f>
        <v>0</v>
      </c>
      <c r="P29" s="19" t="n">
        <f aca="false">N29+'1 Inputs'!$B$26</f>
        <v>331</v>
      </c>
      <c r="Q29" s="12" t="n">
        <f aca="false">IF(ROW()=5,O29,Q28+O29)</f>
        <v>93750000</v>
      </c>
      <c r="R29" s="15" t="n">
        <f aca="false">(P29-'1 Inputs'!$B$21)/52*12</f>
        <v>71.3076923076923</v>
      </c>
      <c r="S29" s="19" t="n">
        <f aca="false">IF(Q29&gt;='1 Inputs'!$B$12,P29,999999)</f>
        <v>999999</v>
      </c>
      <c r="T29" s="19" t="n">
        <f aca="false">T25+52</f>
        <v>325</v>
      </c>
      <c r="U29" s="0" t="n">
        <v>25</v>
      </c>
      <c r="V29" s="19" t="n">
        <f aca="false">IF(OR(AND((MOD(U29-1,52)+1)&gt;='1 Inputs'!$B$45,(MOD(U29-1,52)+1)&lt;='1 Inputs'!$C$45),AND((MOD(U29-1,52)+1)&gt;='1 Inputs'!$B$46,(MOD(U29-1,52)+1)&lt;='1 Inputs'!$C$46)),1,0)</f>
        <v>0</v>
      </c>
      <c r="W29" s="19" t="n">
        <f aca="false">W28+1-V29</f>
        <v>25</v>
      </c>
    </row>
    <row r="30" customFormat="false" ht="15" hidden="false" customHeight="false" outlineLevel="0" collapsed="false">
      <c r="A30" s="0" t="n">
        <v>26</v>
      </c>
      <c r="B30" s="0" t="n">
        <f aca="false">MOD(A30-1,52)+1</f>
        <v>26</v>
      </c>
      <c r="C30" s="0" t="n">
        <f aca="false">IF(OR(AND(B30&gt;='1 Inputs'!$B$45,B30&lt;='1 Inputs'!$C$45),AND(B30&gt;='1 Inputs'!$B$46,B30&lt;='1 Inputs'!$C$46)),1,0)</f>
        <v>0</v>
      </c>
      <c r="D30" s="13" t="n">
        <f aca="false">D29-E29</f>
        <v>66</v>
      </c>
      <c r="E30" s="13" t="n">
        <f aca="false">IF(A30&lt;'1 Inputs'!$B$21,0,IF(C30=1,0,MIN('1 Inputs'!$B$15,D30)))</f>
        <v>6</v>
      </c>
      <c r="F30" s="13" t="n">
        <f aca="false">E30*'1 Inputs'!$B$7*'1 Inputs'!$B$8*'1 Inputs'!$B$9*'1 Inputs'!$B$10</f>
        <v>0.5</v>
      </c>
      <c r="G30" s="12" t="n">
        <f aca="false">F30*'1 Inputs'!$B$11</f>
        <v>6250000</v>
      </c>
      <c r="H30" s="19" t="n">
        <f aca="false">A30+'1 Inputs'!$B$22+'1 Inputs'!$B$23+'1 Inputs'!$B$24</f>
        <v>46</v>
      </c>
      <c r="I30" s="19" t="n">
        <f aca="false">H30+'1 Inputs'!$B$25</f>
        <v>48</v>
      </c>
      <c r="J30" s="16" t="n">
        <f aca="false">IF(E30=0,"",IFERROR(INDEX($T$5:$T$40,MATCH(I30,$T$5:$T$40,1)+IF(INDEX($T$5:$T$40,MATCH(I30,$T$5:$T$40,1))=I30,0,1)),$T$5))</f>
        <v>49</v>
      </c>
      <c r="K30" s="19" t="n">
        <f aca="false">IF(J30="","",J30+'1 Inputs'!$B$26)</f>
        <v>55</v>
      </c>
      <c r="N30" s="19" t="n">
        <f aca="false">T30</f>
        <v>338</v>
      </c>
      <c r="O30" s="12" t="n">
        <f aca="false">SUMIF($J$5:$J$204,N30,$G$5:$G$204)</f>
        <v>0</v>
      </c>
      <c r="P30" s="19" t="n">
        <f aca="false">N30+'1 Inputs'!$B$26</f>
        <v>344</v>
      </c>
      <c r="Q30" s="12" t="n">
        <f aca="false">IF(ROW()=5,O30,Q29+O30)</f>
        <v>93750000</v>
      </c>
      <c r="R30" s="15" t="n">
        <f aca="false">(P30-'1 Inputs'!$B$21)/52*12</f>
        <v>74.3076923076923</v>
      </c>
      <c r="S30" s="19" t="n">
        <f aca="false">IF(Q30&gt;='1 Inputs'!$B$12,P30,999999)</f>
        <v>999999</v>
      </c>
      <c r="T30" s="19" t="n">
        <f aca="false">T26+52</f>
        <v>338</v>
      </c>
      <c r="U30" s="0" t="n">
        <v>26</v>
      </c>
      <c r="V30" s="19" t="n">
        <f aca="false">IF(OR(AND((MOD(U30-1,52)+1)&gt;='1 Inputs'!$B$45,(MOD(U30-1,52)+1)&lt;='1 Inputs'!$C$45),AND((MOD(U30-1,52)+1)&gt;='1 Inputs'!$B$46,(MOD(U30-1,52)+1)&lt;='1 Inputs'!$C$46)),1,0)</f>
        <v>0</v>
      </c>
      <c r="W30" s="19" t="n">
        <f aca="false">W29+1-V30</f>
        <v>26</v>
      </c>
    </row>
    <row r="31" customFormat="false" ht="15" hidden="false" customHeight="false" outlineLevel="0" collapsed="false">
      <c r="A31" s="0" t="n">
        <v>27</v>
      </c>
      <c r="B31" s="0" t="n">
        <f aca="false">MOD(A31-1,52)+1</f>
        <v>27</v>
      </c>
      <c r="C31" s="0" t="n">
        <f aca="false">IF(OR(AND(B31&gt;='1 Inputs'!$B$45,B31&lt;='1 Inputs'!$C$45),AND(B31&gt;='1 Inputs'!$B$46,B31&lt;='1 Inputs'!$C$46)),1,0)</f>
        <v>0</v>
      </c>
      <c r="D31" s="13" t="n">
        <f aca="false">D30-E30</f>
        <v>60</v>
      </c>
      <c r="E31" s="13" t="n">
        <f aca="false">IF(A31&lt;'1 Inputs'!$B$21,0,IF(C31=1,0,MIN('1 Inputs'!$B$15,D31)))</f>
        <v>6</v>
      </c>
      <c r="F31" s="13" t="n">
        <f aca="false">E31*'1 Inputs'!$B$7*'1 Inputs'!$B$8*'1 Inputs'!$B$9*'1 Inputs'!$B$10</f>
        <v>0.5</v>
      </c>
      <c r="G31" s="12" t="n">
        <f aca="false">F31*'1 Inputs'!$B$11</f>
        <v>6250000</v>
      </c>
      <c r="H31" s="19" t="n">
        <f aca="false">A31+'1 Inputs'!$B$22+'1 Inputs'!$B$23+'1 Inputs'!$B$24</f>
        <v>47</v>
      </c>
      <c r="I31" s="19" t="n">
        <f aca="false">H31+'1 Inputs'!$B$25</f>
        <v>49</v>
      </c>
      <c r="J31" s="16" t="n">
        <f aca="false">IF(E31=0,"",IFERROR(INDEX($T$5:$T$40,MATCH(I31,$T$5:$T$40,1)+IF(INDEX($T$5:$T$40,MATCH(I31,$T$5:$T$40,1))=I31,0,1)),$T$5))</f>
        <v>49</v>
      </c>
      <c r="K31" s="19" t="n">
        <f aca="false">IF(J31="","",J31+'1 Inputs'!$B$26)</f>
        <v>55</v>
      </c>
      <c r="N31" s="19" t="n">
        <f aca="false">T31</f>
        <v>351</v>
      </c>
      <c r="O31" s="12" t="n">
        <f aca="false">SUMIF($J$5:$J$204,N31,$G$5:$G$204)</f>
        <v>0</v>
      </c>
      <c r="P31" s="19" t="n">
        <f aca="false">N31+'1 Inputs'!$B$26</f>
        <v>357</v>
      </c>
      <c r="Q31" s="12" t="n">
        <f aca="false">IF(ROW()=5,O31,Q30+O31)</f>
        <v>93750000</v>
      </c>
      <c r="R31" s="15" t="n">
        <f aca="false">(P31-'1 Inputs'!$B$21)/52*12</f>
        <v>77.3076923076923</v>
      </c>
      <c r="S31" s="19" t="n">
        <f aca="false">IF(Q31&gt;='1 Inputs'!$B$12,P31,999999)</f>
        <v>999999</v>
      </c>
      <c r="T31" s="19" t="n">
        <f aca="false">T27+52</f>
        <v>351</v>
      </c>
      <c r="U31" s="0" t="n">
        <v>27</v>
      </c>
      <c r="V31" s="19" t="n">
        <f aca="false">IF(OR(AND((MOD(U31-1,52)+1)&gt;='1 Inputs'!$B$45,(MOD(U31-1,52)+1)&lt;='1 Inputs'!$C$45),AND((MOD(U31-1,52)+1)&gt;='1 Inputs'!$B$46,(MOD(U31-1,52)+1)&lt;='1 Inputs'!$C$46)),1,0)</f>
        <v>0</v>
      </c>
      <c r="W31" s="19" t="n">
        <f aca="false">W30+1-V31</f>
        <v>27</v>
      </c>
    </row>
    <row r="32" customFormat="false" ht="15" hidden="false" customHeight="false" outlineLevel="0" collapsed="false">
      <c r="A32" s="0" t="n">
        <v>28</v>
      </c>
      <c r="B32" s="0" t="n">
        <f aca="false">MOD(A32-1,52)+1</f>
        <v>28</v>
      </c>
      <c r="C32" s="0" t="n">
        <f aca="false">IF(OR(AND(B32&gt;='1 Inputs'!$B$45,B32&lt;='1 Inputs'!$C$45),AND(B32&gt;='1 Inputs'!$B$46,B32&lt;='1 Inputs'!$C$46)),1,0)</f>
        <v>0</v>
      </c>
      <c r="D32" s="13" t="n">
        <f aca="false">D31-E31</f>
        <v>54</v>
      </c>
      <c r="E32" s="13" t="n">
        <f aca="false">IF(A32&lt;'1 Inputs'!$B$21,0,IF(C32=1,0,MIN('1 Inputs'!$B$15,D32)))</f>
        <v>6</v>
      </c>
      <c r="F32" s="13" t="n">
        <f aca="false">E32*'1 Inputs'!$B$7*'1 Inputs'!$B$8*'1 Inputs'!$B$9*'1 Inputs'!$B$10</f>
        <v>0.5</v>
      </c>
      <c r="G32" s="12" t="n">
        <f aca="false">F32*'1 Inputs'!$B$11</f>
        <v>6250000</v>
      </c>
      <c r="H32" s="19" t="n">
        <f aca="false">A32+'1 Inputs'!$B$22+'1 Inputs'!$B$23+'1 Inputs'!$B$24</f>
        <v>48</v>
      </c>
      <c r="I32" s="19" t="n">
        <f aca="false">H32+'1 Inputs'!$B$25</f>
        <v>50</v>
      </c>
      <c r="J32" s="19" t="n">
        <f aca="false">IF(E32=0,"",IFERROR(INDEX($T$5:$T$40,MATCH(I32,$T$5:$T$40,1)+IF(INDEX($T$5:$T$40,MATCH(I32,$T$5:$T$40,1))=I32,0,1)),$T$5))</f>
        <v>65</v>
      </c>
      <c r="K32" s="19" t="n">
        <f aca="false">IF(J32="","",J32+'1 Inputs'!$B$26)</f>
        <v>71</v>
      </c>
      <c r="N32" s="19" t="n">
        <f aca="false">T32</f>
        <v>361</v>
      </c>
      <c r="O32" s="12" t="n">
        <f aca="false">SUMIF($J$5:$J$204,N32,$G$5:$G$204)</f>
        <v>0</v>
      </c>
      <c r="P32" s="19" t="n">
        <f aca="false">N32+'1 Inputs'!$B$26</f>
        <v>367</v>
      </c>
      <c r="Q32" s="12" t="n">
        <f aca="false">IF(ROW()=5,O32,Q31+O32)</f>
        <v>93750000</v>
      </c>
      <c r="R32" s="15" t="n">
        <f aca="false">(P32-'1 Inputs'!$B$21)/52*12</f>
        <v>79.6153846153846</v>
      </c>
      <c r="S32" s="19" t="n">
        <f aca="false">IF(Q32&gt;='1 Inputs'!$B$12,P32,999999)</f>
        <v>999999</v>
      </c>
      <c r="T32" s="19" t="n">
        <f aca="false">T28+52</f>
        <v>361</v>
      </c>
      <c r="U32" s="0" t="n">
        <v>28</v>
      </c>
      <c r="V32" s="19" t="n">
        <f aca="false">IF(OR(AND((MOD(U32-1,52)+1)&gt;='1 Inputs'!$B$45,(MOD(U32-1,52)+1)&lt;='1 Inputs'!$C$45),AND((MOD(U32-1,52)+1)&gt;='1 Inputs'!$B$46,(MOD(U32-1,52)+1)&lt;='1 Inputs'!$C$46)),1,0)</f>
        <v>0</v>
      </c>
      <c r="W32" s="19" t="n">
        <f aca="false">W31+1-V32</f>
        <v>28</v>
      </c>
    </row>
    <row r="33" customFormat="false" ht="15" hidden="false" customHeight="false" outlineLevel="0" collapsed="false">
      <c r="A33" s="0" t="n">
        <v>29</v>
      </c>
      <c r="B33" s="0" t="n">
        <f aca="false">MOD(A33-1,52)+1</f>
        <v>29</v>
      </c>
      <c r="C33" s="0" t="n">
        <f aca="false">IF(OR(AND(B33&gt;='1 Inputs'!$B$45,B33&lt;='1 Inputs'!$C$45),AND(B33&gt;='1 Inputs'!$B$46,B33&lt;='1 Inputs'!$C$46)),1,0)</f>
        <v>0</v>
      </c>
      <c r="D33" s="13" t="n">
        <f aca="false">D32-E32</f>
        <v>48</v>
      </c>
      <c r="E33" s="13" t="n">
        <f aca="false">IF(A33&lt;'1 Inputs'!$B$21,0,IF(C33=1,0,MIN('1 Inputs'!$B$15,D33)))</f>
        <v>6</v>
      </c>
      <c r="F33" s="13" t="n">
        <f aca="false">E33*'1 Inputs'!$B$7*'1 Inputs'!$B$8*'1 Inputs'!$B$9*'1 Inputs'!$B$10</f>
        <v>0.5</v>
      </c>
      <c r="G33" s="12" t="n">
        <f aca="false">F33*'1 Inputs'!$B$11</f>
        <v>6250000</v>
      </c>
      <c r="H33" s="19" t="n">
        <f aca="false">A33+'1 Inputs'!$B$22+'1 Inputs'!$B$23+'1 Inputs'!$B$24</f>
        <v>49</v>
      </c>
      <c r="I33" s="19" t="n">
        <f aca="false">H33+'1 Inputs'!$B$25</f>
        <v>51</v>
      </c>
      <c r="J33" s="19" t="n">
        <f aca="false">IF(E33=0,"",IFERROR(INDEX($T$5:$T$40,MATCH(I33,$T$5:$T$40,1)+IF(INDEX($T$5:$T$40,MATCH(I33,$T$5:$T$40,1))=I33,0,1)),$T$5))</f>
        <v>65</v>
      </c>
      <c r="K33" s="19" t="n">
        <f aca="false">IF(J33="","",J33+'1 Inputs'!$B$26)</f>
        <v>71</v>
      </c>
      <c r="N33" s="19" t="n">
        <f aca="false">T33</f>
        <v>377</v>
      </c>
      <c r="O33" s="12" t="n">
        <f aca="false">SUMIF($J$5:$J$204,N33,$G$5:$G$204)</f>
        <v>0</v>
      </c>
      <c r="P33" s="19" t="n">
        <f aca="false">N33+'1 Inputs'!$B$26</f>
        <v>383</v>
      </c>
      <c r="Q33" s="12" t="n">
        <f aca="false">IF(ROW()=5,O33,Q32+O33)</f>
        <v>93750000</v>
      </c>
      <c r="R33" s="15" t="n">
        <f aca="false">(P33-'1 Inputs'!$B$21)/52*12</f>
        <v>83.3076923076923</v>
      </c>
      <c r="S33" s="19" t="n">
        <f aca="false">IF(Q33&gt;='1 Inputs'!$B$12,P33,999999)</f>
        <v>999999</v>
      </c>
      <c r="T33" s="19" t="n">
        <f aca="false">T29+52</f>
        <v>377</v>
      </c>
      <c r="U33" s="0" t="n">
        <v>29</v>
      </c>
      <c r="V33" s="19" t="n">
        <f aca="false">IF(OR(AND((MOD(U33-1,52)+1)&gt;='1 Inputs'!$B$45,(MOD(U33-1,52)+1)&lt;='1 Inputs'!$C$45),AND((MOD(U33-1,52)+1)&gt;='1 Inputs'!$B$46,(MOD(U33-1,52)+1)&lt;='1 Inputs'!$C$46)),1,0)</f>
        <v>0</v>
      </c>
      <c r="W33" s="19" t="n">
        <f aca="false">W32+1-V33</f>
        <v>29</v>
      </c>
    </row>
    <row r="34" customFormat="false" ht="15" hidden="false" customHeight="false" outlineLevel="0" collapsed="false">
      <c r="A34" s="0" t="n">
        <v>30</v>
      </c>
      <c r="B34" s="0" t="n">
        <f aca="false">MOD(A34-1,52)+1</f>
        <v>30</v>
      </c>
      <c r="C34" s="0" t="n">
        <f aca="false">IF(OR(AND(B34&gt;='1 Inputs'!$B$45,B34&lt;='1 Inputs'!$C$45),AND(B34&gt;='1 Inputs'!$B$46,B34&lt;='1 Inputs'!$C$46)),1,0)</f>
        <v>0</v>
      </c>
      <c r="D34" s="13" t="n">
        <f aca="false">D33-E33</f>
        <v>42</v>
      </c>
      <c r="E34" s="13" t="n">
        <f aca="false">IF(A34&lt;'1 Inputs'!$B$21,0,IF(C34=1,0,MIN('1 Inputs'!$B$15,D34)))</f>
        <v>6</v>
      </c>
      <c r="F34" s="13" t="n">
        <f aca="false">E34*'1 Inputs'!$B$7*'1 Inputs'!$B$8*'1 Inputs'!$B$9*'1 Inputs'!$B$10</f>
        <v>0.5</v>
      </c>
      <c r="G34" s="12" t="n">
        <f aca="false">F34*'1 Inputs'!$B$11</f>
        <v>6250000</v>
      </c>
      <c r="H34" s="19" t="n">
        <f aca="false">A34+'1 Inputs'!$B$22+'1 Inputs'!$B$23+'1 Inputs'!$B$24</f>
        <v>50</v>
      </c>
      <c r="I34" s="19" t="n">
        <f aca="false">H34+'1 Inputs'!$B$25</f>
        <v>52</v>
      </c>
      <c r="J34" s="19" t="n">
        <f aca="false">IF(E34=0,"",IFERROR(INDEX($T$5:$T$40,MATCH(I34,$T$5:$T$40,1)+IF(INDEX($T$5:$T$40,MATCH(I34,$T$5:$T$40,1))=I34,0,1)),$T$5))</f>
        <v>65</v>
      </c>
      <c r="K34" s="19" t="n">
        <f aca="false">IF(J34="","",J34+'1 Inputs'!$B$26)</f>
        <v>71</v>
      </c>
      <c r="N34" s="19" t="n">
        <f aca="false">T34</f>
        <v>390</v>
      </c>
      <c r="O34" s="12" t="n">
        <f aca="false">SUMIF($J$5:$J$204,N34,$G$5:$G$204)</f>
        <v>0</v>
      </c>
      <c r="P34" s="19" t="n">
        <f aca="false">N34+'1 Inputs'!$B$26</f>
        <v>396</v>
      </c>
      <c r="Q34" s="12" t="n">
        <f aca="false">IF(ROW()=5,O34,Q33+O34)</f>
        <v>93750000</v>
      </c>
      <c r="R34" s="15" t="n">
        <f aca="false">(P34-'1 Inputs'!$B$21)/52*12</f>
        <v>86.3076923076923</v>
      </c>
      <c r="S34" s="19" t="n">
        <f aca="false">IF(Q34&gt;='1 Inputs'!$B$12,P34,999999)</f>
        <v>999999</v>
      </c>
      <c r="T34" s="19" t="n">
        <f aca="false">T30+52</f>
        <v>390</v>
      </c>
      <c r="U34" s="0" t="n">
        <v>30</v>
      </c>
      <c r="V34" s="19" t="n">
        <f aca="false">IF(OR(AND((MOD(U34-1,52)+1)&gt;='1 Inputs'!$B$45,(MOD(U34-1,52)+1)&lt;='1 Inputs'!$C$45),AND((MOD(U34-1,52)+1)&gt;='1 Inputs'!$B$46,(MOD(U34-1,52)+1)&lt;='1 Inputs'!$C$46)),1,0)</f>
        <v>0</v>
      </c>
      <c r="W34" s="19" t="n">
        <f aca="false">W33+1-V34</f>
        <v>30</v>
      </c>
    </row>
    <row r="35" customFormat="false" ht="15" hidden="false" customHeight="false" outlineLevel="0" collapsed="false">
      <c r="A35" s="0" t="n">
        <v>31</v>
      </c>
      <c r="B35" s="0" t="n">
        <f aca="false">MOD(A35-1,52)+1</f>
        <v>31</v>
      </c>
      <c r="C35" s="0" t="n">
        <f aca="false">IF(OR(AND(B35&gt;='1 Inputs'!$B$45,B35&lt;='1 Inputs'!$C$45),AND(B35&gt;='1 Inputs'!$B$46,B35&lt;='1 Inputs'!$C$46)),1,0)</f>
        <v>1</v>
      </c>
      <c r="D35" s="13" t="n">
        <f aca="false">D34-E34</f>
        <v>36</v>
      </c>
      <c r="E35" s="13" t="n">
        <f aca="false">IF(A35&lt;'1 Inputs'!$B$21,0,IF(C35=1,0,MIN('1 Inputs'!$B$15,D35)))</f>
        <v>0</v>
      </c>
      <c r="F35" s="13" t="n">
        <f aca="false">E35*'1 Inputs'!$B$7*'1 Inputs'!$B$8*'1 Inputs'!$B$9*'1 Inputs'!$B$10</f>
        <v>0</v>
      </c>
      <c r="G35" s="12" t="n">
        <f aca="false">F35*'1 Inputs'!$B$11</f>
        <v>0</v>
      </c>
      <c r="H35" s="19" t="n">
        <f aca="false">A35+'1 Inputs'!$B$22+'1 Inputs'!$B$23+'1 Inputs'!$B$24</f>
        <v>51</v>
      </c>
      <c r="I35" s="19" t="n">
        <f aca="false">H35+'1 Inputs'!$B$25</f>
        <v>53</v>
      </c>
      <c r="J35" s="0" t="str">
        <f aca="false">IF(E35=0,"",IFERROR(INDEX($T$5:$T$40,MATCH(I35,$T$5:$T$40,1)+IF(INDEX($T$5:$T$40,MATCH(I35,$T$5:$T$40,1))=I35,0,1)),$T$5))</f>
        <v/>
      </c>
      <c r="K35" s="0" t="str">
        <f aca="false">IF(J35="","",J35+'1 Inputs'!$B$26)</f>
        <v/>
      </c>
      <c r="T35" s="19" t="n">
        <f aca="false">T31+52</f>
        <v>403</v>
      </c>
      <c r="U35" s="0" t="n">
        <v>31</v>
      </c>
      <c r="V35" s="19" t="n">
        <f aca="false">IF(OR(AND((MOD(U35-1,52)+1)&gt;='1 Inputs'!$B$45,(MOD(U35-1,52)+1)&lt;='1 Inputs'!$C$45),AND((MOD(U35-1,52)+1)&gt;='1 Inputs'!$B$46,(MOD(U35-1,52)+1)&lt;='1 Inputs'!$C$46)),1,0)</f>
        <v>1</v>
      </c>
      <c r="W35" s="19" t="n">
        <f aca="false">W34+1-V35</f>
        <v>30</v>
      </c>
    </row>
    <row r="36" customFormat="false" ht="15" hidden="false" customHeight="false" outlineLevel="0" collapsed="false">
      <c r="A36" s="0" t="n">
        <v>32</v>
      </c>
      <c r="B36" s="0" t="n">
        <f aca="false">MOD(A36-1,52)+1</f>
        <v>32</v>
      </c>
      <c r="C36" s="0" t="n">
        <f aca="false">IF(OR(AND(B36&gt;='1 Inputs'!$B$45,B36&lt;='1 Inputs'!$C$45),AND(B36&gt;='1 Inputs'!$B$46,B36&lt;='1 Inputs'!$C$46)),1,0)</f>
        <v>1</v>
      </c>
      <c r="D36" s="13" t="n">
        <f aca="false">D35-E35</f>
        <v>36</v>
      </c>
      <c r="E36" s="13" t="n">
        <f aca="false">IF(A36&lt;'1 Inputs'!$B$21,0,IF(C36=1,0,MIN('1 Inputs'!$B$15,D36)))</f>
        <v>0</v>
      </c>
      <c r="F36" s="13" t="n">
        <f aca="false">E36*'1 Inputs'!$B$7*'1 Inputs'!$B$8*'1 Inputs'!$B$9*'1 Inputs'!$B$10</f>
        <v>0</v>
      </c>
      <c r="G36" s="12" t="n">
        <f aca="false">F36*'1 Inputs'!$B$11</f>
        <v>0</v>
      </c>
      <c r="H36" s="19" t="n">
        <f aca="false">A36+'1 Inputs'!$B$22+'1 Inputs'!$B$23+'1 Inputs'!$B$24</f>
        <v>52</v>
      </c>
      <c r="I36" s="19" t="n">
        <f aca="false">H36+'1 Inputs'!$B$25</f>
        <v>54</v>
      </c>
      <c r="J36" s="0" t="str">
        <f aca="false">IF(E36=0,"",IFERROR(INDEX($T$5:$T$40,MATCH(I36,$T$5:$T$40,1)+IF(INDEX($T$5:$T$40,MATCH(I36,$T$5:$T$40,1))=I36,0,1)),$T$5))</f>
        <v/>
      </c>
      <c r="K36" s="0" t="str">
        <f aca="false">IF(J36="","",J36+'1 Inputs'!$B$26)</f>
        <v/>
      </c>
      <c r="N36" s="9" t="s">
        <v>138</v>
      </c>
      <c r="O36" s="12" t="n">
        <f aca="false">SUM(O5:O34)</f>
        <v>93750000</v>
      </c>
      <c r="T36" s="19" t="n">
        <f aca="false">T32+52</f>
        <v>413</v>
      </c>
      <c r="U36" s="0" t="n">
        <v>32</v>
      </c>
      <c r="V36" s="19" t="n">
        <f aca="false">IF(OR(AND((MOD(U36-1,52)+1)&gt;='1 Inputs'!$B$45,(MOD(U36-1,52)+1)&lt;='1 Inputs'!$C$45),AND((MOD(U36-1,52)+1)&gt;='1 Inputs'!$B$46,(MOD(U36-1,52)+1)&lt;='1 Inputs'!$C$46)),1,0)</f>
        <v>1</v>
      </c>
      <c r="W36" s="19" t="n">
        <f aca="false">W35+1-V36</f>
        <v>30</v>
      </c>
    </row>
    <row r="37" customFormat="false" ht="15" hidden="false" customHeight="false" outlineLevel="0" collapsed="false">
      <c r="A37" s="0" t="n">
        <v>33</v>
      </c>
      <c r="B37" s="0" t="n">
        <f aca="false">MOD(A37-1,52)+1</f>
        <v>33</v>
      </c>
      <c r="C37" s="0" t="n">
        <f aca="false">IF(OR(AND(B37&gt;='1 Inputs'!$B$45,B37&lt;='1 Inputs'!$C$45),AND(B37&gt;='1 Inputs'!$B$46,B37&lt;='1 Inputs'!$C$46)),1,0)</f>
        <v>1</v>
      </c>
      <c r="D37" s="13" t="n">
        <f aca="false">D36-E36</f>
        <v>36</v>
      </c>
      <c r="E37" s="13" t="n">
        <f aca="false">IF(A37&lt;'1 Inputs'!$B$21,0,IF(C37=1,0,MIN('1 Inputs'!$B$15,D37)))</f>
        <v>0</v>
      </c>
      <c r="F37" s="13" t="n">
        <f aca="false">E37*'1 Inputs'!$B$7*'1 Inputs'!$B$8*'1 Inputs'!$B$9*'1 Inputs'!$B$10</f>
        <v>0</v>
      </c>
      <c r="G37" s="12" t="n">
        <f aca="false">F37*'1 Inputs'!$B$11</f>
        <v>0</v>
      </c>
      <c r="H37" s="19" t="n">
        <f aca="false">A37+'1 Inputs'!$B$22+'1 Inputs'!$B$23+'1 Inputs'!$B$24</f>
        <v>53</v>
      </c>
      <c r="I37" s="19" t="n">
        <f aca="false">H37+'1 Inputs'!$B$25</f>
        <v>55</v>
      </c>
      <c r="J37" s="0" t="str">
        <f aca="false">IF(E37=0,"",IFERROR(INDEX($T$5:$T$40,MATCH(I37,$T$5:$T$40,1)+IF(INDEX($T$5:$T$40,MATCH(I37,$T$5:$T$40,1))=I37,0,1)),$T$5))</f>
        <v/>
      </c>
      <c r="K37" s="0" t="str">
        <f aca="false">IF(J37="","",J37+'1 Inputs'!$B$26)</f>
        <v/>
      </c>
      <c r="N37" s="9" t="s">
        <v>17</v>
      </c>
      <c r="O37" s="12" t="n">
        <f aca="false">'1 Inputs'!$B$12</f>
        <v>100000000</v>
      </c>
      <c r="T37" s="19" t="n">
        <f aca="false">T33+52</f>
        <v>429</v>
      </c>
      <c r="U37" s="0" t="n">
        <v>33</v>
      </c>
      <c r="V37" s="19" t="n">
        <f aca="false">IF(OR(AND((MOD(U37-1,52)+1)&gt;='1 Inputs'!$B$45,(MOD(U37-1,52)+1)&lt;='1 Inputs'!$C$45),AND((MOD(U37-1,52)+1)&gt;='1 Inputs'!$B$46,(MOD(U37-1,52)+1)&lt;='1 Inputs'!$C$46)),1,0)</f>
        <v>1</v>
      </c>
      <c r="W37" s="19" t="n">
        <f aca="false">W36+1-V37</f>
        <v>30</v>
      </c>
    </row>
    <row r="38" customFormat="false" ht="15" hidden="false" customHeight="false" outlineLevel="0" collapsed="false">
      <c r="A38" s="0" t="n">
        <v>34</v>
      </c>
      <c r="B38" s="0" t="n">
        <f aca="false">MOD(A38-1,52)+1</f>
        <v>34</v>
      </c>
      <c r="C38" s="0" t="n">
        <f aca="false">IF(OR(AND(B38&gt;='1 Inputs'!$B$45,B38&lt;='1 Inputs'!$C$45),AND(B38&gt;='1 Inputs'!$B$46,B38&lt;='1 Inputs'!$C$46)),1,0)</f>
        <v>1</v>
      </c>
      <c r="D38" s="13" t="n">
        <f aca="false">D37-E37</f>
        <v>36</v>
      </c>
      <c r="E38" s="13" t="n">
        <f aca="false">IF(A38&lt;'1 Inputs'!$B$21,0,IF(C38=1,0,MIN('1 Inputs'!$B$15,D38)))</f>
        <v>0</v>
      </c>
      <c r="F38" s="13" t="n">
        <f aca="false">E38*'1 Inputs'!$B$7*'1 Inputs'!$B$8*'1 Inputs'!$B$9*'1 Inputs'!$B$10</f>
        <v>0</v>
      </c>
      <c r="G38" s="12" t="n">
        <f aca="false">F38*'1 Inputs'!$B$11</f>
        <v>0</v>
      </c>
      <c r="H38" s="19" t="n">
        <f aca="false">A38+'1 Inputs'!$B$22+'1 Inputs'!$B$23+'1 Inputs'!$B$24</f>
        <v>54</v>
      </c>
      <c r="I38" s="19" t="n">
        <f aca="false">H38+'1 Inputs'!$B$25</f>
        <v>56</v>
      </c>
      <c r="J38" s="0" t="str">
        <f aca="false">IF(E38=0,"",IFERROR(INDEX($T$5:$T$40,MATCH(I38,$T$5:$T$40,1)+IF(INDEX($T$5:$T$40,MATCH(I38,$T$5:$T$40,1))=I38,0,1)),$T$5))</f>
        <v/>
      </c>
      <c r="K38" s="0" t="str">
        <f aca="false">IF(J38="","",J38+'1 Inputs'!$B$26)</f>
        <v/>
      </c>
      <c r="N38" s="9" t="s">
        <v>139</v>
      </c>
      <c r="O38" s="0" t="str">
        <f aca="false">IF(MIN(S5:S34)=999999,"NEVER REACHED",MIN(S5:S34))</f>
        <v>NEVER REACHED</v>
      </c>
      <c r="T38" s="19" t="n">
        <f aca="false">T34+52</f>
        <v>442</v>
      </c>
      <c r="U38" s="0" t="n">
        <v>34</v>
      </c>
      <c r="V38" s="19" t="n">
        <f aca="false">IF(OR(AND((MOD(U38-1,52)+1)&gt;='1 Inputs'!$B$45,(MOD(U38-1,52)+1)&lt;='1 Inputs'!$C$45),AND((MOD(U38-1,52)+1)&gt;='1 Inputs'!$B$46,(MOD(U38-1,52)+1)&lt;='1 Inputs'!$C$46)),1,0)</f>
        <v>1</v>
      </c>
      <c r="W38" s="19" t="n">
        <f aca="false">W37+1-V38</f>
        <v>30</v>
      </c>
    </row>
    <row r="39" customFormat="false" ht="15" hidden="false" customHeight="false" outlineLevel="0" collapsed="false">
      <c r="A39" s="0" t="n">
        <v>35</v>
      </c>
      <c r="B39" s="0" t="n">
        <f aca="false">MOD(A39-1,52)+1</f>
        <v>35</v>
      </c>
      <c r="C39" s="0" t="n">
        <f aca="false">IF(OR(AND(B39&gt;='1 Inputs'!$B$45,B39&lt;='1 Inputs'!$C$45),AND(B39&gt;='1 Inputs'!$B$46,B39&lt;='1 Inputs'!$C$46)),1,0)</f>
        <v>0</v>
      </c>
      <c r="D39" s="13" t="n">
        <f aca="false">D38-E38</f>
        <v>36</v>
      </c>
      <c r="E39" s="13" t="n">
        <f aca="false">IF(A39&lt;'1 Inputs'!$B$21,0,IF(C39=1,0,MIN('1 Inputs'!$B$15,D39)))</f>
        <v>6</v>
      </c>
      <c r="F39" s="13" t="n">
        <f aca="false">E39*'1 Inputs'!$B$7*'1 Inputs'!$B$8*'1 Inputs'!$B$9*'1 Inputs'!$B$10</f>
        <v>0.5</v>
      </c>
      <c r="G39" s="12" t="n">
        <f aca="false">F39*'1 Inputs'!$B$11</f>
        <v>6250000</v>
      </c>
      <c r="H39" s="19" t="n">
        <f aca="false">A39+'1 Inputs'!$B$22+'1 Inputs'!$B$23+'1 Inputs'!$B$24</f>
        <v>55</v>
      </c>
      <c r="I39" s="19" t="n">
        <f aca="false">H39+'1 Inputs'!$B$25</f>
        <v>57</v>
      </c>
      <c r="J39" s="19" t="n">
        <f aca="false">IF(E39=0,"",IFERROR(INDEX($T$5:$T$40,MATCH(I39,$T$5:$T$40,1)+IF(INDEX($T$5:$T$40,MATCH(I39,$T$5:$T$40,1))=I39,0,1)),$T$5))</f>
        <v>65</v>
      </c>
      <c r="K39" s="19" t="n">
        <f aca="false">IF(J39="","",J39+'1 Inputs'!$B$26)</f>
        <v>71</v>
      </c>
      <c r="N39" s="9" t="s">
        <v>140</v>
      </c>
      <c r="O39" s="15" t="str">
        <f aca="false">IF(ISNUMBER(O38),(O38-'1 Inputs'!$B$21)/52*12,"NEVER REACHED")</f>
        <v>NEVER REACHED</v>
      </c>
      <c r="T39" s="19" t="n">
        <f aca="false">T35+52</f>
        <v>455</v>
      </c>
      <c r="U39" s="0" t="n">
        <v>35</v>
      </c>
      <c r="V39" s="19" t="n">
        <f aca="false">IF(OR(AND((MOD(U39-1,52)+1)&gt;='1 Inputs'!$B$45,(MOD(U39-1,52)+1)&lt;='1 Inputs'!$C$45),AND((MOD(U39-1,52)+1)&gt;='1 Inputs'!$B$46,(MOD(U39-1,52)+1)&lt;='1 Inputs'!$C$46)),1,0)</f>
        <v>0</v>
      </c>
      <c r="W39" s="19" t="n">
        <f aca="false">W38+1-V39</f>
        <v>31</v>
      </c>
    </row>
    <row r="40" customFormat="false" ht="15" hidden="false" customHeight="false" outlineLevel="0" collapsed="false">
      <c r="A40" s="0" t="n">
        <v>36</v>
      </c>
      <c r="B40" s="0" t="n">
        <f aca="false">MOD(A40-1,52)+1</f>
        <v>36</v>
      </c>
      <c r="C40" s="0" t="n">
        <f aca="false">IF(OR(AND(B40&gt;='1 Inputs'!$B$45,B40&lt;='1 Inputs'!$C$45),AND(B40&gt;='1 Inputs'!$B$46,B40&lt;='1 Inputs'!$C$46)),1,0)</f>
        <v>0</v>
      </c>
      <c r="D40" s="13" t="n">
        <f aca="false">D39-E39</f>
        <v>30</v>
      </c>
      <c r="E40" s="13" t="n">
        <f aca="false">IF(A40&lt;'1 Inputs'!$B$21,0,IF(C40=1,0,MIN('1 Inputs'!$B$15,D40)))</f>
        <v>6</v>
      </c>
      <c r="F40" s="13" t="n">
        <f aca="false">E40*'1 Inputs'!$B$7*'1 Inputs'!$B$8*'1 Inputs'!$B$9*'1 Inputs'!$B$10</f>
        <v>0.5</v>
      </c>
      <c r="G40" s="12" t="n">
        <f aca="false">F40*'1 Inputs'!$B$11</f>
        <v>6250000</v>
      </c>
      <c r="H40" s="19" t="n">
        <f aca="false">A40+'1 Inputs'!$B$22+'1 Inputs'!$B$23+'1 Inputs'!$B$24</f>
        <v>56</v>
      </c>
      <c r="I40" s="19" t="n">
        <f aca="false">H40+'1 Inputs'!$B$25</f>
        <v>58</v>
      </c>
      <c r="J40" s="19" t="n">
        <f aca="false">IF(E40=0,"",IFERROR(INDEX($T$5:$T$40,MATCH(I40,$T$5:$T$40,1)+IF(INDEX($T$5:$T$40,MATCH(I40,$T$5:$T$40,1))=I40,0,1)),$T$5))</f>
        <v>65</v>
      </c>
      <c r="K40" s="19" t="n">
        <f aca="false">IF(J40="","",J40+'1 Inputs'!$B$26)</f>
        <v>71</v>
      </c>
      <c r="T40" s="19" t="n">
        <f aca="false">T36+52</f>
        <v>465</v>
      </c>
      <c r="U40" s="0" t="n">
        <v>36</v>
      </c>
      <c r="V40" s="19" t="n">
        <f aca="false">IF(OR(AND((MOD(U40-1,52)+1)&gt;='1 Inputs'!$B$45,(MOD(U40-1,52)+1)&lt;='1 Inputs'!$C$45),AND((MOD(U40-1,52)+1)&gt;='1 Inputs'!$B$46,(MOD(U40-1,52)+1)&lt;='1 Inputs'!$C$46)),1,0)</f>
        <v>0</v>
      </c>
      <c r="W40" s="19" t="n">
        <f aca="false">W39+1-V40</f>
        <v>32</v>
      </c>
    </row>
    <row r="41" customFormat="false" ht="15" hidden="false" customHeight="false" outlineLevel="0" collapsed="false">
      <c r="A41" s="0" t="n">
        <v>37</v>
      </c>
      <c r="B41" s="0" t="n">
        <f aca="false">MOD(A41-1,52)+1</f>
        <v>37</v>
      </c>
      <c r="C41" s="0" t="n">
        <f aca="false">IF(OR(AND(B41&gt;='1 Inputs'!$B$45,B41&lt;='1 Inputs'!$C$45),AND(B41&gt;='1 Inputs'!$B$46,B41&lt;='1 Inputs'!$C$46)),1,0)</f>
        <v>0</v>
      </c>
      <c r="D41" s="13" t="n">
        <f aca="false">D40-E40</f>
        <v>24</v>
      </c>
      <c r="E41" s="13" t="n">
        <f aca="false">IF(A41&lt;'1 Inputs'!$B$21,0,IF(C41=1,0,MIN('1 Inputs'!$B$15,D41)))</f>
        <v>6</v>
      </c>
      <c r="F41" s="13" t="n">
        <f aca="false">E41*'1 Inputs'!$B$7*'1 Inputs'!$B$8*'1 Inputs'!$B$9*'1 Inputs'!$B$10</f>
        <v>0.5</v>
      </c>
      <c r="G41" s="12" t="n">
        <f aca="false">F41*'1 Inputs'!$B$11</f>
        <v>6250000</v>
      </c>
      <c r="H41" s="19" t="n">
        <f aca="false">A41+'1 Inputs'!$B$22+'1 Inputs'!$B$23+'1 Inputs'!$B$24</f>
        <v>57</v>
      </c>
      <c r="I41" s="19" t="n">
        <f aca="false">H41+'1 Inputs'!$B$25</f>
        <v>59</v>
      </c>
      <c r="J41" s="19" t="n">
        <f aca="false">IF(E41=0,"",IFERROR(INDEX($T$5:$T$40,MATCH(I41,$T$5:$T$40,1)+IF(INDEX($T$5:$T$40,MATCH(I41,$T$5:$T$40,1))=I41,0,1)),$T$5))</f>
        <v>65</v>
      </c>
      <c r="K41" s="19" t="n">
        <f aca="false">IF(J41="","",J41+'1 Inputs'!$B$26)</f>
        <v>71</v>
      </c>
      <c r="U41" s="0" t="n">
        <v>37</v>
      </c>
      <c r="V41" s="19" t="n">
        <f aca="false">IF(OR(AND((MOD(U41-1,52)+1)&gt;='1 Inputs'!$B$45,(MOD(U41-1,52)+1)&lt;='1 Inputs'!$C$45),AND((MOD(U41-1,52)+1)&gt;='1 Inputs'!$B$46,(MOD(U41-1,52)+1)&lt;='1 Inputs'!$C$46)),1,0)</f>
        <v>0</v>
      </c>
      <c r="W41" s="19" t="n">
        <f aca="false">W40+1-V41</f>
        <v>33</v>
      </c>
    </row>
    <row r="42" customFormat="false" ht="15" hidden="false" customHeight="false" outlineLevel="0" collapsed="false">
      <c r="A42" s="0" t="n">
        <v>38</v>
      </c>
      <c r="B42" s="0" t="n">
        <f aca="false">MOD(A42-1,52)+1</f>
        <v>38</v>
      </c>
      <c r="C42" s="0" t="n">
        <f aca="false">IF(OR(AND(B42&gt;='1 Inputs'!$B$45,B42&lt;='1 Inputs'!$C$45),AND(B42&gt;='1 Inputs'!$B$46,B42&lt;='1 Inputs'!$C$46)),1,0)</f>
        <v>0</v>
      </c>
      <c r="D42" s="13" t="n">
        <f aca="false">D41-E41</f>
        <v>18</v>
      </c>
      <c r="E42" s="13" t="n">
        <f aca="false">IF(A42&lt;'1 Inputs'!$B$21,0,IF(C42=1,0,MIN('1 Inputs'!$B$15,D42)))</f>
        <v>6</v>
      </c>
      <c r="F42" s="13" t="n">
        <f aca="false">E42*'1 Inputs'!$B$7*'1 Inputs'!$B$8*'1 Inputs'!$B$9*'1 Inputs'!$B$10</f>
        <v>0.5</v>
      </c>
      <c r="G42" s="12" t="n">
        <f aca="false">F42*'1 Inputs'!$B$11</f>
        <v>6250000</v>
      </c>
      <c r="H42" s="19" t="n">
        <f aca="false">A42+'1 Inputs'!$B$22+'1 Inputs'!$B$23+'1 Inputs'!$B$24</f>
        <v>58</v>
      </c>
      <c r="I42" s="19" t="n">
        <f aca="false">H42+'1 Inputs'!$B$25</f>
        <v>60</v>
      </c>
      <c r="J42" s="19" t="n">
        <f aca="false">IF(E42=0,"",IFERROR(INDEX($T$5:$T$40,MATCH(I42,$T$5:$T$40,1)+IF(INDEX($T$5:$T$40,MATCH(I42,$T$5:$T$40,1))=I42,0,1)),$T$5))</f>
        <v>65</v>
      </c>
      <c r="K42" s="19" t="n">
        <f aca="false">IF(J42="","",J42+'1 Inputs'!$B$26)</f>
        <v>71</v>
      </c>
      <c r="U42" s="0" t="n">
        <v>38</v>
      </c>
      <c r="V42" s="19" t="n">
        <f aca="false">IF(OR(AND((MOD(U42-1,52)+1)&gt;='1 Inputs'!$B$45,(MOD(U42-1,52)+1)&lt;='1 Inputs'!$C$45),AND((MOD(U42-1,52)+1)&gt;='1 Inputs'!$B$46,(MOD(U42-1,52)+1)&lt;='1 Inputs'!$C$46)),1,0)</f>
        <v>0</v>
      </c>
      <c r="W42" s="19" t="n">
        <f aca="false">W41+1-V42</f>
        <v>34</v>
      </c>
    </row>
    <row r="43" customFormat="false" ht="15" hidden="false" customHeight="false" outlineLevel="0" collapsed="false">
      <c r="A43" s="0" t="n">
        <v>39</v>
      </c>
      <c r="B43" s="0" t="n">
        <f aca="false">MOD(A43-1,52)+1</f>
        <v>39</v>
      </c>
      <c r="C43" s="0" t="n">
        <f aca="false">IF(OR(AND(B43&gt;='1 Inputs'!$B$45,B43&lt;='1 Inputs'!$C$45),AND(B43&gt;='1 Inputs'!$B$46,B43&lt;='1 Inputs'!$C$46)),1,0)</f>
        <v>0</v>
      </c>
      <c r="D43" s="13" t="n">
        <f aca="false">D42-E42</f>
        <v>12</v>
      </c>
      <c r="E43" s="13" t="n">
        <f aca="false">IF(A43&lt;'1 Inputs'!$B$21,0,IF(C43=1,0,MIN('1 Inputs'!$B$15,D43)))</f>
        <v>6</v>
      </c>
      <c r="F43" s="13" t="n">
        <f aca="false">E43*'1 Inputs'!$B$7*'1 Inputs'!$B$8*'1 Inputs'!$B$9*'1 Inputs'!$B$10</f>
        <v>0.5</v>
      </c>
      <c r="G43" s="12" t="n">
        <f aca="false">F43*'1 Inputs'!$B$11</f>
        <v>6250000</v>
      </c>
      <c r="H43" s="19" t="n">
        <f aca="false">A43+'1 Inputs'!$B$22+'1 Inputs'!$B$23+'1 Inputs'!$B$24</f>
        <v>59</v>
      </c>
      <c r="I43" s="19" t="n">
        <f aca="false">H43+'1 Inputs'!$B$25</f>
        <v>61</v>
      </c>
      <c r="J43" s="19" t="n">
        <f aca="false">IF(E43=0,"",IFERROR(INDEX($T$5:$T$40,MATCH(I43,$T$5:$T$40,1)+IF(INDEX($T$5:$T$40,MATCH(I43,$T$5:$T$40,1))=I43,0,1)),$T$5))</f>
        <v>65</v>
      </c>
      <c r="K43" s="19" t="n">
        <f aca="false">IF(J43="","",J43+'1 Inputs'!$B$26)</f>
        <v>71</v>
      </c>
      <c r="U43" s="0" t="n">
        <v>39</v>
      </c>
      <c r="V43" s="19" t="n">
        <f aca="false">IF(OR(AND((MOD(U43-1,52)+1)&gt;='1 Inputs'!$B$45,(MOD(U43-1,52)+1)&lt;='1 Inputs'!$C$45),AND((MOD(U43-1,52)+1)&gt;='1 Inputs'!$B$46,(MOD(U43-1,52)+1)&lt;='1 Inputs'!$C$46)),1,0)</f>
        <v>0</v>
      </c>
      <c r="W43" s="19" t="n">
        <f aca="false">W42+1-V43</f>
        <v>35</v>
      </c>
    </row>
    <row r="44" customFormat="false" ht="15" hidden="false" customHeight="false" outlineLevel="0" collapsed="false">
      <c r="A44" s="0" t="n">
        <v>40</v>
      </c>
      <c r="B44" s="0" t="n">
        <f aca="false">MOD(A44-1,52)+1</f>
        <v>40</v>
      </c>
      <c r="C44" s="0" t="n">
        <f aca="false">IF(OR(AND(B44&gt;='1 Inputs'!$B$45,B44&lt;='1 Inputs'!$C$45),AND(B44&gt;='1 Inputs'!$B$46,B44&lt;='1 Inputs'!$C$46)),1,0)</f>
        <v>0</v>
      </c>
      <c r="D44" s="13" t="n">
        <f aca="false">D43-E43</f>
        <v>6</v>
      </c>
      <c r="E44" s="13" t="n">
        <f aca="false">IF(A44&lt;'1 Inputs'!$B$21,0,IF(C44=1,0,MIN('1 Inputs'!$B$15,D44)))</f>
        <v>6</v>
      </c>
      <c r="F44" s="13" t="n">
        <f aca="false">E44*'1 Inputs'!$B$7*'1 Inputs'!$B$8*'1 Inputs'!$B$9*'1 Inputs'!$B$10</f>
        <v>0.5</v>
      </c>
      <c r="G44" s="12" t="n">
        <f aca="false">F44*'1 Inputs'!$B$11</f>
        <v>6250000</v>
      </c>
      <c r="H44" s="19" t="n">
        <f aca="false">A44+'1 Inputs'!$B$22+'1 Inputs'!$B$23+'1 Inputs'!$B$24</f>
        <v>60</v>
      </c>
      <c r="I44" s="19" t="n">
        <f aca="false">H44+'1 Inputs'!$B$25</f>
        <v>62</v>
      </c>
      <c r="J44" s="19" t="n">
        <f aca="false">IF(E44=0,"",IFERROR(INDEX($T$5:$T$40,MATCH(I44,$T$5:$T$40,1)+IF(INDEX($T$5:$T$40,MATCH(I44,$T$5:$T$40,1))=I44,0,1)),$T$5))</f>
        <v>65</v>
      </c>
      <c r="K44" s="19" t="n">
        <f aca="false">IF(J44="","",J44+'1 Inputs'!$B$26)</f>
        <v>71</v>
      </c>
      <c r="U44" s="0" t="n">
        <v>40</v>
      </c>
      <c r="V44" s="19" t="n">
        <f aca="false">IF(OR(AND((MOD(U44-1,52)+1)&gt;='1 Inputs'!$B$45,(MOD(U44-1,52)+1)&lt;='1 Inputs'!$C$45),AND((MOD(U44-1,52)+1)&gt;='1 Inputs'!$B$46,(MOD(U44-1,52)+1)&lt;='1 Inputs'!$C$46)),1,0)</f>
        <v>0</v>
      </c>
      <c r="W44" s="19" t="n">
        <f aca="false">W43+1-V44</f>
        <v>36</v>
      </c>
    </row>
    <row r="45" customFormat="false" ht="15" hidden="false" customHeight="false" outlineLevel="0" collapsed="false">
      <c r="A45" s="0" t="n">
        <v>41</v>
      </c>
      <c r="B45" s="0" t="n">
        <f aca="false">MOD(A45-1,52)+1</f>
        <v>41</v>
      </c>
      <c r="C45" s="0" t="n">
        <f aca="false">IF(OR(AND(B45&gt;='1 Inputs'!$B$45,B45&lt;='1 Inputs'!$C$45),AND(B45&gt;='1 Inputs'!$B$46,B45&lt;='1 Inputs'!$C$46)),1,0)</f>
        <v>0</v>
      </c>
      <c r="D45" s="13" t="n">
        <f aca="false">D44-E44</f>
        <v>0</v>
      </c>
      <c r="E45" s="13" t="n">
        <f aca="false">IF(A45&lt;'1 Inputs'!$B$21,0,IF(C45=1,0,MIN('1 Inputs'!$B$15,D45)))</f>
        <v>0</v>
      </c>
      <c r="F45" s="13" t="n">
        <f aca="false">E45*'1 Inputs'!$B$7*'1 Inputs'!$B$8*'1 Inputs'!$B$9*'1 Inputs'!$B$10</f>
        <v>0</v>
      </c>
      <c r="G45" s="12" t="n">
        <f aca="false">F45*'1 Inputs'!$B$11</f>
        <v>0</v>
      </c>
      <c r="H45" s="19" t="n">
        <f aca="false">A45+'1 Inputs'!$B$22+'1 Inputs'!$B$23+'1 Inputs'!$B$24</f>
        <v>61</v>
      </c>
      <c r="I45" s="19" t="n">
        <f aca="false">H45+'1 Inputs'!$B$25</f>
        <v>63</v>
      </c>
      <c r="J45" s="0" t="str">
        <f aca="false">IF(E45=0,"",IFERROR(INDEX($T$5:$T$40,MATCH(I45,$T$5:$T$40,1)+IF(INDEX($T$5:$T$40,MATCH(I45,$T$5:$T$40,1))=I45,0,1)),$T$5))</f>
        <v/>
      </c>
      <c r="K45" s="0" t="str">
        <f aca="false">IF(J45="","",J45+'1 Inputs'!$B$26)</f>
        <v/>
      </c>
      <c r="U45" s="0" t="n">
        <v>41</v>
      </c>
      <c r="V45" s="19" t="n">
        <f aca="false">IF(OR(AND((MOD(U45-1,52)+1)&gt;='1 Inputs'!$B$45,(MOD(U45-1,52)+1)&lt;='1 Inputs'!$C$45),AND((MOD(U45-1,52)+1)&gt;='1 Inputs'!$B$46,(MOD(U45-1,52)+1)&lt;='1 Inputs'!$C$46)),1,0)</f>
        <v>0</v>
      </c>
      <c r="W45" s="19" t="n">
        <f aca="false">W44+1-V45</f>
        <v>37</v>
      </c>
    </row>
    <row r="46" customFormat="false" ht="15" hidden="false" customHeight="false" outlineLevel="0" collapsed="false">
      <c r="A46" s="0" t="n">
        <v>42</v>
      </c>
      <c r="B46" s="0" t="n">
        <f aca="false">MOD(A46-1,52)+1</f>
        <v>42</v>
      </c>
      <c r="C46" s="0" t="n">
        <f aca="false">IF(OR(AND(B46&gt;='1 Inputs'!$B$45,B46&lt;='1 Inputs'!$C$45),AND(B46&gt;='1 Inputs'!$B$46,B46&lt;='1 Inputs'!$C$46)),1,0)</f>
        <v>0</v>
      </c>
      <c r="D46" s="13" t="n">
        <f aca="false">D45-E45</f>
        <v>0</v>
      </c>
      <c r="E46" s="13" t="n">
        <f aca="false">IF(A46&lt;'1 Inputs'!$B$21,0,IF(C46=1,0,MIN('1 Inputs'!$B$15,D46)))</f>
        <v>0</v>
      </c>
      <c r="F46" s="13" t="n">
        <f aca="false">E46*'1 Inputs'!$B$7*'1 Inputs'!$B$8*'1 Inputs'!$B$9*'1 Inputs'!$B$10</f>
        <v>0</v>
      </c>
      <c r="G46" s="12" t="n">
        <f aca="false">F46*'1 Inputs'!$B$11</f>
        <v>0</v>
      </c>
      <c r="H46" s="19" t="n">
        <f aca="false">A46+'1 Inputs'!$B$22+'1 Inputs'!$B$23+'1 Inputs'!$B$24</f>
        <v>62</v>
      </c>
      <c r="I46" s="19" t="n">
        <f aca="false">H46+'1 Inputs'!$B$25</f>
        <v>64</v>
      </c>
      <c r="J46" s="0" t="str">
        <f aca="false">IF(E46=0,"",IFERROR(INDEX($T$5:$T$40,MATCH(I46,$T$5:$T$40,1)+IF(INDEX($T$5:$T$40,MATCH(I46,$T$5:$T$40,1))=I46,0,1)),$T$5))</f>
        <v/>
      </c>
      <c r="K46" s="0" t="str">
        <f aca="false">IF(J46="","",J46+'1 Inputs'!$B$26)</f>
        <v/>
      </c>
      <c r="U46" s="0" t="n">
        <v>42</v>
      </c>
      <c r="V46" s="19" t="n">
        <f aca="false">IF(OR(AND((MOD(U46-1,52)+1)&gt;='1 Inputs'!$B$45,(MOD(U46-1,52)+1)&lt;='1 Inputs'!$C$45),AND((MOD(U46-1,52)+1)&gt;='1 Inputs'!$B$46,(MOD(U46-1,52)+1)&lt;='1 Inputs'!$C$46)),1,0)</f>
        <v>0</v>
      </c>
      <c r="W46" s="19" t="n">
        <f aca="false">W45+1-V46</f>
        <v>38</v>
      </c>
    </row>
    <row r="47" customFormat="false" ht="15" hidden="false" customHeight="false" outlineLevel="0" collapsed="false">
      <c r="A47" s="0" t="n">
        <v>43</v>
      </c>
      <c r="B47" s="0" t="n">
        <f aca="false">MOD(A47-1,52)+1</f>
        <v>43</v>
      </c>
      <c r="C47" s="0" t="n">
        <f aca="false">IF(OR(AND(B47&gt;='1 Inputs'!$B$45,B47&lt;='1 Inputs'!$C$45),AND(B47&gt;='1 Inputs'!$B$46,B47&lt;='1 Inputs'!$C$46)),1,0)</f>
        <v>0</v>
      </c>
      <c r="D47" s="13" t="n">
        <f aca="false">D46-E46</f>
        <v>0</v>
      </c>
      <c r="E47" s="13" t="n">
        <f aca="false">IF(A47&lt;'1 Inputs'!$B$21,0,IF(C47=1,0,MIN('1 Inputs'!$B$15,D47)))</f>
        <v>0</v>
      </c>
      <c r="F47" s="13" t="n">
        <f aca="false">E47*'1 Inputs'!$B$7*'1 Inputs'!$B$8*'1 Inputs'!$B$9*'1 Inputs'!$B$10</f>
        <v>0</v>
      </c>
      <c r="G47" s="12" t="n">
        <f aca="false">F47*'1 Inputs'!$B$11</f>
        <v>0</v>
      </c>
      <c r="H47" s="19" t="n">
        <f aca="false">A47+'1 Inputs'!$B$22+'1 Inputs'!$B$23+'1 Inputs'!$B$24</f>
        <v>63</v>
      </c>
      <c r="I47" s="19" t="n">
        <f aca="false">H47+'1 Inputs'!$B$25</f>
        <v>65</v>
      </c>
      <c r="J47" s="0" t="str">
        <f aca="false">IF(E47=0,"",IFERROR(INDEX($T$5:$T$40,MATCH(I47,$T$5:$T$40,1)+IF(INDEX($T$5:$T$40,MATCH(I47,$T$5:$T$40,1))=I47,0,1)),$T$5))</f>
        <v/>
      </c>
      <c r="K47" s="0" t="str">
        <f aca="false">IF(J47="","",J47+'1 Inputs'!$B$26)</f>
        <v/>
      </c>
      <c r="U47" s="0" t="n">
        <v>43</v>
      </c>
      <c r="V47" s="19" t="n">
        <f aca="false">IF(OR(AND((MOD(U47-1,52)+1)&gt;='1 Inputs'!$B$45,(MOD(U47-1,52)+1)&lt;='1 Inputs'!$C$45),AND((MOD(U47-1,52)+1)&gt;='1 Inputs'!$B$46,(MOD(U47-1,52)+1)&lt;='1 Inputs'!$C$46)),1,0)</f>
        <v>0</v>
      </c>
      <c r="W47" s="19" t="n">
        <f aca="false">W46+1-V47</f>
        <v>39</v>
      </c>
    </row>
    <row r="48" customFormat="false" ht="15" hidden="false" customHeight="false" outlineLevel="0" collapsed="false">
      <c r="A48" s="0" t="n">
        <v>44</v>
      </c>
      <c r="B48" s="0" t="n">
        <f aca="false">MOD(A48-1,52)+1</f>
        <v>44</v>
      </c>
      <c r="C48" s="0" t="n">
        <f aca="false">IF(OR(AND(B48&gt;='1 Inputs'!$B$45,B48&lt;='1 Inputs'!$C$45),AND(B48&gt;='1 Inputs'!$B$46,B48&lt;='1 Inputs'!$C$46)),1,0)</f>
        <v>0</v>
      </c>
      <c r="D48" s="13" t="n">
        <f aca="false">D47-E47</f>
        <v>0</v>
      </c>
      <c r="E48" s="13" t="n">
        <f aca="false">IF(A48&lt;'1 Inputs'!$B$21,0,IF(C48=1,0,MIN('1 Inputs'!$B$15,D48)))</f>
        <v>0</v>
      </c>
      <c r="F48" s="13" t="n">
        <f aca="false">E48*'1 Inputs'!$B$7*'1 Inputs'!$B$8*'1 Inputs'!$B$9*'1 Inputs'!$B$10</f>
        <v>0</v>
      </c>
      <c r="G48" s="12" t="n">
        <f aca="false">F48*'1 Inputs'!$B$11</f>
        <v>0</v>
      </c>
      <c r="H48" s="19" t="n">
        <f aca="false">A48+'1 Inputs'!$B$22+'1 Inputs'!$B$23+'1 Inputs'!$B$24</f>
        <v>64</v>
      </c>
      <c r="I48" s="19" t="n">
        <f aca="false">H48+'1 Inputs'!$B$25</f>
        <v>66</v>
      </c>
      <c r="J48" s="0" t="str">
        <f aca="false">IF(E48=0,"",IFERROR(INDEX($T$5:$T$40,MATCH(I48,$T$5:$T$40,1)+IF(INDEX($T$5:$T$40,MATCH(I48,$T$5:$T$40,1))=I48,0,1)),$T$5))</f>
        <v/>
      </c>
      <c r="K48" s="0" t="str">
        <f aca="false">IF(J48="","",J48+'1 Inputs'!$B$26)</f>
        <v/>
      </c>
      <c r="U48" s="0" t="n">
        <v>44</v>
      </c>
      <c r="V48" s="19" t="n">
        <f aca="false">IF(OR(AND((MOD(U48-1,52)+1)&gt;='1 Inputs'!$B$45,(MOD(U48-1,52)+1)&lt;='1 Inputs'!$C$45),AND((MOD(U48-1,52)+1)&gt;='1 Inputs'!$B$46,(MOD(U48-1,52)+1)&lt;='1 Inputs'!$C$46)),1,0)</f>
        <v>0</v>
      </c>
      <c r="W48" s="19" t="n">
        <f aca="false">W47+1-V48</f>
        <v>40</v>
      </c>
    </row>
    <row r="49" customFormat="false" ht="15" hidden="false" customHeight="false" outlineLevel="0" collapsed="false">
      <c r="A49" s="0" t="n">
        <v>45</v>
      </c>
      <c r="B49" s="0" t="n">
        <f aca="false">MOD(A49-1,52)+1</f>
        <v>45</v>
      </c>
      <c r="C49" s="0" t="n">
        <f aca="false">IF(OR(AND(B49&gt;='1 Inputs'!$B$45,B49&lt;='1 Inputs'!$C$45),AND(B49&gt;='1 Inputs'!$B$46,B49&lt;='1 Inputs'!$C$46)),1,0)</f>
        <v>0</v>
      </c>
      <c r="D49" s="13" t="n">
        <f aca="false">D48-E48</f>
        <v>0</v>
      </c>
      <c r="E49" s="13" t="n">
        <f aca="false">IF(A49&lt;'1 Inputs'!$B$21,0,IF(C49=1,0,MIN('1 Inputs'!$B$15,D49)))</f>
        <v>0</v>
      </c>
      <c r="F49" s="13" t="n">
        <f aca="false">E49*'1 Inputs'!$B$7*'1 Inputs'!$B$8*'1 Inputs'!$B$9*'1 Inputs'!$B$10</f>
        <v>0</v>
      </c>
      <c r="G49" s="12" t="n">
        <f aca="false">F49*'1 Inputs'!$B$11</f>
        <v>0</v>
      </c>
      <c r="H49" s="19" t="n">
        <f aca="false">A49+'1 Inputs'!$B$22+'1 Inputs'!$B$23+'1 Inputs'!$B$24</f>
        <v>65</v>
      </c>
      <c r="I49" s="19" t="n">
        <f aca="false">H49+'1 Inputs'!$B$25</f>
        <v>67</v>
      </c>
      <c r="J49" s="0" t="str">
        <f aca="false">IF(E49=0,"",IFERROR(INDEX($T$5:$T$40,MATCH(I49,$T$5:$T$40,1)+IF(INDEX($T$5:$T$40,MATCH(I49,$T$5:$T$40,1))=I49,0,1)),$T$5))</f>
        <v/>
      </c>
      <c r="K49" s="0" t="str">
        <f aca="false">IF(J49="","",J49+'1 Inputs'!$B$26)</f>
        <v/>
      </c>
      <c r="U49" s="0" t="n">
        <v>45</v>
      </c>
      <c r="V49" s="19" t="n">
        <f aca="false">IF(OR(AND((MOD(U49-1,52)+1)&gt;='1 Inputs'!$B$45,(MOD(U49-1,52)+1)&lt;='1 Inputs'!$C$45),AND((MOD(U49-1,52)+1)&gt;='1 Inputs'!$B$46,(MOD(U49-1,52)+1)&lt;='1 Inputs'!$C$46)),1,0)</f>
        <v>0</v>
      </c>
      <c r="W49" s="19" t="n">
        <f aca="false">W48+1-V49</f>
        <v>41</v>
      </c>
    </row>
    <row r="50" customFormat="false" ht="15" hidden="false" customHeight="false" outlineLevel="0" collapsed="false">
      <c r="A50" s="0" t="n">
        <v>46</v>
      </c>
      <c r="B50" s="0" t="n">
        <f aca="false">MOD(A50-1,52)+1</f>
        <v>46</v>
      </c>
      <c r="C50" s="0" t="n">
        <f aca="false">IF(OR(AND(B50&gt;='1 Inputs'!$B$45,B50&lt;='1 Inputs'!$C$45),AND(B50&gt;='1 Inputs'!$B$46,B50&lt;='1 Inputs'!$C$46)),1,0)</f>
        <v>0</v>
      </c>
      <c r="D50" s="13" t="n">
        <f aca="false">D49-E49</f>
        <v>0</v>
      </c>
      <c r="E50" s="13" t="n">
        <f aca="false">IF(A50&lt;'1 Inputs'!$B$21,0,IF(C50=1,0,MIN('1 Inputs'!$B$15,D50)))</f>
        <v>0</v>
      </c>
      <c r="F50" s="13" t="n">
        <f aca="false">E50*'1 Inputs'!$B$7*'1 Inputs'!$B$8*'1 Inputs'!$B$9*'1 Inputs'!$B$10</f>
        <v>0</v>
      </c>
      <c r="G50" s="12" t="n">
        <f aca="false">F50*'1 Inputs'!$B$11</f>
        <v>0</v>
      </c>
      <c r="H50" s="19" t="n">
        <f aca="false">A50+'1 Inputs'!$B$22+'1 Inputs'!$B$23+'1 Inputs'!$B$24</f>
        <v>66</v>
      </c>
      <c r="I50" s="19" t="n">
        <f aca="false">H50+'1 Inputs'!$B$25</f>
        <v>68</v>
      </c>
      <c r="J50" s="0" t="str">
        <f aca="false">IF(E50=0,"",IFERROR(INDEX($T$5:$T$40,MATCH(I50,$T$5:$T$40,1)+IF(INDEX($T$5:$T$40,MATCH(I50,$T$5:$T$40,1))=I50,0,1)),$T$5))</f>
        <v/>
      </c>
      <c r="K50" s="0" t="str">
        <f aca="false">IF(J50="","",J50+'1 Inputs'!$B$26)</f>
        <v/>
      </c>
      <c r="U50" s="0" t="n">
        <v>46</v>
      </c>
      <c r="V50" s="19" t="n">
        <f aca="false">IF(OR(AND((MOD(U50-1,52)+1)&gt;='1 Inputs'!$B$45,(MOD(U50-1,52)+1)&lt;='1 Inputs'!$C$45),AND((MOD(U50-1,52)+1)&gt;='1 Inputs'!$B$46,(MOD(U50-1,52)+1)&lt;='1 Inputs'!$C$46)),1,0)</f>
        <v>0</v>
      </c>
      <c r="W50" s="19" t="n">
        <f aca="false">W49+1-V50</f>
        <v>42</v>
      </c>
    </row>
    <row r="51" customFormat="false" ht="15" hidden="false" customHeight="false" outlineLevel="0" collapsed="false">
      <c r="A51" s="0" t="n">
        <v>47</v>
      </c>
      <c r="B51" s="0" t="n">
        <f aca="false">MOD(A51-1,52)+1</f>
        <v>47</v>
      </c>
      <c r="C51" s="0" t="n">
        <f aca="false">IF(OR(AND(B51&gt;='1 Inputs'!$B$45,B51&lt;='1 Inputs'!$C$45),AND(B51&gt;='1 Inputs'!$B$46,B51&lt;='1 Inputs'!$C$46)),1,0)</f>
        <v>0</v>
      </c>
      <c r="D51" s="13" t="n">
        <f aca="false">D50-E50</f>
        <v>0</v>
      </c>
      <c r="E51" s="13" t="n">
        <f aca="false">IF(A51&lt;'1 Inputs'!$B$21,0,IF(C51=1,0,MIN('1 Inputs'!$B$15,D51)))</f>
        <v>0</v>
      </c>
      <c r="F51" s="13" t="n">
        <f aca="false">E51*'1 Inputs'!$B$7*'1 Inputs'!$B$8*'1 Inputs'!$B$9*'1 Inputs'!$B$10</f>
        <v>0</v>
      </c>
      <c r="G51" s="12" t="n">
        <f aca="false">F51*'1 Inputs'!$B$11</f>
        <v>0</v>
      </c>
      <c r="H51" s="19" t="n">
        <f aca="false">A51+'1 Inputs'!$B$22+'1 Inputs'!$B$23+'1 Inputs'!$B$24</f>
        <v>67</v>
      </c>
      <c r="I51" s="19" t="n">
        <f aca="false">H51+'1 Inputs'!$B$25</f>
        <v>69</v>
      </c>
      <c r="J51" s="0" t="str">
        <f aca="false">IF(E51=0,"",IFERROR(INDEX($T$5:$T$40,MATCH(I51,$T$5:$T$40,1)+IF(INDEX($T$5:$T$40,MATCH(I51,$T$5:$T$40,1))=I51,0,1)),$T$5))</f>
        <v/>
      </c>
      <c r="K51" s="0" t="str">
        <f aca="false">IF(J51="","",J51+'1 Inputs'!$B$26)</f>
        <v/>
      </c>
      <c r="U51" s="0" t="n">
        <v>47</v>
      </c>
      <c r="V51" s="19" t="n">
        <f aca="false">IF(OR(AND((MOD(U51-1,52)+1)&gt;='1 Inputs'!$B$45,(MOD(U51-1,52)+1)&lt;='1 Inputs'!$C$45),AND((MOD(U51-1,52)+1)&gt;='1 Inputs'!$B$46,(MOD(U51-1,52)+1)&lt;='1 Inputs'!$C$46)),1,0)</f>
        <v>0</v>
      </c>
      <c r="W51" s="19" t="n">
        <f aca="false">W50+1-V51</f>
        <v>43</v>
      </c>
    </row>
    <row r="52" customFormat="false" ht="15" hidden="false" customHeight="false" outlineLevel="0" collapsed="false">
      <c r="A52" s="0" t="n">
        <v>48</v>
      </c>
      <c r="B52" s="0" t="n">
        <f aca="false">MOD(A52-1,52)+1</f>
        <v>48</v>
      </c>
      <c r="C52" s="0" t="n">
        <f aca="false">IF(OR(AND(B52&gt;='1 Inputs'!$B$45,B52&lt;='1 Inputs'!$C$45),AND(B52&gt;='1 Inputs'!$B$46,B52&lt;='1 Inputs'!$C$46)),1,0)</f>
        <v>0</v>
      </c>
      <c r="D52" s="13" t="n">
        <f aca="false">D51-E51</f>
        <v>0</v>
      </c>
      <c r="E52" s="13" t="n">
        <f aca="false">IF(A52&lt;'1 Inputs'!$B$21,0,IF(C52=1,0,MIN('1 Inputs'!$B$15,D52)))</f>
        <v>0</v>
      </c>
      <c r="F52" s="13" t="n">
        <f aca="false">E52*'1 Inputs'!$B$7*'1 Inputs'!$B$8*'1 Inputs'!$B$9*'1 Inputs'!$B$10</f>
        <v>0</v>
      </c>
      <c r="G52" s="12" t="n">
        <f aca="false">F52*'1 Inputs'!$B$11</f>
        <v>0</v>
      </c>
      <c r="H52" s="19" t="n">
        <f aca="false">A52+'1 Inputs'!$B$22+'1 Inputs'!$B$23+'1 Inputs'!$B$24</f>
        <v>68</v>
      </c>
      <c r="I52" s="19" t="n">
        <f aca="false">H52+'1 Inputs'!$B$25</f>
        <v>70</v>
      </c>
      <c r="J52" s="0" t="str">
        <f aca="false">IF(E52=0,"",IFERROR(INDEX($T$5:$T$40,MATCH(I52,$T$5:$T$40,1)+IF(INDEX($T$5:$T$40,MATCH(I52,$T$5:$T$40,1))=I52,0,1)),$T$5))</f>
        <v/>
      </c>
      <c r="K52" s="0" t="str">
        <f aca="false">IF(J52="","",J52+'1 Inputs'!$B$26)</f>
        <v/>
      </c>
      <c r="U52" s="0" t="n">
        <v>48</v>
      </c>
      <c r="V52" s="19" t="n">
        <f aca="false">IF(OR(AND((MOD(U52-1,52)+1)&gt;='1 Inputs'!$B$45,(MOD(U52-1,52)+1)&lt;='1 Inputs'!$C$45),AND((MOD(U52-1,52)+1)&gt;='1 Inputs'!$B$46,(MOD(U52-1,52)+1)&lt;='1 Inputs'!$C$46)),1,0)</f>
        <v>0</v>
      </c>
      <c r="W52" s="19" t="n">
        <f aca="false">W51+1-V52</f>
        <v>44</v>
      </c>
    </row>
    <row r="53" customFormat="false" ht="15" hidden="false" customHeight="false" outlineLevel="0" collapsed="false">
      <c r="A53" s="0" t="n">
        <v>49</v>
      </c>
      <c r="B53" s="0" t="n">
        <f aca="false">MOD(A53-1,52)+1</f>
        <v>49</v>
      </c>
      <c r="C53" s="0" t="n">
        <f aca="false">IF(OR(AND(B53&gt;='1 Inputs'!$B$45,B53&lt;='1 Inputs'!$C$45),AND(B53&gt;='1 Inputs'!$B$46,B53&lt;='1 Inputs'!$C$46)),1,0)</f>
        <v>0</v>
      </c>
      <c r="D53" s="13" t="n">
        <f aca="false">D52-E52</f>
        <v>0</v>
      </c>
      <c r="E53" s="13" t="n">
        <f aca="false">IF(A53&lt;'1 Inputs'!$B$21,0,IF(C53=1,0,MIN('1 Inputs'!$B$15,D53)))</f>
        <v>0</v>
      </c>
      <c r="F53" s="13" t="n">
        <f aca="false">E53*'1 Inputs'!$B$7*'1 Inputs'!$B$8*'1 Inputs'!$B$9*'1 Inputs'!$B$10</f>
        <v>0</v>
      </c>
      <c r="G53" s="12" t="n">
        <f aca="false">F53*'1 Inputs'!$B$11</f>
        <v>0</v>
      </c>
      <c r="H53" s="19" t="n">
        <f aca="false">A53+'1 Inputs'!$B$22+'1 Inputs'!$B$23+'1 Inputs'!$B$24</f>
        <v>69</v>
      </c>
      <c r="I53" s="19" t="n">
        <f aca="false">H53+'1 Inputs'!$B$25</f>
        <v>71</v>
      </c>
      <c r="J53" s="0" t="str">
        <f aca="false">IF(E53=0,"",IFERROR(INDEX($T$5:$T$40,MATCH(I53,$T$5:$T$40,1)+IF(INDEX($T$5:$T$40,MATCH(I53,$T$5:$T$40,1))=I53,0,1)),$T$5))</f>
        <v/>
      </c>
      <c r="K53" s="0" t="str">
        <f aca="false">IF(J53="","",J53+'1 Inputs'!$B$26)</f>
        <v/>
      </c>
      <c r="U53" s="0" t="n">
        <v>49</v>
      </c>
      <c r="V53" s="19" t="n">
        <f aca="false">IF(OR(AND((MOD(U53-1,52)+1)&gt;='1 Inputs'!$B$45,(MOD(U53-1,52)+1)&lt;='1 Inputs'!$C$45),AND((MOD(U53-1,52)+1)&gt;='1 Inputs'!$B$46,(MOD(U53-1,52)+1)&lt;='1 Inputs'!$C$46)),1,0)</f>
        <v>0</v>
      </c>
      <c r="W53" s="19" t="n">
        <f aca="false">W52+1-V53</f>
        <v>45</v>
      </c>
    </row>
    <row r="54" customFormat="false" ht="15" hidden="false" customHeight="false" outlineLevel="0" collapsed="false">
      <c r="A54" s="0" t="n">
        <v>50</v>
      </c>
      <c r="B54" s="0" t="n">
        <f aca="false">MOD(A54-1,52)+1</f>
        <v>50</v>
      </c>
      <c r="C54" s="0" t="n">
        <f aca="false">IF(OR(AND(B54&gt;='1 Inputs'!$B$45,B54&lt;='1 Inputs'!$C$45),AND(B54&gt;='1 Inputs'!$B$46,B54&lt;='1 Inputs'!$C$46)),1,0)</f>
        <v>1</v>
      </c>
      <c r="D54" s="13" t="n">
        <f aca="false">D53-E53</f>
        <v>0</v>
      </c>
      <c r="E54" s="13" t="n">
        <f aca="false">IF(A54&lt;'1 Inputs'!$B$21,0,IF(C54=1,0,MIN('1 Inputs'!$B$15,D54)))</f>
        <v>0</v>
      </c>
      <c r="F54" s="13" t="n">
        <f aca="false">E54*'1 Inputs'!$B$7*'1 Inputs'!$B$8*'1 Inputs'!$B$9*'1 Inputs'!$B$10</f>
        <v>0</v>
      </c>
      <c r="G54" s="12" t="n">
        <f aca="false">F54*'1 Inputs'!$B$11</f>
        <v>0</v>
      </c>
      <c r="H54" s="19" t="n">
        <f aca="false">A54+'1 Inputs'!$B$22+'1 Inputs'!$B$23+'1 Inputs'!$B$24</f>
        <v>70</v>
      </c>
      <c r="I54" s="19" t="n">
        <f aca="false">H54+'1 Inputs'!$B$25</f>
        <v>72</v>
      </c>
      <c r="J54" s="0" t="str">
        <f aca="false">IF(E54=0,"",IFERROR(INDEX($T$5:$T$40,MATCH(I54,$T$5:$T$40,1)+IF(INDEX($T$5:$T$40,MATCH(I54,$T$5:$T$40,1))=I54,0,1)),$T$5))</f>
        <v/>
      </c>
      <c r="K54" s="0" t="str">
        <f aca="false">IF(J54="","",J54+'1 Inputs'!$B$26)</f>
        <v/>
      </c>
      <c r="U54" s="0" t="n">
        <v>50</v>
      </c>
      <c r="V54" s="19" t="n">
        <f aca="false">IF(OR(AND((MOD(U54-1,52)+1)&gt;='1 Inputs'!$B$45,(MOD(U54-1,52)+1)&lt;='1 Inputs'!$C$45),AND((MOD(U54-1,52)+1)&gt;='1 Inputs'!$B$46,(MOD(U54-1,52)+1)&lt;='1 Inputs'!$C$46)),1,0)</f>
        <v>1</v>
      </c>
      <c r="W54" s="19" t="n">
        <f aca="false">W53+1-V54</f>
        <v>45</v>
      </c>
    </row>
    <row r="55" customFormat="false" ht="15" hidden="false" customHeight="false" outlineLevel="0" collapsed="false">
      <c r="A55" s="0" t="n">
        <v>51</v>
      </c>
      <c r="B55" s="0" t="n">
        <f aca="false">MOD(A55-1,52)+1</f>
        <v>51</v>
      </c>
      <c r="C55" s="0" t="n">
        <f aca="false">IF(OR(AND(B55&gt;='1 Inputs'!$B$45,B55&lt;='1 Inputs'!$C$45),AND(B55&gt;='1 Inputs'!$B$46,B55&lt;='1 Inputs'!$C$46)),1,0)</f>
        <v>1</v>
      </c>
      <c r="D55" s="13" t="n">
        <f aca="false">D54-E54</f>
        <v>0</v>
      </c>
      <c r="E55" s="13" t="n">
        <f aca="false">IF(A55&lt;'1 Inputs'!$B$21,0,IF(C55=1,0,MIN('1 Inputs'!$B$15,D55)))</f>
        <v>0</v>
      </c>
      <c r="F55" s="13" t="n">
        <f aca="false">E55*'1 Inputs'!$B$7*'1 Inputs'!$B$8*'1 Inputs'!$B$9*'1 Inputs'!$B$10</f>
        <v>0</v>
      </c>
      <c r="G55" s="12" t="n">
        <f aca="false">F55*'1 Inputs'!$B$11</f>
        <v>0</v>
      </c>
      <c r="H55" s="19" t="n">
        <f aca="false">A55+'1 Inputs'!$B$22+'1 Inputs'!$B$23+'1 Inputs'!$B$24</f>
        <v>71</v>
      </c>
      <c r="I55" s="19" t="n">
        <f aca="false">H55+'1 Inputs'!$B$25</f>
        <v>73</v>
      </c>
      <c r="J55" s="0" t="str">
        <f aca="false">IF(E55=0,"",IFERROR(INDEX($T$5:$T$40,MATCH(I55,$T$5:$T$40,1)+IF(INDEX($T$5:$T$40,MATCH(I55,$T$5:$T$40,1))=I55,0,1)),$T$5))</f>
        <v/>
      </c>
      <c r="K55" s="0" t="str">
        <f aca="false">IF(J55="","",J55+'1 Inputs'!$B$26)</f>
        <v/>
      </c>
      <c r="U55" s="0" t="n">
        <v>51</v>
      </c>
      <c r="V55" s="19" t="n">
        <f aca="false">IF(OR(AND((MOD(U55-1,52)+1)&gt;='1 Inputs'!$B$45,(MOD(U55-1,52)+1)&lt;='1 Inputs'!$C$45),AND((MOD(U55-1,52)+1)&gt;='1 Inputs'!$B$46,(MOD(U55-1,52)+1)&lt;='1 Inputs'!$C$46)),1,0)</f>
        <v>1</v>
      </c>
      <c r="W55" s="19" t="n">
        <f aca="false">W54+1-V55</f>
        <v>45</v>
      </c>
    </row>
    <row r="56" customFormat="false" ht="15" hidden="false" customHeight="false" outlineLevel="0" collapsed="false">
      <c r="A56" s="0" t="n">
        <v>52</v>
      </c>
      <c r="B56" s="0" t="n">
        <f aca="false">MOD(A56-1,52)+1</f>
        <v>52</v>
      </c>
      <c r="C56" s="0" t="n">
        <f aca="false">IF(OR(AND(B56&gt;='1 Inputs'!$B$45,B56&lt;='1 Inputs'!$C$45),AND(B56&gt;='1 Inputs'!$B$46,B56&lt;='1 Inputs'!$C$46)),1,0)</f>
        <v>1</v>
      </c>
      <c r="D56" s="13" t="n">
        <f aca="false">D55-E55</f>
        <v>0</v>
      </c>
      <c r="E56" s="13" t="n">
        <f aca="false">IF(A56&lt;'1 Inputs'!$B$21,0,IF(C56=1,0,MIN('1 Inputs'!$B$15,D56)))</f>
        <v>0</v>
      </c>
      <c r="F56" s="13" t="n">
        <f aca="false">E56*'1 Inputs'!$B$7*'1 Inputs'!$B$8*'1 Inputs'!$B$9*'1 Inputs'!$B$10</f>
        <v>0</v>
      </c>
      <c r="G56" s="12" t="n">
        <f aca="false">F56*'1 Inputs'!$B$11</f>
        <v>0</v>
      </c>
      <c r="H56" s="19" t="n">
        <f aca="false">A56+'1 Inputs'!$B$22+'1 Inputs'!$B$23+'1 Inputs'!$B$24</f>
        <v>72</v>
      </c>
      <c r="I56" s="19" t="n">
        <f aca="false">H56+'1 Inputs'!$B$25</f>
        <v>74</v>
      </c>
      <c r="J56" s="0" t="str">
        <f aca="false">IF(E56=0,"",IFERROR(INDEX($T$5:$T$40,MATCH(I56,$T$5:$T$40,1)+IF(INDEX($T$5:$T$40,MATCH(I56,$T$5:$T$40,1))=I56,0,1)),$T$5))</f>
        <v/>
      </c>
      <c r="K56" s="0" t="str">
        <f aca="false">IF(J56="","",J56+'1 Inputs'!$B$26)</f>
        <v/>
      </c>
      <c r="U56" s="0" t="n">
        <v>52</v>
      </c>
      <c r="V56" s="19" t="n">
        <f aca="false">IF(OR(AND((MOD(U56-1,52)+1)&gt;='1 Inputs'!$B$45,(MOD(U56-1,52)+1)&lt;='1 Inputs'!$C$45),AND((MOD(U56-1,52)+1)&gt;='1 Inputs'!$B$46,(MOD(U56-1,52)+1)&lt;='1 Inputs'!$C$46)),1,0)</f>
        <v>1</v>
      </c>
      <c r="W56" s="19" t="n">
        <f aca="false">W55+1-V56</f>
        <v>45</v>
      </c>
    </row>
    <row r="57" customFormat="false" ht="15" hidden="false" customHeight="false" outlineLevel="0" collapsed="false">
      <c r="A57" s="0" t="n">
        <v>53</v>
      </c>
      <c r="B57" s="0" t="n">
        <f aca="false">MOD(A57-1,52)+1</f>
        <v>1</v>
      </c>
      <c r="C57" s="0" t="n">
        <f aca="false">IF(OR(AND(B57&gt;='1 Inputs'!$B$45,B57&lt;='1 Inputs'!$C$45),AND(B57&gt;='1 Inputs'!$B$46,B57&lt;='1 Inputs'!$C$46)),1,0)</f>
        <v>0</v>
      </c>
      <c r="D57" s="13" t="n">
        <f aca="false">D56-E56</f>
        <v>0</v>
      </c>
      <c r="E57" s="13" t="n">
        <f aca="false">IF(A57&lt;'1 Inputs'!$B$21,0,IF(C57=1,0,MIN('1 Inputs'!$B$15,D57)))</f>
        <v>0</v>
      </c>
      <c r="F57" s="13" t="n">
        <f aca="false">E57*'1 Inputs'!$B$7*'1 Inputs'!$B$8*'1 Inputs'!$B$9*'1 Inputs'!$B$10</f>
        <v>0</v>
      </c>
      <c r="G57" s="12" t="n">
        <f aca="false">F57*'1 Inputs'!$B$11</f>
        <v>0</v>
      </c>
      <c r="H57" s="19" t="n">
        <f aca="false">A57+'1 Inputs'!$B$22+'1 Inputs'!$B$23+'1 Inputs'!$B$24</f>
        <v>73</v>
      </c>
      <c r="I57" s="19" t="n">
        <f aca="false">H57+'1 Inputs'!$B$25</f>
        <v>75</v>
      </c>
      <c r="J57" s="0" t="str">
        <f aca="false">IF(E57=0,"",IFERROR(INDEX($T$5:$T$40,MATCH(I57,$T$5:$T$40,1)+IF(INDEX($T$5:$T$40,MATCH(I57,$T$5:$T$40,1))=I57,0,1)),$T$5))</f>
        <v/>
      </c>
      <c r="K57" s="0" t="str">
        <f aca="false">IF(J57="","",J57+'1 Inputs'!$B$26)</f>
        <v/>
      </c>
      <c r="U57" s="0" t="n">
        <v>53</v>
      </c>
      <c r="V57" s="19" t="n">
        <f aca="false">IF(OR(AND((MOD(U57-1,52)+1)&gt;='1 Inputs'!$B$45,(MOD(U57-1,52)+1)&lt;='1 Inputs'!$C$45),AND((MOD(U57-1,52)+1)&gt;='1 Inputs'!$B$46,(MOD(U57-1,52)+1)&lt;='1 Inputs'!$C$46)),1,0)</f>
        <v>0</v>
      </c>
      <c r="W57" s="19" t="n">
        <f aca="false">W56+1-V57</f>
        <v>46</v>
      </c>
    </row>
    <row r="58" customFormat="false" ht="15" hidden="false" customHeight="false" outlineLevel="0" collapsed="false">
      <c r="A58" s="0" t="n">
        <v>54</v>
      </c>
      <c r="B58" s="0" t="n">
        <f aca="false">MOD(A58-1,52)+1</f>
        <v>2</v>
      </c>
      <c r="C58" s="0" t="n">
        <f aca="false">IF(OR(AND(B58&gt;='1 Inputs'!$B$45,B58&lt;='1 Inputs'!$C$45),AND(B58&gt;='1 Inputs'!$B$46,B58&lt;='1 Inputs'!$C$46)),1,0)</f>
        <v>0</v>
      </c>
      <c r="D58" s="13" t="n">
        <f aca="false">D57-E57</f>
        <v>0</v>
      </c>
      <c r="E58" s="13" t="n">
        <f aca="false">IF(A58&lt;'1 Inputs'!$B$21,0,IF(C58=1,0,MIN('1 Inputs'!$B$15,D58)))</f>
        <v>0</v>
      </c>
      <c r="F58" s="13" t="n">
        <f aca="false">E58*'1 Inputs'!$B$7*'1 Inputs'!$B$8*'1 Inputs'!$B$9*'1 Inputs'!$B$10</f>
        <v>0</v>
      </c>
      <c r="G58" s="12" t="n">
        <f aca="false">F58*'1 Inputs'!$B$11</f>
        <v>0</v>
      </c>
      <c r="H58" s="19" t="n">
        <f aca="false">A58+'1 Inputs'!$B$22+'1 Inputs'!$B$23+'1 Inputs'!$B$24</f>
        <v>74</v>
      </c>
      <c r="I58" s="19" t="n">
        <f aca="false">H58+'1 Inputs'!$B$25</f>
        <v>76</v>
      </c>
      <c r="J58" s="0" t="str">
        <f aca="false">IF(E58=0,"",IFERROR(INDEX($T$5:$T$40,MATCH(I58,$T$5:$T$40,1)+IF(INDEX($T$5:$T$40,MATCH(I58,$T$5:$T$40,1))=I58,0,1)),$T$5))</f>
        <v/>
      </c>
      <c r="K58" s="0" t="str">
        <f aca="false">IF(J58="","",J58+'1 Inputs'!$B$26)</f>
        <v/>
      </c>
      <c r="U58" s="0" t="n">
        <v>54</v>
      </c>
      <c r="V58" s="19" t="n">
        <f aca="false">IF(OR(AND((MOD(U58-1,52)+1)&gt;='1 Inputs'!$B$45,(MOD(U58-1,52)+1)&lt;='1 Inputs'!$C$45),AND((MOD(U58-1,52)+1)&gt;='1 Inputs'!$B$46,(MOD(U58-1,52)+1)&lt;='1 Inputs'!$C$46)),1,0)</f>
        <v>0</v>
      </c>
      <c r="W58" s="19" t="n">
        <f aca="false">W57+1-V58</f>
        <v>47</v>
      </c>
    </row>
    <row r="59" customFormat="false" ht="15" hidden="false" customHeight="false" outlineLevel="0" collapsed="false">
      <c r="A59" s="0" t="n">
        <v>55</v>
      </c>
      <c r="B59" s="0" t="n">
        <f aca="false">MOD(A59-1,52)+1</f>
        <v>3</v>
      </c>
      <c r="C59" s="0" t="n">
        <f aca="false">IF(OR(AND(B59&gt;='1 Inputs'!$B$45,B59&lt;='1 Inputs'!$C$45),AND(B59&gt;='1 Inputs'!$B$46,B59&lt;='1 Inputs'!$C$46)),1,0)</f>
        <v>0</v>
      </c>
      <c r="D59" s="13" t="n">
        <f aca="false">D58-E58</f>
        <v>0</v>
      </c>
      <c r="E59" s="13" t="n">
        <f aca="false">IF(A59&lt;'1 Inputs'!$B$21,0,IF(C59=1,0,MIN('1 Inputs'!$B$15,D59)))</f>
        <v>0</v>
      </c>
      <c r="F59" s="13" t="n">
        <f aca="false">E59*'1 Inputs'!$B$7*'1 Inputs'!$B$8*'1 Inputs'!$B$9*'1 Inputs'!$B$10</f>
        <v>0</v>
      </c>
      <c r="G59" s="12" t="n">
        <f aca="false">F59*'1 Inputs'!$B$11</f>
        <v>0</v>
      </c>
      <c r="H59" s="19" t="n">
        <f aca="false">A59+'1 Inputs'!$B$22+'1 Inputs'!$B$23+'1 Inputs'!$B$24</f>
        <v>75</v>
      </c>
      <c r="I59" s="19" t="n">
        <f aca="false">H59+'1 Inputs'!$B$25</f>
        <v>77</v>
      </c>
      <c r="J59" s="0" t="str">
        <f aca="false">IF(E59=0,"",IFERROR(INDEX($T$5:$T$40,MATCH(I59,$T$5:$T$40,1)+IF(INDEX($T$5:$T$40,MATCH(I59,$T$5:$T$40,1))=I59,0,1)),$T$5))</f>
        <v/>
      </c>
      <c r="K59" s="0" t="str">
        <f aca="false">IF(J59="","",J59+'1 Inputs'!$B$26)</f>
        <v/>
      </c>
      <c r="U59" s="0" t="n">
        <v>55</v>
      </c>
      <c r="V59" s="19" t="n">
        <f aca="false">IF(OR(AND((MOD(U59-1,52)+1)&gt;='1 Inputs'!$B$45,(MOD(U59-1,52)+1)&lt;='1 Inputs'!$C$45),AND((MOD(U59-1,52)+1)&gt;='1 Inputs'!$B$46,(MOD(U59-1,52)+1)&lt;='1 Inputs'!$C$46)),1,0)</f>
        <v>0</v>
      </c>
      <c r="W59" s="19" t="n">
        <f aca="false">W58+1-V59</f>
        <v>48</v>
      </c>
    </row>
    <row r="60" customFormat="false" ht="15" hidden="false" customHeight="false" outlineLevel="0" collapsed="false">
      <c r="A60" s="0" t="n">
        <v>56</v>
      </c>
      <c r="B60" s="0" t="n">
        <f aca="false">MOD(A60-1,52)+1</f>
        <v>4</v>
      </c>
      <c r="C60" s="0" t="n">
        <f aca="false">IF(OR(AND(B60&gt;='1 Inputs'!$B$45,B60&lt;='1 Inputs'!$C$45),AND(B60&gt;='1 Inputs'!$B$46,B60&lt;='1 Inputs'!$C$46)),1,0)</f>
        <v>0</v>
      </c>
      <c r="D60" s="13" t="n">
        <f aca="false">D59-E59</f>
        <v>0</v>
      </c>
      <c r="E60" s="13" t="n">
        <f aca="false">IF(A60&lt;'1 Inputs'!$B$21,0,IF(C60=1,0,MIN('1 Inputs'!$B$15,D60)))</f>
        <v>0</v>
      </c>
      <c r="F60" s="13" t="n">
        <f aca="false">E60*'1 Inputs'!$B$7*'1 Inputs'!$B$8*'1 Inputs'!$B$9*'1 Inputs'!$B$10</f>
        <v>0</v>
      </c>
      <c r="G60" s="12" t="n">
        <f aca="false">F60*'1 Inputs'!$B$11</f>
        <v>0</v>
      </c>
      <c r="H60" s="19" t="n">
        <f aca="false">A60+'1 Inputs'!$B$22+'1 Inputs'!$B$23+'1 Inputs'!$B$24</f>
        <v>76</v>
      </c>
      <c r="I60" s="19" t="n">
        <f aca="false">H60+'1 Inputs'!$B$25</f>
        <v>78</v>
      </c>
      <c r="J60" s="0" t="str">
        <f aca="false">IF(E60=0,"",IFERROR(INDEX($T$5:$T$40,MATCH(I60,$T$5:$T$40,1)+IF(INDEX($T$5:$T$40,MATCH(I60,$T$5:$T$40,1))=I60,0,1)),$T$5))</f>
        <v/>
      </c>
      <c r="K60" s="0" t="str">
        <f aca="false">IF(J60="","",J60+'1 Inputs'!$B$26)</f>
        <v/>
      </c>
      <c r="U60" s="0" t="n">
        <v>56</v>
      </c>
      <c r="V60" s="19" t="n">
        <f aca="false">IF(OR(AND((MOD(U60-1,52)+1)&gt;='1 Inputs'!$B$45,(MOD(U60-1,52)+1)&lt;='1 Inputs'!$C$45),AND((MOD(U60-1,52)+1)&gt;='1 Inputs'!$B$46,(MOD(U60-1,52)+1)&lt;='1 Inputs'!$C$46)),1,0)</f>
        <v>0</v>
      </c>
      <c r="W60" s="19" t="n">
        <f aca="false">W59+1-V60</f>
        <v>49</v>
      </c>
    </row>
    <row r="61" customFormat="false" ht="15" hidden="false" customHeight="false" outlineLevel="0" collapsed="false">
      <c r="A61" s="0" t="n">
        <v>57</v>
      </c>
      <c r="B61" s="0" t="n">
        <f aca="false">MOD(A61-1,52)+1</f>
        <v>5</v>
      </c>
      <c r="C61" s="0" t="n">
        <f aca="false">IF(OR(AND(B61&gt;='1 Inputs'!$B$45,B61&lt;='1 Inputs'!$C$45),AND(B61&gt;='1 Inputs'!$B$46,B61&lt;='1 Inputs'!$C$46)),1,0)</f>
        <v>0</v>
      </c>
      <c r="D61" s="13" t="n">
        <f aca="false">D60-E60</f>
        <v>0</v>
      </c>
      <c r="E61" s="13" t="n">
        <f aca="false">IF(A61&lt;'1 Inputs'!$B$21,0,IF(C61=1,0,MIN('1 Inputs'!$B$15,D61)))</f>
        <v>0</v>
      </c>
      <c r="F61" s="13" t="n">
        <f aca="false">E61*'1 Inputs'!$B$7*'1 Inputs'!$B$8*'1 Inputs'!$B$9*'1 Inputs'!$B$10</f>
        <v>0</v>
      </c>
      <c r="G61" s="12" t="n">
        <f aca="false">F61*'1 Inputs'!$B$11</f>
        <v>0</v>
      </c>
      <c r="H61" s="19" t="n">
        <f aca="false">A61+'1 Inputs'!$B$22+'1 Inputs'!$B$23+'1 Inputs'!$B$24</f>
        <v>77</v>
      </c>
      <c r="I61" s="19" t="n">
        <f aca="false">H61+'1 Inputs'!$B$25</f>
        <v>79</v>
      </c>
      <c r="J61" s="0" t="str">
        <f aca="false">IF(E61=0,"",IFERROR(INDEX($T$5:$T$40,MATCH(I61,$T$5:$T$40,1)+IF(INDEX($T$5:$T$40,MATCH(I61,$T$5:$T$40,1))=I61,0,1)),$T$5))</f>
        <v/>
      </c>
      <c r="K61" s="0" t="str">
        <f aca="false">IF(J61="","",J61+'1 Inputs'!$B$26)</f>
        <v/>
      </c>
      <c r="U61" s="0" t="n">
        <v>57</v>
      </c>
      <c r="V61" s="19" t="n">
        <f aca="false">IF(OR(AND((MOD(U61-1,52)+1)&gt;='1 Inputs'!$B$45,(MOD(U61-1,52)+1)&lt;='1 Inputs'!$C$45),AND((MOD(U61-1,52)+1)&gt;='1 Inputs'!$B$46,(MOD(U61-1,52)+1)&lt;='1 Inputs'!$C$46)),1,0)</f>
        <v>0</v>
      </c>
      <c r="W61" s="19" t="n">
        <f aca="false">W60+1-V61</f>
        <v>50</v>
      </c>
    </row>
    <row r="62" customFormat="false" ht="15" hidden="false" customHeight="false" outlineLevel="0" collapsed="false">
      <c r="A62" s="0" t="n">
        <v>58</v>
      </c>
      <c r="B62" s="0" t="n">
        <f aca="false">MOD(A62-1,52)+1</f>
        <v>6</v>
      </c>
      <c r="C62" s="0" t="n">
        <f aca="false">IF(OR(AND(B62&gt;='1 Inputs'!$B$45,B62&lt;='1 Inputs'!$C$45),AND(B62&gt;='1 Inputs'!$B$46,B62&lt;='1 Inputs'!$C$46)),1,0)</f>
        <v>0</v>
      </c>
      <c r="D62" s="13" t="n">
        <f aca="false">D61-E61</f>
        <v>0</v>
      </c>
      <c r="E62" s="13" t="n">
        <f aca="false">IF(A62&lt;'1 Inputs'!$B$21,0,IF(C62=1,0,MIN('1 Inputs'!$B$15,D62)))</f>
        <v>0</v>
      </c>
      <c r="F62" s="13" t="n">
        <f aca="false">E62*'1 Inputs'!$B$7*'1 Inputs'!$B$8*'1 Inputs'!$B$9*'1 Inputs'!$B$10</f>
        <v>0</v>
      </c>
      <c r="G62" s="12" t="n">
        <f aca="false">F62*'1 Inputs'!$B$11</f>
        <v>0</v>
      </c>
      <c r="H62" s="19" t="n">
        <f aca="false">A62+'1 Inputs'!$B$22+'1 Inputs'!$B$23+'1 Inputs'!$B$24</f>
        <v>78</v>
      </c>
      <c r="I62" s="19" t="n">
        <f aca="false">H62+'1 Inputs'!$B$25</f>
        <v>80</v>
      </c>
      <c r="J62" s="0" t="str">
        <f aca="false">IF(E62=0,"",IFERROR(INDEX($T$5:$T$40,MATCH(I62,$T$5:$T$40,1)+IF(INDEX($T$5:$T$40,MATCH(I62,$T$5:$T$40,1))=I62,0,1)),$T$5))</f>
        <v/>
      </c>
      <c r="K62" s="0" t="str">
        <f aca="false">IF(J62="","",J62+'1 Inputs'!$B$26)</f>
        <v/>
      </c>
      <c r="U62" s="0" t="n">
        <v>58</v>
      </c>
      <c r="V62" s="19" t="n">
        <f aca="false">IF(OR(AND((MOD(U62-1,52)+1)&gt;='1 Inputs'!$B$45,(MOD(U62-1,52)+1)&lt;='1 Inputs'!$C$45),AND((MOD(U62-1,52)+1)&gt;='1 Inputs'!$B$46,(MOD(U62-1,52)+1)&lt;='1 Inputs'!$C$46)),1,0)</f>
        <v>0</v>
      </c>
      <c r="W62" s="19" t="n">
        <f aca="false">W61+1-V62</f>
        <v>51</v>
      </c>
    </row>
    <row r="63" customFormat="false" ht="15" hidden="false" customHeight="false" outlineLevel="0" collapsed="false">
      <c r="A63" s="0" t="n">
        <v>59</v>
      </c>
      <c r="B63" s="0" t="n">
        <f aca="false">MOD(A63-1,52)+1</f>
        <v>7</v>
      </c>
      <c r="C63" s="0" t="n">
        <f aca="false">IF(OR(AND(B63&gt;='1 Inputs'!$B$45,B63&lt;='1 Inputs'!$C$45),AND(B63&gt;='1 Inputs'!$B$46,B63&lt;='1 Inputs'!$C$46)),1,0)</f>
        <v>0</v>
      </c>
      <c r="D63" s="13" t="n">
        <f aca="false">D62-E62</f>
        <v>0</v>
      </c>
      <c r="E63" s="13" t="n">
        <f aca="false">IF(A63&lt;'1 Inputs'!$B$21,0,IF(C63=1,0,MIN('1 Inputs'!$B$15,D63)))</f>
        <v>0</v>
      </c>
      <c r="F63" s="13" t="n">
        <f aca="false">E63*'1 Inputs'!$B$7*'1 Inputs'!$B$8*'1 Inputs'!$B$9*'1 Inputs'!$B$10</f>
        <v>0</v>
      </c>
      <c r="G63" s="12" t="n">
        <f aca="false">F63*'1 Inputs'!$B$11</f>
        <v>0</v>
      </c>
      <c r="H63" s="19" t="n">
        <f aca="false">A63+'1 Inputs'!$B$22+'1 Inputs'!$B$23+'1 Inputs'!$B$24</f>
        <v>79</v>
      </c>
      <c r="I63" s="19" t="n">
        <f aca="false">H63+'1 Inputs'!$B$25</f>
        <v>81</v>
      </c>
      <c r="J63" s="0" t="str">
        <f aca="false">IF(E63=0,"",IFERROR(INDEX($T$5:$T$40,MATCH(I63,$T$5:$T$40,1)+IF(INDEX($T$5:$T$40,MATCH(I63,$T$5:$T$40,1))=I63,0,1)),$T$5))</f>
        <v/>
      </c>
      <c r="K63" s="0" t="str">
        <f aca="false">IF(J63="","",J63+'1 Inputs'!$B$26)</f>
        <v/>
      </c>
      <c r="U63" s="0" t="n">
        <v>59</v>
      </c>
      <c r="V63" s="19" t="n">
        <f aca="false">IF(OR(AND((MOD(U63-1,52)+1)&gt;='1 Inputs'!$B$45,(MOD(U63-1,52)+1)&lt;='1 Inputs'!$C$45),AND((MOD(U63-1,52)+1)&gt;='1 Inputs'!$B$46,(MOD(U63-1,52)+1)&lt;='1 Inputs'!$C$46)),1,0)</f>
        <v>0</v>
      </c>
      <c r="W63" s="19" t="n">
        <f aca="false">W62+1-V63</f>
        <v>52</v>
      </c>
    </row>
    <row r="64" customFormat="false" ht="15" hidden="false" customHeight="false" outlineLevel="0" collapsed="false">
      <c r="A64" s="0" t="n">
        <v>60</v>
      </c>
      <c r="B64" s="0" t="n">
        <f aca="false">MOD(A64-1,52)+1</f>
        <v>8</v>
      </c>
      <c r="C64" s="0" t="n">
        <f aca="false">IF(OR(AND(B64&gt;='1 Inputs'!$B$45,B64&lt;='1 Inputs'!$C$45),AND(B64&gt;='1 Inputs'!$B$46,B64&lt;='1 Inputs'!$C$46)),1,0)</f>
        <v>0</v>
      </c>
      <c r="D64" s="13" t="n">
        <f aca="false">D63-E63</f>
        <v>0</v>
      </c>
      <c r="E64" s="13" t="n">
        <f aca="false">IF(A64&lt;'1 Inputs'!$B$21,0,IF(C64=1,0,MIN('1 Inputs'!$B$15,D64)))</f>
        <v>0</v>
      </c>
      <c r="F64" s="13" t="n">
        <f aca="false">E64*'1 Inputs'!$B$7*'1 Inputs'!$B$8*'1 Inputs'!$B$9*'1 Inputs'!$B$10</f>
        <v>0</v>
      </c>
      <c r="G64" s="12" t="n">
        <f aca="false">F64*'1 Inputs'!$B$11</f>
        <v>0</v>
      </c>
      <c r="H64" s="19" t="n">
        <f aca="false">A64+'1 Inputs'!$B$22+'1 Inputs'!$B$23+'1 Inputs'!$B$24</f>
        <v>80</v>
      </c>
      <c r="I64" s="19" t="n">
        <f aca="false">H64+'1 Inputs'!$B$25</f>
        <v>82</v>
      </c>
      <c r="J64" s="0" t="str">
        <f aca="false">IF(E64=0,"",IFERROR(INDEX($T$5:$T$40,MATCH(I64,$T$5:$T$40,1)+IF(INDEX($T$5:$T$40,MATCH(I64,$T$5:$T$40,1))=I64,0,1)),$T$5))</f>
        <v/>
      </c>
      <c r="K64" s="0" t="str">
        <f aca="false">IF(J64="","",J64+'1 Inputs'!$B$26)</f>
        <v/>
      </c>
      <c r="U64" s="0" t="n">
        <v>60</v>
      </c>
      <c r="V64" s="19" t="n">
        <f aca="false">IF(OR(AND((MOD(U64-1,52)+1)&gt;='1 Inputs'!$B$45,(MOD(U64-1,52)+1)&lt;='1 Inputs'!$C$45),AND((MOD(U64-1,52)+1)&gt;='1 Inputs'!$B$46,(MOD(U64-1,52)+1)&lt;='1 Inputs'!$C$46)),1,0)</f>
        <v>0</v>
      </c>
      <c r="W64" s="19" t="n">
        <f aca="false">W63+1-V64</f>
        <v>53</v>
      </c>
    </row>
    <row r="65" customFormat="false" ht="15" hidden="false" customHeight="false" outlineLevel="0" collapsed="false">
      <c r="A65" s="0" t="n">
        <v>61</v>
      </c>
      <c r="B65" s="0" t="n">
        <f aca="false">MOD(A65-1,52)+1</f>
        <v>9</v>
      </c>
      <c r="C65" s="0" t="n">
        <f aca="false">IF(OR(AND(B65&gt;='1 Inputs'!$B$45,B65&lt;='1 Inputs'!$C$45),AND(B65&gt;='1 Inputs'!$B$46,B65&lt;='1 Inputs'!$C$46)),1,0)</f>
        <v>0</v>
      </c>
      <c r="D65" s="13" t="n">
        <f aca="false">D64-E64</f>
        <v>0</v>
      </c>
      <c r="E65" s="13" t="n">
        <f aca="false">IF(A65&lt;'1 Inputs'!$B$21,0,IF(C65=1,0,MIN('1 Inputs'!$B$15,D65)))</f>
        <v>0</v>
      </c>
      <c r="F65" s="13" t="n">
        <f aca="false">E65*'1 Inputs'!$B$7*'1 Inputs'!$B$8*'1 Inputs'!$B$9*'1 Inputs'!$B$10</f>
        <v>0</v>
      </c>
      <c r="G65" s="12" t="n">
        <f aca="false">F65*'1 Inputs'!$B$11</f>
        <v>0</v>
      </c>
      <c r="H65" s="19" t="n">
        <f aca="false">A65+'1 Inputs'!$B$22+'1 Inputs'!$B$23+'1 Inputs'!$B$24</f>
        <v>81</v>
      </c>
      <c r="I65" s="19" t="n">
        <f aca="false">H65+'1 Inputs'!$B$25</f>
        <v>83</v>
      </c>
      <c r="J65" s="0" t="str">
        <f aca="false">IF(E65=0,"",IFERROR(INDEX($T$5:$T$40,MATCH(I65,$T$5:$T$40,1)+IF(INDEX($T$5:$T$40,MATCH(I65,$T$5:$T$40,1))=I65,0,1)),$T$5))</f>
        <v/>
      </c>
      <c r="K65" s="0" t="str">
        <f aca="false">IF(J65="","",J65+'1 Inputs'!$B$26)</f>
        <v/>
      </c>
      <c r="U65" s="0" t="n">
        <v>61</v>
      </c>
      <c r="V65" s="19" t="n">
        <f aca="false">IF(OR(AND((MOD(U65-1,52)+1)&gt;='1 Inputs'!$B$45,(MOD(U65-1,52)+1)&lt;='1 Inputs'!$C$45),AND((MOD(U65-1,52)+1)&gt;='1 Inputs'!$B$46,(MOD(U65-1,52)+1)&lt;='1 Inputs'!$C$46)),1,0)</f>
        <v>0</v>
      </c>
      <c r="W65" s="19" t="n">
        <f aca="false">W64+1-V65</f>
        <v>54</v>
      </c>
    </row>
    <row r="66" customFormat="false" ht="15" hidden="false" customHeight="false" outlineLevel="0" collapsed="false">
      <c r="A66" s="0" t="n">
        <v>62</v>
      </c>
      <c r="B66" s="0" t="n">
        <f aca="false">MOD(A66-1,52)+1</f>
        <v>10</v>
      </c>
      <c r="C66" s="0" t="n">
        <f aca="false">IF(OR(AND(B66&gt;='1 Inputs'!$B$45,B66&lt;='1 Inputs'!$C$45),AND(B66&gt;='1 Inputs'!$B$46,B66&lt;='1 Inputs'!$C$46)),1,0)</f>
        <v>0</v>
      </c>
      <c r="D66" s="13" t="n">
        <f aca="false">D65-E65</f>
        <v>0</v>
      </c>
      <c r="E66" s="13" t="n">
        <f aca="false">IF(A66&lt;'1 Inputs'!$B$21,0,IF(C66=1,0,MIN('1 Inputs'!$B$15,D66)))</f>
        <v>0</v>
      </c>
      <c r="F66" s="13" t="n">
        <f aca="false">E66*'1 Inputs'!$B$7*'1 Inputs'!$B$8*'1 Inputs'!$B$9*'1 Inputs'!$B$10</f>
        <v>0</v>
      </c>
      <c r="G66" s="12" t="n">
        <f aca="false">F66*'1 Inputs'!$B$11</f>
        <v>0</v>
      </c>
      <c r="H66" s="19" t="n">
        <f aca="false">A66+'1 Inputs'!$B$22+'1 Inputs'!$B$23+'1 Inputs'!$B$24</f>
        <v>82</v>
      </c>
      <c r="I66" s="19" t="n">
        <f aca="false">H66+'1 Inputs'!$B$25</f>
        <v>84</v>
      </c>
      <c r="J66" s="0" t="str">
        <f aca="false">IF(E66=0,"",IFERROR(INDEX($T$5:$T$40,MATCH(I66,$T$5:$T$40,1)+IF(INDEX($T$5:$T$40,MATCH(I66,$T$5:$T$40,1))=I66,0,1)),$T$5))</f>
        <v/>
      </c>
      <c r="K66" s="0" t="str">
        <f aca="false">IF(J66="","",J66+'1 Inputs'!$B$26)</f>
        <v/>
      </c>
      <c r="U66" s="0" t="n">
        <v>62</v>
      </c>
      <c r="V66" s="19" t="n">
        <f aca="false">IF(OR(AND((MOD(U66-1,52)+1)&gt;='1 Inputs'!$B$45,(MOD(U66-1,52)+1)&lt;='1 Inputs'!$C$45),AND((MOD(U66-1,52)+1)&gt;='1 Inputs'!$B$46,(MOD(U66-1,52)+1)&lt;='1 Inputs'!$C$46)),1,0)</f>
        <v>0</v>
      </c>
      <c r="W66" s="19" t="n">
        <f aca="false">W65+1-V66</f>
        <v>55</v>
      </c>
    </row>
    <row r="67" customFormat="false" ht="15" hidden="false" customHeight="false" outlineLevel="0" collapsed="false">
      <c r="A67" s="0" t="n">
        <v>63</v>
      </c>
      <c r="B67" s="0" t="n">
        <f aca="false">MOD(A67-1,52)+1</f>
        <v>11</v>
      </c>
      <c r="C67" s="0" t="n">
        <f aca="false">IF(OR(AND(B67&gt;='1 Inputs'!$B$45,B67&lt;='1 Inputs'!$C$45),AND(B67&gt;='1 Inputs'!$B$46,B67&lt;='1 Inputs'!$C$46)),1,0)</f>
        <v>0</v>
      </c>
      <c r="D67" s="13" t="n">
        <f aca="false">D66-E66</f>
        <v>0</v>
      </c>
      <c r="E67" s="13" t="n">
        <f aca="false">IF(A67&lt;'1 Inputs'!$B$21,0,IF(C67=1,0,MIN('1 Inputs'!$B$15,D67)))</f>
        <v>0</v>
      </c>
      <c r="F67" s="13" t="n">
        <f aca="false">E67*'1 Inputs'!$B$7*'1 Inputs'!$B$8*'1 Inputs'!$B$9*'1 Inputs'!$B$10</f>
        <v>0</v>
      </c>
      <c r="G67" s="12" t="n">
        <f aca="false">F67*'1 Inputs'!$B$11</f>
        <v>0</v>
      </c>
      <c r="H67" s="19" t="n">
        <f aca="false">A67+'1 Inputs'!$B$22+'1 Inputs'!$B$23+'1 Inputs'!$B$24</f>
        <v>83</v>
      </c>
      <c r="I67" s="19" t="n">
        <f aca="false">H67+'1 Inputs'!$B$25</f>
        <v>85</v>
      </c>
      <c r="J67" s="0" t="str">
        <f aca="false">IF(E67=0,"",IFERROR(INDEX($T$5:$T$40,MATCH(I67,$T$5:$T$40,1)+IF(INDEX($T$5:$T$40,MATCH(I67,$T$5:$T$40,1))=I67,0,1)),$T$5))</f>
        <v/>
      </c>
      <c r="K67" s="0" t="str">
        <f aca="false">IF(J67="","",J67+'1 Inputs'!$B$26)</f>
        <v/>
      </c>
      <c r="U67" s="0" t="n">
        <v>63</v>
      </c>
      <c r="V67" s="19" t="n">
        <f aca="false">IF(OR(AND((MOD(U67-1,52)+1)&gt;='1 Inputs'!$B$45,(MOD(U67-1,52)+1)&lt;='1 Inputs'!$C$45),AND((MOD(U67-1,52)+1)&gt;='1 Inputs'!$B$46,(MOD(U67-1,52)+1)&lt;='1 Inputs'!$C$46)),1,0)</f>
        <v>0</v>
      </c>
      <c r="W67" s="19" t="n">
        <f aca="false">W66+1-V67</f>
        <v>56</v>
      </c>
    </row>
    <row r="68" customFormat="false" ht="15" hidden="false" customHeight="false" outlineLevel="0" collapsed="false">
      <c r="A68" s="0" t="n">
        <v>64</v>
      </c>
      <c r="B68" s="0" t="n">
        <f aca="false">MOD(A68-1,52)+1</f>
        <v>12</v>
      </c>
      <c r="C68" s="0" t="n">
        <f aca="false">IF(OR(AND(B68&gt;='1 Inputs'!$B$45,B68&lt;='1 Inputs'!$C$45),AND(B68&gt;='1 Inputs'!$B$46,B68&lt;='1 Inputs'!$C$46)),1,0)</f>
        <v>0</v>
      </c>
      <c r="D68" s="13" t="n">
        <f aca="false">D67-E67</f>
        <v>0</v>
      </c>
      <c r="E68" s="13" t="n">
        <f aca="false">IF(A68&lt;'1 Inputs'!$B$21,0,IF(C68=1,0,MIN('1 Inputs'!$B$15,D68)))</f>
        <v>0</v>
      </c>
      <c r="F68" s="13" t="n">
        <f aca="false">E68*'1 Inputs'!$B$7*'1 Inputs'!$B$8*'1 Inputs'!$B$9*'1 Inputs'!$B$10</f>
        <v>0</v>
      </c>
      <c r="G68" s="12" t="n">
        <f aca="false">F68*'1 Inputs'!$B$11</f>
        <v>0</v>
      </c>
      <c r="H68" s="19" t="n">
        <f aca="false">A68+'1 Inputs'!$B$22+'1 Inputs'!$B$23+'1 Inputs'!$B$24</f>
        <v>84</v>
      </c>
      <c r="I68" s="19" t="n">
        <f aca="false">H68+'1 Inputs'!$B$25</f>
        <v>86</v>
      </c>
      <c r="J68" s="0" t="str">
        <f aca="false">IF(E68=0,"",IFERROR(INDEX($T$5:$T$40,MATCH(I68,$T$5:$T$40,1)+IF(INDEX($T$5:$T$40,MATCH(I68,$T$5:$T$40,1))=I68,0,1)),$T$5))</f>
        <v/>
      </c>
      <c r="K68" s="0" t="str">
        <f aca="false">IF(J68="","",J68+'1 Inputs'!$B$26)</f>
        <v/>
      </c>
      <c r="U68" s="0" t="n">
        <v>64</v>
      </c>
      <c r="V68" s="19" t="n">
        <f aca="false">IF(OR(AND((MOD(U68-1,52)+1)&gt;='1 Inputs'!$B$45,(MOD(U68-1,52)+1)&lt;='1 Inputs'!$C$45),AND((MOD(U68-1,52)+1)&gt;='1 Inputs'!$B$46,(MOD(U68-1,52)+1)&lt;='1 Inputs'!$C$46)),1,0)</f>
        <v>0</v>
      </c>
      <c r="W68" s="19" t="n">
        <f aca="false">W67+1-V68</f>
        <v>57</v>
      </c>
    </row>
    <row r="69" customFormat="false" ht="15" hidden="false" customHeight="false" outlineLevel="0" collapsed="false">
      <c r="A69" s="0" t="n">
        <v>65</v>
      </c>
      <c r="B69" s="0" t="n">
        <f aca="false">MOD(A69-1,52)+1</f>
        <v>13</v>
      </c>
      <c r="C69" s="0" t="n">
        <f aca="false">IF(OR(AND(B69&gt;='1 Inputs'!$B$45,B69&lt;='1 Inputs'!$C$45),AND(B69&gt;='1 Inputs'!$B$46,B69&lt;='1 Inputs'!$C$46)),1,0)</f>
        <v>0</v>
      </c>
      <c r="D69" s="13" t="n">
        <f aca="false">D68-E68</f>
        <v>0</v>
      </c>
      <c r="E69" s="13" t="n">
        <f aca="false">IF(A69&lt;'1 Inputs'!$B$21,0,IF(C69=1,0,MIN('1 Inputs'!$B$15,D69)))</f>
        <v>0</v>
      </c>
      <c r="F69" s="13" t="n">
        <f aca="false">E69*'1 Inputs'!$B$7*'1 Inputs'!$B$8*'1 Inputs'!$B$9*'1 Inputs'!$B$10</f>
        <v>0</v>
      </c>
      <c r="G69" s="12" t="n">
        <f aca="false">F69*'1 Inputs'!$B$11</f>
        <v>0</v>
      </c>
      <c r="H69" s="19" t="n">
        <f aca="false">A69+'1 Inputs'!$B$22+'1 Inputs'!$B$23+'1 Inputs'!$B$24</f>
        <v>85</v>
      </c>
      <c r="I69" s="19" t="n">
        <f aca="false">H69+'1 Inputs'!$B$25</f>
        <v>87</v>
      </c>
      <c r="J69" s="0" t="str">
        <f aca="false">IF(E69=0,"",IFERROR(INDEX($T$5:$T$40,MATCH(I69,$T$5:$T$40,1)+IF(INDEX($T$5:$T$40,MATCH(I69,$T$5:$T$40,1))=I69,0,1)),$T$5))</f>
        <v/>
      </c>
      <c r="K69" s="0" t="str">
        <f aca="false">IF(J69="","",J69+'1 Inputs'!$B$26)</f>
        <v/>
      </c>
      <c r="U69" s="0" t="n">
        <v>65</v>
      </c>
      <c r="V69" s="19" t="n">
        <f aca="false">IF(OR(AND((MOD(U69-1,52)+1)&gt;='1 Inputs'!$B$45,(MOD(U69-1,52)+1)&lt;='1 Inputs'!$C$45),AND((MOD(U69-1,52)+1)&gt;='1 Inputs'!$B$46,(MOD(U69-1,52)+1)&lt;='1 Inputs'!$C$46)),1,0)</f>
        <v>0</v>
      </c>
      <c r="W69" s="19" t="n">
        <f aca="false">W68+1-V69</f>
        <v>58</v>
      </c>
    </row>
    <row r="70" customFormat="false" ht="15" hidden="false" customHeight="false" outlineLevel="0" collapsed="false">
      <c r="A70" s="0" t="n">
        <v>66</v>
      </c>
      <c r="B70" s="0" t="n">
        <f aca="false">MOD(A70-1,52)+1</f>
        <v>14</v>
      </c>
      <c r="C70" s="0" t="n">
        <f aca="false">IF(OR(AND(B70&gt;='1 Inputs'!$B$45,B70&lt;='1 Inputs'!$C$45),AND(B70&gt;='1 Inputs'!$B$46,B70&lt;='1 Inputs'!$C$46)),1,0)</f>
        <v>0</v>
      </c>
      <c r="D70" s="13" t="n">
        <f aca="false">D69-E69</f>
        <v>0</v>
      </c>
      <c r="E70" s="13" t="n">
        <f aca="false">IF(A70&lt;'1 Inputs'!$B$21,0,IF(C70=1,0,MIN('1 Inputs'!$B$15,D70)))</f>
        <v>0</v>
      </c>
      <c r="F70" s="13" t="n">
        <f aca="false">E70*'1 Inputs'!$B$7*'1 Inputs'!$B$8*'1 Inputs'!$B$9*'1 Inputs'!$B$10</f>
        <v>0</v>
      </c>
      <c r="G70" s="12" t="n">
        <f aca="false">F70*'1 Inputs'!$B$11</f>
        <v>0</v>
      </c>
      <c r="H70" s="19" t="n">
        <f aca="false">A70+'1 Inputs'!$B$22+'1 Inputs'!$B$23+'1 Inputs'!$B$24</f>
        <v>86</v>
      </c>
      <c r="I70" s="19" t="n">
        <f aca="false">H70+'1 Inputs'!$B$25</f>
        <v>88</v>
      </c>
      <c r="J70" s="0" t="str">
        <f aca="false">IF(E70=0,"",IFERROR(INDEX($T$5:$T$40,MATCH(I70,$T$5:$T$40,1)+IF(INDEX($T$5:$T$40,MATCH(I70,$T$5:$T$40,1))=I70,0,1)),$T$5))</f>
        <v/>
      </c>
      <c r="K70" s="0" t="str">
        <f aca="false">IF(J70="","",J70+'1 Inputs'!$B$26)</f>
        <v/>
      </c>
      <c r="U70" s="0" t="n">
        <v>66</v>
      </c>
      <c r="V70" s="19" t="n">
        <f aca="false">IF(OR(AND((MOD(U70-1,52)+1)&gt;='1 Inputs'!$B$45,(MOD(U70-1,52)+1)&lt;='1 Inputs'!$C$45),AND((MOD(U70-1,52)+1)&gt;='1 Inputs'!$B$46,(MOD(U70-1,52)+1)&lt;='1 Inputs'!$C$46)),1,0)</f>
        <v>0</v>
      </c>
      <c r="W70" s="19" t="n">
        <f aca="false">W69+1-V70</f>
        <v>59</v>
      </c>
    </row>
    <row r="71" customFormat="false" ht="15" hidden="false" customHeight="false" outlineLevel="0" collapsed="false">
      <c r="A71" s="0" t="n">
        <v>67</v>
      </c>
      <c r="B71" s="0" t="n">
        <f aca="false">MOD(A71-1,52)+1</f>
        <v>15</v>
      </c>
      <c r="C71" s="0" t="n">
        <f aca="false">IF(OR(AND(B71&gt;='1 Inputs'!$B$45,B71&lt;='1 Inputs'!$C$45),AND(B71&gt;='1 Inputs'!$B$46,B71&lt;='1 Inputs'!$C$46)),1,0)</f>
        <v>0</v>
      </c>
      <c r="D71" s="13" t="n">
        <f aca="false">D70-E70</f>
        <v>0</v>
      </c>
      <c r="E71" s="13" t="n">
        <f aca="false">IF(A71&lt;'1 Inputs'!$B$21,0,IF(C71=1,0,MIN('1 Inputs'!$B$15,D71)))</f>
        <v>0</v>
      </c>
      <c r="F71" s="13" t="n">
        <f aca="false">E71*'1 Inputs'!$B$7*'1 Inputs'!$B$8*'1 Inputs'!$B$9*'1 Inputs'!$B$10</f>
        <v>0</v>
      </c>
      <c r="G71" s="12" t="n">
        <f aca="false">F71*'1 Inputs'!$B$11</f>
        <v>0</v>
      </c>
      <c r="H71" s="19" t="n">
        <f aca="false">A71+'1 Inputs'!$B$22+'1 Inputs'!$B$23+'1 Inputs'!$B$24</f>
        <v>87</v>
      </c>
      <c r="I71" s="19" t="n">
        <f aca="false">H71+'1 Inputs'!$B$25</f>
        <v>89</v>
      </c>
      <c r="J71" s="0" t="str">
        <f aca="false">IF(E71=0,"",IFERROR(INDEX($T$5:$T$40,MATCH(I71,$T$5:$T$40,1)+IF(INDEX($T$5:$T$40,MATCH(I71,$T$5:$T$40,1))=I71,0,1)),$T$5))</f>
        <v/>
      </c>
      <c r="K71" s="0" t="str">
        <f aca="false">IF(J71="","",J71+'1 Inputs'!$B$26)</f>
        <v/>
      </c>
      <c r="U71" s="0" t="n">
        <v>67</v>
      </c>
      <c r="V71" s="19" t="n">
        <f aca="false">IF(OR(AND((MOD(U71-1,52)+1)&gt;='1 Inputs'!$B$45,(MOD(U71-1,52)+1)&lt;='1 Inputs'!$C$45),AND((MOD(U71-1,52)+1)&gt;='1 Inputs'!$B$46,(MOD(U71-1,52)+1)&lt;='1 Inputs'!$C$46)),1,0)</f>
        <v>0</v>
      </c>
      <c r="W71" s="19" t="n">
        <f aca="false">W70+1-V71</f>
        <v>60</v>
      </c>
    </row>
    <row r="72" customFormat="false" ht="15" hidden="false" customHeight="false" outlineLevel="0" collapsed="false">
      <c r="A72" s="0" t="n">
        <v>68</v>
      </c>
      <c r="B72" s="0" t="n">
        <f aca="false">MOD(A72-1,52)+1</f>
        <v>16</v>
      </c>
      <c r="C72" s="0" t="n">
        <f aca="false">IF(OR(AND(B72&gt;='1 Inputs'!$B$45,B72&lt;='1 Inputs'!$C$45),AND(B72&gt;='1 Inputs'!$B$46,B72&lt;='1 Inputs'!$C$46)),1,0)</f>
        <v>0</v>
      </c>
      <c r="D72" s="13" t="n">
        <f aca="false">D71-E71</f>
        <v>0</v>
      </c>
      <c r="E72" s="13" t="n">
        <f aca="false">IF(A72&lt;'1 Inputs'!$B$21,0,IF(C72=1,0,MIN('1 Inputs'!$B$15,D72)))</f>
        <v>0</v>
      </c>
      <c r="F72" s="13" t="n">
        <f aca="false">E72*'1 Inputs'!$B$7*'1 Inputs'!$B$8*'1 Inputs'!$B$9*'1 Inputs'!$B$10</f>
        <v>0</v>
      </c>
      <c r="G72" s="12" t="n">
        <f aca="false">F72*'1 Inputs'!$B$11</f>
        <v>0</v>
      </c>
      <c r="H72" s="19" t="n">
        <f aca="false">A72+'1 Inputs'!$B$22+'1 Inputs'!$B$23+'1 Inputs'!$B$24</f>
        <v>88</v>
      </c>
      <c r="I72" s="19" t="n">
        <f aca="false">H72+'1 Inputs'!$B$25</f>
        <v>90</v>
      </c>
      <c r="J72" s="0" t="str">
        <f aca="false">IF(E72=0,"",IFERROR(INDEX($T$5:$T$40,MATCH(I72,$T$5:$T$40,1)+IF(INDEX($T$5:$T$40,MATCH(I72,$T$5:$T$40,1))=I72,0,1)),$T$5))</f>
        <v/>
      </c>
      <c r="K72" s="0" t="str">
        <f aca="false">IF(J72="","",J72+'1 Inputs'!$B$26)</f>
        <v/>
      </c>
      <c r="U72" s="0" t="n">
        <v>68</v>
      </c>
      <c r="V72" s="19" t="n">
        <f aca="false">IF(OR(AND((MOD(U72-1,52)+1)&gt;='1 Inputs'!$B$45,(MOD(U72-1,52)+1)&lt;='1 Inputs'!$C$45),AND((MOD(U72-1,52)+1)&gt;='1 Inputs'!$B$46,(MOD(U72-1,52)+1)&lt;='1 Inputs'!$C$46)),1,0)</f>
        <v>0</v>
      </c>
      <c r="W72" s="19" t="n">
        <f aca="false">W71+1-V72</f>
        <v>61</v>
      </c>
    </row>
    <row r="73" customFormat="false" ht="15" hidden="false" customHeight="false" outlineLevel="0" collapsed="false">
      <c r="A73" s="0" t="n">
        <v>69</v>
      </c>
      <c r="B73" s="0" t="n">
        <f aca="false">MOD(A73-1,52)+1</f>
        <v>17</v>
      </c>
      <c r="C73" s="0" t="n">
        <f aca="false">IF(OR(AND(B73&gt;='1 Inputs'!$B$45,B73&lt;='1 Inputs'!$C$45),AND(B73&gt;='1 Inputs'!$B$46,B73&lt;='1 Inputs'!$C$46)),1,0)</f>
        <v>0</v>
      </c>
      <c r="D73" s="13" t="n">
        <f aca="false">D72-E72</f>
        <v>0</v>
      </c>
      <c r="E73" s="13" t="n">
        <f aca="false">IF(A73&lt;'1 Inputs'!$B$21,0,IF(C73=1,0,MIN('1 Inputs'!$B$15,D73)))</f>
        <v>0</v>
      </c>
      <c r="F73" s="13" t="n">
        <f aca="false">E73*'1 Inputs'!$B$7*'1 Inputs'!$B$8*'1 Inputs'!$B$9*'1 Inputs'!$B$10</f>
        <v>0</v>
      </c>
      <c r="G73" s="12" t="n">
        <f aca="false">F73*'1 Inputs'!$B$11</f>
        <v>0</v>
      </c>
      <c r="H73" s="19" t="n">
        <f aca="false">A73+'1 Inputs'!$B$22+'1 Inputs'!$B$23+'1 Inputs'!$B$24</f>
        <v>89</v>
      </c>
      <c r="I73" s="19" t="n">
        <f aca="false">H73+'1 Inputs'!$B$25</f>
        <v>91</v>
      </c>
      <c r="J73" s="0" t="str">
        <f aca="false">IF(E73=0,"",IFERROR(INDEX($T$5:$T$40,MATCH(I73,$T$5:$T$40,1)+IF(INDEX($T$5:$T$40,MATCH(I73,$T$5:$T$40,1))=I73,0,1)),$T$5))</f>
        <v/>
      </c>
      <c r="K73" s="0" t="str">
        <f aca="false">IF(J73="","",J73+'1 Inputs'!$B$26)</f>
        <v/>
      </c>
      <c r="U73" s="0" t="n">
        <v>69</v>
      </c>
      <c r="V73" s="19" t="n">
        <f aca="false">IF(OR(AND((MOD(U73-1,52)+1)&gt;='1 Inputs'!$B$45,(MOD(U73-1,52)+1)&lt;='1 Inputs'!$C$45),AND((MOD(U73-1,52)+1)&gt;='1 Inputs'!$B$46,(MOD(U73-1,52)+1)&lt;='1 Inputs'!$C$46)),1,0)</f>
        <v>0</v>
      </c>
      <c r="W73" s="19" t="n">
        <f aca="false">W72+1-V73</f>
        <v>62</v>
      </c>
    </row>
    <row r="74" customFormat="false" ht="15" hidden="false" customHeight="false" outlineLevel="0" collapsed="false">
      <c r="A74" s="0" t="n">
        <v>70</v>
      </c>
      <c r="B74" s="0" t="n">
        <f aca="false">MOD(A74-1,52)+1</f>
        <v>18</v>
      </c>
      <c r="C74" s="0" t="n">
        <f aca="false">IF(OR(AND(B74&gt;='1 Inputs'!$B$45,B74&lt;='1 Inputs'!$C$45),AND(B74&gt;='1 Inputs'!$B$46,B74&lt;='1 Inputs'!$C$46)),1,0)</f>
        <v>0</v>
      </c>
      <c r="D74" s="13" t="n">
        <f aca="false">D73-E73</f>
        <v>0</v>
      </c>
      <c r="E74" s="13" t="n">
        <f aca="false">IF(A74&lt;'1 Inputs'!$B$21,0,IF(C74=1,0,MIN('1 Inputs'!$B$15,D74)))</f>
        <v>0</v>
      </c>
      <c r="F74" s="13" t="n">
        <f aca="false">E74*'1 Inputs'!$B$7*'1 Inputs'!$B$8*'1 Inputs'!$B$9*'1 Inputs'!$B$10</f>
        <v>0</v>
      </c>
      <c r="G74" s="12" t="n">
        <f aca="false">F74*'1 Inputs'!$B$11</f>
        <v>0</v>
      </c>
      <c r="H74" s="19" t="n">
        <f aca="false">A74+'1 Inputs'!$B$22+'1 Inputs'!$B$23+'1 Inputs'!$B$24</f>
        <v>90</v>
      </c>
      <c r="I74" s="19" t="n">
        <f aca="false">H74+'1 Inputs'!$B$25</f>
        <v>92</v>
      </c>
      <c r="J74" s="0" t="str">
        <f aca="false">IF(E74=0,"",IFERROR(INDEX($T$5:$T$40,MATCH(I74,$T$5:$T$40,1)+IF(INDEX($T$5:$T$40,MATCH(I74,$T$5:$T$40,1))=I74,0,1)),$T$5))</f>
        <v/>
      </c>
      <c r="K74" s="0" t="str">
        <f aca="false">IF(J74="","",J74+'1 Inputs'!$B$26)</f>
        <v/>
      </c>
      <c r="U74" s="0" t="n">
        <v>70</v>
      </c>
      <c r="V74" s="19" t="n">
        <f aca="false">IF(OR(AND((MOD(U74-1,52)+1)&gt;='1 Inputs'!$B$45,(MOD(U74-1,52)+1)&lt;='1 Inputs'!$C$45),AND((MOD(U74-1,52)+1)&gt;='1 Inputs'!$B$46,(MOD(U74-1,52)+1)&lt;='1 Inputs'!$C$46)),1,0)</f>
        <v>0</v>
      </c>
      <c r="W74" s="19" t="n">
        <f aca="false">W73+1-V74</f>
        <v>63</v>
      </c>
    </row>
    <row r="75" customFormat="false" ht="15" hidden="false" customHeight="false" outlineLevel="0" collapsed="false">
      <c r="A75" s="0" t="n">
        <v>71</v>
      </c>
      <c r="B75" s="0" t="n">
        <f aca="false">MOD(A75-1,52)+1</f>
        <v>19</v>
      </c>
      <c r="C75" s="0" t="n">
        <f aca="false">IF(OR(AND(B75&gt;='1 Inputs'!$B$45,B75&lt;='1 Inputs'!$C$45),AND(B75&gt;='1 Inputs'!$B$46,B75&lt;='1 Inputs'!$C$46)),1,0)</f>
        <v>0</v>
      </c>
      <c r="D75" s="13" t="n">
        <f aca="false">D74-E74</f>
        <v>0</v>
      </c>
      <c r="E75" s="13" t="n">
        <f aca="false">IF(A75&lt;'1 Inputs'!$B$21,0,IF(C75=1,0,MIN('1 Inputs'!$B$15,D75)))</f>
        <v>0</v>
      </c>
      <c r="F75" s="13" t="n">
        <f aca="false">E75*'1 Inputs'!$B$7*'1 Inputs'!$B$8*'1 Inputs'!$B$9*'1 Inputs'!$B$10</f>
        <v>0</v>
      </c>
      <c r="G75" s="12" t="n">
        <f aca="false">F75*'1 Inputs'!$B$11</f>
        <v>0</v>
      </c>
      <c r="H75" s="19" t="n">
        <f aca="false">A75+'1 Inputs'!$B$22+'1 Inputs'!$B$23+'1 Inputs'!$B$24</f>
        <v>91</v>
      </c>
      <c r="I75" s="19" t="n">
        <f aca="false">H75+'1 Inputs'!$B$25</f>
        <v>93</v>
      </c>
      <c r="J75" s="0" t="str">
        <f aca="false">IF(E75=0,"",IFERROR(INDEX($T$5:$T$40,MATCH(I75,$T$5:$T$40,1)+IF(INDEX($T$5:$T$40,MATCH(I75,$T$5:$T$40,1))=I75,0,1)),$T$5))</f>
        <v/>
      </c>
      <c r="K75" s="0" t="str">
        <f aca="false">IF(J75="","",J75+'1 Inputs'!$B$26)</f>
        <v/>
      </c>
      <c r="U75" s="0" t="n">
        <v>71</v>
      </c>
      <c r="V75" s="19" t="n">
        <f aca="false">IF(OR(AND((MOD(U75-1,52)+1)&gt;='1 Inputs'!$B$45,(MOD(U75-1,52)+1)&lt;='1 Inputs'!$C$45),AND((MOD(U75-1,52)+1)&gt;='1 Inputs'!$B$46,(MOD(U75-1,52)+1)&lt;='1 Inputs'!$C$46)),1,0)</f>
        <v>0</v>
      </c>
      <c r="W75" s="19" t="n">
        <f aca="false">W74+1-V75</f>
        <v>64</v>
      </c>
    </row>
    <row r="76" customFormat="false" ht="15" hidden="false" customHeight="false" outlineLevel="0" collapsed="false">
      <c r="A76" s="0" t="n">
        <v>72</v>
      </c>
      <c r="B76" s="0" t="n">
        <f aca="false">MOD(A76-1,52)+1</f>
        <v>20</v>
      </c>
      <c r="C76" s="0" t="n">
        <f aca="false">IF(OR(AND(B76&gt;='1 Inputs'!$B$45,B76&lt;='1 Inputs'!$C$45),AND(B76&gt;='1 Inputs'!$B$46,B76&lt;='1 Inputs'!$C$46)),1,0)</f>
        <v>0</v>
      </c>
      <c r="D76" s="13" t="n">
        <f aca="false">D75-E75</f>
        <v>0</v>
      </c>
      <c r="E76" s="13" t="n">
        <f aca="false">IF(A76&lt;'1 Inputs'!$B$21,0,IF(C76=1,0,MIN('1 Inputs'!$B$15,D76)))</f>
        <v>0</v>
      </c>
      <c r="F76" s="13" t="n">
        <f aca="false">E76*'1 Inputs'!$B$7*'1 Inputs'!$B$8*'1 Inputs'!$B$9*'1 Inputs'!$B$10</f>
        <v>0</v>
      </c>
      <c r="G76" s="12" t="n">
        <f aca="false">F76*'1 Inputs'!$B$11</f>
        <v>0</v>
      </c>
      <c r="H76" s="19" t="n">
        <f aca="false">A76+'1 Inputs'!$B$22+'1 Inputs'!$B$23+'1 Inputs'!$B$24</f>
        <v>92</v>
      </c>
      <c r="I76" s="19" t="n">
        <f aca="false">H76+'1 Inputs'!$B$25</f>
        <v>94</v>
      </c>
      <c r="J76" s="0" t="str">
        <f aca="false">IF(E76=0,"",IFERROR(INDEX($T$5:$T$40,MATCH(I76,$T$5:$T$40,1)+IF(INDEX($T$5:$T$40,MATCH(I76,$T$5:$T$40,1))=I76,0,1)),$T$5))</f>
        <v/>
      </c>
      <c r="K76" s="0" t="str">
        <f aca="false">IF(J76="","",J76+'1 Inputs'!$B$26)</f>
        <v/>
      </c>
      <c r="U76" s="0" t="n">
        <v>72</v>
      </c>
      <c r="V76" s="19" t="n">
        <f aca="false">IF(OR(AND((MOD(U76-1,52)+1)&gt;='1 Inputs'!$B$45,(MOD(U76-1,52)+1)&lt;='1 Inputs'!$C$45),AND((MOD(U76-1,52)+1)&gt;='1 Inputs'!$B$46,(MOD(U76-1,52)+1)&lt;='1 Inputs'!$C$46)),1,0)</f>
        <v>0</v>
      </c>
      <c r="W76" s="19" t="n">
        <f aca="false">W75+1-V76</f>
        <v>65</v>
      </c>
    </row>
    <row r="77" customFormat="false" ht="15" hidden="false" customHeight="false" outlineLevel="0" collapsed="false">
      <c r="A77" s="0" t="n">
        <v>73</v>
      </c>
      <c r="B77" s="0" t="n">
        <f aca="false">MOD(A77-1,52)+1</f>
        <v>21</v>
      </c>
      <c r="C77" s="0" t="n">
        <f aca="false">IF(OR(AND(B77&gt;='1 Inputs'!$B$45,B77&lt;='1 Inputs'!$C$45),AND(B77&gt;='1 Inputs'!$B$46,B77&lt;='1 Inputs'!$C$46)),1,0)</f>
        <v>0</v>
      </c>
      <c r="D77" s="13" t="n">
        <f aca="false">D76-E76</f>
        <v>0</v>
      </c>
      <c r="E77" s="13" t="n">
        <f aca="false">IF(A77&lt;'1 Inputs'!$B$21,0,IF(C77=1,0,MIN('1 Inputs'!$B$15,D77)))</f>
        <v>0</v>
      </c>
      <c r="F77" s="13" t="n">
        <f aca="false">E77*'1 Inputs'!$B$7*'1 Inputs'!$B$8*'1 Inputs'!$B$9*'1 Inputs'!$B$10</f>
        <v>0</v>
      </c>
      <c r="G77" s="12" t="n">
        <f aca="false">F77*'1 Inputs'!$B$11</f>
        <v>0</v>
      </c>
      <c r="H77" s="19" t="n">
        <f aca="false">A77+'1 Inputs'!$B$22+'1 Inputs'!$B$23+'1 Inputs'!$B$24</f>
        <v>93</v>
      </c>
      <c r="I77" s="19" t="n">
        <f aca="false">H77+'1 Inputs'!$B$25</f>
        <v>95</v>
      </c>
      <c r="J77" s="0" t="str">
        <f aca="false">IF(E77=0,"",IFERROR(INDEX($T$5:$T$40,MATCH(I77,$T$5:$T$40,1)+IF(INDEX($T$5:$T$40,MATCH(I77,$T$5:$T$40,1))=I77,0,1)),$T$5))</f>
        <v/>
      </c>
      <c r="K77" s="0" t="str">
        <f aca="false">IF(J77="","",J77+'1 Inputs'!$B$26)</f>
        <v/>
      </c>
      <c r="U77" s="0" t="n">
        <v>73</v>
      </c>
      <c r="V77" s="19" t="n">
        <f aca="false">IF(OR(AND((MOD(U77-1,52)+1)&gt;='1 Inputs'!$B$45,(MOD(U77-1,52)+1)&lt;='1 Inputs'!$C$45),AND((MOD(U77-1,52)+1)&gt;='1 Inputs'!$B$46,(MOD(U77-1,52)+1)&lt;='1 Inputs'!$C$46)),1,0)</f>
        <v>0</v>
      </c>
      <c r="W77" s="19" t="n">
        <f aca="false">W76+1-V77</f>
        <v>66</v>
      </c>
    </row>
    <row r="78" customFormat="false" ht="15" hidden="false" customHeight="false" outlineLevel="0" collapsed="false">
      <c r="A78" s="0" t="n">
        <v>74</v>
      </c>
      <c r="B78" s="0" t="n">
        <f aca="false">MOD(A78-1,52)+1</f>
        <v>22</v>
      </c>
      <c r="C78" s="0" t="n">
        <f aca="false">IF(OR(AND(B78&gt;='1 Inputs'!$B$45,B78&lt;='1 Inputs'!$C$45),AND(B78&gt;='1 Inputs'!$B$46,B78&lt;='1 Inputs'!$C$46)),1,0)</f>
        <v>0</v>
      </c>
      <c r="D78" s="13" t="n">
        <f aca="false">D77-E77</f>
        <v>0</v>
      </c>
      <c r="E78" s="13" t="n">
        <f aca="false">IF(A78&lt;'1 Inputs'!$B$21,0,IF(C78=1,0,MIN('1 Inputs'!$B$15,D78)))</f>
        <v>0</v>
      </c>
      <c r="F78" s="13" t="n">
        <f aca="false">E78*'1 Inputs'!$B$7*'1 Inputs'!$B$8*'1 Inputs'!$B$9*'1 Inputs'!$B$10</f>
        <v>0</v>
      </c>
      <c r="G78" s="12" t="n">
        <f aca="false">F78*'1 Inputs'!$B$11</f>
        <v>0</v>
      </c>
      <c r="H78" s="19" t="n">
        <f aca="false">A78+'1 Inputs'!$B$22+'1 Inputs'!$B$23+'1 Inputs'!$B$24</f>
        <v>94</v>
      </c>
      <c r="I78" s="19" t="n">
        <f aca="false">H78+'1 Inputs'!$B$25</f>
        <v>96</v>
      </c>
      <c r="J78" s="0" t="str">
        <f aca="false">IF(E78=0,"",IFERROR(INDEX($T$5:$T$40,MATCH(I78,$T$5:$T$40,1)+IF(INDEX($T$5:$T$40,MATCH(I78,$T$5:$T$40,1))=I78,0,1)),$T$5))</f>
        <v/>
      </c>
      <c r="K78" s="0" t="str">
        <f aca="false">IF(J78="","",J78+'1 Inputs'!$B$26)</f>
        <v/>
      </c>
      <c r="U78" s="0" t="n">
        <v>74</v>
      </c>
      <c r="V78" s="19" t="n">
        <f aca="false">IF(OR(AND((MOD(U78-1,52)+1)&gt;='1 Inputs'!$B$45,(MOD(U78-1,52)+1)&lt;='1 Inputs'!$C$45),AND((MOD(U78-1,52)+1)&gt;='1 Inputs'!$B$46,(MOD(U78-1,52)+1)&lt;='1 Inputs'!$C$46)),1,0)</f>
        <v>0</v>
      </c>
      <c r="W78" s="19" t="n">
        <f aca="false">W77+1-V78</f>
        <v>67</v>
      </c>
    </row>
    <row r="79" customFormat="false" ht="15" hidden="false" customHeight="false" outlineLevel="0" collapsed="false">
      <c r="A79" s="0" t="n">
        <v>75</v>
      </c>
      <c r="B79" s="0" t="n">
        <f aca="false">MOD(A79-1,52)+1</f>
        <v>23</v>
      </c>
      <c r="C79" s="0" t="n">
        <f aca="false">IF(OR(AND(B79&gt;='1 Inputs'!$B$45,B79&lt;='1 Inputs'!$C$45),AND(B79&gt;='1 Inputs'!$B$46,B79&lt;='1 Inputs'!$C$46)),1,0)</f>
        <v>0</v>
      </c>
      <c r="D79" s="13" t="n">
        <f aca="false">D78-E78</f>
        <v>0</v>
      </c>
      <c r="E79" s="13" t="n">
        <f aca="false">IF(A79&lt;'1 Inputs'!$B$21,0,IF(C79=1,0,MIN('1 Inputs'!$B$15,D79)))</f>
        <v>0</v>
      </c>
      <c r="F79" s="13" t="n">
        <f aca="false">E79*'1 Inputs'!$B$7*'1 Inputs'!$B$8*'1 Inputs'!$B$9*'1 Inputs'!$B$10</f>
        <v>0</v>
      </c>
      <c r="G79" s="12" t="n">
        <f aca="false">F79*'1 Inputs'!$B$11</f>
        <v>0</v>
      </c>
      <c r="H79" s="19" t="n">
        <f aca="false">A79+'1 Inputs'!$B$22+'1 Inputs'!$B$23+'1 Inputs'!$B$24</f>
        <v>95</v>
      </c>
      <c r="I79" s="19" t="n">
        <f aca="false">H79+'1 Inputs'!$B$25</f>
        <v>97</v>
      </c>
      <c r="J79" s="0" t="str">
        <f aca="false">IF(E79=0,"",IFERROR(INDEX($T$5:$T$40,MATCH(I79,$T$5:$T$40,1)+IF(INDEX($T$5:$T$40,MATCH(I79,$T$5:$T$40,1))=I79,0,1)),$T$5))</f>
        <v/>
      </c>
      <c r="K79" s="0" t="str">
        <f aca="false">IF(J79="","",J79+'1 Inputs'!$B$26)</f>
        <v/>
      </c>
      <c r="U79" s="0" t="n">
        <v>75</v>
      </c>
      <c r="V79" s="19" t="n">
        <f aca="false">IF(OR(AND((MOD(U79-1,52)+1)&gt;='1 Inputs'!$B$45,(MOD(U79-1,52)+1)&lt;='1 Inputs'!$C$45),AND((MOD(U79-1,52)+1)&gt;='1 Inputs'!$B$46,(MOD(U79-1,52)+1)&lt;='1 Inputs'!$C$46)),1,0)</f>
        <v>0</v>
      </c>
      <c r="W79" s="19" t="n">
        <f aca="false">W78+1-V79</f>
        <v>68</v>
      </c>
    </row>
    <row r="80" customFormat="false" ht="15" hidden="false" customHeight="false" outlineLevel="0" collapsed="false">
      <c r="A80" s="0" t="n">
        <v>76</v>
      </c>
      <c r="B80" s="0" t="n">
        <f aca="false">MOD(A80-1,52)+1</f>
        <v>24</v>
      </c>
      <c r="C80" s="0" t="n">
        <f aca="false">IF(OR(AND(B80&gt;='1 Inputs'!$B$45,B80&lt;='1 Inputs'!$C$45),AND(B80&gt;='1 Inputs'!$B$46,B80&lt;='1 Inputs'!$C$46)),1,0)</f>
        <v>0</v>
      </c>
      <c r="D80" s="13" t="n">
        <f aca="false">D79-E79</f>
        <v>0</v>
      </c>
      <c r="E80" s="13" t="n">
        <f aca="false">IF(A80&lt;'1 Inputs'!$B$21,0,IF(C80=1,0,MIN('1 Inputs'!$B$15,D80)))</f>
        <v>0</v>
      </c>
      <c r="F80" s="13" t="n">
        <f aca="false">E80*'1 Inputs'!$B$7*'1 Inputs'!$B$8*'1 Inputs'!$B$9*'1 Inputs'!$B$10</f>
        <v>0</v>
      </c>
      <c r="G80" s="12" t="n">
        <f aca="false">F80*'1 Inputs'!$B$11</f>
        <v>0</v>
      </c>
      <c r="H80" s="19" t="n">
        <f aca="false">A80+'1 Inputs'!$B$22+'1 Inputs'!$B$23+'1 Inputs'!$B$24</f>
        <v>96</v>
      </c>
      <c r="I80" s="19" t="n">
        <f aca="false">H80+'1 Inputs'!$B$25</f>
        <v>98</v>
      </c>
      <c r="J80" s="0" t="str">
        <f aca="false">IF(E80=0,"",IFERROR(INDEX($T$5:$T$40,MATCH(I80,$T$5:$T$40,1)+IF(INDEX($T$5:$T$40,MATCH(I80,$T$5:$T$40,1))=I80,0,1)),$T$5))</f>
        <v/>
      </c>
      <c r="K80" s="0" t="str">
        <f aca="false">IF(J80="","",J80+'1 Inputs'!$B$26)</f>
        <v/>
      </c>
      <c r="U80" s="0" t="n">
        <v>76</v>
      </c>
      <c r="V80" s="19" t="n">
        <f aca="false">IF(OR(AND((MOD(U80-1,52)+1)&gt;='1 Inputs'!$B$45,(MOD(U80-1,52)+1)&lt;='1 Inputs'!$C$45),AND((MOD(U80-1,52)+1)&gt;='1 Inputs'!$B$46,(MOD(U80-1,52)+1)&lt;='1 Inputs'!$C$46)),1,0)</f>
        <v>0</v>
      </c>
      <c r="W80" s="19" t="n">
        <f aca="false">W79+1-V80</f>
        <v>69</v>
      </c>
    </row>
    <row r="81" customFormat="false" ht="15" hidden="false" customHeight="false" outlineLevel="0" collapsed="false">
      <c r="A81" s="0" t="n">
        <v>77</v>
      </c>
      <c r="B81" s="0" t="n">
        <f aca="false">MOD(A81-1,52)+1</f>
        <v>25</v>
      </c>
      <c r="C81" s="0" t="n">
        <f aca="false">IF(OR(AND(B81&gt;='1 Inputs'!$B$45,B81&lt;='1 Inputs'!$C$45),AND(B81&gt;='1 Inputs'!$B$46,B81&lt;='1 Inputs'!$C$46)),1,0)</f>
        <v>0</v>
      </c>
      <c r="D81" s="13" t="n">
        <f aca="false">D80-E80</f>
        <v>0</v>
      </c>
      <c r="E81" s="13" t="n">
        <f aca="false">IF(A81&lt;'1 Inputs'!$B$21,0,IF(C81=1,0,MIN('1 Inputs'!$B$15,D81)))</f>
        <v>0</v>
      </c>
      <c r="F81" s="13" t="n">
        <f aca="false">E81*'1 Inputs'!$B$7*'1 Inputs'!$B$8*'1 Inputs'!$B$9*'1 Inputs'!$B$10</f>
        <v>0</v>
      </c>
      <c r="G81" s="12" t="n">
        <f aca="false">F81*'1 Inputs'!$B$11</f>
        <v>0</v>
      </c>
      <c r="H81" s="19" t="n">
        <f aca="false">A81+'1 Inputs'!$B$22+'1 Inputs'!$B$23+'1 Inputs'!$B$24</f>
        <v>97</v>
      </c>
      <c r="I81" s="19" t="n">
        <f aca="false">H81+'1 Inputs'!$B$25</f>
        <v>99</v>
      </c>
      <c r="J81" s="0" t="str">
        <f aca="false">IF(E81=0,"",IFERROR(INDEX($T$5:$T$40,MATCH(I81,$T$5:$T$40,1)+IF(INDEX($T$5:$T$40,MATCH(I81,$T$5:$T$40,1))=I81,0,1)),$T$5))</f>
        <v/>
      </c>
      <c r="K81" s="0" t="str">
        <f aca="false">IF(J81="","",J81+'1 Inputs'!$B$26)</f>
        <v/>
      </c>
      <c r="U81" s="0" t="n">
        <v>77</v>
      </c>
      <c r="V81" s="19" t="n">
        <f aca="false">IF(OR(AND((MOD(U81-1,52)+1)&gt;='1 Inputs'!$B$45,(MOD(U81-1,52)+1)&lt;='1 Inputs'!$C$45),AND((MOD(U81-1,52)+1)&gt;='1 Inputs'!$B$46,(MOD(U81-1,52)+1)&lt;='1 Inputs'!$C$46)),1,0)</f>
        <v>0</v>
      </c>
      <c r="W81" s="19" t="n">
        <f aca="false">W80+1-V81</f>
        <v>70</v>
      </c>
    </row>
    <row r="82" customFormat="false" ht="15" hidden="false" customHeight="false" outlineLevel="0" collapsed="false">
      <c r="A82" s="0" t="n">
        <v>78</v>
      </c>
      <c r="B82" s="0" t="n">
        <f aca="false">MOD(A82-1,52)+1</f>
        <v>26</v>
      </c>
      <c r="C82" s="0" t="n">
        <f aca="false">IF(OR(AND(B82&gt;='1 Inputs'!$B$45,B82&lt;='1 Inputs'!$C$45),AND(B82&gt;='1 Inputs'!$B$46,B82&lt;='1 Inputs'!$C$46)),1,0)</f>
        <v>0</v>
      </c>
      <c r="D82" s="13" t="n">
        <f aca="false">D81-E81</f>
        <v>0</v>
      </c>
      <c r="E82" s="13" t="n">
        <f aca="false">IF(A82&lt;'1 Inputs'!$B$21,0,IF(C82=1,0,MIN('1 Inputs'!$B$15,D82)))</f>
        <v>0</v>
      </c>
      <c r="F82" s="13" t="n">
        <f aca="false">E82*'1 Inputs'!$B$7*'1 Inputs'!$B$8*'1 Inputs'!$B$9*'1 Inputs'!$B$10</f>
        <v>0</v>
      </c>
      <c r="G82" s="12" t="n">
        <f aca="false">F82*'1 Inputs'!$B$11</f>
        <v>0</v>
      </c>
      <c r="H82" s="19" t="n">
        <f aca="false">A82+'1 Inputs'!$B$22+'1 Inputs'!$B$23+'1 Inputs'!$B$24</f>
        <v>98</v>
      </c>
      <c r="I82" s="19" t="n">
        <f aca="false">H82+'1 Inputs'!$B$25</f>
        <v>100</v>
      </c>
      <c r="J82" s="0" t="str">
        <f aca="false">IF(E82=0,"",IFERROR(INDEX($T$5:$T$40,MATCH(I82,$T$5:$T$40,1)+IF(INDEX($T$5:$T$40,MATCH(I82,$T$5:$T$40,1))=I82,0,1)),$T$5))</f>
        <v/>
      </c>
      <c r="K82" s="0" t="str">
        <f aca="false">IF(J82="","",J82+'1 Inputs'!$B$26)</f>
        <v/>
      </c>
      <c r="U82" s="0" t="n">
        <v>78</v>
      </c>
      <c r="V82" s="19" t="n">
        <f aca="false">IF(OR(AND((MOD(U82-1,52)+1)&gt;='1 Inputs'!$B$45,(MOD(U82-1,52)+1)&lt;='1 Inputs'!$C$45),AND((MOD(U82-1,52)+1)&gt;='1 Inputs'!$B$46,(MOD(U82-1,52)+1)&lt;='1 Inputs'!$C$46)),1,0)</f>
        <v>0</v>
      </c>
      <c r="W82" s="19" t="n">
        <f aca="false">W81+1-V82</f>
        <v>71</v>
      </c>
    </row>
    <row r="83" customFormat="false" ht="15" hidden="false" customHeight="false" outlineLevel="0" collapsed="false">
      <c r="A83" s="0" t="n">
        <v>79</v>
      </c>
      <c r="B83" s="0" t="n">
        <f aca="false">MOD(A83-1,52)+1</f>
        <v>27</v>
      </c>
      <c r="C83" s="0" t="n">
        <f aca="false">IF(OR(AND(B83&gt;='1 Inputs'!$B$45,B83&lt;='1 Inputs'!$C$45),AND(B83&gt;='1 Inputs'!$B$46,B83&lt;='1 Inputs'!$C$46)),1,0)</f>
        <v>0</v>
      </c>
      <c r="D83" s="13" t="n">
        <f aca="false">D82-E82</f>
        <v>0</v>
      </c>
      <c r="E83" s="13" t="n">
        <f aca="false">IF(A83&lt;'1 Inputs'!$B$21,0,IF(C83=1,0,MIN('1 Inputs'!$B$15,D83)))</f>
        <v>0</v>
      </c>
      <c r="F83" s="13" t="n">
        <f aca="false">E83*'1 Inputs'!$B$7*'1 Inputs'!$B$8*'1 Inputs'!$B$9*'1 Inputs'!$B$10</f>
        <v>0</v>
      </c>
      <c r="G83" s="12" t="n">
        <f aca="false">F83*'1 Inputs'!$B$11</f>
        <v>0</v>
      </c>
      <c r="H83" s="19" t="n">
        <f aca="false">A83+'1 Inputs'!$B$22+'1 Inputs'!$B$23+'1 Inputs'!$B$24</f>
        <v>99</v>
      </c>
      <c r="I83" s="19" t="n">
        <f aca="false">H83+'1 Inputs'!$B$25</f>
        <v>101</v>
      </c>
      <c r="J83" s="0" t="str">
        <f aca="false">IF(E83=0,"",IFERROR(INDEX($T$5:$T$40,MATCH(I83,$T$5:$T$40,1)+IF(INDEX($T$5:$T$40,MATCH(I83,$T$5:$T$40,1))=I83,0,1)),$T$5))</f>
        <v/>
      </c>
      <c r="K83" s="0" t="str">
        <f aca="false">IF(J83="","",J83+'1 Inputs'!$B$26)</f>
        <v/>
      </c>
      <c r="U83" s="0" t="n">
        <v>79</v>
      </c>
      <c r="V83" s="19" t="n">
        <f aca="false">IF(OR(AND((MOD(U83-1,52)+1)&gt;='1 Inputs'!$B$45,(MOD(U83-1,52)+1)&lt;='1 Inputs'!$C$45),AND((MOD(U83-1,52)+1)&gt;='1 Inputs'!$B$46,(MOD(U83-1,52)+1)&lt;='1 Inputs'!$C$46)),1,0)</f>
        <v>0</v>
      </c>
      <c r="W83" s="19" t="n">
        <f aca="false">W82+1-V83</f>
        <v>72</v>
      </c>
    </row>
    <row r="84" customFormat="false" ht="15" hidden="false" customHeight="false" outlineLevel="0" collapsed="false">
      <c r="A84" s="0" t="n">
        <v>80</v>
      </c>
      <c r="B84" s="0" t="n">
        <f aca="false">MOD(A84-1,52)+1</f>
        <v>28</v>
      </c>
      <c r="C84" s="0" t="n">
        <f aca="false">IF(OR(AND(B84&gt;='1 Inputs'!$B$45,B84&lt;='1 Inputs'!$C$45),AND(B84&gt;='1 Inputs'!$B$46,B84&lt;='1 Inputs'!$C$46)),1,0)</f>
        <v>0</v>
      </c>
      <c r="D84" s="13" t="n">
        <f aca="false">D83-E83</f>
        <v>0</v>
      </c>
      <c r="E84" s="13" t="n">
        <f aca="false">IF(A84&lt;'1 Inputs'!$B$21,0,IF(C84=1,0,MIN('1 Inputs'!$B$15,D84)))</f>
        <v>0</v>
      </c>
      <c r="F84" s="13" t="n">
        <f aca="false">E84*'1 Inputs'!$B$7*'1 Inputs'!$B$8*'1 Inputs'!$B$9*'1 Inputs'!$B$10</f>
        <v>0</v>
      </c>
      <c r="G84" s="12" t="n">
        <f aca="false">F84*'1 Inputs'!$B$11</f>
        <v>0</v>
      </c>
      <c r="H84" s="19" t="n">
        <f aca="false">A84+'1 Inputs'!$B$22+'1 Inputs'!$B$23+'1 Inputs'!$B$24</f>
        <v>100</v>
      </c>
      <c r="I84" s="19" t="n">
        <f aca="false">H84+'1 Inputs'!$B$25</f>
        <v>102</v>
      </c>
      <c r="J84" s="0" t="str">
        <f aca="false">IF(E84=0,"",IFERROR(INDEX($T$5:$T$40,MATCH(I84,$T$5:$T$40,1)+IF(INDEX($T$5:$T$40,MATCH(I84,$T$5:$T$40,1))=I84,0,1)),$T$5))</f>
        <v/>
      </c>
      <c r="K84" s="0" t="str">
        <f aca="false">IF(J84="","",J84+'1 Inputs'!$B$26)</f>
        <v/>
      </c>
      <c r="U84" s="0" t="n">
        <v>80</v>
      </c>
      <c r="V84" s="19" t="n">
        <f aca="false">IF(OR(AND((MOD(U84-1,52)+1)&gt;='1 Inputs'!$B$45,(MOD(U84-1,52)+1)&lt;='1 Inputs'!$C$45),AND((MOD(U84-1,52)+1)&gt;='1 Inputs'!$B$46,(MOD(U84-1,52)+1)&lt;='1 Inputs'!$C$46)),1,0)</f>
        <v>0</v>
      </c>
      <c r="W84" s="19" t="n">
        <f aca="false">W83+1-V84</f>
        <v>73</v>
      </c>
    </row>
    <row r="85" customFormat="false" ht="15" hidden="false" customHeight="false" outlineLevel="0" collapsed="false">
      <c r="A85" s="0" t="n">
        <v>81</v>
      </c>
      <c r="B85" s="0" t="n">
        <f aca="false">MOD(A85-1,52)+1</f>
        <v>29</v>
      </c>
      <c r="C85" s="0" t="n">
        <f aca="false">IF(OR(AND(B85&gt;='1 Inputs'!$B$45,B85&lt;='1 Inputs'!$C$45),AND(B85&gt;='1 Inputs'!$B$46,B85&lt;='1 Inputs'!$C$46)),1,0)</f>
        <v>0</v>
      </c>
      <c r="D85" s="13" t="n">
        <f aca="false">D84-E84</f>
        <v>0</v>
      </c>
      <c r="E85" s="13" t="n">
        <f aca="false">IF(A85&lt;'1 Inputs'!$B$21,0,IF(C85=1,0,MIN('1 Inputs'!$B$15,D85)))</f>
        <v>0</v>
      </c>
      <c r="F85" s="13" t="n">
        <f aca="false">E85*'1 Inputs'!$B$7*'1 Inputs'!$B$8*'1 Inputs'!$B$9*'1 Inputs'!$B$10</f>
        <v>0</v>
      </c>
      <c r="G85" s="12" t="n">
        <f aca="false">F85*'1 Inputs'!$B$11</f>
        <v>0</v>
      </c>
      <c r="H85" s="19" t="n">
        <f aca="false">A85+'1 Inputs'!$B$22+'1 Inputs'!$B$23+'1 Inputs'!$B$24</f>
        <v>101</v>
      </c>
      <c r="I85" s="19" t="n">
        <f aca="false">H85+'1 Inputs'!$B$25</f>
        <v>103</v>
      </c>
      <c r="J85" s="0" t="str">
        <f aca="false">IF(E85=0,"",IFERROR(INDEX($T$5:$T$40,MATCH(I85,$T$5:$T$40,1)+IF(INDEX($T$5:$T$40,MATCH(I85,$T$5:$T$40,1))=I85,0,1)),$T$5))</f>
        <v/>
      </c>
      <c r="K85" s="0" t="str">
        <f aca="false">IF(J85="","",J85+'1 Inputs'!$B$26)</f>
        <v/>
      </c>
      <c r="U85" s="0" t="n">
        <v>81</v>
      </c>
      <c r="V85" s="19" t="n">
        <f aca="false">IF(OR(AND((MOD(U85-1,52)+1)&gt;='1 Inputs'!$B$45,(MOD(U85-1,52)+1)&lt;='1 Inputs'!$C$45),AND((MOD(U85-1,52)+1)&gt;='1 Inputs'!$B$46,(MOD(U85-1,52)+1)&lt;='1 Inputs'!$C$46)),1,0)</f>
        <v>0</v>
      </c>
      <c r="W85" s="19" t="n">
        <f aca="false">W84+1-V85</f>
        <v>74</v>
      </c>
    </row>
    <row r="86" customFormat="false" ht="15" hidden="false" customHeight="false" outlineLevel="0" collapsed="false">
      <c r="A86" s="0" t="n">
        <v>82</v>
      </c>
      <c r="B86" s="0" t="n">
        <f aca="false">MOD(A86-1,52)+1</f>
        <v>30</v>
      </c>
      <c r="C86" s="0" t="n">
        <f aca="false">IF(OR(AND(B86&gt;='1 Inputs'!$B$45,B86&lt;='1 Inputs'!$C$45),AND(B86&gt;='1 Inputs'!$B$46,B86&lt;='1 Inputs'!$C$46)),1,0)</f>
        <v>0</v>
      </c>
      <c r="D86" s="13" t="n">
        <f aca="false">D85-E85</f>
        <v>0</v>
      </c>
      <c r="E86" s="13" t="n">
        <f aca="false">IF(A86&lt;'1 Inputs'!$B$21,0,IF(C86=1,0,MIN('1 Inputs'!$B$15,D86)))</f>
        <v>0</v>
      </c>
      <c r="F86" s="13" t="n">
        <f aca="false">E86*'1 Inputs'!$B$7*'1 Inputs'!$B$8*'1 Inputs'!$B$9*'1 Inputs'!$B$10</f>
        <v>0</v>
      </c>
      <c r="G86" s="12" t="n">
        <f aca="false">F86*'1 Inputs'!$B$11</f>
        <v>0</v>
      </c>
      <c r="H86" s="19" t="n">
        <f aca="false">A86+'1 Inputs'!$B$22+'1 Inputs'!$B$23+'1 Inputs'!$B$24</f>
        <v>102</v>
      </c>
      <c r="I86" s="19" t="n">
        <f aca="false">H86+'1 Inputs'!$B$25</f>
        <v>104</v>
      </c>
      <c r="J86" s="0" t="str">
        <f aca="false">IF(E86=0,"",IFERROR(INDEX($T$5:$T$40,MATCH(I86,$T$5:$T$40,1)+IF(INDEX($T$5:$T$40,MATCH(I86,$T$5:$T$40,1))=I86,0,1)),$T$5))</f>
        <v/>
      </c>
      <c r="K86" s="0" t="str">
        <f aca="false">IF(J86="","",J86+'1 Inputs'!$B$26)</f>
        <v/>
      </c>
      <c r="U86" s="0" t="n">
        <v>82</v>
      </c>
      <c r="V86" s="19" t="n">
        <f aca="false">IF(OR(AND((MOD(U86-1,52)+1)&gt;='1 Inputs'!$B$45,(MOD(U86-1,52)+1)&lt;='1 Inputs'!$C$45),AND((MOD(U86-1,52)+1)&gt;='1 Inputs'!$B$46,(MOD(U86-1,52)+1)&lt;='1 Inputs'!$C$46)),1,0)</f>
        <v>0</v>
      </c>
      <c r="W86" s="19" t="n">
        <f aca="false">W85+1-V86</f>
        <v>75</v>
      </c>
    </row>
    <row r="87" customFormat="false" ht="15" hidden="false" customHeight="false" outlineLevel="0" collapsed="false">
      <c r="A87" s="0" t="n">
        <v>83</v>
      </c>
      <c r="B87" s="0" t="n">
        <f aca="false">MOD(A87-1,52)+1</f>
        <v>31</v>
      </c>
      <c r="C87" s="0" t="n">
        <f aca="false">IF(OR(AND(B87&gt;='1 Inputs'!$B$45,B87&lt;='1 Inputs'!$C$45),AND(B87&gt;='1 Inputs'!$B$46,B87&lt;='1 Inputs'!$C$46)),1,0)</f>
        <v>1</v>
      </c>
      <c r="D87" s="13" t="n">
        <f aca="false">D86-E86</f>
        <v>0</v>
      </c>
      <c r="E87" s="13" t="n">
        <f aca="false">IF(A87&lt;'1 Inputs'!$B$21,0,IF(C87=1,0,MIN('1 Inputs'!$B$15,D87)))</f>
        <v>0</v>
      </c>
      <c r="F87" s="13" t="n">
        <f aca="false">E87*'1 Inputs'!$B$7*'1 Inputs'!$B$8*'1 Inputs'!$B$9*'1 Inputs'!$B$10</f>
        <v>0</v>
      </c>
      <c r="G87" s="12" t="n">
        <f aca="false">F87*'1 Inputs'!$B$11</f>
        <v>0</v>
      </c>
      <c r="H87" s="19" t="n">
        <f aca="false">A87+'1 Inputs'!$B$22+'1 Inputs'!$B$23+'1 Inputs'!$B$24</f>
        <v>103</v>
      </c>
      <c r="I87" s="19" t="n">
        <f aca="false">H87+'1 Inputs'!$B$25</f>
        <v>105</v>
      </c>
      <c r="J87" s="0" t="str">
        <f aca="false">IF(E87=0,"",IFERROR(INDEX($T$5:$T$40,MATCH(I87,$T$5:$T$40,1)+IF(INDEX($T$5:$T$40,MATCH(I87,$T$5:$T$40,1))=I87,0,1)),$T$5))</f>
        <v/>
      </c>
      <c r="K87" s="0" t="str">
        <f aca="false">IF(J87="","",J87+'1 Inputs'!$B$26)</f>
        <v/>
      </c>
      <c r="U87" s="0" t="n">
        <v>83</v>
      </c>
      <c r="V87" s="19" t="n">
        <f aca="false">IF(OR(AND((MOD(U87-1,52)+1)&gt;='1 Inputs'!$B$45,(MOD(U87-1,52)+1)&lt;='1 Inputs'!$C$45),AND((MOD(U87-1,52)+1)&gt;='1 Inputs'!$B$46,(MOD(U87-1,52)+1)&lt;='1 Inputs'!$C$46)),1,0)</f>
        <v>1</v>
      </c>
      <c r="W87" s="19" t="n">
        <f aca="false">W86+1-V87</f>
        <v>75</v>
      </c>
    </row>
    <row r="88" customFormat="false" ht="15" hidden="false" customHeight="false" outlineLevel="0" collapsed="false">
      <c r="A88" s="0" t="n">
        <v>84</v>
      </c>
      <c r="B88" s="0" t="n">
        <f aca="false">MOD(A88-1,52)+1</f>
        <v>32</v>
      </c>
      <c r="C88" s="0" t="n">
        <f aca="false">IF(OR(AND(B88&gt;='1 Inputs'!$B$45,B88&lt;='1 Inputs'!$C$45),AND(B88&gt;='1 Inputs'!$B$46,B88&lt;='1 Inputs'!$C$46)),1,0)</f>
        <v>1</v>
      </c>
      <c r="D88" s="13" t="n">
        <f aca="false">D87-E87</f>
        <v>0</v>
      </c>
      <c r="E88" s="13" t="n">
        <f aca="false">IF(A88&lt;'1 Inputs'!$B$21,0,IF(C88=1,0,MIN('1 Inputs'!$B$15,D88)))</f>
        <v>0</v>
      </c>
      <c r="F88" s="13" t="n">
        <f aca="false">E88*'1 Inputs'!$B$7*'1 Inputs'!$B$8*'1 Inputs'!$B$9*'1 Inputs'!$B$10</f>
        <v>0</v>
      </c>
      <c r="G88" s="12" t="n">
        <f aca="false">F88*'1 Inputs'!$B$11</f>
        <v>0</v>
      </c>
      <c r="H88" s="19" t="n">
        <f aca="false">A88+'1 Inputs'!$B$22+'1 Inputs'!$B$23+'1 Inputs'!$B$24</f>
        <v>104</v>
      </c>
      <c r="I88" s="19" t="n">
        <f aca="false">H88+'1 Inputs'!$B$25</f>
        <v>106</v>
      </c>
      <c r="J88" s="0" t="str">
        <f aca="false">IF(E88=0,"",IFERROR(INDEX($T$5:$T$40,MATCH(I88,$T$5:$T$40,1)+IF(INDEX($T$5:$T$40,MATCH(I88,$T$5:$T$40,1))=I88,0,1)),$T$5))</f>
        <v/>
      </c>
      <c r="K88" s="0" t="str">
        <f aca="false">IF(J88="","",J88+'1 Inputs'!$B$26)</f>
        <v/>
      </c>
      <c r="U88" s="0" t="n">
        <v>84</v>
      </c>
      <c r="V88" s="19" t="n">
        <f aca="false">IF(OR(AND((MOD(U88-1,52)+1)&gt;='1 Inputs'!$B$45,(MOD(U88-1,52)+1)&lt;='1 Inputs'!$C$45),AND((MOD(U88-1,52)+1)&gt;='1 Inputs'!$B$46,(MOD(U88-1,52)+1)&lt;='1 Inputs'!$C$46)),1,0)</f>
        <v>1</v>
      </c>
      <c r="W88" s="19" t="n">
        <f aca="false">W87+1-V88</f>
        <v>75</v>
      </c>
    </row>
    <row r="89" customFormat="false" ht="15" hidden="false" customHeight="false" outlineLevel="0" collapsed="false">
      <c r="A89" s="0" t="n">
        <v>85</v>
      </c>
      <c r="B89" s="0" t="n">
        <f aca="false">MOD(A89-1,52)+1</f>
        <v>33</v>
      </c>
      <c r="C89" s="0" t="n">
        <f aca="false">IF(OR(AND(B89&gt;='1 Inputs'!$B$45,B89&lt;='1 Inputs'!$C$45),AND(B89&gt;='1 Inputs'!$B$46,B89&lt;='1 Inputs'!$C$46)),1,0)</f>
        <v>1</v>
      </c>
      <c r="D89" s="13" t="n">
        <f aca="false">D88-E88</f>
        <v>0</v>
      </c>
      <c r="E89" s="13" t="n">
        <f aca="false">IF(A89&lt;'1 Inputs'!$B$21,0,IF(C89=1,0,MIN('1 Inputs'!$B$15,D89)))</f>
        <v>0</v>
      </c>
      <c r="F89" s="13" t="n">
        <f aca="false">E89*'1 Inputs'!$B$7*'1 Inputs'!$B$8*'1 Inputs'!$B$9*'1 Inputs'!$B$10</f>
        <v>0</v>
      </c>
      <c r="G89" s="12" t="n">
        <f aca="false">F89*'1 Inputs'!$B$11</f>
        <v>0</v>
      </c>
      <c r="H89" s="19" t="n">
        <f aca="false">A89+'1 Inputs'!$B$22+'1 Inputs'!$B$23+'1 Inputs'!$B$24</f>
        <v>105</v>
      </c>
      <c r="I89" s="19" t="n">
        <f aca="false">H89+'1 Inputs'!$B$25</f>
        <v>107</v>
      </c>
      <c r="J89" s="0" t="str">
        <f aca="false">IF(E89=0,"",IFERROR(INDEX($T$5:$T$40,MATCH(I89,$T$5:$T$40,1)+IF(INDEX($T$5:$T$40,MATCH(I89,$T$5:$T$40,1))=I89,0,1)),$T$5))</f>
        <v/>
      </c>
      <c r="K89" s="0" t="str">
        <f aca="false">IF(J89="","",J89+'1 Inputs'!$B$26)</f>
        <v/>
      </c>
      <c r="U89" s="0" t="n">
        <v>85</v>
      </c>
      <c r="V89" s="19" t="n">
        <f aca="false">IF(OR(AND((MOD(U89-1,52)+1)&gt;='1 Inputs'!$B$45,(MOD(U89-1,52)+1)&lt;='1 Inputs'!$C$45),AND((MOD(U89-1,52)+1)&gt;='1 Inputs'!$B$46,(MOD(U89-1,52)+1)&lt;='1 Inputs'!$C$46)),1,0)</f>
        <v>1</v>
      </c>
      <c r="W89" s="19" t="n">
        <f aca="false">W88+1-V89</f>
        <v>75</v>
      </c>
    </row>
    <row r="90" customFormat="false" ht="15" hidden="false" customHeight="false" outlineLevel="0" collapsed="false">
      <c r="A90" s="0" t="n">
        <v>86</v>
      </c>
      <c r="B90" s="0" t="n">
        <f aca="false">MOD(A90-1,52)+1</f>
        <v>34</v>
      </c>
      <c r="C90" s="0" t="n">
        <f aca="false">IF(OR(AND(B90&gt;='1 Inputs'!$B$45,B90&lt;='1 Inputs'!$C$45),AND(B90&gt;='1 Inputs'!$B$46,B90&lt;='1 Inputs'!$C$46)),1,0)</f>
        <v>1</v>
      </c>
      <c r="D90" s="13" t="n">
        <f aca="false">D89-E89</f>
        <v>0</v>
      </c>
      <c r="E90" s="13" t="n">
        <f aca="false">IF(A90&lt;'1 Inputs'!$B$21,0,IF(C90=1,0,MIN('1 Inputs'!$B$15,D90)))</f>
        <v>0</v>
      </c>
      <c r="F90" s="13" t="n">
        <f aca="false">E90*'1 Inputs'!$B$7*'1 Inputs'!$B$8*'1 Inputs'!$B$9*'1 Inputs'!$B$10</f>
        <v>0</v>
      </c>
      <c r="G90" s="12" t="n">
        <f aca="false">F90*'1 Inputs'!$B$11</f>
        <v>0</v>
      </c>
      <c r="H90" s="19" t="n">
        <f aca="false">A90+'1 Inputs'!$B$22+'1 Inputs'!$B$23+'1 Inputs'!$B$24</f>
        <v>106</v>
      </c>
      <c r="I90" s="19" t="n">
        <f aca="false">H90+'1 Inputs'!$B$25</f>
        <v>108</v>
      </c>
      <c r="J90" s="0" t="str">
        <f aca="false">IF(E90=0,"",IFERROR(INDEX($T$5:$T$40,MATCH(I90,$T$5:$T$40,1)+IF(INDEX($T$5:$T$40,MATCH(I90,$T$5:$T$40,1))=I90,0,1)),$T$5))</f>
        <v/>
      </c>
      <c r="K90" s="0" t="str">
        <f aca="false">IF(J90="","",J90+'1 Inputs'!$B$26)</f>
        <v/>
      </c>
      <c r="U90" s="0" t="n">
        <v>86</v>
      </c>
      <c r="V90" s="19" t="n">
        <f aca="false">IF(OR(AND((MOD(U90-1,52)+1)&gt;='1 Inputs'!$B$45,(MOD(U90-1,52)+1)&lt;='1 Inputs'!$C$45),AND((MOD(U90-1,52)+1)&gt;='1 Inputs'!$B$46,(MOD(U90-1,52)+1)&lt;='1 Inputs'!$C$46)),1,0)</f>
        <v>1</v>
      </c>
      <c r="W90" s="19" t="n">
        <f aca="false">W89+1-V90</f>
        <v>75</v>
      </c>
    </row>
    <row r="91" customFormat="false" ht="15" hidden="false" customHeight="false" outlineLevel="0" collapsed="false">
      <c r="A91" s="0" t="n">
        <v>87</v>
      </c>
      <c r="B91" s="0" t="n">
        <f aca="false">MOD(A91-1,52)+1</f>
        <v>35</v>
      </c>
      <c r="C91" s="0" t="n">
        <f aca="false">IF(OR(AND(B91&gt;='1 Inputs'!$B$45,B91&lt;='1 Inputs'!$C$45),AND(B91&gt;='1 Inputs'!$B$46,B91&lt;='1 Inputs'!$C$46)),1,0)</f>
        <v>0</v>
      </c>
      <c r="D91" s="13" t="n">
        <f aca="false">D90-E90</f>
        <v>0</v>
      </c>
      <c r="E91" s="13" t="n">
        <f aca="false">IF(A91&lt;'1 Inputs'!$B$21,0,IF(C91=1,0,MIN('1 Inputs'!$B$15,D91)))</f>
        <v>0</v>
      </c>
      <c r="F91" s="13" t="n">
        <f aca="false">E91*'1 Inputs'!$B$7*'1 Inputs'!$B$8*'1 Inputs'!$B$9*'1 Inputs'!$B$10</f>
        <v>0</v>
      </c>
      <c r="G91" s="12" t="n">
        <f aca="false">F91*'1 Inputs'!$B$11</f>
        <v>0</v>
      </c>
      <c r="H91" s="19" t="n">
        <f aca="false">A91+'1 Inputs'!$B$22+'1 Inputs'!$B$23+'1 Inputs'!$B$24</f>
        <v>107</v>
      </c>
      <c r="I91" s="19" t="n">
        <f aca="false">H91+'1 Inputs'!$B$25</f>
        <v>109</v>
      </c>
      <c r="J91" s="0" t="str">
        <f aca="false">IF(E91=0,"",IFERROR(INDEX($T$5:$T$40,MATCH(I91,$T$5:$T$40,1)+IF(INDEX($T$5:$T$40,MATCH(I91,$T$5:$T$40,1))=I91,0,1)),$T$5))</f>
        <v/>
      </c>
      <c r="K91" s="0" t="str">
        <f aca="false">IF(J91="","",J91+'1 Inputs'!$B$26)</f>
        <v/>
      </c>
      <c r="U91" s="0" t="n">
        <v>87</v>
      </c>
      <c r="V91" s="19" t="n">
        <f aca="false">IF(OR(AND((MOD(U91-1,52)+1)&gt;='1 Inputs'!$B$45,(MOD(U91-1,52)+1)&lt;='1 Inputs'!$C$45),AND((MOD(U91-1,52)+1)&gt;='1 Inputs'!$B$46,(MOD(U91-1,52)+1)&lt;='1 Inputs'!$C$46)),1,0)</f>
        <v>0</v>
      </c>
      <c r="W91" s="19" t="n">
        <f aca="false">W90+1-V91</f>
        <v>76</v>
      </c>
    </row>
    <row r="92" customFormat="false" ht="15" hidden="false" customHeight="false" outlineLevel="0" collapsed="false">
      <c r="A92" s="0" t="n">
        <v>88</v>
      </c>
      <c r="B92" s="0" t="n">
        <f aca="false">MOD(A92-1,52)+1</f>
        <v>36</v>
      </c>
      <c r="C92" s="0" t="n">
        <f aca="false">IF(OR(AND(B92&gt;='1 Inputs'!$B$45,B92&lt;='1 Inputs'!$C$45),AND(B92&gt;='1 Inputs'!$B$46,B92&lt;='1 Inputs'!$C$46)),1,0)</f>
        <v>0</v>
      </c>
      <c r="D92" s="13" t="n">
        <f aca="false">D91-E91</f>
        <v>0</v>
      </c>
      <c r="E92" s="13" t="n">
        <f aca="false">IF(A92&lt;'1 Inputs'!$B$21,0,IF(C92=1,0,MIN('1 Inputs'!$B$15,D92)))</f>
        <v>0</v>
      </c>
      <c r="F92" s="13" t="n">
        <f aca="false">E92*'1 Inputs'!$B$7*'1 Inputs'!$B$8*'1 Inputs'!$B$9*'1 Inputs'!$B$10</f>
        <v>0</v>
      </c>
      <c r="G92" s="12" t="n">
        <f aca="false">F92*'1 Inputs'!$B$11</f>
        <v>0</v>
      </c>
      <c r="H92" s="19" t="n">
        <f aca="false">A92+'1 Inputs'!$B$22+'1 Inputs'!$B$23+'1 Inputs'!$B$24</f>
        <v>108</v>
      </c>
      <c r="I92" s="19" t="n">
        <f aca="false">H92+'1 Inputs'!$B$25</f>
        <v>110</v>
      </c>
      <c r="J92" s="0" t="str">
        <f aca="false">IF(E92=0,"",IFERROR(INDEX($T$5:$T$40,MATCH(I92,$T$5:$T$40,1)+IF(INDEX($T$5:$T$40,MATCH(I92,$T$5:$T$40,1))=I92,0,1)),$T$5))</f>
        <v/>
      </c>
      <c r="K92" s="0" t="str">
        <f aca="false">IF(J92="","",J92+'1 Inputs'!$B$26)</f>
        <v/>
      </c>
      <c r="U92" s="0" t="n">
        <v>88</v>
      </c>
      <c r="V92" s="19" t="n">
        <f aca="false">IF(OR(AND((MOD(U92-1,52)+1)&gt;='1 Inputs'!$B$45,(MOD(U92-1,52)+1)&lt;='1 Inputs'!$C$45),AND((MOD(U92-1,52)+1)&gt;='1 Inputs'!$B$46,(MOD(U92-1,52)+1)&lt;='1 Inputs'!$C$46)),1,0)</f>
        <v>0</v>
      </c>
      <c r="W92" s="19" t="n">
        <f aca="false">W91+1-V92</f>
        <v>77</v>
      </c>
    </row>
    <row r="93" customFormat="false" ht="15" hidden="false" customHeight="false" outlineLevel="0" collapsed="false">
      <c r="A93" s="0" t="n">
        <v>89</v>
      </c>
      <c r="B93" s="0" t="n">
        <f aca="false">MOD(A93-1,52)+1</f>
        <v>37</v>
      </c>
      <c r="C93" s="0" t="n">
        <f aca="false">IF(OR(AND(B93&gt;='1 Inputs'!$B$45,B93&lt;='1 Inputs'!$C$45),AND(B93&gt;='1 Inputs'!$B$46,B93&lt;='1 Inputs'!$C$46)),1,0)</f>
        <v>0</v>
      </c>
      <c r="D93" s="13" t="n">
        <f aca="false">D92-E92</f>
        <v>0</v>
      </c>
      <c r="E93" s="13" t="n">
        <f aca="false">IF(A93&lt;'1 Inputs'!$B$21,0,IF(C93=1,0,MIN('1 Inputs'!$B$15,D93)))</f>
        <v>0</v>
      </c>
      <c r="F93" s="13" t="n">
        <f aca="false">E93*'1 Inputs'!$B$7*'1 Inputs'!$B$8*'1 Inputs'!$B$9*'1 Inputs'!$B$10</f>
        <v>0</v>
      </c>
      <c r="G93" s="12" t="n">
        <f aca="false">F93*'1 Inputs'!$B$11</f>
        <v>0</v>
      </c>
      <c r="H93" s="19" t="n">
        <f aca="false">A93+'1 Inputs'!$B$22+'1 Inputs'!$B$23+'1 Inputs'!$B$24</f>
        <v>109</v>
      </c>
      <c r="I93" s="19" t="n">
        <f aca="false">H93+'1 Inputs'!$B$25</f>
        <v>111</v>
      </c>
      <c r="J93" s="0" t="str">
        <f aca="false">IF(E93=0,"",IFERROR(INDEX($T$5:$T$40,MATCH(I93,$T$5:$T$40,1)+IF(INDEX($T$5:$T$40,MATCH(I93,$T$5:$T$40,1))=I93,0,1)),$T$5))</f>
        <v/>
      </c>
      <c r="K93" s="0" t="str">
        <f aca="false">IF(J93="","",J93+'1 Inputs'!$B$26)</f>
        <v/>
      </c>
      <c r="U93" s="0" t="n">
        <v>89</v>
      </c>
      <c r="V93" s="19" t="n">
        <f aca="false">IF(OR(AND((MOD(U93-1,52)+1)&gt;='1 Inputs'!$B$45,(MOD(U93-1,52)+1)&lt;='1 Inputs'!$C$45),AND((MOD(U93-1,52)+1)&gt;='1 Inputs'!$B$46,(MOD(U93-1,52)+1)&lt;='1 Inputs'!$C$46)),1,0)</f>
        <v>0</v>
      </c>
      <c r="W93" s="19" t="n">
        <f aca="false">W92+1-V93</f>
        <v>78</v>
      </c>
    </row>
    <row r="94" customFormat="false" ht="15" hidden="false" customHeight="false" outlineLevel="0" collapsed="false">
      <c r="A94" s="0" t="n">
        <v>90</v>
      </c>
      <c r="B94" s="0" t="n">
        <f aca="false">MOD(A94-1,52)+1</f>
        <v>38</v>
      </c>
      <c r="C94" s="0" t="n">
        <f aca="false">IF(OR(AND(B94&gt;='1 Inputs'!$B$45,B94&lt;='1 Inputs'!$C$45),AND(B94&gt;='1 Inputs'!$B$46,B94&lt;='1 Inputs'!$C$46)),1,0)</f>
        <v>0</v>
      </c>
      <c r="D94" s="13" t="n">
        <f aca="false">D93-E93</f>
        <v>0</v>
      </c>
      <c r="E94" s="13" t="n">
        <f aca="false">IF(A94&lt;'1 Inputs'!$B$21,0,IF(C94=1,0,MIN('1 Inputs'!$B$15,D94)))</f>
        <v>0</v>
      </c>
      <c r="F94" s="13" t="n">
        <f aca="false">E94*'1 Inputs'!$B$7*'1 Inputs'!$B$8*'1 Inputs'!$B$9*'1 Inputs'!$B$10</f>
        <v>0</v>
      </c>
      <c r="G94" s="12" t="n">
        <f aca="false">F94*'1 Inputs'!$B$11</f>
        <v>0</v>
      </c>
      <c r="H94" s="19" t="n">
        <f aca="false">A94+'1 Inputs'!$B$22+'1 Inputs'!$B$23+'1 Inputs'!$B$24</f>
        <v>110</v>
      </c>
      <c r="I94" s="19" t="n">
        <f aca="false">H94+'1 Inputs'!$B$25</f>
        <v>112</v>
      </c>
      <c r="J94" s="0" t="str">
        <f aca="false">IF(E94=0,"",IFERROR(INDEX($T$5:$T$40,MATCH(I94,$T$5:$T$40,1)+IF(INDEX($T$5:$T$40,MATCH(I94,$T$5:$T$40,1))=I94,0,1)),$T$5))</f>
        <v/>
      </c>
      <c r="K94" s="0" t="str">
        <f aca="false">IF(J94="","",J94+'1 Inputs'!$B$26)</f>
        <v/>
      </c>
      <c r="U94" s="0" t="n">
        <v>90</v>
      </c>
      <c r="V94" s="19" t="n">
        <f aca="false">IF(OR(AND((MOD(U94-1,52)+1)&gt;='1 Inputs'!$B$45,(MOD(U94-1,52)+1)&lt;='1 Inputs'!$C$45),AND((MOD(U94-1,52)+1)&gt;='1 Inputs'!$B$46,(MOD(U94-1,52)+1)&lt;='1 Inputs'!$C$46)),1,0)</f>
        <v>0</v>
      </c>
      <c r="W94" s="19" t="n">
        <f aca="false">W93+1-V94</f>
        <v>79</v>
      </c>
    </row>
    <row r="95" customFormat="false" ht="15" hidden="false" customHeight="false" outlineLevel="0" collapsed="false">
      <c r="A95" s="0" t="n">
        <v>91</v>
      </c>
      <c r="B95" s="0" t="n">
        <f aca="false">MOD(A95-1,52)+1</f>
        <v>39</v>
      </c>
      <c r="C95" s="0" t="n">
        <f aca="false">IF(OR(AND(B95&gt;='1 Inputs'!$B$45,B95&lt;='1 Inputs'!$C$45),AND(B95&gt;='1 Inputs'!$B$46,B95&lt;='1 Inputs'!$C$46)),1,0)</f>
        <v>0</v>
      </c>
      <c r="D95" s="13" t="n">
        <f aca="false">D94-E94</f>
        <v>0</v>
      </c>
      <c r="E95" s="13" t="n">
        <f aca="false">IF(A95&lt;'1 Inputs'!$B$21,0,IF(C95=1,0,MIN('1 Inputs'!$B$15,D95)))</f>
        <v>0</v>
      </c>
      <c r="F95" s="13" t="n">
        <f aca="false">E95*'1 Inputs'!$B$7*'1 Inputs'!$B$8*'1 Inputs'!$B$9*'1 Inputs'!$B$10</f>
        <v>0</v>
      </c>
      <c r="G95" s="12" t="n">
        <f aca="false">F95*'1 Inputs'!$B$11</f>
        <v>0</v>
      </c>
      <c r="H95" s="19" t="n">
        <f aca="false">A95+'1 Inputs'!$B$22+'1 Inputs'!$B$23+'1 Inputs'!$B$24</f>
        <v>111</v>
      </c>
      <c r="I95" s="19" t="n">
        <f aca="false">H95+'1 Inputs'!$B$25</f>
        <v>113</v>
      </c>
      <c r="J95" s="0" t="str">
        <f aca="false">IF(E95=0,"",IFERROR(INDEX($T$5:$T$40,MATCH(I95,$T$5:$T$40,1)+IF(INDEX($T$5:$T$40,MATCH(I95,$T$5:$T$40,1))=I95,0,1)),$T$5))</f>
        <v/>
      </c>
      <c r="K95" s="0" t="str">
        <f aca="false">IF(J95="","",J95+'1 Inputs'!$B$26)</f>
        <v/>
      </c>
      <c r="U95" s="0" t="n">
        <v>91</v>
      </c>
      <c r="V95" s="19" t="n">
        <f aca="false">IF(OR(AND((MOD(U95-1,52)+1)&gt;='1 Inputs'!$B$45,(MOD(U95-1,52)+1)&lt;='1 Inputs'!$C$45),AND((MOD(U95-1,52)+1)&gt;='1 Inputs'!$B$46,(MOD(U95-1,52)+1)&lt;='1 Inputs'!$C$46)),1,0)</f>
        <v>0</v>
      </c>
      <c r="W95" s="19" t="n">
        <f aca="false">W94+1-V95</f>
        <v>80</v>
      </c>
    </row>
    <row r="96" customFormat="false" ht="15" hidden="false" customHeight="false" outlineLevel="0" collapsed="false">
      <c r="A96" s="0" t="n">
        <v>92</v>
      </c>
      <c r="B96" s="0" t="n">
        <f aca="false">MOD(A96-1,52)+1</f>
        <v>40</v>
      </c>
      <c r="C96" s="0" t="n">
        <f aca="false">IF(OR(AND(B96&gt;='1 Inputs'!$B$45,B96&lt;='1 Inputs'!$C$45),AND(B96&gt;='1 Inputs'!$B$46,B96&lt;='1 Inputs'!$C$46)),1,0)</f>
        <v>0</v>
      </c>
      <c r="D96" s="13" t="n">
        <f aca="false">D95-E95</f>
        <v>0</v>
      </c>
      <c r="E96" s="13" t="n">
        <f aca="false">IF(A96&lt;'1 Inputs'!$B$21,0,IF(C96=1,0,MIN('1 Inputs'!$B$15,D96)))</f>
        <v>0</v>
      </c>
      <c r="F96" s="13" t="n">
        <f aca="false">E96*'1 Inputs'!$B$7*'1 Inputs'!$B$8*'1 Inputs'!$B$9*'1 Inputs'!$B$10</f>
        <v>0</v>
      </c>
      <c r="G96" s="12" t="n">
        <f aca="false">F96*'1 Inputs'!$B$11</f>
        <v>0</v>
      </c>
      <c r="H96" s="19" t="n">
        <f aca="false">A96+'1 Inputs'!$B$22+'1 Inputs'!$B$23+'1 Inputs'!$B$24</f>
        <v>112</v>
      </c>
      <c r="I96" s="19" t="n">
        <f aca="false">H96+'1 Inputs'!$B$25</f>
        <v>114</v>
      </c>
      <c r="J96" s="0" t="str">
        <f aca="false">IF(E96=0,"",IFERROR(INDEX($T$5:$T$40,MATCH(I96,$T$5:$T$40,1)+IF(INDEX($T$5:$T$40,MATCH(I96,$T$5:$T$40,1))=I96,0,1)),$T$5))</f>
        <v/>
      </c>
      <c r="K96" s="0" t="str">
        <f aca="false">IF(J96="","",J96+'1 Inputs'!$B$26)</f>
        <v/>
      </c>
      <c r="U96" s="0" t="n">
        <v>92</v>
      </c>
      <c r="V96" s="19" t="n">
        <f aca="false">IF(OR(AND((MOD(U96-1,52)+1)&gt;='1 Inputs'!$B$45,(MOD(U96-1,52)+1)&lt;='1 Inputs'!$C$45),AND((MOD(U96-1,52)+1)&gt;='1 Inputs'!$B$46,(MOD(U96-1,52)+1)&lt;='1 Inputs'!$C$46)),1,0)</f>
        <v>0</v>
      </c>
      <c r="W96" s="19" t="n">
        <f aca="false">W95+1-V96</f>
        <v>81</v>
      </c>
    </row>
    <row r="97" customFormat="false" ht="15" hidden="false" customHeight="false" outlineLevel="0" collapsed="false">
      <c r="A97" s="0" t="n">
        <v>93</v>
      </c>
      <c r="B97" s="0" t="n">
        <f aca="false">MOD(A97-1,52)+1</f>
        <v>41</v>
      </c>
      <c r="C97" s="0" t="n">
        <f aca="false">IF(OR(AND(B97&gt;='1 Inputs'!$B$45,B97&lt;='1 Inputs'!$C$45),AND(B97&gt;='1 Inputs'!$B$46,B97&lt;='1 Inputs'!$C$46)),1,0)</f>
        <v>0</v>
      </c>
      <c r="D97" s="13" t="n">
        <f aca="false">D96-E96</f>
        <v>0</v>
      </c>
      <c r="E97" s="13" t="n">
        <f aca="false">IF(A97&lt;'1 Inputs'!$B$21,0,IF(C97=1,0,MIN('1 Inputs'!$B$15,D97)))</f>
        <v>0</v>
      </c>
      <c r="F97" s="13" t="n">
        <f aca="false">E97*'1 Inputs'!$B$7*'1 Inputs'!$B$8*'1 Inputs'!$B$9*'1 Inputs'!$B$10</f>
        <v>0</v>
      </c>
      <c r="G97" s="12" t="n">
        <f aca="false">F97*'1 Inputs'!$B$11</f>
        <v>0</v>
      </c>
      <c r="H97" s="19" t="n">
        <f aca="false">A97+'1 Inputs'!$B$22+'1 Inputs'!$B$23+'1 Inputs'!$B$24</f>
        <v>113</v>
      </c>
      <c r="I97" s="19" t="n">
        <f aca="false">H97+'1 Inputs'!$B$25</f>
        <v>115</v>
      </c>
      <c r="J97" s="0" t="str">
        <f aca="false">IF(E97=0,"",IFERROR(INDEX($T$5:$T$40,MATCH(I97,$T$5:$T$40,1)+IF(INDEX($T$5:$T$40,MATCH(I97,$T$5:$T$40,1))=I97,0,1)),$T$5))</f>
        <v/>
      </c>
      <c r="K97" s="0" t="str">
        <f aca="false">IF(J97="","",J97+'1 Inputs'!$B$26)</f>
        <v/>
      </c>
      <c r="U97" s="0" t="n">
        <v>93</v>
      </c>
      <c r="V97" s="19" t="n">
        <f aca="false">IF(OR(AND((MOD(U97-1,52)+1)&gt;='1 Inputs'!$B$45,(MOD(U97-1,52)+1)&lt;='1 Inputs'!$C$45),AND((MOD(U97-1,52)+1)&gt;='1 Inputs'!$B$46,(MOD(U97-1,52)+1)&lt;='1 Inputs'!$C$46)),1,0)</f>
        <v>0</v>
      </c>
      <c r="W97" s="19" t="n">
        <f aca="false">W96+1-V97</f>
        <v>82</v>
      </c>
    </row>
    <row r="98" customFormat="false" ht="15" hidden="false" customHeight="false" outlineLevel="0" collapsed="false">
      <c r="A98" s="0" t="n">
        <v>94</v>
      </c>
      <c r="B98" s="0" t="n">
        <f aca="false">MOD(A98-1,52)+1</f>
        <v>42</v>
      </c>
      <c r="C98" s="0" t="n">
        <f aca="false">IF(OR(AND(B98&gt;='1 Inputs'!$B$45,B98&lt;='1 Inputs'!$C$45),AND(B98&gt;='1 Inputs'!$B$46,B98&lt;='1 Inputs'!$C$46)),1,0)</f>
        <v>0</v>
      </c>
      <c r="D98" s="13" t="n">
        <f aca="false">D97-E97</f>
        <v>0</v>
      </c>
      <c r="E98" s="13" t="n">
        <f aca="false">IF(A98&lt;'1 Inputs'!$B$21,0,IF(C98=1,0,MIN('1 Inputs'!$B$15,D98)))</f>
        <v>0</v>
      </c>
      <c r="F98" s="13" t="n">
        <f aca="false">E98*'1 Inputs'!$B$7*'1 Inputs'!$B$8*'1 Inputs'!$B$9*'1 Inputs'!$B$10</f>
        <v>0</v>
      </c>
      <c r="G98" s="12" t="n">
        <f aca="false">F98*'1 Inputs'!$B$11</f>
        <v>0</v>
      </c>
      <c r="H98" s="19" t="n">
        <f aca="false">A98+'1 Inputs'!$B$22+'1 Inputs'!$B$23+'1 Inputs'!$B$24</f>
        <v>114</v>
      </c>
      <c r="I98" s="19" t="n">
        <f aca="false">H98+'1 Inputs'!$B$25</f>
        <v>116</v>
      </c>
      <c r="J98" s="0" t="str">
        <f aca="false">IF(E98=0,"",IFERROR(INDEX($T$5:$T$40,MATCH(I98,$T$5:$T$40,1)+IF(INDEX($T$5:$T$40,MATCH(I98,$T$5:$T$40,1))=I98,0,1)),$T$5))</f>
        <v/>
      </c>
      <c r="K98" s="0" t="str">
        <f aca="false">IF(J98="","",J98+'1 Inputs'!$B$26)</f>
        <v/>
      </c>
      <c r="U98" s="0" t="n">
        <v>94</v>
      </c>
      <c r="V98" s="19" t="n">
        <f aca="false">IF(OR(AND((MOD(U98-1,52)+1)&gt;='1 Inputs'!$B$45,(MOD(U98-1,52)+1)&lt;='1 Inputs'!$C$45),AND((MOD(U98-1,52)+1)&gt;='1 Inputs'!$B$46,(MOD(U98-1,52)+1)&lt;='1 Inputs'!$C$46)),1,0)</f>
        <v>0</v>
      </c>
      <c r="W98" s="19" t="n">
        <f aca="false">W97+1-V98</f>
        <v>83</v>
      </c>
    </row>
    <row r="99" customFormat="false" ht="15" hidden="false" customHeight="false" outlineLevel="0" collapsed="false">
      <c r="A99" s="0" t="n">
        <v>95</v>
      </c>
      <c r="B99" s="0" t="n">
        <f aca="false">MOD(A99-1,52)+1</f>
        <v>43</v>
      </c>
      <c r="C99" s="0" t="n">
        <f aca="false">IF(OR(AND(B99&gt;='1 Inputs'!$B$45,B99&lt;='1 Inputs'!$C$45),AND(B99&gt;='1 Inputs'!$B$46,B99&lt;='1 Inputs'!$C$46)),1,0)</f>
        <v>0</v>
      </c>
      <c r="D99" s="13" t="n">
        <f aca="false">D98-E98</f>
        <v>0</v>
      </c>
      <c r="E99" s="13" t="n">
        <f aca="false">IF(A99&lt;'1 Inputs'!$B$21,0,IF(C99=1,0,MIN('1 Inputs'!$B$15,D99)))</f>
        <v>0</v>
      </c>
      <c r="F99" s="13" t="n">
        <f aca="false">E99*'1 Inputs'!$B$7*'1 Inputs'!$B$8*'1 Inputs'!$B$9*'1 Inputs'!$B$10</f>
        <v>0</v>
      </c>
      <c r="G99" s="12" t="n">
        <f aca="false">F99*'1 Inputs'!$B$11</f>
        <v>0</v>
      </c>
      <c r="H99" s="19" t="n">
        <f aca="false">A99+'1 Inputs'!$B$22+'1 Inputs'!$B$23+'1 Inputs'!$B$24</f>
        <v>115</v>
      </c>
      <c r="I99" s="19" t="n">
        <f aca="false">H99+'1 Inputs'!$B$25</f>
        <v>117</v>
      </c>
      <c r="J99" s="0" t="str">
        <f aca="false">IF(E99=0,"",IFERROR(INDEX($T$5:$T$40,MATCH(I99,$T$5:$T$40,1)+IF(INDEX($T$5:$T$40,MATCH(I99,$T$5:$T$40,1))=I99,0,1)),$T$5))</f>
        <v/>
      </c>
      <c r="K99" s="0" t="str">
        <f aca="false">IF(J99="","",J99+'1 Inputs'!$B$26)</f>
        <v/>
      </c>
      <c r="U99" s="0" t="n">
        <v>95</v>
      </c>
      <c r="V99" s="19" t="n">
        <f aca="false">IF(OR(AND((MOD(U99-1,52)+1)&gt;='1 Inputs'!$B$45,(MOD(U99-1,52)+1)&lt;='1 Inputs'!$C$45),AND((MOD(U99-1,52)+1)&gt;='1 Inputs'!$B$46,(MOD(U99-1,52)+1)&lt;='1 Inputs'!$C$46)),1,0)</f>
        <v>0</v>
      </c>
      <c r="W99" s="19" t="n">
        <f aca="false">W98+1-V99</f>
        <v>84</v>
      </c>
    </row>
    <row r="100" customFormat="false" ht="15" hidden="false" customHeight="false" outlineLevel="0" collapsed="false">
      <c r="A100" s="0" t="n">
        <v>96</v>
      </c>
      <c r="B100" s="0" t="n">
        <f aca="false">MOD(A100-1,52)+1</f>
        <v>44</v>
      </c>
      <c r="C100" s="0" t="n">
        <f aca="false">IF(OR(AND(B100&gt;='1 Inputs'!$B$45,B100&lt;='1 Inputs'!$C$45),AND(B100&gt;='1 Inputs'!$B$46,B100&lt;='1 Inputs'!$C$46)),1,0)</f>
        <v>0</v>
      </c>
      <c r="D100" s="13" t="n">
        <f aca="false">D99-E99</f>
        <v>0</v>
      </c>
      <c r="E100" s="13" t="n">
        <f aca="false">IF(A100&lt;'1 Inputs'!$B$21,0,IF(C100=1,0,MIN('1 Inputs'!$B$15,D100)))</f>
        <v>0</v>
      </c>
      <c r="F100" s="13" t="n">
        <f aca="false">E100*'1 Inputs'!$B$7*'1 Inputs'!$B$8*'1 Inputs'!$B$9*'1 Inputs'!$B$10</f>
        <v>0</v>
      </c>
      <c r="G100" s="12" t="n">
        <f aca="false">F100*'1 Inputs'!$B$11</f>
        <v>0</v>
      </c>
      <c r="H100" s="19" t="n">
        <f aca="false">A100+'1 Inputs'!$B$22+'1 Inputs'!$B$23+'1 Inputs'!$B$24</f>
        <v>116</v>
      </c>
      <c r="I100" s="19" t="n">
        <f aca="false">H100+'1 Inputs'!$B$25</f>
        <v>118</v>
      </c>
      <c r="J100" s="0" t="str">
        <f aca="false">IF(E100=0,"",IFERROR(INDEX($T$5:$T$40,MATCH(I100,$T$5:$T$40,1)+IF(INDEX($T$5:$T$40,MATCH(I100,$T$5:$T$40,1))=I100,0,1)),$T$5))</f>
        <v/>
      </c>
      <c r="K100" s="0" t="str">
        <f aca="false">IF(J100="","",J100+'1 Inputs'!$B$26)</f>
        <v/>
      </c>
      <c r="U100" s="0" t="n">
        <v>96</v>
      </c>
      <c r="V100" s="19" t="n">
        <f aca="false">IF(OR(AND((MOD(U100-1,52)+1)&gt;='1 Inputs'!$B$45,(MOD(U100-1,52)+1)&lt;='1 Inputs'!$C$45),AND((MOD(U100-1,52)+1)&gt;='1 Inputs'!$B$46,(MOD(U100-1,52)+1)&lt;='1 Inputs'!$C$46)),1,0)</f>
        <v>0</v>
      </c>
      <c r="W100" s="19" t="n">
        <f aca="false">W99+1-V100</f>
        <v>85</v>
      </c>
    </row>
    <row r="101" customFormat="false" ht="15" hidden="false" customHeight="false" outlineLevel="0" collapsed="false">
      <c r="A101" s="0" t="n">
        <v>97</v>
      </c>
      <c r="B101" s="0" t="n">
        <f aca="false">MOD(A101-1,52)+1</f>
        <v>45</v>
      </c>
      <c r="C101" s="0" t="n">
        <f aca="false">IF(OR(AND(B101&gt;='1 Inputs'!$B$45,B101&lt;='1 Inputs'!$C$45),AND(B101&gt;='1 Inputs'!$B$46,B101&lt;='1 Inputs'!$C$46)),1,0)</f>
        <v>0</v>
      </c>
      <c r="D101" s="13" t="n">
        <f aca="false">D100-E100</f>
        <v>0</v>
      </c>
      <c r="E101" s="13" t="n">
        <f aca="false">IF(A101&lt;'1 Inputs'!$B$21,0,IF(C101=1,0,MIN('1 Inputs'!$B$15,D101)))</f>
        <v>0</v>
      </c>
      <c r="F101" s="13" t="n">
        <f aca="false">E101*'1 Inputs'!$B$7*'1 Inputs'!$B$8*'1 Inputs'!$B$9*'1 Inputs'!$B$10</f>
        <v>0</v>
      </c>
      <c r="G101" s="12" t="n">
        <f aca="false">F101*'1 Inputs'!$B$11</f>
        <v>0</v>
      </c>
      <c r="H101" s="19" t="n">
        <f aca="false">A101+'1 Inputs'!$B$22+'1 Inputs'!$B$23+'1 Inputs'!$B$24</f>
        <v>117</v>
      </c>
      <c r="I101" s="19" t="n">
        <f aca="false">H101+'1 Inputs'!$B$25</f>
        <v>119</v>
      </c>
      <c r="J101" s="0" t="str">
        <f aca="false">IF(E101=0,"",IFERROR(INDEX($T$5:$T$40,MATCH(I101,$T$5:$T$40,1)+IF(INDEX($T$5:$T$40,MATCH(I101,$T$5:$T$40,1))=I101,0,1)),$T$5))</f>
        <v/>
      </c>
      <c r="K101" s="0" t="str">
        <f aca="false">IF(J101="","",J101+'1 Inputs'!$B$26)</f>
        <v/>
      </c>
      <c r="U101" s="0" t="n">
        <v>97</v>
      </c>
      <c r="V101" s="19" t="n">
        <f aca="false">IF(OR(AND((MOD(U101-1,52)+1)&gt;='1 Inputs'!$B$45,(MOD(U101-1,52)+1)&lt;='1 Inputs'!$C$45),AND((MOD(U101-1,52)+1)&gt;='1 Inputs'!$B$46,(MOD(U101-1,52)+1)&lt;='1 Inputs'!$C$46)),1,0)</f>
        <v>0</v>
      </c>
      <c r="W101" s="19" t="n">
        <f aca="false">W100+1-V101</f>
        <v>86</v>
      </c>
    </row>
    <row r="102" customFormat="false" ht="15" hidden="false" customHeight="false" outlineLevel="0" collapsed="false">
      <c r="A102" s="0" t="n">
        <v>98</v>
      </c>
      <c r="B102" s="0" t="n">
        <f aca="false">MOD(A102-1,52)+1</f>
        <v>46</v>
      </c>
      <c r="C102" s="0" t="n">
        <f aca="false">IF(OR(AND(B102&gt;='1 Inputs'!$B$45,B102&lt;='1 Inputs'!$C$45),AND(B102&gt;='1 Inputs'!$B$46,B102&lt;='1 Inputs'!$C$46)),1,0)</f>
        <v>0</v>
      </c>
      <c r="D102" s="13" t="n">
        <f aca="false">D101-E101</f>
        <v>0</v>
      </c>
      <c r="E102" s="13" t="n">
        <f aca="false">IF(A102&lt;'1 Inputs'!$B$21,0,IF(C102=1,0,MIN('1 Inputs'!$B$15,D102)))</f>
        <v>0</v>
      </c>
      <c r="F102" s="13" t="n">
        <f aca="false">E102*'1 Inputs'!$B$7*'1 Inputs'!$B$8*'1 Inputs'!$B$9*'1 Inputs'!$B$10</f>
        <v>0</v>
      </c>
      <c r="G102" s="12" t="n">
        <f aca="false">F102*'1 Inputs'!$B$11</f>
        <v>0</v>
      </c>
      <c r="H102" s="19" t="n">
        <f aca="false">A102+'1 Inputs'!$B$22+'1 Inputs'!$B$23+'1 Inputs'!$B$24</f>
        <v>118</v>
      </c>
      <c r="I102" s="19" t="n">
        <f aca="false">H102+'1 Inputs'!$B$25</f>
        <v>120</v>
      </c>
      <c r="J102" s="0" t="str">
        <f aca="false">IF(E102=0,"",IFERROR(INDEX($T$5:$T$40,MATCH(I102,$T$5:$T$40,1)+IF(INDEX($T$5:$T$40,MATCH(I102,$T$5:$T$40,1))=I102,0,1)),$T$5))</f>
        <v/>
      </c>
      <c r="K102" s="0" t="str">
        <f aca="false">IF(J102="","",J102+'1 Inputs'!$B$26)</f>
        <v/>
      </c>
      <c r="U102" s="0" t="n">
        <v>98</v>
      </c>
      <c r="V102" s="19" t="n">
        <f aca="false">IF(OR(AND((MOD(U102-1,52)+1)&gt;='1 Inputs'!$B$45,(MOD(U102-1,52)+1)&lt;='1 Inputs'!$C$45),AND((MOD(U102-1,52)+1)&gt;='1 Inputs'!$B$46,(MOD(U102-1,52)+1)&lt;='1 Inputs'!$C$46)),1,0)</f>
        <v>0</v>
      </c>
      <c r="W102" s="19" t="n">
        <f aca="false">W101+1-V102</f>
        <v>87</v>
      </c>
    </row>
    <row r="103" customFormat="false" ht="15" hidden="false" customHeight="false" outlineLevel="0" collapsed="false">
      <c r="A103" s="0" t="n">
        <v>99</v>
      </c>
      <c r="B103" s="0" t="n">
        <f aca="false">MOD(A103-1,52)+1</f>
        <v>47</v>
      </c>
      <c r="C103" s="0" t="n">
        <f aca="false">IF(OR(AND(B103&gt;='1 Inputs'!$B$45,B103&lt;='1 Inputs'!$C$45),AND(B103&gt;='1 Inputs'!$B$46,B103&lt;='1 Inputs'!$C$46)),1,0)</f>
        <v>0</v>
      </c>
      <c r="D103" s="13" t="n">
        <f aca="false">D102-E102</f>
        <v>0</v>
      </c>
      <c r="E103" s="13" t="n">
        <f aca="false">IF(A103&lt;'1 Inputs'!$B$21,0,IF(C103=1,0,MIN('1 Inputs'!$B$15,D103)))</f>
        <v>0</v>
      </c>
      <c r="F103" s="13" t="n">
        <f aca="false">E103*'1 Inputs'!$B$7*'1 Inputs'!$B$8*'1 Inputs'!$B$9*'1 Inputs'!$B$10</f>
        <v>0</v>
      </c>
      <c r="G103" s="12" t="n">
        <f aca="false">F103*'1 Inputs'!$B$11</f>
        <v>0</v>
      </c>
      <c r="H103" s="19" t="n">
        <f aca="false">A103+'1 Inputs'!$B$22+'1 Inputs'!$B$23+'1 Inputs'!$B$24</f>
        <v>119</v>
      </c>
      <c r="I103" s="19" t="n">
        <f aca="false">H103+'1 Inputs'!$B$25</f>
        <v>121</v>
      </c>
      <c r="J103" s="0" t="str">
        <f aca="false">IF(E103=0,"",IFERROR(INDEX($T$5:$T$40,MATCH(I103,$T$5:$T$40,1)+IF(INDEX($T$5:$T$40,MATCH(I103,$T$5:$T$40,1))=I103,0,1)),$T$5))</f>
        <v/>
      </c>
      <c r="K103" s="0" t="str">
        <f aca="false">IF(J103="","",J103+'1 Inputs'!$B$26)</f>
        <v/>
      </c>
      <c r="U103" s="0" t="n">
        <v>99</v>
      </c>
      <c r="V103" s="19" t="n">
        <f aca="false">IF(OR(AND((MOD(U103-1,52)+1)&gt;='1 Inputs'!$B$45,(MOD(U103-1,52)+1)&lt;='1 Inputs'!$C$45),AND((MOD(U103-1,52)+1)&gt;='1 Inputs'!$B$46,(MOD(U103-1,52)+1)&lt;='1 Inputs'!$C$46)),1,0)</f>
        <v>0</v>
      </c>
      <c r="W103" s="19" t="n">
        <f aca="false">W102+1-V103</f>
        <v>88</v>
      </c>
    </row>
    <row r="104" customFormat="false" ht="15" hidden="false" customHeight="false" outlineLevel="0" collapsed="false">
      <c r="A104" s="0" t="n">
        <v>100</v>
      </c>
      <c r="B104" s="0" t="n">
        <f aca="false">MOD(A104-1,52)+1</f>
        <v>48</v>
      </c>
      <c r="C104" s="0" t="n">
        <f aca="false">IF(OR(AND(B104&gt;='1 Inputs'!$B$45,B104&lt;='1 Inputs'!$C$45),AND(B104&gt;='1 Inputs'!$B$46,B104&lt;='1 Inputs'!$C$46)),1,0)</f>
        <v>0</v>
      </c>
      <c r="D104" s="13" t="n">
        <f aca="false">D103-E103</f>
        <v>0</v>
      </c>
      <c r="E104" s="13" t="n">
        <f aca="false">IF(A104&lt;'1 Inputs'!$B$21,0,IF(C104=1,0,MIN('1 Inputs'!$B$15,D104)))</f>
        <v>0</v>
      </c>
      <c r="F104" s="13" t="n">
        <f aca="false">E104*'1 Inputs'!$B$7*'1 Inputs'!$B$8*'1 Inputs'!$B$9*'1 Inputs'!$B$10</f>
        <v>0</v>
      </c>
      <c r="G104" s="12" t="n">
        <f aca="false">F104*'1 Inputs'!$B$11</f>
        <v>0</v>
      </c>
      <c r="H104" s="19" t="n">
        <f aca="false">A104+'1 Inputs'!$B$22+'1 Inputs'!$B$23+'1 Inputs'!$B$24</f>
        <v>120</v>
      </c>
      <c r="I104" s="19" t="n">
        <f aca="false">H104+'1 Inputs'!$B$25</f>
        <v>122</v>
      </c>
      <c r="J104" s="0" t="str">
        <f aca="false">IF(E104=0,"",IFERROR(INDEX($T$5:$T$40,MATCH(I104,$T$5:$T$40,1)+IF(INDEX($T$5:$T$40,MATCH(I104,$T$5:$T$40,1))=I104,0,1)),$T$5))</f>
        <v/>
      </c>
      <c r="K104" s="0" t="str">
        <f aca="false">IF(J104="","",J104+'1 Inputs'!$B$26)</f>
        <v/>
      </c>
      <c r="U104" s="0" t="n">
        <v>100</v>
      </c>
      <c r="V104" s="19" t="n">
        <f aca="false">IF(OR(AND((MOD(U104-1,52)+1)&gt;='1 Inputs'!$B$45,(MOD(U104-1,52)+1)&lt;='1 Inputs'!$C$45),AND((MOD(U104-1,52)+1)&gt;='1 Inputs'!$B$46,(MOD(U104-1,52)+1)&lt;='1 Inputs'!$C$46)),1,0)</f>
        <v>0</v>
      </c>
      <c r="W104" s="19" t="n">
        <f aca="false">W103+1-V104</f>
        <v>89</v>
      </c>
    </row>
    <row r="105" customFormat="false" ht="15" hidden="false" customHeight="false" outlineLevel="0" collapsed="false">
      <c r="A105" s="0" t="n">
        <v>101</v>
      </c>
      <c r="B105" s="0" t="n">
        <f aca="false">MOD(A105-1,52)+1</f>
        <v>49</v>
      </c>
      <c r="C105" s="0" t="n">
        <f aca="false">IF(OR(AND(B105&gt;='1 Inputs'!$B$45,B105&lt;='1 Inputs'!$C$45),AND(B105&gt;='1 Inputs'!$B$46,B105&lt;='1 Inputs'!$C$46)),1,0)</f>
        <v>0</v>
      </c>
      <c r="D105" s="13" t="n">
        <f aca="false">D104-E104</f>
        <v>0</v>
      </c>
      <c r="E105" s="13" t="n">
        <f aca="false">IF(A105&lt;'1 Inputs'!$B$21,0,IF(C105=1,0,MIN('1 Inputs'!$B$15,D105)))</f>
        <v>0</v>
      </c>
      <c r="F105" s="13" t="n">
        <f aca="false">E105*'1 Inputs'!$B$7*'1 Inputs'!$B$8*'1 Inputs'!$B$9*'1 Inputs'!$B$10</f>
        <v>0</v>
      </c>
      <c r="G105" s="12" t="n">
        <f aca="false">F105*'1 Inputs'!$B$11</f>
        <v>0</v>
      </c>
      <c r="H105" s="19" t="n">
        <f aca="false">A105+'1 Inputs'!$B$22+'1 Inputs'!$B$23+'1 Inputs'!$B$24</f>
        <v>121</v>
      </c>
      <c r="I105" s="19" t="n">
        <f aca="false">H105+'1 Inputs'!$B$25</f>
        <v>123</v>
      </c>
      <c r="J105" s="0" t="str">
        <f aca="false">IF(E105=0,"",IFERROR(INDEX($T$5:$T$40,MATCH(I105,$T$5:$T$40,1)+IF(INDEX($T$5:$T$40,MATCH(I105,$T$5:$T$40,1))=I105,0,1)),$T$5))</f>
        <v/>
      </c>
      <c r="K105" s="0" t="str">
        <f aca="false">IF(J105="","",J105+'1 Inputs'!$B$26)</f>
        <v/>
      </c>
      <c r="U105" s="0" t="n">
        <v>101</v>
      </c>
      <c r="V105" s="19" t="n">
        <f aca="false">IF(OR(AND((MOD(U105-1,52)+1)&gt;='1 Inputs'!$B$45,(MOD(U105-1,52)+1)&lt;='1 Inputs'!$C$45),AND((MOD(U105-1,52)+1)&gt;='1 Inputs'!$B$46,(MOD(U105-1,52)+1)&lt;='1 Inputs'!$C$46)),1,0)</f>
        <v>0</v>
      </c>
      <c r="W105" s="19" t="n">
        <f aca="false">W104+1-V105</f>
        <v>90</v>
      </c>
    </row>
    <row r="106" customFormat="false" ht="15" hidden="false" customHeight="false" outlineLevel="0" collapsed="false">
      <c r="A106" s="0" t="n">
        <v>102</v>
      </c>
      <c r="B106" s="0" t="n">
        <f aca="false">MOD(A106-1,52)+1</f>
        <v>50</v>
      </c>
      <c r="C106" s="0" t="n">
        <f aca="false">IF(OR(AND(B106&gt;='1 Inputs'!$B$45,B106&lt;='1 Inputs'!$C$45),AND(B106&gt;='1 Inputs'!$B$46,B106&lt;='1 Inputs'!$C$46)),1,0)</f>
        <v>1</v>
      </c>
      <c r="D106" s="13" t="n">
        <f aca="false">D105-E105</f>
        <v>0</v>
      </c>
      <c r="E106" s="13" t="n">
        <f aca="false">IF(A106&lt;'1 Inputs'!$B$21,0,IF(C106=1,0,MIN('1 Inputs'!$B$15,D106)))</f>
        <v>0</v>
      </c>
      <c r="F106" s="13" t="n">
        <f aca="false">E106*'1 Inputs'!$B$7*'1 Inputs'!$B$8*'1 Inputs'!$B$9*'1 Inputs'!$B$10</f>
        <v>0</v>
      </c>
      <c r="G106" s="12" t="n">
        <f aca="false">F106*'1 Inputs'!$B$11</f>
        <v>0</v>
      </c>
      <c r="H106" s="19" t="n">
        <f aca="false">A106+'1 Inputs'!$B$22+'1 Inputs'!$B$23+'1 Inputs'!$B$24</f>
        <v>122</v>
      </c>
      <c r="I106" s="19" t="n">
        <f aca="false">H106+'1 Inputs'!$B$25</f>
        <v>124</v>
      </c>
      <c r="J106" s="0" t="str">
        <f aca="false">IF(E106=0,"",IFERROR(INDEX($T$5:$T$40,MATCH(I106,$T$5:$T$40,1)+IF(INDEX($T$5:$T$40,MATCH(I106,$T$5:$T$40,1))=I106,0,1)),$T$5))</f>
        <v/>
      </c>
      <c r="K106" s="0" t="str">
        <f aca="false">IF(J106="","",J106+'1 Inputs'!$B$26)</f>
        <v/>
      </c>
      <c r="U106" s="0" t="n">
        <v>102</v>
      </c>
      <c r="V106" s="19" t="n">
        <f aca="false">IF(OR(AND((MOD(U106-1,52)+1)&gt;='1 Inputs'!$B$45,(MOD(U106-1,52)+1)&lt;='1 Inputs'!$C$45),AND((MOD(U106-1,52)+1)&gt;='1 Inputs'!$B$46,(MOD(U106-1,52)+1)&lt;='1 Inputs'!$C$46)),1,0)</f>
        <v>1</v>
      </c>
      <c r="W106" s="19" t="n">
        <f aca="false">W105+1-V106</f>
        <v>90</v>
      </c>
    </row>
    <row r="107" customFormat="false" ht="15" hidden="false" customHeight="false" outlineLevel="0" collapsed="false">
      <c r="A107" s="0" t="n">
        <v>103</v>
      </c>
      <c r="B107" s="0" t="n">
        <f aca="false">MOD(A107-1,52)+1</f>
        <v>51</v>
      </c>
      <c r="C107" s="0" t="n">
        <f aca="false">IF(OR(AND(B107&gt;='1 Inputs'!$B$45,B107&lt;='1 Inputs'!$C$45),AND(B107&gt;='1 Inputs'!$B$46,B107&lt;='1 Inputs'!$C$46)),1,0)</f>
        <v>1</v>
      </c>
      <c r="D107" s="13" t="n">
        <f aca="false">D106-E106</f>
        <v>0</v>
      </c>
      <c r="E107" s="13" t="n">
        <f aca="false">IF(A107&lt;'1 Inputs'!$B$21,0,IF(C107=1,0,MIN('1 Inputs'!$B$15,D107)))</f>
        <v>0</v>
      </c>
      <c r="F107" s="13" t="n">
        <f aca="false">E107*'1 Inputs'!$B$7*'1 Inputs'!$B$8*'1 Inputs'!$B$9*'1 Inputs'!$B$10</f>
        <v>0</v>
      </c>
      <c r="G107" s="12" t="n">
        <f aca="false">F107*'1 Inputs'!$B$11</f>
        <v>0</v>
      </c>
      <c r="H107" s="19" t="n">
        <f aca="false">A107+'1 Inputs'!$B$22+'1 Inputs'!$B$23+'1 Inputs'!$B$24</f>
        <v>123</v>
      </c>
      <c r="I107" s="19" t="n">
        <f aca="false">H107+'1 Inputs'!$B$25</f>
        <v>125</v>
      </c>
      <c r="J107" s="0" t="str">
        <f aca="false">IF(E107=0,"",IFERROR(INDEX($T$5:$T$40,MATCH(I107,$T$5:$T$40,1)+IF(INDEX($T$5:$T$40,MATCH(I107,$T$5:$T$40,1))=I107,0,1)),$T$5))</f>
        <v/>
      </c>
      <c r="K107" s="0" t="str">
        <f aca="false">IF(J107="","",J107+'1 Inputs'!$B$26)</f>
        <v/>
      </c>
      <c r="U107" s="0" t="n">
        <v>103</v>
      </c>
      <c r="V107" s="19" t="n">
        <f aca="false">IF(OR(AND((MOD(U107-1,52)+1)&gt;='1 Inputs'!$B$45,(MOD(U107-1,52)+1)&lt;='1 Inputs'!$C$45),AND((MOD(U107-1,52)+1)&gt;='1 Inputs'!$B$46,(MOD(U107-1,52)+1)&lt;='1 Inputs'!$C$46)),1,0)</f>
        <v>1</v>
      </c>
      <c r="W107" s="19" t="n">
        <f aca="false">W106+1-V107</f>
        <v>90</v>
      </c>
    </row>
    <row r="108" customFormat="false" ht="15" hidden="false" customHeight="false" outlineLevel="0" collapsed="false">
      <c r="A108" s="0" t="n">
        <v>104</v>
      </c>
      <c r="B108" s="0" t="n">
        <f aca="false">MOD(A108-1,52)+1</f>
        <v>52</v>
      </c>
      <c r="C108" s="0" t="n">
        <f aca="false">IF(OR(AND(B108&gt;='1 Inputs'!$B$45,B108&lt;='1 Inputs'!$C$45),AND(B108&gt;='1 Inputs'!$B$46,B108&lt;='1 Inputs'!$C$46)),1,0)</f>
        <v>1</v>
      </c>
      <c r="D108" s="13" t="n">
        <f aca="false">D107-E107</f>
        <v>0</v>
      </c>
      <c r="E108" s="13" t="n">
        <f aca="false">IF(A108&lt;'1 Inputs'!$B$21,0,IF(C108=1,0,MIN('1 Inputs'!$B$15,D108)))</f>
        <v>0</v>
      </c>
      <c r="F108" s="13" t="n">
        <f aca="false">E108*'1 Inputs'!$B$7*'1 Inputs'!$B$8*'1 Inputs'!$B$9*'1 Inputs'!$B$10</f>
        <v>0</v>
      </c>
      <c r="G108" s="12" t="n">
        <f aca="false">F108*'1 Inputs'!$B$11</f>
        <v>0</v>
      </c>
      <c r="H108" s="19" t="n">
        <f aca="false">A108+'1 Inputs'!$B$22+'1 Inputs'!$B$23+'1 Inputs'!$B$24</f>
        <v>124</v>
      </c>
      <c r="I108" s="19" t="n">
        <f aca="false">H108+'1 Inputs'!$B$25</f>
        <v>126</v>
      </c>
      <c r="J108" s="0" t="str">
        <f aca="false">IF(E108=0,"",IFERROR(INDEX($T$5:$T$40,MATCH(I108,$T$5:$T$40,1)+IF(INDEX($T$5:$T$40,MATCH(I108,$T$5:$T$40,1))=I108,0,1)),$T$5))</f>
        <v/>
      </c>
      <c r="K108" s="0" t="str">
        <f aca="false">IF(J108="","",J108+'1 Inputs'!$B$26)</f>
        <v/>
      </c>
      <c r="U108" s="0" t="n">
        <v>104</v>
      </c>
      <c r="V108" s="19" t="n">
        <f aca="false">IF(OR(AND((MOD(U108-1,52)+1)&gt;='1 Inputs'!$B$45,(MOD(U108-1,52)+1)&lt;='1 Inputs'!$C$45),AND((MOD(U108-1,52)+1)&gt;='1 Inputs'!$B$46,(MOD(U108-1,52)+1)&lt;='1 Inputs'!$C$46)),1,0)</f>
        <v>1</v>
      </c>
      <c r="W108" s="19" t="n">
        <f aca="false">W107+1-V108</f>
        <v>90</v>
      </c>
    </row>
    <row r="109" customFormat="false" ht="15" hidden="false" customHeight="false" outlineLevel="0" collapsed="false">
      <c r="A109" s="0" t="n">
        <v>105</v>
      </c>
      <c r="B109" s="0" t="n">
        <f aca="false">MOD(A109-1,52)+1</f>
        <v>1</v>
      </c>
      <c r="C109" s="0" t="n">
        <f aca="false">IF(OR(AND(B109&gt;='1 Inputs'!$B$45,B109&lt;='1 Inputs'!$C$45),AND(B109&gt;='1 Inputs'!$B$46,B109&lt;='1 Inputs'!$C$46)),1,0)</f>
        <v>0</v>
      </c>
      <c r="D109" s="13" t="n">
        <f aca="false">D108-E108</f>
        <v>0</v>
      </c>
      <c r="E109" s="13" t="n">
        <f aca="false">IF(A109&lt;'1 Inputs'!$B$21,0,IF(C109=1,0,MIN('1 Inputs'!$B$15,D109)))</f>
        <v>0</v>
      </c>
      <c r="F109" s="13" t="n">
        <f aca="false">E109*'1 Inputs'!$B$7*'1 Inputs'!$B$8*'1 Inputs'!$B$9*'1 Inputs'!$B$10</f>
        <v>0</v>
      </c>
      <c r="G109" s="12" t="n">
        <f aca="false">F109*'1 Inputs'!$B$11</f>
        <v>0</v>
      </c>
      <c r="H109" s="19" t="n">
        <f aca="false">A109+'1 Inputs'!$B$22+'1 Inputs'!$B$23+'1 Inputs'!$B$24</f>
        <v>125</v>
      </c>
      <c r="I109" s="19" t="n">
        <f aca="false">H109+'1 Inputs'!$B$25</f>
        <v>127</v>
      </c>
      <c r="J109" s="0" t="str">
        <f aca="false">IF(E109=0,"",IFERROR(INDEX($T$5:$T$40,MATCH(I109,$T$5:$T$40,1)+IF(INDEX($T$5:$T$40,MATCH(I109,$T$5:$T$40,1))=I109,0,1)),$T$5))</f>
        <v/>
      </c>
      <c r="K109" s="0" t="str">
        <f aca="false">IF(J109="","",J109+'1 Inputs'!$B$26)</f>
        <v/>
      </c>
      <c r="U109" s="0" t="n">
        <v>105</v>
      </c>
      <c r="V109" s="19" t="n">
        <f aca="false">IF(OR(AND((MOD(U109-1,52)+1)&gt;='1 Inputs'!$B$45,(MOD(U109-1,52)+1)&lt;='1 Inputs'!$C$45),AND((MOD(U109-1,52)+1)&gt;='1 Inputs'!$B$46,(MOD(U109-1,52)+1)&lt;='1 Inputs'!$C$46)),1,0)</f>
        <v>0</v>
      </c>
      <c r="W109" s="19" t="n">
        <f aca="false">W108+1-V109</f>
        <v>91</v>
      </c>
    </row>
    <row r="110" customFormat="false" ht="15" hidden="false" customHeight="false" outlineLevel="0" collapsed="false">
      <c r="A110" s="0" t="n">
        <v>106</v>
      </c>
      <c r="B110" s="0" t="n">
        <f aca="false">MOD(A110-1,52)+1</f>
        <v>2</v>
      </c>
      <c r="C110" s="0" t="n">
        <f aca="false">IF(OR(AND(B110&gt;='1 Inputs'!$B$45,B110&lt;='1 Inputs'!$C$45),AND(B110&gt;='1 Inputs'!$B$46,B110&lt;='1 Inputs'!$C$46)),1,0)</f>
        <v>0</v>
      </c>
      <c r="D110" s="13" t="n">
        <f aca="false">D109-E109</f>
        <v>0</v>
      </c>
      <c r="E110" s="13" t="n">
        <f aca="false">IF(A110&lt;'1 Inputs'!$B$21,0,IF(C110=1,0,MIN('1 Inputs'!$B$15,D110)))</f>
        <v>0</v>
      </c>
      <c r="F110" s="13" t="n">
        <f aca="false">E110*'1 Inputs'!$B$7*'1 Inputs'!$B$8*'1 Inputs'!$B$9*'1 Inputs'!$B$10</f>
        <v>0</v>
      </c>
      <c r="G110" s="12" t="n">
        <f aca="false">F110*'1 Inputs'!$B$11</f>
        <v>0</v>
      </c>
      <c r="H110" s="19" t="n">
        <f aca="false">A110+'1 Inputs'!$B$22+'1 Inputs'!$B$23+'1 Inputs'!$B$24</f>
        <v>126</v>
      </c>
      <c r="I110" s="19" t="n">
        <f aca="false">H110+'1 Inputs'!$B$25</f>
        <v>128</v>
      </c>
      <c r="J110" s="0" t="str">
        <f aca="false">IF(E110=0,"",IFERROR(INDEX($T$5:$T$40,MATCH(I110,$T$5:$T$40,1)+IF(INDEX($T$5:$T$40,MATCH(I110,$T$5:$T$40,1))=I110,0,1)),$T$5))</f>
        <v/>
      </c>
      <c r="K110" s="0" t="str">
        <f aca="false">IF(J110="","",J110+'1 Inputs'!$B$26)</f>
        <v/>
      </c>
      <c r="U110" s="0" t="n">
        <v>106</v>
      </c>
      <c r="V110" s="19" t="n">
        <f aca="false">IF(OR(AND((MOD(U110-1,52)+1)&gt;='1 Inputs'!$B$45,(MOD(U110-1,52)+1)&lt;='1 Inputs'!$C$45),AND((MOD(U110-1,52)+1)&gt;='1 Inputs'!$B$46,(MOD(U110-1,52)+1)&lt;='1 Inputs'!$C$46)),1,0)</f>
        <v>0</v>
      </c>
      <c r="W110" s="19" t="n">
        <f aca="false">W109+1-V110</f>
        <v>92</v>
      </c>
    </row>
    <row r="111" customFormat="false" ht="15" hidden="false" customHeight="false" outlineLevel="0" collapsed="false">
      <c r="A111" s="0" t="n">
        <v>107</v>
      </c>
      <c r="B111" s="0" t="n">
        <f aca="false">MOD(A111-1,52)+1</f>
        <v>3</v>
      </c>
      <c r="C111" s="0" t="n">
        <f aca="false">IF(OR(AND(B111&gt;='1 Inputs'!$B$45,B111&lt;='1 Inputs'!$C$45),AND(B111&gt;='1 Inputs'!$B$46,B111&lt;='1 Inputs'!$C$46)),1,0)</f>
        <v>0</v>
      </c>
      <c r="D111" s="13" t="n">
        <f aca="false">D110-E110</f>
        <v>0</v>
      </c>
      <c r="E111" s="13" t="n">
        <f aca="false">IF(A111&lt;'1 Inputs'!$B$21,0,IF(C111=1,0,MIN('1 Inputs'!$B$15,D111)))</f>
        <v>0</v>
      </c>
      <c r="F111" s="13" t="n">
        <f aca="false">E111*'1 Inputs'!$B$7*'1 Inputs'!$B$8*'1 Inputs'!$B$9*'1 Inputs'!$B$10</f>
        <v>0</v>
      </c>
      <c r="G111" s="12" t="n">
        <f aca="false">F111*'1 Inputs'!$B$11</f>
        <v>0</v>
      </c>
      <c r="H111" s="19" t="n">
        <f aca="false">A111+'1 Inputs'!$B$22+'1 Inputs'!$B$23+'1 Inputs'!$B$24</f>
        <v>127</v>
      </c>
      <c r="I111" s="19" t="n">
        <f aca="false">H111+'1 Inputs'!$B$25</f>
        <v>129</v>
      </c>
      <c r="J111" s="0" t="str">
        <f aca="false">IF(E111=0,"",IFERROR(INDEX($T$5:$T$40,MATCH(I111,$T$5:$T$40,1)+IF(INDEX($T$5:$T$40,MATCH(I111,$T$5:$T$40,1))=I111,0,1)),$T$5))</f>
        <v/>
      </c>
      <c r="K111" s="0" t="str">
        <f aca="false">IF(J111="","",J111+'1 Inputs'!$B$26)</f>
        <v/>
      </c>
      <c r="U111" s="0" t="n">
        <v>107</v>
      </c>
      <c r="V111" s="19" t="n">
        <f aca="false">IF(OR(AND((MOD(U111-1,52)+1)&gt;='1 Inputs'!$B$45,(MOD(U111-1,52)+1)&lt;='1 Inputs'!$C$45),AND((MOD(U111-1,52)+1)&gt;='1 Inputs'!$B$46,(MOD(U111-1,52)+1)&lt;='1 Inputs'!$C$46)),1,0)</f>
        <v>0</v>
      </c>
      <c r="W111" s="19" t="n">
        <f aca="false">W110+1-V111</f>
        <v>93</v>
      </c>
    </row>
    <row r="112" customFormat="false" ht="15" hidden="false" customHeight="false" outlineLevel="0" collapsed="false">
      <c r="A112" s="0" t="n">
        <v>108</v>
      </c>
      <c r="B112" s="0" t="n">
        <f aca="false">MOD(A112-1,52)+1</f>
        <v>4</v>
      </c>
      <c r="C112" s="0" t="n">
        <f aca="false">IF(OR(AND(B112&gt;='1 Inputs'!$B$45,B112&lt;='1 Inputs'!$C$45),AND(B112&gt;='1 Inputs'!$B$46,B112&lt;='1 Inputs'!$C$46)),1,0)</f>
        <v>0</v>
      </c>
      <c r="D112" s="13" t="n">
        <f aca="false">D111-E111</f>
        <v>0</v>
      </c>
      <c r="E112" s="13" t="n">
        <f aca="false">IF(A112&lt;'1 Inputs'!$B$21,0,IF(C112=1,0,MIN('1 Inputs'!$B$15,D112)))</f>
        <v>0</v>
      </c>
      <c r="F112" s="13" t="n">
        <f aca="false">E112*'1 Inputs'!$B$7*'1 Inputs'!$B$8*'1 Inputs'!$B$9*'1 Inputs'!$B$10</f>
        <v>0</v>
      </c>
      <c r="G112" s="12" t="n">
        <f aca="false">F112*'1 Inputs'!$B$11</f>
        <v>0</v>
      </c>
      <c r="H112" s="19" t="n">
        <f aca="false">A112+'1 Inputs'!$B$22+'1 Inputs'!$B$23+'1 Inputs'!$B$24</f>
        <v>128</v>
      </c>
      <c r="I112" s="19" t="n">
        <f aca="false">H112+'1 Inputs'!$B$25</f>
        <v>130</v>
      </c>
      <c r="J112" s="0" t="str">
        <f aca="false">IF(E112=0,"",IFERROR(INDEX($T$5:$T$40,MATCH(I112,$T$5:$T$40,1)+IF(INDEX($T$5:$T$40,MATCH(I112,$T$5:$T$40,1))=I112,0,1)),$T$5))</f>
        <v/>
      </c>
      <c r="K112" s="0" t="str">
        <f aca="false">IF(J112="","",J112+'1 Inputs'!$B$26)</f>
        <v/>
      </c>
      <c r="U112" s="0" t="n">
        <v>108</v>
      </c>
      <c r="V112" s="19" t="n">
        <f aca="false">IF(OR(AND((MOD(U112-1,52)+1)&gt;='1 Inputs'!$B$45,(MOD(U112-1,52)+1)&lt;='1 Inputs'!$C$45),AND((MOD(U112-1,52)+1)&gt;='1 Inputs'!$B$46,(MOD(U112-1,52)+1)&lt;='1 Inputs'!$C$46)),1,0)</f>
        <v>0</v>
      </c>
      <c r="W112" s="19" t="n">
        <f aca="false">W111+1-V112</f>
        <v>94</v>
      </c>
    </row>
    <row r="113" customFormat="false" ht="15" hidden="false" customHeight="false" outlineLevel="0" collapsed="false">
      <c r="A113" s="0" t="n">
        <v>109</v>
      </c>
      <c r="B113" s="0" t="n">
        <f aca="false">MOD(A113-1,52)+1</f>
        <v>5</v>
      </c>
      <c r="C113" s="0" t="n">
        <f aca="false">IF(OR(AND(B113&gt;='1 Inputs'!$B$45,B113&lt;='1 Inputs'!$C$45),AND(B113&gt;='1 Inputs'!$B$46,B113&lt;='1 Inputs'!$C$46)),1,0)</f>
        <v>0</v>
      </c>
      <c r="D113" s="13" t="n">
        <f aca="false">D112-E112</f>
        <v>0</v>
      </c>
      <c r="E113" s="13" t="n">
        <f aca="false">IF(A113&lt;'1 Inputs'!$B$21,0,IF(C113=1,0,MIN('1 Inputs'!$B$15,D113)))</f>
        <v>0</v>
      </c>
      <c r="F113" s="13" t="n">
        <f aca="false">E113*'1 Inputs'!$B$7*'1 Inputs'!$B$8*'1 Inputs'!$B$9*'1 Inputs'!$B$10</f>
        <v>0</v>
      </c>
      <c r="G113" s="12" t="n">
        <f aca="false">F113*'1 Inputs'!$B$11</f>
        <v>0</v>
      </c>
      <c r="H113" s="19" t="n">
        <f aca="false">A113+'1 Inputs'!$B$22+'1 Inputs'!$B$23+'1 Inputs'!$B$24</f>
        <v>129</v>
      </c>
      <c r="I113" s="19" t="n">
        <f aca="false">H113+'1 Inputs'!$B$25</f>
        <v>131</v>
      </c>
      <c r="J113" s="0" t="str">
        <f aca="false">IF(E113=0,"",IFERROR(INDEX($T$5:$T$40,MATCH(I113,$T$5:$T$40,1)+IF(INDEX($T$5:$T$40,MATCH(I113,$T$5:$T$40,1))=I113,0,1)),$T$5))</f>
        <v/>
      </c>
      <c r="K113" s="0" t="str">
        <f aca="false">IF(J113="","",J113+'1 Inputs'!$B$26)</f>
        <v/>
      </c>
      <c r="U113" s="0" t="n">
        <v>109</v>
      </c>
      <c r="V113" s="19" t="n">
        <f aca="false">IF(OR(AND((MOD(U113-1,52)+1)&gt;='1 Inputs'!$B$45,(MOD(U113-1,52)+1)&lt;='1 Inputs'!$C$45),AND((MOD(U113-1,52)+1)&gt;='1 Inputs'!$B$46,(MOD(U113-1,52)+1)&lt;='1 Inputs'!$C$46)),1,0)</f>
        <v>0</v>
      </c>
      <c r="W113" s="19" t="n">
        <f aca="false">W112+1-V113</f>
        <v>95</v>
      </c>
    </row>
    <row r="114" customFormat="false" ht="15" hidden="false" customHeight="false" outlineLevel="0" collapsed="false">
      <c r="A114" s="0" t="n">
        <v>110</v>
      </c>
      <c r="B114" s="0" t="n">
        <f aca="false">MOD(A114-1,52)+1</f>
        <v>6</v>
      </c>
      <c r="C114" s="0" t="n">
        <f aca="false">IF(OR(AND(B114&gt;='1 Inputs'!$B$45,B114&lt;='1 Inputs'!$C$45),AND(B114&gt;='1 Inputs'!$B$46,B114&lt;='1 Inputs'!$C$46)),1,0)</f>
        <v>0</v>
      </c>
      <c r="D114" s="13" t="n">
        <f aca="false">D113-E113</f>
        <v>0</v>
      </c>
      <c r="E114" s="13" t="n">
        <f aca="false">IF(A114&lt;'1 Inputs'!$B$21,0,IF(C114=1,0,MIN('1 Inputs'!$B$15,D114)))</f>
        <v>0</v>
      </c>
      <c r="F114" s="13" t="n">
        <f aca="false">E114*'1 Inputs'!$B$7*'1 Inputs'!$B$8*'1 Inputs'!$B$9*'1 Inputs'!$B$10</f>
        <v>0</v>
      </c>
      <c r="G114" s="12" t="n">
        <f aca="false">F114*'1 Inputs'!$B$11</f>
        <v>0</v>
      </c>
      <c r="H114" s="19" t="n">
        <f aca="false">A114+'1 Inputs'!$B$22+'1 Inputs'!$B$23+'1 Inputs'!$B$24</f>
        <v>130</v>
      </c>
      <c r="I114" s="19" t="n">
        <f aca="false">H114+'1 Inputs'!$B$25</f>
        <v>132</v>
      </c>
      <c r="J114" s="0" t="str">
        <f aca="false">IF(E114=0,"",IFERROR(INDEX($T$5:$T$40,MATCH(I114,$T$5:$T$40,1)+IF(INDEX($T$5:$T$40,MATCH(I114,$T$5:$T$40,1))=I114,0,1)),$T$5))</f>
        <v/>
      </c>
      <c r="K114" s="0" t="str">
        <f aca="false">IF(J114="","",J114+'1 Inputs'!$B$26)</f>
        <v/>
      </c>
      <c r="U114" s="0" t="n">
        <v>110</v>
      </c>
      <c r="V114" s="19" t="n">
        <f aca="false">IF(OR(AND((MOD(U114-1,52)+1)&gt;='1 Inputs'!$B$45,(MOD(U114-1,52)+1)&lt;='1 Inputs'!$C$45),AND((MOD(U114-1,52)+1)&gt;='1 Inputs'!$B$46,(MOD(U114-1,52)+1)&lt;='1 Inputs'!$C$46)),1,0)</f>
        <v>0</v>
      </c>
      <c r="W114" s="19" t="n">
        <f aca="false">W113+1-V114</f>
        <v>96</v>
      </c>
    </row>
    <row r="115" customFormat="false" ht="15" hidden="false" customHeight="false" outlineLevel="0" collapsed="false">
      <c r="A115" s="0" t="n">
        <v>111</v>
      </c>
      <c r="B115" s="0" t="n">
        <f aca="false">MOD(A115-1,52)+1</f>
        <v>7</v>
      </c>
      <c r="C115" s="0" t="n">
        <f aca="false">IF(OR(AND(B115&gt;='1 Inputs'!$B$45,B115&lt;='1 Inputs'!$C$45),AND(B115&gt;='1 Inputs'!$B$46,B115&lt;='1 Inputs'!$C$46)),1,0)</f>
        <v>0</v>
      </c>
      <c r="D115" s="13" t="n">
        <f aca="false">D114-E114</f>
        <v>0</v>
      </c>
      <c r="E115" s="13" t="n">
        <f aca="false">IF(A115&lt;'1 Inputs'!$B$21,0,IF(C115=1,0,MIN('1 Inputs'!$B$15,D115)))</f>
        <v>0</v>
      </c>
      <c r="F115" s="13" t="n">
        <f aca="false">E115*'1 Inputs'!$B$7*'1 Inputs'!$B$8*'1 Inputs'!$B$9*'1 Inputs'!$B$10</f>
        <v>0</v>
      </c>
      <c r="G115" s="12" t="n">
        <f aca="false">F115*'1 Inputs'!$B$11</f>
        <v>0</v>
      </c>
      <c r="H115" s="19" t="n">
        <f aca="false">A115+'1 Inputs'!$B$22+'1 Inputs'!$B$23+'1 Inputs'!$B$24</f>
        <v>131</v>
      </c>
      <c r="I115" s="19" t="n">
        <f aca="false">H115+'1 Inputs'!$B$25</f>
        <v>133</v>
      </c>
      <c r="J115" s="0" t="str">
        <f aca="false">IF(E115=0,"",IFERROR(INDEX($T$5:$T$40,MATCH(I115,$T$5:$T$40,1)+IF(INDEX($T$5:$T$40,MATCH(I115,$T$5:$T$40,1))=I115,0,1)),$T$5))</f>
        <v/>
      </c>
      <c r="K115" s="0" t="str">
        <f aca="false">IF(J115="","",J115+'1 Inputs'!$B$26)</f>
        <v/>
      </c>
      <c r="U115" s="0" t="n">
        <v>111</v>
      </c>
      <c r="V115" s="19" t="n">
        <f aca="false">IF(OR(AND((MOD(U115-1,52)+1)&gt;='1 Inputs'!$B$45,(MOD(U115-1,52)+1)&lt;='1 Inputs'!$C$45),AND((MOD(U115-1,52)+1)&gt;='1 Inputs'!$B$46,(MOD(U115-1,52)+1)&lt;='1 Inputs'!$C$46)),1,0)</f>
        <v>0</v>
      </c>
      <c r="W115" s="19" t="n">
        <f aca="false">W114+1-V115</f>
        <v>97</v>
      </c>
    </row>
    <row r="116" customFormat="false" ht="15" hidden="false" customHeight="false" outlineLevel="0" collapsed="false">
      <c r="A116" s="0" t="n">
        <v>112</v>
      </c>
      <c r="B116" s="0" t="n">
        <f aca="false">MOD(A116-1,52)+1</f>
        <v>8</v>
      </c>
      <c r="C116" s="0" t="n">
        <f aca="false">IF(OR(AND(B116&gt;='1 Inputs'!$B$45,B116&lt;='1 Inputs'!$C$45),AND(B116&gt;='1 Inputs'!$B$46,B116&lt;='1 Inputs'!$C$46)),1,0)</f>
        <v>0</v>
      </c>
      <c r="D116" s="13" t="n">
        <f aca="false">D115-E115</f>
        <v>0</v>
      </c>
      <c r="E116" s="13" t="n">
        <f aca="false">IF(A116&lt;'1 Inputs'!$B$21,0,IF(C116=1,0,MIN('1 Inputs'!$B$15,D116)))</f>
        <v>0</v>
      </c>
      <c r="F116" s="13" t="n">
        <f aca="false">E116*'1 Inputs'!$B$7*'1 Inputs'!$B$8*'1 Inputs'!$B$9*'1 Inputs'!$B$10</f>
        <v>0</v>
      </c>
      <c r="G116" s="12" t="n">
        <f aca="false">F116*'1 Inputs'!$B$11</f>
        <v>0</v>
      </c>
      <c r="H116" s="19" t="n">
        <f aca="false">A116+'1 Inputs'!$B$22+'1 Inputs'!$B$23+'1 Inputs'!$B$24</f>
        <v>132</v>
      </c>
      <c r="I116" s="19" t="n">
        <f aca="false">H116+'1 Inputs'!$B$25</f>
        <v>134</v>
      </c>
      <c r="J116" s="0" t="str">
        <f aca="false">IF(E116=0,"",IFERROR(INDEX($T$5:$T$40,MATCH(I116,$T$5:$T$40,1)+IF(INDEX($T$5:$T$40,MATCH(I116,$T$5:$T$40,1))=I116,0,1)),$T$5))</f>
        <v/>
      </c>
      <c r="K116" s="0" t="str">
        <f aca="false">IF(J116="","",J116+'1 Inputs'!$B$26)</f>
        <v/>
      </c>
      <c r="U116" s="0" t="n">
        <v>112</v>
      </c>
      <c r="V116" s="19" t="n">
        <f aca="false">IF(OR(AND((MOD(U116-1,52)+1)&gt;='1 Inputs'!$B$45,(MOD(U116-1,52)+1)&lt;='1 Inputs'!$C$45),AND((MOD(U116-1,52)+1)&gt;='1 Inputs'!$B$46,(MOD(U116-1,52)+1)&lt;='1 Inputs'!$C$46)),1,0)</f>
        <v>0</v>
      </c>
      <c r="W116" s="19" t="n">
        <f aca="false">W115+1-V116</f>
        <v>98</v>
      </c>
    </row>
    <row r="117" customFormat="false" ht="15" hidden="false" customHeight="false" outlineLevel="0" collapsed="false">
      <c r="A117" s="0" t="n">
        <v>113</v>
      </c>
      <c r="B117" s="0" t="n">
        <f aca="false">MOD(A117-1,52)+1</f>
        <v>9</v>
      </c>
      <c r="C117" s="0" t="n">
        <f aca="false">IF(OR(AND(B117&gt;='1 Inputs'!$B$45,B117&lt;='1 Inputs'!$C$45),AND(B117&gt;='1 Inputs'!$B$46,B117&lt;='1 Inputs'!$C$46)),1,0)</f>
        <v>0</v>
      </c>
      <c r="D117" s="13" t="n">
        <f aca="false">D116-E116</f>
        <v>0</v>
      </c>
      <c r="E117" s="13" t="n">
        <f aca="false">IF(A117&lt;'1 Inputs'!$B$21,0,IF(C117=1,0,MIN('1 Inputs'!$B$15,D117)))</f>
        <v>0</v>
      </c>
      <c r="F117" s="13" t="n">
        <f aca="false">E117*'1 Inputs'!$B$7*'1 Inputs'!$B$8*'1 Inputs'!$B$9*'1 Inputs'!$B$10</f>
        <v>0</v>
      </c>
      <c r="G117" s="12" t="n">
        <f aca="false">F117*'1 Inputs'!$B$11</f>
        <v>0</v>
      </c>
      <c r="H117" s="19" t="n">
        <f aca="false">A117+'1 Inputs'!$B$22+'1 Inputs'!$B$23+'1 Inputs'!$B$24</f>
        <v>133</v>
      </c>
      <c r="I117" s="19" t="n">
        <f aca="false">H117+'1 Inputs'!$B$25</f>
        <v>135</v>
      </c>
      <c r="J117" s="0" t="str">
        <f aca="false">IF(E117=0,"",IFERROR(INDEX($T$5:$T$40,MATCH(I117,$T$5:$T$40,1)+IF(INDEX($T$5:$T$40,MATCH(I117,$T$5:$T$40,1))=I117,0,1)),$T$5))</f>
        <v/>
      </c>
      <c r="K117" s="0" t="str">
        <f aca="false">IF(J117="","",J117+'1 Inputs'!$B$26)</f>
        <v/>
      </c>
      <c r="U117" s="0" t="n">
        <v>113</v>
      </c>
      <c r="V117" s="19" t="n">
        <f aca="false">IF(OR(AND((MOD(U117-1,52)+1)&gt;='1 Inputs'!$B$45,(MOD(U117-1,52)+1)&lt;='1 Inputs'!$C$45),AND((MOD(U117-1,52)+1)&gt;='1 Inputs'!$B$46,(MOD(U117-1,52)+1)&lt;='1 Inputs'!$C$46)),1,0)</f>
        <v>0</v>
      </c>
      <c r="W117" s="19" t="n">
        <f aca="false">W116+1-V117</f>
        <v>99</v>
      </c>
    </row>
    <row r="118" customFormat="false" ht="15" hidden="false" customHeight="false" outlineLevel="0" collapsed="false">
      <c r="A118" s="0" t="n">
        <v>114</v>
      </c>
      <c r="B118" s="0" t="n">
        <f aca="false">MOD(A118-1,52)+1</f>
        <v>10</v>
      </c>
      <c r="C118" s="0" t="n">
        <f aca="false">IF(OR(AND(B118&gt;='1 Inputs'!$B$45,B118&lt;='1 Inputs'!$C$45),AND(B118&gt;='1 Inputs'!$B$46,B118&lt;='1 Inputs'!$C$46)),1,0)</f>
        <v>0</v>
      </c>
      <c r="D118" s="13" t="n">
        <f aca="false">D117-E117</f>
        <v>0</v>
      </c>
      <c r="E118" s="13" t="n">
        <f aca="false">IF(A118&lt;'1 Inputs'!$B$21,0,IF(C118=1,0,MIN('1 Inputs'!$B$15,D118)))</f>
        <v>0</v>
      </c>
      <c r="F118" s="13" t="n">
        <f aca="false">E118*'1 Inputs'!$B$7*'1 Inputs'!$B$8*'1 Inputs'!$B$9*'1 Inputs'!$B$10</f>
        <v>0</v>
      </c>
      <c r="G118" s="12" t="n">
        <f aca="false">F118*'1 Inputs'!$B$11</f>
        <v>0</v>
      </c>
      <c r="H118" s="19" t="n">
        <f aca="false">A118+'1 Inputs'!$B$22+'1 Inputs'!$B$23+'1 Inputs'!$B$24</f>
        <v>134</v>
      </c>
      <c r="I118" s="19" t="n">
        <f aca="false">H118+'1 Inputs'!$B$25</f>
        <v>136</v>
      </c>
      <c r="J118" s="0" t="str">
        <f aca="false">IF(E118=0,"",IFERROR(INDEX($T$5:$T$40,MATCH(I118,$T$5:$T$40,1)+IF(INDEX($T$5:$T$40,MATCH(I118,$T$5:$T$40,1))=I118,0,1)),$T$5))</f>
        <v/>
      </c>
      <c r="K118" s="0" t="str">
        <f aca="false">IF(J118="","",J118+'1 Inputs'!$B$26)</f>
        <v/>
      </c>
      <c r="U118" s="0" t="n">
        <v>114</v>
      </c>
      <c r="V118" s="19" t="n">
        <f aca="false">IF(OR(AND((MOD(U118-1,52)+1)&gt;='1 Inputs'!$B$45,(MOD(U118-1,52)+1)&lt;='1 Inputs'!$C$45),AND((MOD(U118-1,52)+1)&gt;='1 Inputs'!$B$46,(MOD(U118-1,52)+1)&lt;='1 Inputs'!$C$46)),1,0)</f>
        <v>0</v>
      </c>
      <c r="W118" s="19" t="n">
        <f aca="false">W117+1-V118</f>
        <v>100</v>
      </c>
    </row>
    <row r="119" customFormat="false" ht="15" hidden="false" customHeight="false" outlineLevel="0" collapsed="false">
      <c r="A119" s="0" t="n">
        <v>115</v>
      </c>
      <c r="B119" s="0" t="n">
        <f aca="false">MOD(A119-1,52)+1</f>
        <v>11</v>
      </c>
      <c r="C119" s="0" t="n">
        <f aca="false">IF(OR(AND(B119&gt;='1 Inputs'!$B$45,B119&lt;='1 Inputs'!$C$45),AND(B119&gt;='1 Inputs'!$B$46,B119&lt;='1 Inputs'!$C$46)),1,0)</f>
        <v>0</v>
      </c>
      <c r="D119" s="13" t="n">
        <f aca="false">D118-E118</f>
        <v>0</v>
      </c>
      <c r="E119" s="13" t="n">
        <f aca="false">IF(A119&lt;'1 Inputs'!$B$21,0,IF(C119=1,0,MIN('1 Inputs'!$B$15,D119)))</f>
        <v>0</v>
      </c>
      <c r="F119" s="13" t="n">
        <f aca="false">E119*'1 Inputs'!$B$7*'1 Inputs'!$B$8*'1 Inputs'!$B$9*'1 Inputs'!$B$10</f>
        <v>0</v>
      </c>
      <c r="G119" s="12" t="n">
        <f aca="false">F119*'1 Inputs'!$B$11</f>
        <v>0</v>
      </c>
      <c r="H119" s="19" t="n">
        <f aca="false">A119+'1 Inputs'!$B$22+'1 Inputs'!$B$23+'1 Inputs'!$B$24</f>
        <v>135</v>
      </c>
      <c r="I119" s="19" t="n">
        <f aca="false">H119+'1 Inputs'!$B$25</f>
        <v>137</v>
      </c>
      <c r="J119" s="0" t="str">
        <f aca="false">IF(E119=0,"",IFERROR(INDEX($T$5:$T$40,MATCH(I119,$T$5:$T$40,1)+IF(INDEX($T$5:$T$40,MATCH(I119,$T$5:$T$40,1))=I119,0,1)),$T$5))</f>
        <v/>
      </c>
      <c r="K119" s="0" t="str">
        <f aca="false">IF(J119="","",J119+'1 Inputs'!$B$26)</f>
        <v/>
      </c>
      <c r="U119" s="0" t="n">
        <v>115</v>
      </c>
      <c r="V119" s="19" t="n">
        <f aca="false">IF(OR(AND((MOD(U119-1,52)+1)&gt;='1 Inputs'!$B$45,(MOD(U119-1,52)+1)&lt;='1 Inputs'!$C$45),AND((MOD(U119-1,52)+1)&gt;='1 Inputs'!$B$46,(MOD(U119-1,52)+1)&lt;='1 Inputs'!$C$46)),1,0)</f>
        <v>0</v>
      </c>
      <c r="W119" s="19" t="n">
        <f aca="false">W118+1-V119</f>
        <v>101</v>
      </c>
    </row>
    <row r="120" customFormat="false" ht="15" hidden="false" customHeight="false" outlineLevel="0" collapsed="false">
      <c r="A120" s="0" t="n">
        <v>116</v>
      </c>
      <c r="B120" s="0" t="n">
        <f aca="false">MOD(A120-1,52)+1</f>
        <v>12</v>
      </c>
      <c r="C120" s="0" t="n">
        <f aca="false">IF(OR(AND(B120&gt;='1 Inputs'!$B$45,B120&lt;='1 Inputs'!$C$45),AND(B120&gt;='1 Inputs'!$B$46,B120&lt;='1 Inputs'!$C$46)),1,0)</f>
        <v>0</v>
      </c>
      <c r="D120" s="13" t="n">
        <f aca="false">D119-E119</f>
        <v>0</v>
      </c>
      <c r="E120" s="13" t="n">
        <f aca="false">IF(A120&lt;'1 Inputs'!$B$21,0,IF(C120=1,0,MIN('1 Inputs'!$B$15,D120)))</f>
        <v>0</v>
      </c>
      <c r="F120" s="13" t="n">
        <f aca="false">E120*'1 Inputs'!$B$7*'1 Inputs'!$B$8*'1 Inputs'!$B$9*'1 Inputs'!$B$10</f>
        <v>0</v>
      </c>
      <c r="G120" s="12" t="n">
        <f aca="false">F120*'1 Inputs'!$B$11</f>
        <v>0</v>
      </c>
      <c r="H120" s="19" t="n">
        <f aca="false">A120+'1 Inputs'!$B$22+'1 Inputs'!$B$23+'1 Inputs'!$B$24</f>
        <v>136</v>
      </c>
      <c r="I120" s="19" t="n">
        <f aca="false">H120+'1 Inputs'!$B$25</f>
        <v>138</v>
      </c>
      <c r="J120" s="0" t="str">
        <f aca="false">IF(E120=0,"",IFERROR(INDEX($T$5:$T$40,MATCH(I120,$T$5:$T$40,1)+IF(INDEX($T$5:$T$40,MATCH(I120,$T$5:$T$40,1))=I120,0,1)),$T$5))</f>
        <v/>
      </c>
      <c r="K120" s="0" t="str">
        <f aca="false">IF(J120="","",J120+'1 Inputs'!$B$26)</f>
        <v/>
      </c>
      <c r="U120" s="0" t="n">
        <v>116</v>
      </c>
      <c r="V120" s="19" t="n">
        <f aca="false">IF(OR(AND((MOD(U120-1,52)+1)&gt;='1 Inputs'!$B$45,(MOD(U120-1,52)+1)&lt;='1 Inputs'!$C$45),AND((MOD(U120-1,52)+1)&gt;='1 Inputs'!$B$46,(MOD(U120-1,52)+1)&lt;='1 Inputs'!$C$46)),1,0)</f>
        <v>0</v>
      </c>
      <c r="W120" s="19" t="n">
        <f aca="false">W119+1-V120</f>
        <v>102</v>
      </c>
    </row>
    <row r="121" customFormat="false" ht="15" hidden="false" customHeight="false" outlineLevel="0" collapsed="false">
      <c r="A121" s="0" t="n">
        <v>117</v>
      </c>
      <c r="B121" s="0" t="n">
        <f aca="false">MOD(A121-1,52)+1</f>
        <v>13</v>
      </c>
      <c r="C121" s="0" t="n">
        <f aca="false">IF(OR(AND(B121&gt;='1 Inputs'!$B$45,B121&lt;='1 Inputs'!$C$45),AND(B121&gt;='1 Inputs'!$B$46,B121&lt;='1 Inputs'!$C$46)),1,0)</f>
        <v>0</v>
      </c>
      <c r="D121" s="13" t="n">
        <f aca="false">D120-E120</f>
        <v>0</v>
      </c>
      <c r="E121" s="13" t="n">
        <f aca="false">IF(A121&lt;'1 Inputs'!$B$21,0,IF(C121=1,0,MIN('1 Inputs'!$B$15,D121)))</f>
        <v>0</v>
      </c>
      <c r="F121" s="13" t="n">
        <f aca="false">E121*'1 Inputs'!$B$7*'1 Inputs'!$B$8*'1 Inputs'!$B$9*'1 Inputs'!$B$10</f>
        <v>0</v>
      </c>
      <c r="G121" s="12" t="n">
        <f aca="false">F121*'1 Inputs'!$B$11</f>
        <v>0</v>
      </c>
      <c r="H121" s="19" t="n">
        <f aca="false">A121+'1 Inputs'!$B$22+'1 Inputs'!$B$23+'1 Inputs'!$B$24</f>
        <v>137</v>
      </c>
      <c r="I121" s="19" t="n">
        <f aca="false">H121+'1 Inputs'!$B$25</f>
        <v>139</v>
      </c>
      <c r="J121" s="0" t="str">
        <f aca="false">IF(E121=0,"",IFERROR(INDEX($T$5:$T$40,MATCH(I121,$T$5:$T$40,1)+IF(INDEX($T$5:$T$40,MATCH(I121,$T$5:$T$40,1))=I121,0,1)),$T$5))</f>
        <v/>
      </c>
      <c r="K121" s="0" t="str">
        <f aca="false">IF(J121="","",J121+'1 Inputs'!$B$26)</f>
        <v/>
      </c>
      <c r="U121" s="0" t="n">
        <v>117</v>
      </c>
      <c r="V121" s="19" t="n">
        <f aca="false">IF(OR(AND((MOD(U121-1,52)+1)&gt;='1 Inputs'!$B$45,(MOD(U121-1,52)+1)&lt;='1 Inputs'!$C$45),AND((MOD(U121-1,52)+1)&gt;='1 Inputs'!$B$46,(MOD(U121-1,52)+1)&lt;='1 Inputs'!$C$46)),1,0)</f>
        <v>0</v>
      </c>
      <c r="W121" s="19" t="n">
        <f aca="false">W120+1-V121</f>
        <v>103</v>
      </c>
    </row>
    <row r="122" customFormat="false" ht="15" hidden="false" customHeight="false" outlineLevel="0" collapsed="false">
      <c r="A122" s="0" t="n">
        <v>118</v>
      </c>
      <c r="B122" s="0" t="n">
        <f aca="false">MOD(A122-1,52)+1</f>
        <v>14</v>
      </c>
      <c r="C122" s="0" t="n">
        <f aca="false">IF(OR(AND(B122&gt;='1 Inputs'!$B$45,B122&lt;='1 Inputs'!$C$45),AND(B122&gt;='1 Inputs'!$B$46,B122&lt;='1 Inputs'!$C$46)),1,0)</f>
        <v>0</v>
      </c>
      <c r="D122" s="13" t="n">
        <f aca="false">D121-E121</f>
        <v>0</v>
      </c>
      <c r="E122" s="13" t="n">
        <f aca="false">IF(A122&lt;'1 Inputs'!$B$21,0,IF(C122=1,0,MIN('1 Inputs'!$B$15,D122)))</f>
        <v>0</v>
      </c>
      <c r="F122" s="13" t="n">
        <f aca="false">E122*'1 Inputs'!$B$7*'1 Inputs'!$B$8*'1 Inputs'!$B$9*'1 Inputs'!$B$10</f>
        <v>0</v>
      </c>
      <c r="G122" s="12" t="n">
        <f aca="false">F122*'1 Inputs'!$B$11</f>
        <v>0</v>
      </c>
      <c r="H122" s="19" t="n">
        <f aca="false">A122+'1 Inputs'!$B$22+'1 Inputs'!$B$23+'1 Inputs'!$B$24</f>
        <v>138</v>
      </c>
      <c r="I122" s="19" t="n">
        <f aca="false">H122+'1 Inputs'!$B$25</f>
        <v>140</v>
      </c>
      <c r="J122" s="0" t="str">
        <f aca="false">IF(E122=0,"",IFERROR(INDEX($T$5:$T$40,MATCH(I122,$T$5:$T$40,1)+IF(INDEX($T$5:$T$40,MATCH(I122,$T$5:$T$40,1))=I122,0,1)),$T$5))</f>
        <v/>
      </c>
      <c r="K122" s="0" t="str">
        <f aca="false">IF(J122="","",J122+'1 Inputs'!$B$26)</f>
        <v/>
      </c>
      <c r="U122" s="0" t="n">
        <v>118</v>
      </c>
      <c r="V122" s="19" t="n">
        <f aca="false">IF(OR(AND((MOD(U122-1,52)+1)&gt;='1 Inputs'!$B$45,(MOD(U122-1,52)+1)&lt;='1 Inputs'!$C$45),AND((MOD(U122-1,52)+1)&gt;='1 Inputs'!$B$46,(MOD(U122-1,52)+1)&lt;='1 Inputs'!$C$46)),1,0)</f>
        <v>0</v>
      </c>
      <c r="W122" s="19" t="n">
        <f aca="false">W121+1-V122</f>
        <v>104</v>
      </c>
    </row>
    <row r="123" customFormat="false" ht="15" hidden="false" customHeight="false" outlineLevel="0" collapsed="false">
      <c r="A123" s="0" t="n">
        <v>119</v>
      </c>
      <c r="B123" s="0" t="n">
        <f aca="false">MOD(A123-1,52)+1</f>
        <v>15</v>
      </c>
      <c r="C123" s="0" t="n">
        <f aca="false">IF(OR(AND(B123&gt;='1 Inputs'!$B$45,B123&lt;='1 Inputs'!$C$45),AND(B123&gt;='1 Inputs'!$B$46,B123&lt;='1 Inputs'!$C$46)),1,0)</f>
        <v>0</v>
      </c>
      <c r="D123" s="13" t="n">
        <f aca="false">D122-E122</f>
        <v>0</v>
      </c>
      <c r="E123" s="13" t="n">
        <f aca="false">IF(A123&lt;'1 Inputs'!$B$21,0,IF(C123=1,0,MIN('1 Inputs'!$B$15,D123)))</f>
        <v>0</v>
      </c>
      <c r="F123" s="13" t="n">
        <f aca="false">E123*'1 Inputs'!$B$7*'1 Inputs'!$B$8*'1 Inputs'!$B$9*'1 Inputs'!$B$10</f>
        <v>0</v>
      </c>
      <c r="G123" s="12" t="n">
        <f aca="false">F123*'1 Inputs'!$B$11</f>
        <v>0</v>
      </c>
      <c r="H123" s="19" t="n">
        <f aca="false">A123+'1 Inputs'!$B$22+'1 Inputs'!$B$23+'1 Inputs'!$B$24</f>
        <v>139</v>
      </c>
      <c r="I123" s="19" t="n">
        <f aca="false">H123+'1 Inputs'!$B$25</f>
        <v>141</v>
      </c>
      <c r="J123" s="0" t="str">
        <f aca="false">IF(E123=0,"",IFERROR(INDEX($T$5:$T$40,MATCH(I123,$T$5:$T$40,1)+IF(INDEX($T$5:$T$40,MATCH(I123,$T$5:$T$40,1))=I123,0,1)),$T$5))</f>
        <v/>
      </c>
      <c r="K123" s="0" t="str">
        <f aca="false">IF(J123="","",J123+'1 Inputs'!$B$26)</f>
        <v/>
      </c>
      <c r="U123" s="0" t="n">
        <v>119</v>
      </c>
      <c r="V123" s="19" t="n">
        <f aca="false">IF(OR(AND((MOD(U123-1,52)+1)&gt;='1 Inputs'!$B$45,(MOD(U123-1,52)+1)&lt;='1 Inputs'!$C$45),AND((MOD(U123-1,52)+1)&gt;='1 Inputs'!$B$46,(MOD(U123-1,52)+1)&lt;='1 Inputs'!$C$46)),1,0)</f>
        <v>0</v>
      </c>
      <c r="W123" s="19" t="n">
        <f aca="false">W122+1-V123</f>
        <v>105</v>
      </c>
    </row>
    <row r="124" customFormat="false" ht="15" hidden="false" customHeight="false" outlineLevel="0" collapsed="false">
      <c r="A124" s="0" t="n">
        <v>120</v>
      </c>
      <c r="B124" s="0" t="n">
        <f aca="false">MOD(A124-1,52)+1</f>
        <v>16</v>
      </c>
      <c r="C124" s="0" t="n">
        <f aca="false">IF(OR(AND(B124&gt;='1 Inputs'!$B$45,B124&lt;='1 Inputs'!$C$45),AND(B124&gt;='1 Inputs'!$B$46,B124&lt;='1 Inputs'!$C$46)),1,0)</f>
        <v>0</v>
      </c>
      <c r="D124" s="13" t="n">
        <f aca="false">D123-E123</f>
        <v>0</v>
      </c>
      <c r="E124" s="13" t="n">
        <f aca="false">IF(A124&lt;'1 Inputs'!$B$21,0,IF(C124=1,0,MIN('1 Inputs'!$B$15,D124)))</f>
        <v>0</v>
      </c>
      <c r="F124" s="13" t="n">
        <f aca="false">E124*'1 Inputs'!$B$7*'1 Inputs'!$B$8*'1 Inputs'!$B$9*'1 Inputs'!$B$10</f>
        <v>0</v>
      </c>
      <c r="G124" s="12" t="n">
        <f aca="false">F124*'1 Inputs'!$B$11</f>
        <v>0</v>
      </c>
      <c r="H124" s="19" t="n">
        <f aca="false">A124+'1 Inputs'!$B$22+'1 Inputs'!$B$23+'1 Inputs'!$B$24</f>
        <v>140</v>
      </c>
      <c r="I124" s="19" t="n">
        <f aca="false">H124+'1 Inputs'!$B$25</f>
        <v>142</v>
      </c>
      <c r="J124" s="0" t="str">
        <f aca="false">IF(E124=0,"",IFERROR(INDEX($T$5:$T$40,MATCH(I124,$T$5:$T$40,1)+IF(INDEX($T$5:$T$40,MATCH(I124,$T$5:$T$40,1))=I124,0,1)),$T$5))</f>
        <v/>
      </c>
      <c r="K124" s="0" t="str">
        <f aca="false">IF(J124="","",J124+'1 Inputs'!$B$26)</f>
        <v/>
      </c>
      <c r="U124" s="0" t="n">
        <v>120</v>
      </c>
      <c r="V124" s="19" t="n">
        <f aca="false">IF(OR(AND((MOD(U124-1,52)+1)&gt;='1 Inputs'!$B$45,(MOD(U124-1,52)+1)&lt;='1 Inputs'!$C$45),AND((MOD(U124-1,52)+1)&gt;='1 Inputs'!$B$46,(MOD(U124-1,52)+1)&lt;='1 Inputs'!$C$46)),1,0)</f>
        <v>0</v>
      </c>
      <c r="W124" s="19" t="n">
        <f aca="false">W123+1-V124</f>
        <v>106</v>
      </c>
    </row>
    <row r="125" customFormat="false" ht="15" hidden="false" customHeight="false" outlineLevel="0" collapsed="false">
      <c r="A125" s="0" t="n">
        <v>121</v>
      </c>
      <c r="B125" s="0" t="n">
        <f aca="false">MOD(A125-1,52)+1</f>
        <v>17</v>
      </c>
      <c r="C125" s="0" t="n">
        <f aca="false">IF(OR(AND(B125&gt;='1 Inputs'!$B$45,B125&lt;='1 Inputs'!$C$45),AND(B125&gt;='1 Inputs'!$B$46,B125&lt;='1 Inputs'!$C$46)),1,0)</f>
        <v>0</v>
      </c>
      <c r="D125" s="13" t="n">
        <f aca="false">D124-E124</f>
        <v>0</v>
      </c>
      <c r="E125" s="13" t="n">
        <f aca="false">IF(A125&lt;'1 Inputs'!$B$21,0,IF(C125=1,0,MIN('1 Inputs'!$B$15,D125)))</f>
        <v>0</v>
      </c>
      <c r="F125" s="13" t="n">
        <f aca="false">E125*'1 Inputs'!$B$7*'1 Inputs'!$B$8*'1 Inputs'!$B$9*'1 Inputs'!$B$10</f>
        <v>0</v>
      </c>
      <c r="G125" s="12" t="n">
        <f aca="false">F125*'1 Inputs'!$B$11</f>
        <v>0</v>
      </c>
      <c r="H125" s="19" t="n">
        <f aca="false">A125+'1 Inputs'!$B$22+'1 Inputs'!$B$23+'1 Inputs'!$B$24</f>
        <v>141</v>
      </c>
      <c r="I125" s="19" t="n">
        <f aca="false">H125+'1 Inputs'!$B$25</f>
        <v>143</v>
      </c>
      <c r="J125" s="0" t="str">
        <f aca="false">IF(E125=0,"",IFERROR(INDEX($T$5:$T$40,MATCH(I125,$T$5:$T$40,1)+IF(INDEX($T$5:$T$40,MATCH(I125,$T$5:$T$40,1))=I125,0,1)),$T$5))</f>
        <v/>
      </c>
      <c r="K125" s="0" t="str">
        <f aca="false">IF(J125="","",J125+'1 Inputs'!$B$26)</f>
        <v/>
      </c>
      <c r="U125" s="0" t="n">
        <v>121</v>
      </c>
      <c r="V125" s="19" t="n">
        <f aca="false">IF(OR(AND((MOD(U125-1,52)+1)&gt;='1 Inputs'!$B$45,(MOD(U125-1,52)+1)&lt;='1 Inputs'!$C$45),AND((MOD(U125-1,52)+1)&gt;='1 Inputs'!$B$46,(MOD(U125-1,52)+1)&lt;='1 Inputs'!$C$46)),1,0)</f>
        <v>0</v>
      </c>
      <c r="W125" s="19" t="n">
        <f aca="false">W124+1-V125</f>
        <v>107</v>
      </c>
    </row>
    <row r="126" customFormat="false" ht="15" hidden="false" customHeight="false" outlineLevel="0" collapsed="false">
      <c r="A126" s="0" t="n">
        <v>122</v>
      </c>
      <c r="B126" s="0" t="n">
        <f aca="false">MOD(A126-1,52)+1</f>
        <v>18</v>
      </c>
      <c r="C126" s="0" t="n">
        <f aca="false">IF(OR(AND(B126&gt;='1 Inputs'!$B$45,B126&lt;='1 Inputs'!$C$45),AND(B126&gt;='1 Inputs'!$B$46,B126&lt;='1 Inputs'!$C$46)),1,0)</f>
        <v>0</v>
      </c>
      <c r="D126" s="13" t="n">
        <f aca="false">D125-E125</f>
        <v>0</v>
      </c>
      <c r="E126" s="13" t="n">
        <f aca="false">IF(A126&lt;'1 Inputs'!$B$21,0,IF(C126=1,0,MIN('1 Inputs'!$B$15,D126)))</f>
        <v>0</v>
      </c>
      <c r="F126" s="13" t="n">
        <f aca="false">E126*'1 Inputs'!$B$7*'1 Inputs'!$B$8*'1 Inputs'!$B$9*'1 Inputs'!$B$10</f>
        <v>0</v>
      </c>
      <c r="G126" s="12" t="n">
        <f aca="false">F126*'1 Inputs'!$B$11</f>
        <v>0</v>
      </c>
      <c r="H126" s="19" t="n">
        <f aca="false">A126+'1 Inputs'!$B$22+'1 Inputs'!$B$23+'1 Inputs'!$B$24</f>
        <v>142</v>
      </c>
      <c r="I126" s="19" t="n">
        <f aca="false">H126+'1 Inputs'!$B$25</f>
        <v>144</v>
      </c>
      <c r="J126" s="0" t="str">
        <f aca="false">IF(E126=0,"",IFERROR(INDEX($T$5:$T$40,MATCH(I126,$T$5:$T$40,1)+IF(INDEX($T$5:$T$40,MATCH(I126,$T$5:$T$40,1))=I126,0,1)),$T$5))</f>
        <v/>
      </c>
      <c r="K126" s="0" t="str">
        <f aca="false">IF(J126="","",J126+'1 Inputs'!$B$26)</f>
        <v/>
      </c>
      <c r="U126" s="0" t="n">
        <v>122</v>
      </c>
      <c r="V126" s="19" t="n">
        <f aca="false">IF(OR(AND((MOD(U126-1,52)+1)&gt;='1 Inputs'!$B$45,(MOD(U126-1,52)+1)&lt;='1 Inputs'!$C$45),AND((MOD(U126-1,52)+1)&gt;='1 Inputs'!$B$46,(MOD(U126-1,52)+1)&lt;='1 Inputs'!$C$46)),1,0)</f>
        <v>0</v>
      </c>
      <c r="W126" s="19" t="n">
        <f aca="false">W125+1-V126</f>
        <v>108</v>
      </c>
    </row>
    <row r="127" customFormat="false" ht="15" hidden="false" customHeight="false" outlineLevel="0" collapsed="false">
      <c r="A127" s="0" t="n">
        <v>123</v>
      </c>
      <c r="B127" s="0" t="n">
        <f aca="false">MOD(A127-1,52)+1</f>
        <v>19</v>
      </c>
      <c r="C127" s="0" t="n">
        <f aca="false">IF(OR(AND(B127&gt;='1 Inputs'!$B$45,B127&lt;='1 Inputs'!$C$45),AND(B127&gt;='1 Inputs'!$B$46,B127&lt;='1 Inputs'!$C$46)),1,0)</f>
        <v>0</v>
      </c>
      <c r="D127" s="13" t="n">
        <f aca="false">D126-E126</f>
        <v>0</v>
      </c>
      <c r="E127" s="13" t="n">
        <f aca="false">IF(A127&lt;'1 Inputs'!$B$21,0,IF(C127=1,0,MIN('1 Inputs'!$B$15,D127)))</f>
        <v>0</v>
      </c>
      <c r="F127" s="13" t="n">
        <f aca="false">E127*'1 Inputs'!$B$7*'1 Inputs'!$B$8*'1 Inputs'!$B$9*'1 Inputs'!$B$10</f>
        <v>0</v>
      </c>
      <c r="G127" s="12" t="n">
        <f aca="false">F127*'1 Inputs'!$B$11</f>
        <v>0</v>
      </c>
      <c r="H127" s="19" t="n">
        <f aca="false">A127+'1 Inputs'!$B$22+'1 Inputs'!$B$23+'1 Inputs'!$B$24</f>
        <v>143</v>
      </c>
      <c r="I127" s="19" t="n">
        <f aca="false">H127+'1 Inputs'!$B$25</f>
        <v>145</v>
      </c>
      <c r="J127" s="0" t="str">
        <f aca="false">IF(E127=0,"",IFERROR(INDEX($T$5:$T$40,MATCH(I127,$T$5:$T$40,1)+IF(INDEX($T$5:$T$40,MATCH(I127,$T$5:$T$40,1))=I127,0,1)),$T$5))</f>
        <v/>
      </c>
      <c r="K127" s="0" t="str">
        <f aca="false">IF(J127="","",J127+'1 Inputs'!$B$26)</f>
        <v/>
      </c>
      <c r="U127" s="0" t="n">
        <v>123</v>
      </c>
      <c r="V127" s="19" t="n">
        <f aca="false">IF(OR(AND((MOD(U127-1,52)+1)&gt;='1 Inputs'!$B$45,(MOD(U127-1,52)+1)&lt;='1 Inputs'!$C$45),AND((MOD(U127-1,52)+1)&gt;='1 Inputs'!$B$46,(MOD(U127-1,52)+1)&lt;='1 Inputs'!$C$46)),1,0)</f>
        <v>0</v>
      </c>
      <c r="W127" s="19" t="n">
        <f aca="false">W126+1-V127</f>
        <v>109</v>
      </c>
    </row>
    <row r="128" customFormat="false" ht="15" hidden="false" customHeight="false" outlineLevel="0" collapsed="false">
      <c r="A128" s="0" t="n">
        <v>124</v>
      </c>
      <c r="B128" s="0" t="n">
        <f aca="false">MOD(A128-1,52)+1</f>
        <v>20</v>
      </c>
      <c r="C128" s="0" t="n">
        <f aca="false">IF(OR(AND(B128&gt;='1 Inputs'!$B$45,B128&lt;='1 Inputs'!$C$45),AND(B128&gt;='1 Inputs'!$B$46,B128&lt;='1 Inputs'!$C$46)),1,0)</f>
        <v>0</v>
      </c>
      <c r="D128" s="13" t="n">
        <f aca="false">D127-E127</f>
        <v>0</v>
      </c>
      <c r="E128" s="13" t="n">
        <f aca="false">IF(A128&lt;'1 Inputs'!$B$21,0,IF(C128=1,0,MIN('1 Inputs'!$B$15,D128)))</f>
        <v>0</v>
      </c>
      <c r="F128" s="13" t="n">
        <f aca="false">E128*'1 Inputs'!$B$7*'1 Inputs'!$B$8*'1 Inputs'!$B$9*'1 Inputs'!$B$10</f>
        <v>0</v>
      </c>
      <c r="G128" s="12" t="n">
        <f aca="false">F128*'1 Inputs'!$B$11</f>
        <v>0</v>
      </c>
      <c r="H128" s="19" t="n">
        <f aca="false">A128+'1 Inputs'!$B$22+'1 Inputs'!$B$23+'1 Inputs'!$B$24</f>
        <v>144</v>
      </c>
      <c r="I128" s="19" t="n">
        <f aca="false">H128+'1 Inputs'!$B$25</f>
        <v>146</v>
      </c>
      <c r="J128" s="0" t="str">
        <f aca="false">IF(E128=0,"",IFERROR(INDEX($T$5:$T$40,MATCH(I128,$T$5:$T$40,1)+IF(INDEX($T$5:$T$40,MATCH(I128,$T$5:$T$40,1))=I128,0,1)),$T$5))</f>
        <v/>
      </c>
      <c r="K128" s="0" t="str">
        <f aca="false">IF(J128="","",J128+'1 Inputs'!$B$26)</f>
        <v/>
      </c>
      <c r="U128" s="0" t="n">
        <v>124</v>
      </c>
      <c r="V128" s="19" t="n">
        <f aca="false">IF(OR(AND((MOD(U128-1,52)+1)&gt;='1 Inputs'!$B$45,(MOD(U128-1,52)+1)&lt;='1 Inputs'!$C$45),AND((MOD(U128-1,52)+1)&gt;='1 Inputs'!$B$46,(MOD(U128-1,52)+1)&lt;='1 Inputs'!$C$46)),1,0)</f>
        <v>0</v>
      </c>
      <c r="W128" s="19" t="n">
        <f aca="false">W127+1-V128</f>
        <v>110</v>
      </c>
    </row>
    <row r="129" customFormat="false" ht="15" hidden="false" customHeight="false" outlineLevel="0" collapsed="false">
      <c r="A129" s="0" t="n">
        <v>125</v>
      </c>
      <c r="B129" s="0" t="n">
        <f aca="false">MOD(A129-1,52)+1</f>
        <v>21</v>
      </c>
      <c r="C129" s="0" t="n">
        <f aca="false">IF(OR(AND(B129&gt;='1 Inputs'!$B$45,B129&lt;='1 Inputs'!$C$45),AND(B129&gt;='1 Inputs'!$B$46,B129&lt;='1 Inputs'!$C$46)),1,0)</f>
        <v>0</v>
      </c>
      <c r="D129" s="13" t="n">
        <f aca="false">D128-E128</f>
        <v>0</v>
      </c>
      <c r="E129" s="13" t="n">
        <f aca="false">IF(A129&lt;'1 Inputs'!$B$21,0,IF(C129=1,0,MIN('1 Inputs'!$B$15,D129)))</f>
        <v>0</v>
      </c>
      <c r="F129" s="13" t="n">
        <f aca="false">E129*'1 Inputs'!$B$7*'1 Inputs'!$B$8*'1 Inputs'!$B$9*'1 Inputs'!$B$10</f>
        <v>0</v>
      </c>
      <c r="G129" s="12" t="n">
        <f aca="false">F129*'1 Inputs'!$B$11</f>
        <v>0</v>
      </c>
      <c r="H129" s="19" t="n">
        <f aca="false">A129+'1 Inputs'!$B$22+'1 Inputs'!$B$23+'1 Inputs'!$B$24</f>
        <v>145</v>
      </c>
      <c r="I129" s="19" t="n">
        <f aca="false">H129+'1 Inputs'!$B$25</f>
        <v>147</v>
      </c>
      <c r="J129" s="0" t="str">
        <f aca="false">IF(E129=0,"",IFERROR(INDEX($T$5:$T$40,MATCH(I129,$T$5:$T$40,1)+IF(INDEX($T$5:$T$40,MATCH(I129,$T$5:$T$40,1))=I129,0,1)),$T$5))</f>
        <v/>
      </c>
      <c r="K129" s="0" t="str">
        <f aca="false">IF(J129="","",J129+'1 Inputs'!$B$26)</f>
        <v/>
      </c>
      <c r="U129" s="0" t="n">
        <v>125</v>
      </c>
      <c r="V129" s="19" t="n">
        <f aca="false">IF(OR(AND((MOD(U129-1,52)+1)&gt;='1 Inputs'!$B$45,(MOD(U129-1,52)+1)&lt;='1 Inputs'!$C$45),AND((MOD(U129-1,52)+1)&gt;='1 Inputs'!$B$46,(MOD(U129-1,52)+1)&lt;='1 Inputs'!$C$46)),1,0)</f>
        <v>0</v>
      </c>
      <c r="W129" s="19" t="n">
        <f aca="false">W128+1-V129</f>
        <v>111</v>
      </c>
    </row>
    <row r="130" customFormat="false" ht="15" hidden="false" customHeight="false" outlineLevel="0" collapsed="false">
      <c r="A130" s="0" t="n">
        <v>126</v>
      </c>
      <c r="B130" s="0" t="n">
        <f aca="false">MOD(A130-1,52)+1</f>
        <v>22</v>
      </c>
      <c r="C130" s="0" t="n">
        <f aca="false">IF(OR(AND(B130&gt;='1 Inputs'!$B$45,B130&lt;='1 Inputs'!$C$45),AND(B130&gt;='1 Inputs'!$B$46,B130&lt;='1 Inputs'!$C$46)),1,0)</f>
        <v>0</v>
      </c>
      <c r="D130" s="13" t="n">
        <f aca="false">D129-E129</f>
        <v>0</v>
      </c>
      <c r="E130" s="13" t="n">
        <f aca="false">IF(A130&lt;'1 Inputs'!$B$21,0,IF(C130=1,0,MIN('1 Inputs'!$B$15,D130)))</f>
        <v>0</v>
      </c>
      <c r="F130" s="13" t="n">
        <f aca="false">E130*'1 Inputs'!$B$7*'1 Inputs'!$B$8*'1 Inputs'!$B$9*'1 Inputs'!$B$10</f>
        <v>0</v>
      </c>
      <c r="G130" s="12" t="n">
        <f aca="false">F130*'1 Inputs'!$B$11</f>
        <v>0</v>
      </c>
      <c r="H130" s="19" t="n">
        <f aca="false">A130+'1 Inputs'!$B$22+'1 Inputs'!$B$23+'1 Inputs'!$B$24</f>
        <v>146</v>
      </c>
      <c r="I130" s="19" t="n">
        <f aca="false">H130+'1 Inputs'!$B$25</f>
        <v>148</v>
      </c>
      <c r="J130" s="0" t="str">
        <f aca="false">IF(E130=0,"",IFERROR(INDEX($T$5:$T$40,MATCH(I130,$T$5:$T$40,1)+IF(INDEX($T$5:$T$40,MATCH(I130,$T$5:$T$40,1))=I130,0,1)),$T$5))</f>
        <v/>
      </c>
      <c r="K130" s="0" t="str">
        <f aca="false">IF(J130="","",J130+'1 Inputs'!$B$26)</f>
        <v/>
      </c>
      <c r="U130" s="0" t="n">
        <v>126</v>
      </c>
      <c r="V130" s="19" t="n">
        <f aca="false">IF(OR(AND((MOD(U130-1,52)+1)&gt;='1 Inputs'!$B$45,(MOD(U130-1,52)+1)&lt;='1 Inputs'!$C$45),AND((MOD(U130-1,52)+1)&gt;='1 Inputs'!$B$46,(MOD(U130-1,52)+1)&lt;='1 Inputs'!$C$46)),1,0)</f>
        <v>0</v>
      </c>
      <c r="W130" s="19" t="n">
        <f aca="false">W129+1-V130</f>
        <v>112</v>
      </c>
    </row>
    <row r="131" customFormat="false" ht="15" hidden="false" customHeight="false" outlineLevel="0" collapsed="false">
      <c r="A131" s="0" t="n">
        <v>127</v>
      </c>
      <c r="B131" s="0" t="n">
        <f aca="false">MOD(A131-1,52)+1</f>
        <v>23</v>
      </c>
      <c r="C131" s="0" t="n">
        <f aca="false">IF(OR(AND(B131&gt;='1 Inputs'!$B$45,B131&lt;='1 Inputs'!$C$45),AND(B131&gt;='1 Inputs'!$B$46,B131&lt;='1 Inputs'!$C$46)),1,0)</f>
        <v>0</v>
      </c>
      <c r="D131" s="13" t="n">
        <f aca="false">D130-E130</f>
        <v>0</v>
      </c>
      <c r="E131" s="13" t="n">
        <f aca="false">IF(A131&lt;'1 Inputs'!$B$21,0,IF(C131=1,0,MIN('1 Inputs'!$B$15,D131)))</f>
        <v>0</v>
      </c>
      <c r="F131" s="13" t="n">
        <f aca="false">E131*'1 Inputs'!$B$7*'1 Inputs'!$B$8*'1 Inputs'!$B$9*'1 Inputs'!$B$10</f>
        <v>0</v>
      </c>
      <c r="G131" s="12" t="n">
        <f aca="false">F131*'1 Inputs'!$B$11</f>
        <v>0</v>
      </c>
      <c r="H131" s="19" t="n">
        <f aca="false">A131+'1 Inputs'!$B$22+'1 Inputs'!$B$23+'1 Inputs'!$B$24</f>
        <v>147</v>
      </c>
      <c r="I131" s="19" t="n">
        <f aca="false">H131+'1 Inputs'!$B$25</f>
        <v>149</v>
      </c>
      <c r="J131" s="0" t="str">
        <f aca="false">IF(E131=0,"",IFERROR(INDEX($T$5:$T$40,MATCH(I131,$T$5:$T$40,1)+IF(INDEX($T$5:$T$40,MATCH(I131,$T$5:$T$40,1))=I131,0,1)),$T$5))</f>
        <v/>
      </c>
      <c r="K131" s="0" t="str">
        <f aca="false">IF(J131="","",J131+'1 Inputs'!$B$26)</f>
        <v/>
      </c>
      <c r="U131" s="0" t="n">
        <v>127</v>
      </c>
      <c r="V131" s="19" t="n">
        <f aca="false">IF(OR(AND((MOD(U131-1,52)+1)&gt;='1 Inputs'!$B$45,(MOD(U131-1,52)+1)&lt;='1 Inputs'!$C$45),AND((MOD(U131-1,52)+1)&gt;='1 Inputs'!$B$46,(MOD(U131-1,52)+1)&lt;='1 Inputs'!$C$46)),1,0)</f>
        <v>0</v>
      </c>
      <c r="W131" s="19" t="n">
        <f aca="false">W130+1-V131</f>
        <v>113</v>
      </c>
    </row>
    <row r="132" customFormat="false" ht="15" hidden="false" customHeight="false" outlineLevel="0" collapsed="false">
      <c r="A132" s="0" t="n">
        <v>128</v>
      </c>
      <c r="B132" s="0" t="n">
        <f aca="false">MOD(A132-1,52)+1</f>
        <v>24</v>
      </c>
      <c r="C132" s="0" t="n">
        <f aca="false">IF(OR(AND(B132&gt;='1 Inputs'!$B$45,B132&lt;='1 Inputs'!$C$45),AND(B132&gt;='1 Inputs'!$B$46,B132&lt;='1 Inputs'!$C$46)),1,0)</f>
        <v>0</v>
      </c>
      <c r="D132" s="13" t="n">
        <f aca="false">D131-E131</f>
        <v>0</v>
      </c>
      <c r="E132" s="13" t="n">
        <f aca="false">IF(A132&lt;'1 Inputs'!$B$21,0,IF(C132=1,0,MIN('1 Inputs'!$B$15,D132)))</f>
        <v>0</v>
      </c>
      <c r="F132" s="13" t="n">
        <f aca="false">E132*'1 Inputs'!$B$7*'1 Inputs'!$B$8*'1 Inputs'!$B$9*'1 Inputs'!$B$10</f>
        <v>0</v>
      </c>
      <c r="G132" s="12" t="n">
        <f aca="false">F132*'1 Inputs'!$B$11</f>
        <v>0</v>
      </c>
      <c r="H132" s="19" t="n">
        <f aca="false">A132+'1 Inputs'!$B$22+'1 Inputs'!$B$23+'1 Inputs'!$B$24</f>
        <v>148</v>
      </c>
      <c r="I132" s="19" t="n">
        <f aca="false">H132+'1 Inputs'!$B$25</f>
        <v>150</v>
      </c>
      <c r="J132" s="0" t="str">
        <f aca="false">IF(E132=0,"",IFERROR(INDEX($T$5:$T$40,MATCH(I132,$T$5:$T$40,1)+IF(INDEX($T$5:$T$40,MATCH(I132,$T$5:$T$40,1))=I132,0,1)),$T$5))</f>
        <v/>
      </c>
      <c r="K132" s="0" t="str">
        <f aca="false">IF(J132="","",J132+'1 Inputs'!$B$26)</f>
        <v/>
      </c>
      <c r="U132" s="0" t="n">
        <v>128</v>
      </c>
      <c r="V132" s="19" t="n">
        <f aca="false">IF(OR(AND((MOD(U132-1,52)+1)&gt;='1 Inputs'!$B$45,(MOD(U132-1,52)+1)&lt;='1 Inputs'!$C$45),AND((MOD(U132-1,52)+1)&gt;='1 Inputs'!$B$46,(MOD(U132-1,52)+1)&lt;='1 Inputs'!$C$46)),1,0)</f>
        <v>0</v>
      </c>
      <c r="W132" s="19" t="n">
        <f aca="false">W131+1-V132</f>
        <v>114</v>
      </c>
    </row>
    <row r="133" customFormat="false" ht="15" hidden="false" customHeight="false" outlineLevel="0" collapsed="false">
      <c r="A133" s="0" t="n">
        <v>129</v>
      </c>
      <c r="B133" s="0" t="n">
        <f aca="false">MOD(A133-1,52)+1</f>
        <v>25</v>
      </c>
      <c r="C133" s="0" t="n">
        <f aca="false">IF(OR(AND(B133&gt;='1 Inputs'!$B$45,B133&lt;='1 Inputs'!$C$45),AND(B133&gt;='1 Inputs'!$B$46,B133&lt;='1 Inputs'!$C$46)),1,0)</f>
        <v>0</v>
      </c>
      <c r="D133" s="13" t="n">
        <f aca="false">D132-E132</f>
        <v>0</v>
      </c>
      <c r="E133" s="13" t="n">
        <f aca="false">IF(A133&lt;'1 Inputs'!$B$21,0,IF(C133=1,0,MIN('1 Inputs'!$B$15,D133)))</f>
        <v>0</v>
      </c>
      <c r="F133" s="13" t="n">
        <f aca="false">E133*'1 Inputs'!$B$7*'1 Inputs'!$B$8*'1 Inputs'!$B$9*'1 Inputs'!$B$10</f>
        <v>0</v>
      </c>
      <c r="G133" s="12" t="n">
        <f aca="false">F133*'1 Inputs'!$B$11</f>
        <v>0</v>
      </c>
      <c r="H133" s="19" t="n">
        <f aca="false">A133+'1 Inputs'!$B$22+'1 Inputs'!$B$23+'1 Inputs'!$B$24</f>
        <v>149</v>
      </c>
      <c r="I133" s="19" t="n">
        <f aca="false">H133+'1 Inputs'!$B$25</f>
        <v>151</v>
      </c>
      <c r="J133" s="0" t="str">
        <f aca="false">IF(E133=0,"",IFERROR(INDEX($T$5:$T$40,MATCH(I133,$T$5:$T$40,1)+IF(INDEX($T$5:$T$40,MATCH(I133,$T$5:$T$40,1))=I133,0,1)),$T$5))</f>
        <v/>
      </c>
      <c r="K133" s="0" t="str">
        <f aca="false">IF(J133="","",J133+'1 Inputs'!$B$26)</f>
        <v/>
      </c>
      <c r="U133" s="0" t="n">
        <v>129</v>
      </c>
      <c r="V133" s="19" t="n">
        <f aca="false">IF(OR(AND((MOD(U133-1,52)+1)&gt;='1 Inputs'!$B$45,(MOD(U133-1,52)+1)&lt;='1 Inputs'!$C$45),AND((MOD(U133-1,52)+1)&gt;='1 Inputs'!$B$46,(MOD(U133-1,52)+1)&lt;='1 Inputs'!$C$46)),1,0)</f>
        <v>0</v>
      </c>
      <c r="W133" s="19" t="n">
        <f aca="false">W132+1-V133</f>
        <v>115</v>
      </c>
    </row>
    <row r="134" customFormat="false" ht="15" hidden="false" customHeight="false" outlineLevel="0" collapsed="false">
      <c r="A134" s="0" t="n">
        <v>130</v>
      </c>
      <c r="B134" s="0" t="n">
        <f aca="false">MOD(A134-1,52)+1</f>
        <v>26</v>
      </c>
      <c r="C134" s="0" t="n">
        <f aca="false">IF(OR(AND(B134&gt;='1 Inputs'!$B$45,B134&lt;='1 Inputs'!$C$45),AND(B134&gt;='1 Inputs'!$B$46,B134&lt;='1 Inputs'!$C$46)),1,0)</f>
        <v>0</v>
      </c>
      <c r="D134" s="13" t="n">
        <f aca="false">D133-E133</f>
        <v>0</v>
      </c>
      <c r="E134" s="13" t="n">
        <f aca="false">IF(A134&lt;'1 Inputs'!$B$21,0,IF(C134=1,0,MIN('1 Inputs'!$B$15,D134)))</f>
        <v>0</v>
      </c>
      <c r="F134" s="13" t="n">
        <f aca="false">E134*'1 Inputs'!$B$7*'1 Inputs'!$B$8*'1 Inputs'!$B$9*'1 Inputs'!$B$10</f>
        <v>0</v>
      </c>
      <c r="G134" s="12" t="n">
        <f aca="false">F134*'1 Inputs'!$B$11</f>
        <v>0</v>
      </c>
      <c r="H134" s="19" t="n">
        <f aca="false">A134+'1 Inputs'!$B$22+'1 Inputs'!$B$23+'1 Inputs'!$B$24</f>
        <v>150</v>
      </c>
      <c r="I134" s="19" t="n">
        <f aca="false">H134+'1 Inputs'!$B$25</f>
        <v>152</v>
      </c>
      <c r="J134" s="0" t="str">
        <f aca="false">IF(E134=0,"",IFERROR(INDEX($T$5:$T$40,MATCH(I134,$T$5:$T$40,1)+IF(INDEX($T$5:$T$40,MATCH(I134,$T$5:$T$40,1))=I134,0,1)),$T$5))</f>
        <v/>
      </c>
      <c r="K134" s="0" t="str">
        <f aca="false">IF(J134="","",J134+'1 Inputs'!$B$26)</f>
        <v/>
      </c>
      <c r="U134" s="0" t="n">
        <v>130</v>
      </c>
      <c r="V134" s="19" t="n">
        <f aca="false">IF(OR(AND((MOD(U134-1,52)+1)&gt;='1 Inputs'!$B$45,(MOD(U134-1,52)+1)&lt;='1 Inputs'!$C$45),AND((MOD(U134-1,52)+1)&gt;='1 Inputs'!$B$46,(MOD(U134-1,52)+1)&lt;='1 Inputs'!$C$46)),1,0)</f>
        <v>0</v>
      </c>
      <c r="W134" s="19" t="n">
        <f aca="false">W133+1-V134</f>
        <v>116</v>
      </c>
    </row>
    <row r="135" customFormat="false" ht="15" hidden="false" customHeight="false" outlineLevel="0" collapsed="false">
      <c r="A135" s="0" t="n">
        <v>131</v>
      </c>
      <c r="B135" s="0" t="n">
        <f aca="false">MOD(A135-1,52)+1</f>
        <v>27</v>
      </c>
      <c r="C135" s="0" t="n">
        <f aca="false">IF(OR(AND(B135&gt;='1 Inputs'!$B$45,B135&lt;='1 Inputs'!$C$45),AND(B135&gt;='1 Inputs'!$B$46,B135&lt;='1 Inputs'!$C$46)),1,0)</f>
        <v>0</v>
      </c>
      <c r="D135" s="13" t="n">
        <f aca="false">D134-E134</f>
        <v>0</v>
      </c>
      <c r="E135" s="13" t="n">
        <f aca="false">IF(A135&lt;'1 Inputs'!$B$21,0,IF(C135=1,0,MIN('1 Inputs'!$B$15,D135)))</f>
        <v>0</v>
      </c>
      <c r="F135" s="13" t="n">
        <f aca="false">E135*'1 Inputs'!$B$7*'1 Inputs'!$B$8*'1 Inputs'!$B$9*'1 Inputs'!$B$10</f>
        <v>0</v>
      </c>
      <c r="G135" s="12" t="n">
        <f aca="false">F135*'1 Inputs'!$B$11</f>
        <v>0</v>
      </c>
      <c r="H135" s="19" t="n">
        <f aca="false">A135+'1 Inputs'!$B$22+'1 Inputs'!$B$23+'1 Inputs'!$B$24</f>
        <v>151</v>
      </c>
      <c r="I135" s="19" t="n">
        <f aca="false">H135+'1 Inputs'!$B$25</f>
        <v>153</v>
      </c>
      <c r="J135" s="0" t="str">
        <f aca="false">IF(E135=0,"",IFERROR(INDEX($T$5:$T$40,MATCH(I135,$T$5:$T$40,1)+IF(INDEX($T$5:$T$40,MATCH(I135,$T$5:$T$40,1))=I135,0,1)),$T$5))</f>
        <v/>
      </c>
      <c r="K135" s="0" t="str">
        <f aca="false">IF(J135="","",J135+'1 Inputs'!$B$26)</f>
        <v/>
      </c>
      <c r="U135" s="0" t="n">
        <v>131</v>
      </c>
      <c r="V135" s="19" t="n">
        <f aca="false">IF(OR(AND((MOD(U135-1,52)+1)&gt;='1 Inputs'!$B$45,(MOD(U135-1,52)+1)&lt;='1 Inputs'!$C$45),AND((MOD(U135-1,52)+1)&gt;='1 Inputs'!$B$46,(MOD(U135-1,52)+1)&lt;='1 Inputs'!$C$46)),1,0)</f>
        <v>0</v>
      </c>
      <c r="W135" s="19" t="n">
        <f aca="false">W134+1-V135</f>
        <v>117</v>
      </c>
    </row>
    <row r="136" customFormat="false" ht="15" hidden="false" customHeight="false" outlineLevel="0" collapsed="false">
      <c r="A136" s="0" t="n">
        <v>132</v>
      </c>
      <c r="B136" s="0" t="n">
        <f aca="false">MOD(A136-1,52)+1</f>
        <v>28</v>
      </c>
      <c r="C136" s="0" t="n">
        <f aca="false">IF(OR(AND(B136&gt;='1 Inputs'!$B$45,B136&lt;='1 Inputs'!$C$45),AND(B136&gt;='1 Inputs'!$B$46,B136&lt;='1 Inputs'!$C$46)),1,0)</f>
        <v>0</v>
      </c>
      <c r="D136" s="13" t="n">
        <f aca="false">D135-E135</f>
        <v>0</v>
      </c>
      <c r="E136" s="13" t="n">
        <f aca="false">IF(A136&lt;'1 Inputs'!$B$21,0,IF(C136=1,0,MIN('1 Inputs'!$B$15,D136)))</f>
        <v>0</v>
      </c>
      <c r="F136" s="13" t="n">
        <f aca="false">E136*'1 Inputs'!$B$7*'1 Inputs'!$B$8*'1 Inputs'!$B$9*'1 Inputs'!$B$10</f>
        <v>0</v>
      </c>
      <c r="G136" s="12" t="n">
        <f aca="false">F136*'1 Inputs'!$B$11</f>
        <v>0</v>
      </c>
      <c r="H136" s="19" t="n">
        <f aca="false">A136+'1 Inputs'!$B$22+'1 Inputs'!$B$23+'1 Inputs'!$B$24</f>
        <v>152</v>
      </c>
      <c r="I136" s="19" t="n">
        <f aca="false">H136+'1 Inputs'!$B$25</f>
        <v>154</v>
      </c>
      <c r="J136" s="0" t="str">
        <f aca="false">IF(E136=0,"",IFERROR(INDEX($T$5:$T$40,MATCH(I136,$T$5:$T$40,1)+IF(INDEX($T$5:$T$40,MATCH(I136,$T$5:$T$40,1))=I136,0,1)),$T$5))</f>
        <v/>
      </c>
      <c r="K136" s="0" t="str">
        <f aca="false">IF(J136="","",J136+'1 Inputs'!$B$26)</f>
        <v/>
      </c>
      <c r="U136" s="0" t="n">
        <v>132</v>
      </c>
      <c r="V136" s="19" t="n">
        <f aca="false">IF(OR(AND((MOD(U136-1,52)+1)&gt;='1 Inputs'!$B$45,(MOD(U136-1,52)+1)&lt;='1 Inputs'!$C$45),AND((MOD(U136-1,52)+1)&gt;='1 Inputs'!$B$46,(MOD(U136-1,52)+1)&lt;='1 Inputs'!$C$46)),1,0)</f>
        <v>0</v>
      </c>
      <c r="W136" s="19" t="n">
        <f aca="false">W135+1-V136</f>
        <v>118</v>
      </c>
    </row>
    <row r="137" customFormat="false" ht="15" hidden="false" customHeight="false" outlineLevel="0" collapsed="false">
      <c r="A137" s="0" t="n">
        <v>133</v>
      </c>
      <c r="B137" s="0" t="n">
        <f aca="false">MOD(A137-1,52)+1</f>
        <v>29</v>
      </c>
      <c r="C137" s="0" t="n">
        <f aca="false">IF(OR(AND(B137&gt;='1 Inputs'!$B$45,B137&lt;='1 Inputs'!$C$45),AND(B137&gt;='1 Inputs'!$B$46,B137&lt;='1 Inputs'!$C$46)),1,0)</f>
        <v>0</v>
      </c>
      <c r="D137" s="13" t="n">
        <f aca="false">D136-E136</f>
        <v>0</v>
      </c>
      <c r="E137" s="13" t="n">
        <f aca="false">IF(A137&lt;'1 Inputs'!$B$21,0,IF(C137=1,0,MIN('1 Inputs'!$B$15,D137)))</f>
        <v>0</v>
      </c>
      <c r="F137" s="13" t="n">
        <f aca="false">E137*'1 Inputs'!$B$7*'1 Inputs'!$B$8*'1 Inputs'!$B$9*'1 Inputs'!$B$10</f>
        <v>0</v>
      </c>
      <c r="G137" s="12" t="n">
        <f aca="false">F137*'1 Inputs'!$B$11</f>
        <v>0</v>
      </c>
      <c r="H137" s="19" t="n">
        <f aca="false">A137+'1 Inputs'!$B$22+'1 Inputs'!$B$23+'1 Inputs'!$B$24</f>
        <v>153</v>
      </c>
      <c r="I137" s="19" t="n">
        <f aca="false">H137+'1 Inputs'!$B$25</f>
        <v>155</v>
      </c>
      <c r="J137" s="0" t="str">
        <f aca="false">IF(E137=0,"",IFERROR(INDEX($T$5:$T$40,MATCH(I137,$T$5:$T$40,1)+IF(INDEX($T$5:$T$40,MATCH(I137,$T$5:$T$40,1))=I137,0,1)),$T$5))</f>
        <v/>
      </c>
      <c r="K137" s="0" t="str">
        <f aca="false">IF(J137="","",J137+'1 Inputs'!$B$26)</f>
        <v/>
      </c>
      <c r="U137" s="0" t="n">
        <v>133</v>
      </c>
      <c r="V137" s="19" t="n">
        <f aca="false">IF(OR(AND((MOD(U137-1,52)+1)&gt;='1 Inputs'!$B$45,(MOD(U137-1,52)+1)&lt;='1 Inputs'!$C$45),AND((MOD(U137-1,52)+1)&gt;='1 Inputs'!$B$46,(MOD(U137-1,52)+1)&lt;='1 Inputs'!$C$46)),1,0)</f>
        <v>0</v>
      </c>
      <c r="W137" s="19" t="n">
        <f aca="false">W136+1-V137</f>
        <v>119</v>
      </c>
    </row>
    <row r="138" customFormat="false" ht="15" hidden="false" customHeight="false" outlineLevel="0" collapsed="false">
      <c r="A138" s="0" t="n">
        <v>134</v>
      </c>
      <c r="B138" s="0" t="n">
        <f aca="false">MOD(A138-1,52)+1</f>
        <v>30</v>
      </c>
      <c r="C138" s="0" t="n">
        <f aca="false">IF(OR(AND(B138&gt;='1 Inputs'!$B$45,B138&lt;='1 Inputs'!$C$45),AND(B138&gt;='1 Inputs'!$B$46,B138&lt;='1 Inputs'!$C$46)),1,0)</f>
        <v>0</v>
      </c>
      <c r="D138" s="13" t="n">
        <f aca="false">D137-E137</f>
        <v>0</v>
      </c>
      <c r="E138" s="13" t="n">
        <f aca="false">IF(A138&lt;'1 Inputs'!$B$21,0,IF(C138=1,0,MIN('1 Inputs'!$B$15,D138)))</f>
        <v>0</v>
      </c>
      <c r="F138" s="13" t="n">
        <f aca="false">E138*'1 Inputs'!$B$7*'1 Inputs'!$B$8*'1 Inputs'!$B$9*'1 Inputs'!$B$10</f>
        <v>0</v>
      </c>
      <c r="G138" s="12" t="n">
        <f aca="false">F138*'1 Inputs'!$B$11</f>
        <v>0</v>
      </c>
      <c r="H138" s="19" t="n">
        <f aca="false">A138+'1 Inputs'!$B$22+'1 Inputs'!$B$23+'1 Inputs'!$B$24</f>
        <v>154</v>
      </c>
      <c r="I138" s="19" t="n">
        <f aca="false">H138+'1 Inputs'!$B$25</f>
        <v>156</v>
      </c>
      <c r="J138" s="0" t="str">
        <f aca="false">IF(E138=0,"",IFERROR(INDEX($T$5:$T$40,MATCH(I138,$T$5:$T$40,1)+IF(INDEX($T$5:$T$40,MATCH(I138,$T$5:$T$40,1))=I138,0,1)),$T$5))</f>
        <v/>
      </c>
      <c r="K138" s="0" t="str">
        <f aca="false">IF(J138="","",J138+'1 Inputs'!$B$26)</f>
        <v/>
      </c>
      <c r="U138" s="0" t="n">
        <v>134</v>
      </c>
      <c r="V138" s="19" t="n">
        <f aca="false">IF(OR(AND((MOD(U138-1,52)+1)&gt;='1 Inputs'!$B$45,(MOD(U138-1,52)+1)&lt;='1 Inputs'!$C$45),AND((MOD(U138-1,52)+1)&gt;='1 Inputs'!$B$46,(MOD(U138-1,52)+1)&lt;='1 Inputs'!$C$46)),1,0)</f>
        <v>0</v>
      </c>
      <c r="W138" s="19" t="n">
        <f aca="false">W137+1-V138</f>
        <v>120</v>
      </c>
    </row>
    <row r="139" customFormat="false" ht="15" hidden="false" customHeight="false" outlineLevel="0" collapsed="false">
      <c r="A139" s="0" t="n">
        <v>135</v>
      </c>
      <c r="B139" s="0" t="n">
        <f aca="false">MOD(A139-1,52)+1</f>
        <v>31</v>
      </c>
      <c r="C139" s="0" t="n">
        <f aca="false">IF(OR(AND(B139&gt;='1 Inputs'!$B$45,B139&lt;='1 Inputs'!$C$45),AND(B139&gt;='1 Inputs'!$B$46,B139&lt;='1 Inputs'!$C$46)),1,0)</f>
        <v>1</v>
      </c>
      <c r="D139" s="13" t="n">
        <f aca="false">D138-E138</f>
        <v>0</v>
      </c>
      <c r="E139" s="13" t="n">
        <f aca="false">IF(A139&lt;'1 Inputs'!$B$21,0,IF(C139=1,0,MIN('1 Inputs'!$B$15,D139)))</f>
        <v>0</v>
      </c>
      <c r="F139" s="13" t="n">
        <f aca="false">E139*'1 Inputs'!$B$7*'1 Inputs'!$B$8*'1 Inputs'!$B$9*'1 Inputs'!$B$10</f>
        <v>0</v>
      </c>
      <c r="G139" s="12" t="n">
        <f aca="false">F139*'1 Inputs'!$B$11</f>
        <v>0</v>
      </c>
      <c r="H139" s="19" t="n">
        <f aca="false">A139+'1 Inputs'!$B$22+'1 Inputs'!$B$23+'1 Inputs'!$B$24</f>
        <v>155</v>
      </c>
      <c r="I139" s="19" t="n">
        <f aca="false">H139+'1 Inputs'!$B$25</f>
        <v>157</v>
      </c>
      <c r="J139" s="0" t="str">
        <f aca="false">IF(E139=0,"",IFERROR(INDEX($T$5:$T$40,MATCH(I139,$T$5:$T$40,1)+IF(INDEX($T$5:$T$40,MATCH(I139,$T$5:$T$40,1))=I139,0,1)),$T$5))</f>
        <v/>
      </c>
      <c r="K139" s="0" t="str">
        <f aca="false">IF(J139="","",J139+'1 Inputs'!$B$26)</f>
        <v/>
      </c>
      <c r="U139" s="0" t="n">
        <v>135</v>
      </c>
      <c r="V139" s="19" t="n">
        <f aca="false">IF(OR(AND((MOD(U139-1,52)+1)&gt;='1 Inputs'!$B$45,(MOD(U139-1,52)+1)&lt;='1 Inputs'!$C$45),AND((MOD(U139-1,52)+1)&gt;='1 Inputs'!$B$46,(MOD(U139-1,52)+1)&lt;='1 Inputs'!$C$46)),1,0)</f>
        <v>1</v>
      </c>
      <c r="W139" s="19" t="n">
        <f aca="false">W138+1-V139</f>
        <v>120</v>
      </c>
    </row>
    <row r="140" customFormat="false" ht="15" hidden="false" customHeight="false" outlineLevel="0" collapsed="false">
      <c r="A140" s="0" t="n">
        <v>136</v>
      </c>
      <c r="B140" s="0" t="n">
        <f aca="false">MOD(A140-1,52)+1</f>
        <v>32</v>
      </c>
      <c r="C140" s="0" t="n">
        <f aca="false">IF(OR(AND(B140&gt;='1 Inputs'!$B$45,B140&lt;='1 Inputs'!$C$45),AND(B140&gt;='1 Inputs'!$B$46,B140&lt;='1 Inputs'!$C$46)),1,0)</f>
        <v>1</v>
      </c>
      <c r="D140" s="13" t="n">
        <f aca="false">D139-E139</f>
        <v>0</v>
      </c>
      <c r="E140" s="13" t="n">
        <f aca="false">IF(A140&lt;'1 Inputs'!$B$21,0,IF(C140=1,0,MIN('1 Inputs'!$B$15,D140)))</f>
        <v>0</v>
      </c>
      <c r="F140" s="13" t="n">
        <f aca="false">E140*'1 Inputs'!$B$7*'1 Inputs'!$B$8*'1 Inputs'!$B$9*'1 Inputs'!$B$10</f>
        <v>0</v>
      </c>
      <c r="G140" s="12" t="n">
        <f aca="false">F140*'1 Inputs'!$B$11</f>
        <v>0</v>
      </c>
      <c r="H140" s="19" t="n">
        <f aca="false">A140+'1 Inputs'!$B$22+'1 Inputs'!$B$23+'1 Inputs'!$B$24</f>
        <v>156</v>
      </c>
      <c r="I140" s="19" t="n">
        <f aca="false">H140+'1 Inputs'!$B$25</f>
        <v>158</v>
      </c>
      <c r="J140" s="0" t="str">
        <f aca="false">IF(E140=0,"",IFERROR(INDEX($T$5:$T$40,MATCH(I140,$T$5:$T$40,1)+IF(INDEX($T$5:$T$40,MATCH(I140,$T$5:$T$40,1))=I140,0,1)),$T$5))</f>
        <v/>
      </c>
      <c r="K140" s="0" t="str">
        <f aca="false">IF(J140="","",J140+'1 Inputs'!$B$26)</f>
        <v/>
      </c>
      <c r="U140" s="0" t="n">
        <v>136</v>
      </c>
      <c r="V140" s="19" t="n">
        <f aca="false">IF(OR(AND((MOD(U140-1,52)+1)&gt;='1 Inputs'!$B$45,(MOD(U140-1,52)+1)&lt;='1 Inputs'!$C$45),AND((MOD(U140-1,52)+1)&gt;='1 Inputs'!$B$46,(MOD(U140-1,52)+1)&lt;='1 Inputs'!$C$46)),1,0)</f>
        <v>1</v>
      </c>
      <c r="W140" s="19" t="n">
        <f aca="false">W139+1-V140</f>
        <v>120</v>
      </c>
    </row>
    <row r="141" customFormat="false" ht="15" hidden="false" customHeight="false" outlineLevel="0" collapsed="false">
      <c r="A141" s="0" t="n">
        <v>137</v>
      </c>
      <c r="B141" s="0" t="n">
        <f aca="false">MOD(A141-1,52)+1</f>
        <v>33</v>
      </c>
      <c r="C141" s="0" t="n">
        <f aca="false">IF(OR(AND(B141&gt;='1 Inputs'!$B$45,B141&lt;='1 Inputs'!$C$45),AND(B141&gt;='1 Inputs'!$B$46,B141&lt;='1 Inputs'!$C$46)),1,0)</f>
        <v>1</v>
      </c>
      <c r="D141" s="13" t="n">
        <f aca="false">D140-E140</f>
        <v>0</v>
      </c>
      <c r="E141" s="13" t="n">
        <f aca="false">IF(A141&lt;'1 Inputs'!$B$21,0,IF(C141=1,0,MIN('1 Inputs'!$B$15,D141)))</f>
        <v>0</v>
      </c>
      <c r="F141" s="13" t="n">
        <f aca="false">E141*'1 Inputs'!$B$7*'1 Inputs'!$B$8*'1 Inputs'!$B$9*'1 Inputs'!$B$10</f>
        <v>0</v>
      </c>
      <c r="G141" s="12" t="n">
        <f aca="false">F141*'1 Inputs'!$B$11</f>
        <v>0</v>
      </c>
      <c r="H141" s="19" t="n">
        <f aca="false">A141+'1 Inputs'!$B$22+'1 Inputs'!$B$23+'1 Inputs'!$B$24</f>
        <v>157</v>
      </c>
      <c r="I141" s="19" t="n">
        <f aca="false">H141+'1 Inputs'!$B$25</f>
        <v>159</v>
      </c>
      <c r="J141" s="0" t="str">
        <f aca="false">IF(E141=0,"",IFERROR(INDEX($T$5:$T$40,MATCH(I141,$T$5:$T$40,1)+IF(INDEX($T$5:$T$40,MATCH(I141,$T$5:$T$40,1))=I141,0,1)),$T$5))</f>
        <v/>
      </c>
      <c r="K141" s="0" t="str">
        <f aca="false">IF(J141="","",J141+'1 Inputs'!$B$26)</f>
        <v/>
      </c>
      <c r="U141" s="0" t="n">
        <v>137</v>
      </c>
      <c r="V141" s="19" t="n">
        <f aca="false">IF(OR(AND((MOD(U141-1,52)+1)&gt;='1 Inputs'!$B$45,(MOD(U141-1,52)+1)&lt;='1 Inputs'!$C$45),AND((MOD(U141-1,52)+1)&gt;='1 Inputs'!$B$46,(MOD(U141-1,52)+1)&lt;='1 Inputs'!$C$46)),1,0)</f>
        <v>1</v>
      </c>
      <c r="W141" s="19" t="n">
        <f aca="false">W140+1-V141</f>
        <v>120</v>
      </c>
    </row>
    <row r="142" customFormat="false" ht="15" hidden="false" customHeight="false" outlineLevel="0" collapsed="false">
      <c r="A142" s="0" t="n">
        <v>138</v>
      </c>
      <c r="B142" s="0" t="n">
        <f aca="false">MOD(A142-1,52)+1</f>
        <v>34</v>
      </c>
      <c r="C142" s="0" t="n">
        <f aca="false">IF(OR(AND(B142&gt;='1 Inputs'!$B$45,B142&lt;='1 Inputs'!$C$45),AND(B142&gt;='1 Inputs'!$B$46,B142&lt;='1 Inputs'!$C$46)),1,0)</f>
        <v>1</v>
      </c>
      <c r="D142" s="13" t="n">
        <f aca="false">D141-E141</f>
        <v>0</v>
      </c>
      <c r="E142" s="13" t="n">
        <f aca="false">IF(A142&lt;'1 Inputs'!$B$21,0,IF(C142=1,0,MIN('1 Inputs'!$B$15,D142)))</f>
        <v>0</v>
      </c>
      <c r="F142" s="13" t="n">
        <f aca="false">E142*'1 Inputs'!$B$7*'1 Inputs'!$B$8*'1 Inputs'!$B$9*'1 Inputs'!$B$10</f>
        <v>0</v>
      </c>
      <c r="G142" s="12" t="n">
        <f aca="false">F142*'1 Inputs'!$B$11</f>
        <v>0</v>
      </c>
      <c r="H142" s="19" t="n">
        <f aca="false">A142+'1 Inputs'!$B$22+'1 Inputs'!$B$23+'1 Inputs'!$B$24</f>
        <v>158</v>
      </c>
      <c r="I142" s="19" t="n">
        <f aca="false">H142+'1 Inputs'!$B$25</f>
        <v>160</v>
      </c>
      <c r="J142" s="0" t="str">
        <f aca="false">IF(E142=0,"",IFERROR(INDEX($T$5:$T$40,MATCH(I142,$T$5:$T$40,1)+IF(INDEX($T$5:$T$40,MATCH(I142,$T$5:$T$40,1))=I142,0,1)),$T$5))</f>
        <v/>
      </c>
      <c r="K142" s="0" t="str">
        <f aca="false">IF(J142="","",J142+'1 Inputs'!$B$26)</f>
        <v/>
      </c>
      <c r="U142" s="0" t="n">
        <v>138</v>
      </c>
      <c r="V142" s="19" t="n">
        <f aca="false">IF(OR(AND((MOD(U142-1,52)+1)&gt;='1 Inputs'!$B$45,(MOD(U142-1,52)+1)&lt;='1 Inputs'!$C$45),AND((MOD(U142-1,52)+1)&gt;='1 Inputs'!$B$46,(MOD(U142-1,52)+1)&lt;='1 Inputs'!$C$46)),1,0)</f>
        <v>1</v>
      </c>
      <c r="W142" s="19" t="n">
        <f aca="false">W141+1-V142</f>
        <v>120</v>
      </c>
    </row>
    <row r="143" customFormat="false" ht="15" hidden="false" customHeight="false" outlineLevel="0" collapsed="false">
      <c r="A143" s="0" t="n">
        <v>139</v>
      </c>
      <c r="B143" s="0" t="n">
        <f aca="false">MOD(A143-1,52)+1</f>
        <v>35</v>
      </c>
      <c r="C143" s="0" t="n">
        <f aca="false">IF(OR(AND(B143&gt;='1 Inputs'!$B$45,B143&lt;='1 Inputs'!$C$45),AND(B143&gt;='1 Inputs'!$B$46,B143&lt;='1 Inputs'!$C$46)),1,0)</f>
        <v>0</v>
      </c>
      <c r="D143" s="13" t="n">
        <f aca="false">D142-E142</f>
        <v>0</v>
      </c>
      <c r="E143" s="13" t="n">
        <f aca="false">IF(A143&lt;'1 Inputs'!$B$21,0,IF(C143=1,0,MIN('1 Inputs'!$B$15,D143)))</f>
        <v>0</v>
      </c>
      <c r="F143" s="13" t="n">
        <f aca="false">E143*'1 Inputs'!$B$7*'1 Inputs'!$B$8*'1 Inputs'!$B$9*'1 Inputs'!$B$10</f>
        <v>0</v>
      </c>
      <c r="G143" s="12" t="n">
        <f aca="false">F143*'1 Inputs'!$B$11</f>
        <v>0</v>
      </c>
      <c r="H143" s="19" t="n">
        <f aca="false">A143+'1 Inputs'!$B$22+'1 Inputs'!$B$23+'1 Inputs'!$B$24</f>
        <v>159</v>
      </c>
      <c r="I143" s="19" t="n">
        <f aca="false">H143+'1 Inputs'!$B$25</f>
        <v>161</v>
      </c>
      <c r="J143" s="0" t="str">
        <f aca="false">IF(E143=0,"",IFERROR(INDEX($T$5:$T$40,MATCH(I143,$T$5:$T$40,1)+IF(INDEX($T$5:$T$40,MATCH(I143,$T$5:$T$40,1))=I143,0,1)),$T$5))</f>
        <v/>
      </c>
      <c r="K143" s="0" t="str">
        <f aca="false">IF(J143="","",J143+'1 Inputs'!$B$26)</f>
        <v/>
      </c>
      <c r="U143" s="0" t="n">
        <v>139</v>
      </c>
      <c r="V143" s="19" t="n">
        <f aca="false">IF(OR(AND((MOD(U143-1,52)+1)&gt;='1 Inputs'!$B$45,(MOD(U143-1,52)+1)&lt;='1 Inputs'!$C$45),AND((MOD(U143-1,52)+1)&gt;='1 Inputs'!$B$46,(MOD(U143-1,52)+1)&lt;='1 Inputs'!$C$46)),1,0)</f>
        <v>0</v>
      </c>
      <c r="W143" s="19" t="n">
        <f aca="false">W142+1-V143</f>
        <v>121</v>
      </c>
    </row>
    <row r="144" customFormat="false" ht="15" hidden="false" customHeight="false" outlineLevel="0" collapsed="false">
      <c r="A144" s="0" t="n">
        <v>140</v>
      </c>
      <c r="B144" s="0" t="n">
        <f aca="false">MOD(A144-1,52)+1</f>
        <v>36</v>
      </c>
      <c r="C144" s="0" t="n">
        <f aca="false">IF(OR(AND(B144&gt;='1 Inputs'!$B$45,B144&lt;='1 Inputs'!$C$45),AND(B144&gt;='1 Inputs'!$B$46,B144&lt;='1 Inputs'!$C$46)),1,0)</f>
        <v>0</v>
      </c>
      <c r="D144" s="13" t="n">
        <f aca="false">D143-E143</f>
        <v>0</v>
      </c>
      <c r="E144" s="13" t="n">
        <f aca="false">IF(A144&lt;'1 Inputs'!$B$21,0,IF(C144=1,0,MIN('1 Inputs'!$B$15,D144)))</f>
        <v>0</v>
      </c>
      <c r="F144" s="13" t="n">
        <f aca="false">E144*'1 Inputs'!$B$7*'1 Inputs'!$B$8*'1 Inputs'!$B$9*'1 Inputs'!$B$10</f>
        <v>0</v>
      </c>
      <c r="G144" s="12" t="n">
        <f aca="false">F144*'1 Inputs'!$B$11</f>
        <v>0</v>
      </c>
      <c r="H144" s="19" t="n">
        <f aca="false">A144+'1 Inputs'!$B$22+'1 Inputs'!$B$23+'1 Inputs'!$B$24</f>
        <v>160</v>
      </c>
      <c r="I144" s="19" t="n">
        <f aca="false">H144+'1 Inputs'!$B$25</f>
        <v>162</v>
      </c>
      <c r="J144" s="0" t="str">
        <f aca="false">IF(E144=0,"",IFERROR(INDEX($T$5:$T$40,MATCH(I144,$T$5:$T$40,1)+IF(INDEX($T$5:$T$40,MATCH(I144,$T$5:$T$40,1))=I144,0,1)),$T$5))</f>
        <v/>
      </c>
      <c r="K144" s="0" t="str">
        <f aca="false">IF(J144="","",J144+'1 Inputs'!$B$26)</f>
        <v/>
      </c>
      <c r="U144" s="0" t="n">
        <v>140</v>
      </c>
      <c r="V144" s="19" t="n">
        <f aca="false">IF(OR(AND((MOD(U144-1,52)+1)&gt;='1 Inputs'!$B$45,(MOD(U144-1,52)+1)&lt;='1 Inputs'!$C$45),AND((MOD(U144-1,52)+1)&gt;='1 Inputs'!$B$46,(MOD(U144-1,52)+1)&lt;='1 Inputs'!$C$46)),1,0)</f>
        <v>0</v>
      </c>
      <c r="W144" s="19" t="n">
        <f aca="false">W143+1-V144</f>
        <v>122</v>
      </c>
    </row>
    <row r="145" customFormat="false" ht="15" hidden="false" customHeight="false" outlineLevel="0" collapsed="false">
      <c r="A145" s="0" t="n">
        <v>141</v>
      </c>
      <c r="B145" s="0" t="n">
        <f aca="false">MOD(A145-1,52)+1</f>
        <v>37</v>
      </c>
      <c r="C145" s="0" t="n">
        <f aca="false">IF(OR(AND(B145&gt;='1 Inputs'!$B$45,B145&lt;='1 Inputs'!$C$45),AND(B145&gt;='1 Inputs'!$B$46,B145&lt;='1 Inputs'!$C$46)),1,0)</f>
        <v>0</v>
      </c>
      <c r="D145" s="13" t="n">
        <f aca="false">D144-E144</f>
        <v>0</v>
      </c>
      <c r="E145" s="13" t="n">
        <f aca="false">IF(A145&lt;'1 Inputs'!$B$21,0,IF(C145=1,0,MIN('1 Inputs'!$B$15,D145)))</f>
        <v>0</v>
      </c>
      <c r="F145" s="13" t="n">
        <f aca="false">E145*'1 Inputs'!$B$7*'1 Inputs'!$B$8*'1 Inputs'!$B$9*'1 Inputs'!$B$10</f>
        <v>0</v>
      </c>
      <c r="G145" s="12" t="n">
        <f aca="false">F145*'1 Inputs'!$B$11</f>
        <v>0</v>
      </c>
      <c r="H145" s="19" t="n">
        <f aca="false">A145+'1 Inputs'!$B$22+'1 Inputs'!$B$23+'1 Inputs'!$B$24</f>
        <v>161</v>
      </c>
      <c r="I145" s="19" t="n">
        <f aca="false">H145+'1 Inputs'!$B$25</f>
        <v>163</v>
      </c>
      <c r="J145" s="0" t="str">
        <f aca="false">IF(E145=0,"",IFERROR(INDEX($T$5:$T$40,MATCH(I145,$T$5:$T$40,1)+IF(INDEX($T$5:$T$40,MATCH(I145,$T$5:$T$40,1))=I145,0,1)),$T$5))</f>
        <v/>
      </c>
      <c r="K145" s="0" t="str">
        <f aca="false">IF(J145="","",J145+'1 Inputs'!$B$26)</f>
        <v/>
      </c>
      <c r="U145" s="0" t="n">
        <v>141</v>
      </c>
      <c r="V145" s="19" t="n">
        <f aca="false">IF(OR(AND((MOD(U145-1,52)+1)&gt;='1 Inputs'!$B$45,(MOD(U145-1,52)+1)&lt;='1 Inputs'!$C$45),AND((MOD(U145-1,52)+1)&gt;='1 Inputs'!$B$46,(MOD(U145-1,52)+1)&lt;='1 Inputs'!$C$46)),1,0)</f>
        <v>0</v>
      </c>
      <c r="W145" s="19" t="n">
        <f aca="false">W144+1-V145</f>
        <v>123</v>
      </c>
    </row>
    <row r="146" customFormat="false" ht="15" hidden="false" customHeight="false" outlineLevel="0" collapsed="false">
      <c r="A146" s="0" t="n">
        <v>142</v>
      </c>
      <c r="B146" s="0" t="n">
        <f aca="false">MOD(A146-1,52)+1</f>
        <v>38</v>
      </c>
      <c r="C146" s="0" t="n">
        <f aca="false">IF(OR(AND(B146&gt;='1 Inputs'!$B$45,B146&lt;='1 Inputs'!$C$45),AND(B146&gt;='1 Inputs'!$B$46,B146&lt;='1 Inputs'!$C$46)),1,0)</f>
        <v>0</v>
      </c>
      <c r="D146" s="13" t="n">
        <f aca="false">D145-E145</f>
        <v>0</v>
      </c>
      <c r="E146" s="13" t="n">
        <f aca="false">IF(A146&lt;'1 Inputs'!$B$21,0,IF(C146=1,0,MIN('1 Inputs'!$B$15,D146)))</f>
        <v>0</v>
      </c>
      <c r="F146" s="13" t="n">
        <f aca="false">E146*'1 Inputs'!$B$7*'1 Inputs'!$B$8*'1 Inputs'!$B$9*'1 Inputs'!$B$10</f>
        <v>0</v>
      </c>
      <c r="G146" s="12" t="n">
        <f aca="false">F146*'1 Inputs'!$B$11</f>
        <v>0</v>
      </c>
      <c r="H146" s="19" t="n">
        <f aca="false">A146+'1 Inputs'!$B$22+'1 Inputs'!$B$23+'1 Inputs'!$B$24</f>
        <v>162</v>
      </c>
      <c r="I146" s="19" t="n">
        <f aca="false">H146+'1 Inputs'!$B$25</f>
        <v>164</v>
      </c>
      <c r="J146" s="0" t="str">
        <f aca="false">IF(E146=0,"",IFERROR(INDEX($T$5:$T$40,MATCH(I146,$T$5:$T$40,1)+IF(INDEX($T$5:$T$40,MATCH(I146,$T$5:$T$40,1))=I146,0,1)),$T$5))</f>
        <v/>
      </c>
      <c r="K146" s="0" t="str">
        <f aca="false">IF(J146="","",J146+'1 Inputs'!$B$26)</f>
        <v/>
      </c>
      <c r="U146" s="0" t="n">
        <v>142</v>
      </c>
      <c r="V146" s="19" t="n">
        <f aca="false">IF(OR(AND((MOD(U146-1,52)+1)&gt;='1 Inputs'!$B$45,(MOD(U146-1,52)+1)&lt;='1 Inputs'!$C$45),AND((MOD(U146-1,52)+1)&gt;='1 Inputs'!$B$46,(MOD(U146-1,52)+1)&lt;='1 Inputs'!$C$46)),1,0)</f>
        <v>0</v>
      </c>
      <c r="W146" s="19" t="n">
        <f aca="false">W145+1-V146</f>
        <v>124</v>
      </c>
    </row>
    <row r="147" customFormat="false" ht="15" hidden="false" customHeight="false" outlineLevel="0" collapsed="false">
      <c r="A147" s="0" t="n">
        <v>143</v>
      </c>
      <c r="B147" s="0" t="n">
        <f aca="false">MOD(A147-1,52)+1</f>
        <v>39</v>
      </c>
      <c r="C147" s="0" t="n">
        <f aca="false">IF(OR(AND(B147&gt;='1 Inputs'!$B$45,B147&lt;='1 Inputs'!$C$45),AND(B147&gt;='1 Inputs'!$B$46,B147&lt;='1 Inputs'!$C$46)),1,0)</f>
        <v>0</v>
      </c>
      <c r="D147" s="13" t="n">
        <f aca="false">D146-E146</f>
        <v>0</v>
      </c>
      <c r="E147" s="13" t="n">
        <f aca="false">IF(A147&lt;'1 Inputs'!$B$21,0,IF(C147=1,0,MIN('1 Inputs'!$B$15,D147)))</f>
        <v>0</v>
      </c>
      <c r="F147" s="13" t="n">
        <f aca="false">E147*'1 Inputs'!$B$7*'1 Inputs'!$B$8*'1 Inputs'!$B$9*'1 Inputs'!$B$10</f>
        <v>0</v>
      </c>
      <c r="G147" s="12" t="n">
        <f aca="false">F147*'1 Inputs'!$B$11</f>
        <v>0</v>
      </c>
      <c r="H147" s="19" t="n">
        <f aca="false">A147+'1 Inputs'!$B$22+'1 Inputs'!$B$23+'1 Inputs'!$B$24</f>
        <v>163</v>
      </c>
      <c r="I147" s="19" t="n">
        <f aca="false">H147+'1 Inputs'!$B$25</f>
        <v>165</v>
      </c>
      <c r="J147" s="0" t="str">
        <f aca="false">IF(E147=0,"",IFERROR(INDEX($T$5:$T$40,MATCH(I147,$T$5:$T$40,1)+IF(INDEX($T$5:$T$40,MATCH(I147,$T$5:$T$40,1))=I147,0,1)),$T$5))</f>
        <v/>
      </c>
      <c r="K147" s="0" t="str">
        <f aca="false">IF(J147="","",J147+'1 Inputs'!$B$26)</f>
        <v/>
      </c>
      <c r="U147" s="0" t="n">
        <v>143</v>
      </c>
      <c r="V147" s="19" t="n">
        <f aca="false">IF(OR(AND((MOD(U147-1,52)+1)&gt;='1 Inputs'!$B$45,(MOD(U147-1,52)+1)&lt;='1 Inputs'!$C$45),AND((MOD(U147-1,52)+1)&gt;='1 Inputs'!$B$46,(MOD(U147-1,52)+1)&lt;='1 Inputs'!$C$46)),1,0)</f>
        <v>0</v>
      </c>
      <c r="W147" s="19" t="n">
        <f aca="false">W146+1-V147</f>
        <v>125</v>
      </c>
    </row>
    <row r="148" customFormat="false" ht="15" hidden="false" customHeight="false" outlineLevel="0" collapsed="false">
      <c r="A148" s="0" t="n">
        <v>144</v>
      </c>
      <c r="B148" s="0" t="n">
        <f aca="false">MOD(A148-1,52)+1</f>
        <v>40</v>
      </c>
      <c r="C148" s="0" t="n">
        <f aca="false">IF(OR(AND(B148&gt;='1 Inputs'!$B$45,B148&lt;='1 Inputs'!$C$45),AND(B148&gt;='1 Inputs'!$B$46,B148&lt;='1 Inputs'!$C$46)),1,0)</f>
        <v>0</v>
      </c>
      <c r="D148" s="13" t="n">
        <f aca="false">D147-E147</f>
        <v>0</v>
      </c>
      <c r="E148" s="13" t="n">
        <f aca="false">IF(A148&lt;'1 Inputs'!$B$21,0,IF(C148=1,0,MIN('1 Inputs'!$B$15,D148)))</f>
        <v>0</v>
      </c>
      <c r="F148" s="13" t="n">
        <f aca="false">E148*'1 Inputs'!$B$7*'1 Inputs'!$B$8*'1 Inputs'!$B$9*'1 Inputs'!$B$10</f>
        <v>0</v>
      </c>
      <c r="G148" s="12" t="n">
        <f aca="false">F148*'1 Inputs'!$B$11</f>
        <v>0</v>
      </c>
      <c r="H148" s="19" t="n">
        <f aca="false">A148+'1 Inputs'!$B$22+'1 Inputs'!$B$23+'1 Inputs'!$B$24</f>
        <v>164</v>
      </c>
      <c r="I148" s="19" t="n">
        <f aca="false">H148+'1 Inputs'!$B$25</f>
        <v>166</v>
      </c>
      <c r="J148" s="0" t="str">
        <f aca="false">IF(E148=0,"",IFERROR(INDEX($T$5:$T$40,MATCH(I148,$T$5:$T$40,1)+IF(INDEX($T$5:$T$40,MATCH(I148,$T$5:$T$40,1))=I148,0,1)),$T$5))</f>
        <v/>
      </c>
      <c r="K148" s="0" t="str">
        <f aca="false">IF(J148="","",J148+'1 Inputs'!$B$26)</f>
        <v/>
      </c>
      <c r="U148" s="0" t="n">
        <v>144</v>
      </c>
      <c r="V148" s="19" t="n">
        <f aca="false">IF(OR(AND((MOD(U148-1,52)+1)&gt;='1 Inputs'!$B$45,(MOD(U148-1,52)+1)&lt;='1 Inputs'!$C$45),AND((MOD(U148-1,52)+1)&gt;='1 Inputs'!$B$46,(MOD(U148-1,52)+1)&lt;='1 Inputs'!$C$46)),1,0)</f>
        <v>0</v>
      </c>
      <c r="W148" s="19" t="n">
        <f aca="false">W147+1-V148</f>
        <v>126</v>
      </c>
    </row>
    <row r="149" customFormat="false" ht="15" hidden="false" customHeight="false" outlineLevel="0" collapsed="false">
      <c r="A149" s="0" t="n">
        <v>145</v>
      </c>
      <c r="B149" s="0" t="n">
        <f aca="false">MOD(A149-1,52)+1</f>
        <v>41</v>
      </c>
      <c r="C149" s="0" t="n">
        <f aca="false">IF(OR(AND(B149&gt;='1 Inputs'!$B$45,B149&lt;='1 Inputs'!$C$45),AND(B149&gt;='1 Inputs'!$B$46,B149&lt;='1 Inputs'!$C$46)),1,0)</f>
        <v>0</v>
      </c>
      <c r="D149" s="13" t="n">
        <f aca="false">D148-E148</f>
        <v>0</v>
      </c>
      <c r="E149" s="13" t="n">
        <f aca="false">IF(A149&lt;'1 Inputs'!$B$21,0,IF(C149=1,0,MIN('1 Inputs'!$B$15,D149)))</f>
        <v>0</v>
      </c>
      <c r="F149" s="13" t="n">
        <f aca="false">E149*'1 Inputs'!$B$7*'1 Inputs'!$B$8*'1 Inputs'!$B$9*'1 Inputs'!$B$10</f>
        <v>0</v>
      </c>
      <c r="G149" s="12" t="n">
        <f aca="false">F149*'1 Inputs'!$B$11</f>
        <v>0</v>
      </c>
      <c r="H149" s="19" t="n">
        <f aca="false">A149+'1 Inputs'!$B$22+'1 Inputs'!$B$23+'1 Inputs'!$B$24</f>
        <v>165</v>
      </c>
      <c r="I149" s="19" t="n">
        <f aca="false">H149+'1 Inputs'!$B$25</f>
        <v>167</v>
      </c>
      <c r="J149" s="0" t="str">
        <f aca="false">IF(E149=0,"",IFERROR(INDEX($T$5:$T$40,MATCH(I149,$T$5:$T$40,1)+IF(INDEX($T$5:$T$40,MATCH(I149,$T$5:$T$40,1))=I149,0,1)),$T$5))</f>
        <v/>
      </c>
      <c r="K149" s="0" t="str">
        <f aca="false">IF(J149="","",J149+'1 Inputs'!$B$26)</f>
        <v/>
      </c>
      <c r="U149" s="0" t="n">
        <v>145</v>
      </c>
      <c r="V149" s="19" t="n">
        <f aca="false">IF(OR(AND((MOD(U149-1,52)+1)&gt;='1 Inputs'!$B$45,(MOD(U149-1,52)+1)&lt;='1 Inputs'!$C$45),AND((MOD(U149-1,52)+1)&gt;='1 Inputs'!$B$46,(MOD(U149-1,52)+1)&lt;='1 Inputs'!$C$46)),1,0)</f>
        <v>0</v>
      </c>
      <c r="W149" s="19" t="n">
        <f aca="false">W148+1-V149</f>
        <v>127</v>
      </c>
    </row>
    <row r="150" customFormat="false" ht="15" hidden="false" customHeight="false" outlineLevel="0" collapsed="false">
      <c r="A150" s="0" t="n">
        <v>146</v>
      </c>
      <c r="B150" s="0" t="n">
        <f aca="false">MOD(A150-1,52)+1</f>
        <v>42</v>
      </c>
      <c r="C150" s="0" t="n">
        <f aca="false">IF(OR(AND(B150&gt;='1 Inputs'!$B$45,B150&lt;='1 Inputs'!$C$45),AND(B150&gt;='1 Inputs'!$B$46,B150&lt;='1 Inputs'!$C$46)),1,0)</f>
        <v>0</v>
      </c>
      <c r="D150" s="13" t="n">
        <f aca="false">D149-E149</f>
        <v>0</v>
      </c>
      <c r="E150" s="13" t="n">
        <f aca="false">IF(A150&lt;'1 Inputs'!$B$21,0,IF(C150=1,0,MIN('1 Inputs'!$B$15,D150)))</f>
        <v>0</v>
      </c>
      <c r="F150" s="13" t="n">
        <f aca="false">E150*'1 Inputs'!$B$7*'1 Inputs'!$B$8*'1 Inputs'!$B$9*'1 Inputs'!$B$10</f>
        <v>0</v>
      </c>
      <c r="G150" s="12" t="n">
        <f aca="false">F150*'1 Inputs'!$B$11</f>
        <v>0</v>
      </c>
      <c r="H150" s="19" t="n">
        <f aca="false">A150+'1 Inputs'!$B$22+'1 Inputs'!$B$23+'1 Inputs'!$B$24</f>
        <v>166</v>
      </c>
      <c r="I150" s="19" t="n">
        <f aca="false">H150+'1 Inputs'!$B$25</f>
        <v>168</v>
      </c>
      <c r="J150" s="0" t="str">
        <f aca="false">IF(E150=0,"",IFERROR(INDEX($T$5:$T$40,MATCH(I150,$T$5:$T$40,1)+IF(INDEX($T$5:$T$40,MATCH(I150,$T$5:$T$40,1))=I150,0,1)),$T$5))</f>
        <v/>
      </c>
      <c r="K150" s="0" t="str">
        <f aca="false">IF(J150="","",J150+'1 Inputs'!$B$26)</f>
        <v/>
      </c>
      <c r="U150" s="0" t="n">
        <v>146</v>
      </c>
      <c r="V150" s="19" t="n">
        <f aca="false">IF(OR(AND((MOD(U150-1,52)+1)&gt;='1 Inputs'!$B$45,(MOD(U150-1,52)+1)&lt;='1 Inputs'!$C$45),AND((MOD(U150-1,52)+1)&gt;='1 Inputs'!$B$46,(MOD(U150-1,52)+1)&lt;='1 Inputs'!$C$46)),1,0)</f>
        <v>0</v>
      </c>
      <c r="W150" s="19" t="n">
        <f aca="false">W149+1-V150</f>
        <v>128</v>
      </c>
    </row>
    <row r="151" customFormat="false" ht="15" hidden="false" customHeight="false" outlineLevel="0" collapsed="false">
      <c r="A151" s="0" t="n">
        <v>147</v>
      </c>
      <c r="B151" s="0" t="n">
        <f aca="false">MOD(A151-1,52)+1</f>
        <v>43</v>
      </c>
      <c r="C151" s="0" t="n">
        <f aca="false">IF(OR(AND(B151&gt;='1 Inputs'!$B$45,B151&lt;='1 Inputs'!$C$45),AND(B151&gt;='1 Inputs'!$B$46,B151&lt;='1 Inputs'!$C$46)),1,0)</f>
        <v>0</v>
      </c>
      <c r="D151" s="13" t="n">
        <f aca="false">D150-E150</f>
        <v>0</v>
      </c>
      <c r="E151" s="13" t="n">
        <f aca="false">IF(A151&lt;'1 Inputs'!$B$21,0,IF(C151=1,0,MIN('1 Inputs'!$B$15,D151)))</f>
        <v>0</v>
      </c>
      <c r="F151" s="13" t="n">
        <f aca="false">E151*'1 Inputs'!$B$7*'1 Inputs'!$B$8*'1 Inputs'!$B$9*'1 Inputs'!$B$10</f>
        <v>0</v>
      </c>
      <c r="G151" s="12" t="n">
        <f aca="false">F151*'1 Inputs'!$B$11</f>
        <v>0</v>
      </c>
      <c r="H151" s="19" t="n">
        <f aca="false">A151+'1 Inputs'!$B$22+'1 Inputs'!$B$23+'1 Inputs'!$B$24</f>
        <v>167</v>
      </c>
      <c r="I151" s="19" t="n">
        <f aca="false">H151+'1 Inputs'!$B$25</f>
        <v>169</v>
      </c>
      <c r="J151" s="0" t="str">
        <f aca="false">IF(E151=0,"",IFERROR(INDEX($T$5:$T$40,MATCH(I151,$T$5:$T$40,1)+IF(INDEX($T$5:$T$40,MATCH(I151,$T$5:$T$40,1))=I151,0,1)),$T$5))</f>
        <v/>
      </c>
      <c r="K151" s="0" t="str">
        <f aca="false">IF(J151="","",J151+'1 Inputs'!$B$26)</f>
        <v/>
      </c>
      <c r="U151" s="0" t="n">
        <v>147</v>
      </c>
      <c r="V151" s="19" t="n">
        <f aca="false">IF(OR(AND((MOD(U151-1,52)+1)&gt;='1 Inputs'!$B$45,(MOD(U151-1,52)+1)&lt;='1 Inputs'!$C$45),AND((MOD(U151-1,52)+1)&gt;='1 Inputs'!$B$46,(MOD(U151-1,52)+1)&lt;='1 Inputs'!$C$46)),1,0)</f>
        <v>0</v>
      </c>
      <c r="W151" s="19" t="n">
        <f aca="false">W150+1-V151</f>
        <v>129</v>
      </c>
    </row>
    <row r="152" customFormat="false" ht="15" hidden="false" customHeight="false" outlineLevel="0" collapsed="false">
      <c r="A152" s="0" t="n">
        <v>148</v>
      </c>
      <c r="B152" s="0" t="n">
        <f aca="false">MOD(A152-1,52)+1</f>
        <v>44</v>
      </c>
      <c r="C152" s="0" t="n">
        <f aca="false">IF(OR(AND(B152&gt;='1 Inputs'!$B$45,B152&lt;='1 Inputs'!$C$45),AND(B152&gt;='1 Inputs'!$B$46,B152&lt;='1 Inputs'!$C$46)),1,0)</f>
        <v>0</v>
      </c>
      <c r="D152" s="13" t="n">
        <f aca="false">D151-E151</f>
        <v>0</v>
      </c>
      <c r="E152" s="13" t="n">
        <f aca="false">IF(A152&lt;'1 Inputs'!$B$21,0,IF(C152=1,0,MIN('1 Inputs'!$B$15,D152)))</f>
        <v>0</v>
      </c>
      <c r="F152" s="13" t="n">
        <f aca="false">E152*'1 Inputs'!$B$7*'1 Inputs'!$B$8*'1 Inputs'!$B$9*'1 Inputs'!$B$10</f>
        <v>0</v>
      </c>
      <c r="G152" s="12" t="n">
        <f aca="false">F152*'1 Inputs'!$B$11</f>
        <v>0</v>
      </c>
      <c r="H152" s="19" t="n">
        <f aca="false">A152+'1 Inputs'!$B$22+'1 Inputs'!$B$23+'1 Inputs'!$B$24</f>
        <v>168</v>
      </c>
      <c r="I152" s="19" t="n">
        <f aca="false">H152+'1 Inputs'!$B$25</f>
        <v>170</v>
      </c>
      <c r="J152" s="0" t="str">
        <f aca="false">IF(E152=0,"",IFERROR(INDEX($T$5:$T$40,MATCH(I152,$T$5:$T$40,1)+IF(INDEX($T$5:$T$40,MATCH(I152,$T$5:$T$40,1))=I152,0,1)),$T$5))</f>
        <v/>
      </c>
      <c r="K152" s="0" t="str">
        <f aca="false">IF(J152="","",J152+'1 Inputs'!$B$26)</f>
        <v/>
      </c>
      <c r="U152" s="0" t="n">
        <v>148</v>
      </c>
      <c r="V152" s="19" t="n">
        <f aca="false">IF(OR(AND((MOD(U152-1,52)+1)&gt;='1 Inputs'!$B$45,(MOD(U152-1,52)+1)&lt;='1 Inputs'!$C$45),AND((MOD(U152-1,52)+1)&gt;='1 Inputs'!$B$46,(MOD(U152-1,52)+1)&lt;='1 Inputs'!$C$46)),1,0)</f>
        <v>0</v>
      </c>
      <c r="W152" s="19" t="n">
        <f aca="false">W151+1-V152</f>
        <v>130</v>
      </c>
    </row>
    <row r="153" customFormat="false" ht="15" hidden="false" customHeight="false" outlineLevel="0" collapsed="false">
      <c r="A153" s="0" t="n">
        <v>149</v>
      </c>
      <c r="B153" s="0" t="n">
        <f aca="false">MOD(A153-1,52)+1</f>
        <v>45</v>
      </c>
      <c r="C153" s="0" t="n">
        <f aca="false">IF(OR(AND(B153&gt;='1 Inputs'!$B$45,B153&lt;='1 Inputs'!$C$45),AND(B153&gt;='1 Inputs'!$B$46,B153&lt;='1 Inputs'!$C$46)),1,0)</f>
        <v>0</v>
      </c>
      <c r="D153" s="13" t="n">
        <f aca="false">D152-E152</f>
        <v>0</v>
      </c>
      <c r="E153" s="13" t="n">
        <f aca="false">IF(A153&lt;'1 Inputs'!$B$21,0,IF(C153=1,0,MIN('1 Inputs'!$B$15,D153)))</f>
        <v>0</v>
      </c>
      <c r="F153" s="13" t="n">
        <f aca="false">E153*'1 Inputs'!$B$7*'1 Inputs'!$B$8*'1 Inputs'!$B$9*'1 Inputs'!$B$10</f>
        <v>0</v>
      </c>
      <c r="G153" s="12" t="n">
        <f aca="false">F153*'1 Inputs'!$B$11</f>
        <v>0</v>
      </c>
      <c r="H153" s="19" t="n">
        <f aca="false">A153+'1 Inputs'!$B$22+'1 Inputs'!$B$23+'1 Inputs'!$B$24</f>
        <v>169</v>
      </c>
      <c r="I153" s="19" t="n">
        <f aca="false">H153+'1 Inputs'!$B$25</f>
        <v>171</v>
      </c>
      <c r="J153" s="0" t="str">
        <f aca="false">IF(E153=0,"",IFERROR(INDEX($T$5:$T$40,MATCH(I153,$T$5:$T$40,1)+IF(INDEX($T$5:$T$40,MATCH(I153,$T$5:$T$40,1))=I153,0,1)),$T$5))</f>
        <v/>
      </c>
      <c r="K153" s="0" t="str">
        <f aca="false">IF(J153="","",J153+'1 Inputs'!$B$26)</f>
        <v/>
      </c>
      <c r="U153" s="0" t="n">
        <v>149</v>
      </c>
      <c r="V153" s="19" t="n">
        <f aca="false">IF(OR(AND((MOD(U153-1,52)+1)&gt;='1 Inputs'!$B$45,(MOD(U153-1,52)+1)&lt;='1 Inputs'!$C$45),AND((MOD(U153-1,52)+1)&gt;='1 Inputs'!$B$46,(MOD(U153-1,52)+1)&lt;='1 Inputs'!$C$46)),1,0)</f>
        <v>0</v>
      </c>
      <c r="W153" s="19" t="n">
        <f aca="false">W152+1-V153</f>
        <v>131</v>
      </c>
    </row>
    <row r="154" customFormat="false" ht="15" hidden="false" customHeight="false" outlineLevel="0" collapsed="false">
      <c r="A154" s="0" t="n">
        <v>150</v>
      </c>
      <c r="B154" s="0" t="n">
        <f aca="false">MOD(A154-1,52)+1</f>
        <v>46</v>
      </c>
      <c r="C154" s="0" t="n">
        <f aca="false">IF(OR(AND(B154&gt;='1 Inputs'!$B$45,B154&lt;='1 Inputs'!$C$45),AND(B154&gt;='1 Inputs'!$B$46,B154&lt;='1 Inputs'!$C$46)),1,0)</f>
        <v>0</v>
      </c>
      <c r="D154" s="13" t="n">
        <f aca="false">D153-E153</f>
        <v>0</v>
      </c>
      <c r="E154" s="13" t="n">
        <f aca="false">IF(A154&lt;'1 Inputs'!$B$21,0,IF(C154=1,0,MIN('1 Inputs'!$B$15,D154)))</f>
        <v>0</v>
      </c>
      <c r="F154" s="13" t="n">
        <f aca="false">E154*'1 Inputs'!$B$7*'1 Inputs'!$B$8*'1 Inputs'!$B$9*'1 Inputs'!$B$10</f>
        <v>0</v>
      </c>
      <c r="G154" s="12" t="n">
        <f aca="false">F154*'1 Inputs'!$B$11</f>
        <v>0</v>
      </c>
      <c r="H154" s="19" t="n">
        <f aca="false">A154+'1 Inputs'!$B$22+'1 Inputs'!$B$23+'1 Inputs'!$B$24</f>
        <v>170</v>
      </c>
      <c r="I154" s="19" t="n">
        <f aca="false">H154+'1 Inputs'!$B$25</f>
        <v>172</v>
      </c>
      <c r="J154" s="0" t="str">
        <f aca="false">IF(E154=0,"",IFERROR(INDEX($T$5:$T$40,MATCH(I154,$T$5:$T$40,1)+IF(INDEX($T$5:$T$40,MATCH(I154,$T$5:$T$40,1))=I154,0,1)),$T$5))</f>
        <v/>
      </c>
      <c r="K154" s="0" t="str">
        <f aca="false">IF(J154="","",J154+'1 Inputs'!$B$26)</f>
        <v/>
      </c>
      <c r="U154" s="0" t="n">
        <v>150</v>
      </c>
      <c r="V154" s="19" t="n">
        <f aca="false">IF(OR(AND((MOD(U154-1,52)+1)&gt;='1 Inputs'!$B$45,(MOD(U154-1,52)+1)&lt;='1 Inputs'!$C$45),AND((MOD(U154-1,52)+1)&gt;='1 Inputs'!$B$46,(MOD(U154-1,52)+1)&lt;='1 Inputs'!$C$46)),1,0)</f>
        <v>0</v>
      </c>
      <c r="W154" s="19" t="n">
        <f aca="false">W153+1-V154</f>
        <v>132</v>
      </c>
    </row>
    <row r="155" customFormat="false" ht="15" hidden="false" customHeight="false" outlineLevel="0" collapsed="false">
      <c r="A155" s="0" t="n">
        <v>151</v>
      </c>
      <c r="B155" s="0" t="n">
        <f aca="false">MOD(A155-1,52)+1</f>
        <v>47</v>
      </c>
      <c r="C155" s="0" t="n">
        <f aca="false">IF(OR(AND(B155&gt;='1 Inputs'!$B$45,B155&lt;='1 Inputs'!$C$45),AND(B155&gt;='1 Inputs'!$B$46,B155&lt;='1 Inputs'!$C$46)),1,0)</f>
        <v>0</v>
      </c>
      <c r="D155" s="13" t="n">
        <f aca="false">D154-E154</f>
        <v>0</v>
      </c>
      <c r="E155" s="13" t="n">
        <f aca="false">IF(A155&lt;'1 Inputs'!$B$21,0,IF(C155=1,0,MIN('1 Inputs'!$B$15,D155)))</f>
        <v>0</v>
      </c>
      <c r="F155" s="13" t="n">
        <f aca="false">E155*'1 Inputs'!$B$7*'1 Inputs'!$B$8*'1 Inputs'!$B$9*'1 Inputs'!$B$10</f>
        <v>0</v>
      </c>
      <c r="G155" s="12" t="n">
        <f aca="false">F155*'1 Inputs'!$B$11</f>
        <v>0</v>
      </c>
      <c r="H155" s="19" t="n">
        <f aca="false">A155+'1 Inputs'!$B$22+'1 Inputs'!$B$23+'1 Inputs'!$B$24</f>
        <v>171</v>
      </c>
      <c r="I155" s="19" t="n">
        <f aca="false">H155+'1 Inputs'!$B$25</f>
        <v>173</v>
      </c>
      <c r="J155" s="0" t="str">
        <f aca="false">IF(E155=0,"",IFERROR(INDEX($T$5:$T$40,MATCH(I155,$T$5:$T$40,1)+IF(INDEX($T$5:$T$40,MATCH(I155,$T$5:$T$40,1))=I155,0,1)),$T$5))</f>
        <v/>
      </c>
      <c r="K155" s="0" t="str">
        <f aca="false">IF(J155="","",J155+'1 Inputs'!$B$26)</f>
        <v/>
      </c>
      <c r="U155" s="0" t="n">
        <v>151</v>
      </c>
      <c r="V155" s="19" t="n">
        <f aca="false">IF(OR(AND((MOD(U155-1,52)+1)&gt;='1 Inputs'!$B$45,(MOD(U155-1,52)+1)&lt;='1 Inputs'!$C$45),AND((MOD(U155-1,52)+1)&gt;='1 Inputs'!$B$46,(MOD(U155-1,52)+1)&lt;='1 Inputs'!$C$46)),1,0)</f>
        <v>0</v>
      </c>
      <c r="W155" s="19" t="n">
        <f aca="false">W154+1-V155</f>
        <v>133</v>
      </c>
    </row>
    <row r="156" customFormat="false" ht="15" hidden="false" customHeight="false" outlineLevel="0" collapsed="false">
      <c r="A156" s="0" t="n">
        <v>152</v>
      </c>
      <c r="B156" s="0" t="n">
        <f aca="false">MOD(A156-1,52)+1</f>
        <v>48</v>
      </c>
      <c r="C156" s="0" t="n">
        <f aca="false">IF(OR(AND(B156&gt;='1 Inputs'!$B$45,B156&lt;='1 Inputs'!$C$45),AND(B156&gt;='1 Inputs'!$B$46,B156&lt;='1 Inputs'!$C$46)),1,0)</f>
        <v>0</v>
      </c>
      <c r="D156" s="13" t="n">
        <f aca="false">D155-E155</f>
        <v>0</v>
      </c>
      <c r="E156" s="13" t="n">
        <f aca="false">IF(A156&lt;'1 Inputs'!$B$21,0,IF(C156=1,0,MIN('1 Inputs'!$B$15,D156)))</f>
        <v>0</v>
      </c>
      <c r="F156" s="13" t="n">
        <f aca="false">E156*'1 Inputs'!$B$7*'1 Inputs'!$B$8*'1 Inputs'!$B$9*'1 Inputs'!$B$10</f>
        <v>0</v>
      </c>
      <c r="G156" s="12" t="n">
        <f aca="false">F156*'1 Inputs'!$B$11</f>
        <v>0</v>
      </c>
      <c r="H156" s="19" t="n">
        <f aca="false">A156+'1 Inputs'!$B$22+'1 Inputs'!$B$23+'1 Inputs'!$B$24</f>
        <v>172</v>
      </c>
      <c r="I156" s="19" t="n">
        <f aca="false">H156+'1 Inputs'!$B$25</f>
        <v>174</v>
      </c>
      <c r="J156" s="0" t="str">
        <f aca="false">IF(E156=0,"",IFERROR(INDEX($T$5:$T$40,MATCH(I156,$T$5:$T$40,1)+IF(INDEX($T$5:$T$40,MATCH(I156,$T$5:$T$40,1))=I156,0,1)),$T$5))</f>
        <v/>
      </c>
      <c r="K156" s="0" t="str">
        <f aca="false">IF(J156="","",J156+'1 Inputs'!$B$26)</f>
        <v/>
      </c>
      <c r="U156" s="0" t="n">
        <v>152</v>
      </c>
      <c r="V156" s="19" t="n">
        <f aca="false">IF(OR(AND((MOD(U156-1,52)+1)&gt;='1 Inputs'!$B$45,(MOD(U156-1,52)+1)&lt;='1 Inputs'!$C$45),AND((MOD(U156-1,52)+1)&gt;='1 Inputs'!$B$46,(MOD(U156-1,52)+1)&lt;='1 Inputs'!$C$46)),1,0)</f>
        <v>0</v>
      </c>
      <c r="W156" s="19" t="n">
        <f aca="false">W155+1-V156</f>
        <v>134</v>
      </c>
    </row>
    <row r="157" customFormat="false" ht="15" hidden="false" customHeight="false" outlineLevel="0" collapsed="false">
      <c r="A157" s="0" t="n">
        <v>153</v>
      </c>
      <c r="B157" s="0" t="n">
        <f aca="false">MOD(A157-1,52)+1</f>
        <v>49</v>
      </c>
      <c r="C157" s="0" t="n">
        <f aca="false">IF(OR(AND(B157&gt;='1 Inputs'!$B$45,B157&lt;='1 Inputs'!$C$45),AND(B157&gt;='1 Inputs'!$B$46,B157&lt;='1 Inputs'!$C$46)),1,0)</f>
        <v>0</v>
      </c>
      <c r="D157" s="13" t="n">
        <f aca="false">D156-E156</f>
        <v>0</v>
      </c>
      <c r="E157" s="13" t="n">
        <f aca="false">IF(A157&lt;'1 Inputs'!$B$21,0,IF(C157=1,0,MIN('1 Inputs'!$B$15,D157)))</f>
        <v>0</v>
      </c>
      <c r="F157" s="13" t="n">
        <f aca="false">E157*'1 Inputs'!$B$7*'1 Inputs'!$B$8*'1 Inputs'!$B$9*'1 Inputs'!$B$10</f>
        <v>0</v>
      </c>
      <c r="G157" s="12" t="n">
        <f aca="false">F157*'1 Inputs'!$B$11</f>
        <v>0</v>
      </c>
      <c r="H157" s="19" t="n">
        <f aca="false">A157+'1 Inputs'!$B$22+'1 Inputs'!$B$23+'1 Inputs'!$B$24</f>
        <v>173</v>
      </c>
      <c r="I157" s="19" t="n">
        <f aca="false">H157+'1 Inputs'!$B$25</f>
        <v>175</v>
      </c>
      <c r="J157" s="0" t="str">
        <f aca="false">IF(E157=0,"",IFERROR(INDEX($T$5:$T$40,MATCH(I157,$T$5:$T$40,1)+IF(INDEX($T$5:$T$40,MATCH(I157,$T$5:$T$40,1))=I157,0,1)),$T$5))</f>
        <v/>
      </c>
      <c r="K157" s="0" t="str">
        <f aca="false">IF(J157="","",J157+'1 Inputs'!$B$26)</f>
        <v/>
      </c>
      <c r="U157" s="0" t="n">
        <v>153</v>
      </c>
      <c r="V157" s="19" t="n">
        <f aca="false">IF(OR(AND((MOD(U157-1,52)+1)&gt;='1 Inputs'!$B$45,(MOD(U157-1,52)+1)&lt;='1 Inputs'!$C$45),AND((MOD(U157-1,52)+1)&gt;='1 Inputs'!$B$46,(MOD(U157-1,52)+1)&lt;='1 Inputs'!$C$46)),1,0)</f>
        <v>0</v>
      </c>
      <c r="W157" s="19" t="n">
        <f aca="false">W156+1-V157</f>
        <v>135</v>
      </c>
    </row>
    <row r="158" customFormat="false" ht="15" hidden="false" customHeight="false" outlineLevel="0" collapsed="false">
      <c r="A158" s="0" t="n">
        <v>154</v>
      </c>
      <c r="B158" s="0" t="n">
        <f aca="false">MOD(A158-1,52)+1</f>
        <v>50</v>
      </c>
      <c r="C158" s="0" t="n">
        <f aca="false">IF(OR(AND(B158&gt;='1 Inputs'!$B$45,B158&lt;='1 Inputs'!$C$45),AND(B158&gt;='1 Inputs'!$B$46,B158&lt;='1 Inputs'!$C$46)),1,0)</f>
        <v>1</v>
      </c>
      <c r="D158" s="13" t="n">
        <f aca="false">D157-E157</f>
        <v>0</v>
      </c>
      <c r="E158" s="13" t="n">
        <f aca="false">IF(A158&lt;'1 Inputs'!$B$21,0,IF(C158=1,0,MIN('1 Inputs'!$B$15,D158)))</f>
        <v>0</v>
      </c>
      <c r="F158" s="13" t="n">
        <f aca="false">E158*'1 Inputs'!$B$7*'1 Inputs'!$B$8*'1 Inputs'!$B$9*'1 Inputs'!$B$10</f>
        <v>0</v>
      </c>
      <c r="G158" s="12" t="n">
        <f aca="false">F158*'1 Inputs'!$B$11</f>
        <v>0</v>
      </c>
      <c r="H158" s="19" t="n">
        <f aca="false">A158+'1 Inputs'!$B$22+'1 Inputs'!$B$23+'1 Inputs'!$B$24</f>
        <v>174</v>
      </c>
      <c r="I158" s="19" t="n">
        <f aca="false">H158+'1 Inputs'!$B$25</f>
        <v>176</v>
      </c>
      <c r="J158" s="0" t="str">
        <f aca="false">IF(E158=0,"",IFERROR(INDEX($T$5:$T$40,MATCH(I158,$T$5:$T$40,1)+IF(INDEX($T$5:$T$40,MATCH(I158,$T$5:$T$40,1))=I158,0,1)),$T$5))</f>
        <v/>
      </c>
      <c r="K158" s="0" t="str">
        <f aca="false">IF(J158="","",J158+'1 Inputs'!$B$26)</f>
        <v/>
      </c>
      <c r="U158" s="0" t="n">
        <v>154</v>
      </c>
      <c r="V158" s="19" t="n">
        <f aca="false">IF(OR(AND((MOD(U158-1,52)+1)&gt;='1 Inputs'!$B$45,(MOD(U158-1,52)+1)&lt;='1 Inputs'!$C$45),AND((MOD(U158-1,52)+1)&gt;='1 Inputs'!$B$46,(MOD(U158-1,52)+1)&lt;='1 Inputs'!$C$46)),1,0)</f>
        <v>1</v>
      </c>
      <c r="W158" s="19" t="n">
        <f aca="false">W157+1-V158</f>
        <v>135</v>
      </c>
    </row>
    <row r="159" customFormat="false" ht="15" hidden="false" customHeight="false" outlineLevel="0" collapsed="false">
      <c r="A159" s="0" t="n">
        <v>155</v>
      </c>
      <c r="B159" s="0" t="n">
        <f aca="false">MOD(A159-1,52)+1</f>
        <v>51</v>
      </c>
      <c r="C159" s="0" t="n">
        <f aca="false">IF(OR(AND(B159&gt;='1 Inputs'!$B$45,B159&lt;='1 Inputs'!$C$45),AND(B159&gt;='1 Inputs'!$B$46,B159&lt;='1 Inputs'!$C$46)),1,0)</f>
        <v>1</v>
      </c>
      <c r="D159" s="13" t="n">
        <f aca="false">D158-E158</f>
        <v>0</v>
      </c>
      <c r="E159" s="13" t="n">
        <f aca="false">IF(A159&lt;'1 Inputs'!$B$21,0,IF(C159=1,0,MIN('1 Inputs'!$B$15,D159)))</f>
        <v>0</v>
      </c>
      <c r="F159" s="13" t="n">
        <f aca="false">E159*'1 Inputs'!$B$7*'1 Inputs'!$B$8*'1 Inputs'!$B$9*'1 Inputs'!$B$10</f>
        <v>0</v>
      </c>
      <c r="G159" s="12" t="n">
        <f aca="false">F159*'1 Inputs'!$B$11</f>
        <v>0</v>
      </c>
      <c r="H159" s="19" t="n">
        <f aca="false">A159+'1 Inputs'!$B$22+'1 Inputs'!$B$23+'1 Inputs'!$B$24</f>
        <v>175</v>
      </c>
      <c r="I159" s="19" t="n">
        <f aca="false">H159+'1 Inputs'!$B$25</f>
        <v>177</v>
      </c>
      <c r="J159" s="0" t="str">
        <f aca="false">IF(E159=0,"",IFERROR(INDEX($T$5:$T$40,MATCH(I159,$T$5:$T$40,1)+IF(INDEX($T$5:$T$40,MATCH(I159,$T$5:$T$40,1))=I159,0,1)),$T$5))</f>
        <v/>
      </c>
      <c r="K159" s="0" t="str">
        <f aca="false">IF(J159="","",J159+'1 Inputs'!$B$26)</f>
        <v/>
      </c>
      <c r="U159" s="0" t="n">
        <v>155</v>
      </c>
      <c r="V159" s="19" t="n">
        <f aca="false">IF(OR(AND((MOD(U159-1,52)+1)&gt;='1 Inputs'!$B$45,(MOD(U159-1,52)+1)&lt;='1 Inputs'!$C$45),AND((MOD(U159-1,52)+1)&gt;='1 Inputs'!$B$46,(MOD(U159-1,52)+1)&lt;='1 Inputs'!$C$46)),1,0)</f>
        <v>1</v>
      </c>
      <c r="W159" s="19" t="n">
        <f aca="false">W158+1-V159</f>
        <v>135</v>
      </c>
    </row>
    <row r="160" customFormat="false" ht="15" hidden="false" customHeight="false" outlineLevel="0" collapsed="false">
      <c r="A160" s="0" t="n">
        <v>156</v>
      </c>
      <c r="B160" s="0" t="n">
        <f aca="false">MOD(A160-1,52)+1</f>
        <v>52</v>
      </c>
      <c r="C160" s="0" t="n">
        <f aca="false">IF(OR(AND(B160&gt;='1 Inputs'!$B$45,B160&lt;='1 Inputs'!$C$45),AND(B160&gt;='1 Inputs'!$B$46,B160&lt;='1 Inputs'!$C$46)),1,0)</f>
        <v>1</v>
      </c>
      <c r="D160" s="13" t="n">
        <f aca="false">D159-E159</f>
        <v>0</v>
      </c>
      <c r="E160" s="13" t="n">
        <f aca="false">IF(A160&lt;'1 Inputs'!$B$21,0,IF(C160=1,0,MIN('1 Inputs'!$B$15,D160)))</f>
        <v>0</v>
      </c>
      <c r="F160" s="13" t="n">
        <f aca="false">E160*'1 Inputs'!$B$7*'1 Inputs'!$B$8*'1 Inputs'!$B$9*'1 Inputs'!$B$10</f>
        <v>0</v>
      </c>
      <c r="G160" s="12" t="n">
        <f aca="false">F160*'1 Inputs'!$B$11</f>
        <v>0</v>
      </c>
      <c r="H160" s="19" t="n">
        <f aca="false">A160+'1 Inputs'!$B$22+'1 Inputs'!$B$23+'1 Inputs'!$B$24</f>
        <v>176</v>
      </c>
      <c r="I160" s="19" t="n">
        <f aca="false">H160+'1 Inputs'!$B$25</f>
        <v>178</v>
      </c>
      <c r="J160" s="0" t="str">
        <f aca="false">IF(E160=0,"",IFERROR(INDEX($T$5:$T$40,MATCH(I160,$T$5:$T$40,1)+IF(INDEX($T$5:$T$40,MATCH(I160,$T$5:$T$40,1))=I160,0,1)),$T$5))</f>
        <v/>
      </c>
      <c r="K160" s="0" t="str">
        <f aca="false">IF(J160="","",J160+'1 Inputs'!$B$26)</f>
        <v/>
      </c>
      <c r="U160" s="0" t="n">
        <v>156</v>
      </c>
      <c r="V160" s="19" t="n">
        <f aca="false">IF(OR(AND((MOD(U160-1,52)+1)&gt;='1 Inputs'!$B$45,(MOD(U160-1,52)+1)&lt;='1 Inputs'!$C$45),AND((MOD(U160-1,52)+1)&gt;='1 Inputs'!$B$46,(MOD(U160-1,52)+1)&lt;='1 Inputs'!$C$46)),1,0)</f>
        <v>1</v>
      </c>
      <c r="W160" s="19" t="n">
        <f aca="false">W159+1-V160</f>
        <v>135</v>
      </c>
    </row>
    <row r="161" customFormat="false" ht="15" hidden="false" customHeight="false" outlineLevel="0" collapsed="false">
      <c r="A161" s="0" t="n">
        <v>157</v>
      </c>
      <c r="B161" s="0" t="n">
        <f aca="false">MOD(A161-1,52)+1</f>
        <v>1</v>
      </c>
      <c r="C161" s="0" t="n">
        <f aca="false">IF(OR(AND(B161&gt;='1 Inputs'!$B$45,B161&lt;='1 Inputs'!$C$45),AND(B161&gt;='1 Inputs'!$B$46,B161&lt;='1 Inputs'!$C$46)),1,0)</f>
        <v>0</v>
      </c>
      <c r="D161" s="13" t="n">
        <f aca="false">D160-E160</f>
        <v>0</v>
      </c>
      <c r="E161" s="13" t="n">
        <f aca="false">IF(A161&lt;'1 Inputs'!$B$21,0,IF(C161=1,0,MIN('1 Inputs'!$B$15,D161)))</f>
        <v>0</v>
      </c>
      <c r="F161" s="13" t="n">
        <f aca="false">E161*'1 Inputs'!$B$7*'1 Inputs'!$B$8*'1 Inputs'!$B$9*'1 Inputs'!$B$10</f>
        <v>0</v>
      </c>
      <c r="G161" s="12" t="n">
        <f aca="false">F161*'1 Inputs'!$B$11</f>
        <v>0</v>
      </c>
      <c r="H161" s="19" t="n">
        <f aca="false">A161+'1 Inputs'!$B$22+'1 Inputs'!$B$23+'1 Inputs'!$B$24</f>
        <v>177</v>
      </c>
      <c r="I161" s="19" t="n">
        <f aca="false">H161+'1 Inputs'!$B$25</f>
        <v>179</v>
      </c>
      <c r="J161" s="0" t="str">
        <f aca="false">IF(E161=0,"",IFERROR(INDEX($T$5:$T$40,MATCH(I161,$T$5:$T$40,1)+IF(INDEX($T$5:$T$40,MATCH(I161,$T$5:$T$40,1))=I161,0,1)),$T$5))</f>
        <v/>
      </c>
      <c r="K161" s="0" t="str">
        <f aca="false">IF(J161="","",J161+'1 Inputs'!$B$26)</f>
        <v/>
      </c>
      <c r="U161" s="0" t="n">
        <v>157</v>
      </c>
      <c r="V161" s="19" t="n">
        <f aca="false">IF(OR(AND((MOD(U161-1,52)+1)&gt;='1 Inputs'!$B$45,(MOD(U161-1,52)+1)&lt;='1 Inputs'!$C$45),AND((MOD(U161-1,52)+1)&gt;='1 Inputs'!$B$46,(MOD(U161-1,52)+1)&lt;='1 Inputs'!$C$46)),1,0)</f>
        <v>0</v>
      </c>
      <c r="W161" s="19" t="n">
        <f aca="false">W160+1-V161</f>
        <v>136</v>
      </c>
    </row>
    <row r="162" customFormat="false" ht="15" hidden="false" customHeight="false" outlineLevel="0" collapsed="false">
      <c r="A162" s="0" t="n">
        <v>158</v>
      </c>
      <c r="B162" s="0" t="n">
        <f aca="false">MOD(A162-1,52)+1</f>
        <v>2</v>
      </c>
      <c r="C162" s="0" t="n">
        <f aca="false">IF(OR(AND(B162&gt;='1 Inputs'!$B$45,B162&lt;='1 Inputs'!$C$45),AND(B162&gt;='1 Inputs'!$B$46,B162&lt;='1 Inputs'!$C$46)),1,0)</f>
        <v>0</v>
      </c>
      <c r="D162" s="13" t="n">
        <f aca="false">D161-E161</f>
        <v>0</v>
      </c>
      <c r="E162" s="13" t="n">
        <f aca="false">IF(A162&lt;'1 Inputs'!$B$21,0,IF(C162=1,0,MIN('1 Inputs'!$B$15,D162)))</f>
        <v>0</v>
      </c>
      <c r="F162" s="13" t="n">
        <f aca="false">E162*'1 Inputs'!$B$7*'1 Inputs'!$B$8*'1 Inputs'!$B$9*'1 Inputs'!$B$10</f>
        <v>0</v>
      </c>
      <c r="G162" s="12" t="n">
        <f aca="false">F162*'1 Inputs'!$B$11</f>
        <v>0</v>
      </c>
      <c r="H162" s="19" t="n">
        <f aca="false">A162+'1 Inputs'!$B$22+'1 Inputs'!$B$23+'1 Inputs'!$B$24</f>
        <v>178</v>
      </c>
      <c r="I162" s="19" t="n">
        <f aca="false">H162+'1 Inputs'!$B$25</f>
        <v>180</v>
      </c>
      <c r="J162" s="0" t="str">
        <f aca="false">IF(E162=0,"",IFERROR(INDEX($T$5:$T$40,MATCH(I162,$T$5:$T$40,1)+IF(INDEX($T$5:$T$40,MATCH(I162,$T$5:$T$40,1))=I162,0,1)),$T$5))</f>
        <v/>
      </c>
      <c r="K162" s="0" t="str">
        <f aca="false">IF(J162="","",J162+'1 Inputs'!$B$26)</f>
        <v/>
      </c>
      <c r="U162" s="0" t="n">
        <v>158</v>
      </c>
      <c r="V162" s="19" t="n">
        <f aca="false">IF(OR(AND((MOD(U162-1,52)+1)&gt;='1 Inputs'!$B$45,(MOD(U162-1,52)+1)&lt;='1 Inputs'!$C$45),AND((MOD(U162-1,52)+1)&gt;='1 Inputs'!$B$46,(MOD(U162-1,52)+1)&lt;='1 Inputs'!$C$46)),1,0)</f>
        <v>0</v>
      </c>
      <c r="W162" s="19" t="n">
        <f aca="false">W161+1-V162</f>
        <v>137</v>
      </c>
    </row>
    <row r="163" customFormat="false" ht="15" hidden="false" customHeight="false" outlineLevel="0" collapsed="false">
      <c r="A163" s="0" t="n">
        <v>159</v>
      </c>
      <c r="B163" s="0" t="n">
        <f aca="false">MOD(A163-1,52)+1</f>
        <v>3</v>
      </c>
      <c r="C163" s="0" t="n">
        <f aca="false">IF(OR(AND(B163&gt;='1 Inputs'!$B$45,B163&lt;='1 Inputs'!$C$45),AND(B163&gt;='1 Inputs'!$B$46,B163&lt;='1 Inputs'!$C$46)),1,0)</f>
        <v>0</v>
      </c>
      <c r="D163" s="13" t="n">
        <f aca="false">D162-E162</f>
        <v>0</v>
      </c>
      <c r="E163" s="13" t="n">
        <f aca="false">IF(A163&lt;'1 Inputs'!$B$21,0,IF(C163=1,0,MIN('1 Inputs'!$B$15,D163)))</f>
        <v>0</v>
      </c>
      <c r="F163" s="13" t="n">
        <f aca="false">E163*'1 Inputs'!$B$7*'1 Inputs'!$B$8*'1 Inputs'!$B$9*'1 Inputs'!$B$10</f>
        <v>0</v>
      </c>
      <c r="G163" s="12" t="n">
        <f aca="false">F163*'1 Inputs'!$B$11</f>
        <v>0</v>
      </c>
      <c r="H163" s="19" t="n">
        <f aca="false">A163+'1 Inputs'!$B$22+'1 Inputs'!$B$23+'1 Inputs'!$B$24</f>
        <v>179</v>
      </c>
      <c r="I163" s="19" t="n">
        <f aca="false">H163+'1 Inputs'!$B$25</f>
        <v>181</v>
      </c>
      <c r="J163" s="0" t="str">
        <f aca="false">IF(E163=0,"",IFERROR(INDEX($T$5:$T$40,MATCH(I163,$T$5:$T$40,1)+IF(INDEX($T$5:$T$40,MATCH(I163,$T$5:$T$40,1))=I163,0,1)),$T$5))</f>
        <v/>
      </c>
      <c r="K163" s="0" t="str">
        <f aca="false">IF(J163="","",J163+'1 Inputs'!$B$26)</f>
        <v/>
      </c>
      <c r="U163" s="0" t="n">
        <v>159</v>
      </c>
      <c r="V163" s="19" t="n">
        <f aca="false">IF(OR(AND((MOD(U163-1,52)+1)&gt;='1 Inputs'!$B$45,(MOD(U163-1,52)+1)&lt;='1 Inputs'!$C$45),AND((MOD(U163-1,52)+1)&gt;='1 Inputs'!$B$46,(MOD(U163-1,52)+1)&lt;='1 Inputs'!$C$46)),1,0)</f>
        <v>0</v>
      </c>
      <c r="W163" s="19" t="n">
        <f aca="false">W162+1-V163</f>
        <v>138</v>
      </c>
    </row>
    <row r="164" customFormat="false" ht="15" hidden="false" customHeight="false" outlineLevel="0" collapsed="false">
      <c r="A164" s="0" t="n">
        <v>160</v>
      </c>
      <c r="B164" s="0" t="n">
        <f aca="false">MOD(A164-1,52)+1</f>
        <v>4</v>
      </c>
      <c r="C164" s="0" t="n">
        <f aca="false">IF(OR(AND(B164&gt;='1 Inputs'!$B$45,B164&lt;='1 Inputs'!$C$45),AND(B164&gt;='1 Inputs'!$B$46,B164&lt;='1 Inputs'!$C$46)),1,0)</f>
        <v>0</v>
      </c>
      <c r="D164" s="13" t="n">
        <f aca="false">D163-E163</f>
        <v>0</v>
      </c>
      <c r="E164" s="13" t="n">
        <f aca="false">IF(A164&lt;'1 Inputs'!$B$21,0,IF(C164=1,0,MIN('1 Inputs'!$B$15,D164)))</f>
        <v>0</v>
      </c>
      <c r="F164" s="13" t="n">
        <f aca="false">E164*'1 Inputs'!$B$7*'1 Inputs'!$B$8*'1 Inputs'!$B$9*'1 Inputs'!$B$10</f>
        <v>0</v>
      </c>
      <c r="G164" s="12" t="n">
        <f aca="false">F164*'1 Inputs'!$B$11</f>
        <v>0</v>
      </c>
      <c r="H164" s="19" t="n">
        <f aca="false">A164+'1 Inputs'!$B$22+'1 Inputs'!$B$23+'1 Inputs'!$B$24</f>
        <v>180</v>
      </c>
      <c r="I164" s="19" t="n">
        <f aca="false">H164+'1 Inputs'!$B$25</f>
        <v>182</v>
      </c>
      <c r="J164" s="0" t="str">
        <f aca="false">IF(E164=0,"",IFERROR(INDEX($T$5:$T$40,MATCH(I164,$T$5:$T$40,1)+IF(INDEX($T$5:$T$40,MATCH(I164,$T$5:$T$40,1))=I164,0,1)),$T$5))</f>
        <v/>
      </c>
      <c r="K164" s="0" t="str">
        <f aca="false">IF(J164="","",J164+'1 Inputs'!$B$26)</f>
        <v/>
      </c>
      <c r="U164" s="0" t="n">
        <v>160</v>
      </c>
      <c r="V164" s="19" t="n">
        <f aca="false">IF(OR(AND((MOD(U164-1,52)+1)&gt;='1 Inputs'!$B$45,(MOD(U164-1,52)+1)&lt;='1 Inputs'!$C$45),AND((MOD(U164-1,52)+1)&gt;='1 Inputs'!$B$46,(MOD(U164-1,52)+1)&lt;='1 Inputs'!$C$46)),1,0)</f>
        <v>0</v>
      </c>
      <c r="W164" s="19" t="n">
        <f aca="false">W163+1-V164</f>
        <v>139</v>
      </c>
    </row>
    <row r="165" customFormat="false" ht="15" hidden="false" customHeight="false" outlineLevel="0" collapsed="false">
      <c r="A165" s="0" t="n">
        <v>161</v>
      </c>
      <c r="B165" s="0" t="n">
        <f aca="false">MOD(A165-1,52)+1</f>
        <v>5</v>
      </c>
      <c r="C165" s="0" t="n">
        <f aca="false">IF(OR(AND(B165&gt;='1 Inputs'!$B$45,B165&lt;='1 Inputs'!$C$45),AND(B165&gt;='1 Inputs'!$B$46,B165&lt;='1 Inputs'!$C$46)),1,0)</f>
        <v>0</v>
      </c>
      <c r="D165" s="13" t="n">
        <f aca="false">D164-E164</f>
        <v>0</v>
      </c>
      <c r="E165" s="13" t="n">
        <f aca="false">IF(A165&lt;'1 Inputs'!$B$21,0,IF(C165=1,0,MIN('1 Inputs'!$B$15,D165)))</f>
        <v>0</v>
      </c>
      <c r="F165" s="13" t="n">
        <f aca="false">E165*'1 Inputs'!$B$7*'1 Inputs'!$B$8*'1 Inputs'!$B$9*'1 Inputs'!$B$10</f>
        <v>0</v>
      </c>
      <c r="G165" s="12" t="n">
        <f aca="false">F165*'1 Inputs'!$B$11</f>
        <v>0</v>
      </c>
      <c r="H165" s="19" t="n">
        <f aca="false">A165+'1 Inputs'!$B$22+'1 Inputs'!$B$23+'1 Inputs'!$B$24</f>
        <v>181</v>
      </c>
      <c r="I165" s="19" t="n">
        <f aca="false">H165+'1 Inputs'!$B$25</f>
        <v>183</v>
      </c>
      <c r="J165" s="0" t="str">
        <f aca="false">IF(E165=0,"",IFERROR(INDEX($T$5:$T$40,MATCH(I165,$T$5:$T$40,1)+IF(INDEX($T$5:$T$40,MATCH(I165,$T$5:$T$40,1))=I165,0,1)),$T$5))</f>
        <v/>
      </c>
      <c r="K165" s="0" t="str">
        <f aca="false">IF(J165="","",J165+'1 Inputs'!$B$26)</f>
        <v/>
      </c>
      <c r="U165" s="0" t="n">
        <v>161</v>
      </c>
      <c r="V165" s="19" t="n">
        <f aca="false">IF(OR(AND((MOD(U165-1,52)+1)&gt;='1 Inputs'!$B$45,(MOD(U165-1,52)+1)&lt;='1 Inputs'!$C$45),AND((MOD(U165-1,52)+1)&gt;='1 Inputs'!$B$46,(MOD(U165-1,52)+1)&lt;='1 Inputs'!$C$46)),1,0)</f>
        <v>0</v>
      </c>
      <c r="W165" s="19" t="n">
        <f aca="false">W164+1-V165</f>
        <v>140</v>
      </c>
    </row>
    <row r="166" customFormat="false" ht="15" hidden="false" customHeight="false" outlineLevel="0" collapsed="false">
      <c r="A166" s="0" t="n">
        <v>162</v>
      </c>
      <c r="B166" s="0" t="n">
        <f aca="false">MOD(A166-1,52)+1</f>
        <v>6</v>
      </c>
      <c r="C166" s="0" t="n">
        <f aca="false">IF(OR(AND(B166&gt;='1 Inputs'!$B$45,B166&lt;='1 Inputs'!$C$45),AND(B166&gt;='1 Inputs'!$B$46,B166&lt;='1 Inputs'!$C$46)),1,0)</f>
        <v>0</v>
      </c>
      <c r="D166" s="13" t="n">
        <f aca="false">D165-E165</f>
        <v>0</v>
      </c>
      <c r="E166" s="13" t="n">
        <f aca="false">IF(A166&lt;'1 Inputs'!$B$21,0,IF(C166=1,0,MIN('1 Inputs'!$B$15,D166)))</f>
        <v>0</v>
      </c>
      <c r="F166" s="13" t="n">
        <f aca="false">E166*'1 Inputs'!$B$7*'1 Inputs'!$B$8*'1 Inputs'!$B$9*'1 Inputs'!$B$10</f>
        <v>0</v>
      </c>
      <c r="G166" s="12" t="n">
        <f aca="false">F166*'1 Inputs'!$B$11</f>
        <v>0</v>
      </c>
      <c r="H166" s="19" t="n">
        <f aca="false">A166+'1 Inputs'!$B$22+'1 Inputs'!$B$23+'1 Inputs'!$B$24</f>
        <v>182</v>
      </c>
      <c r="I166" s="19" t="n">
        <f aca="false">H166+'1 Inputs'!$B$25</f>
        <v>184</v>
      </c>
      <c r="J166" s="0" t="str">
        <f aca="false">IF(E166=0,"",IFERROR(INDEX($T$5:$T$40,MATCH(I166,$T$5:$T$40,1)+IF(INDEX($T$5:$T$40,MATCH(I166,$T$5:$T$40,1))=I166,0,1)),$T$5))</f>
        <v/>
      </c>
      <c r="K166" s="0" t="str">
        <f aca="false">IF(J166="","",J166+'1 Inputs'!$B$26)</f>
        <v/>
      </c>
      <c r="U166" s="0" t="n">
        <v>162</v>
      </c>
      <c r="V166" s="19" t="n">
        <f aca="false">IF(OR(AND((MOD(U166-1,52)+1)&gt;='1 Inputs'!$B$45,(MOD(U166-1,52)+1)&lt;='1 Inputs'!$C$45),AND((MOD(U166-1,52)+1)&gt;='1 Inputs'!$B$46,(MOD(U166-1,52)+1)&lt;='1 Inputs'!$C$46)),1,0)</f>
        <v>0</v>
      </c>
      <c r="W166" s="19" t="n">
        <f aca="false">W165+1-V166</f>
        <v>141</v>
      </c>
    </row>
    <row r="167" customFormat="false" ht="15" hidden="false" customHeight="false" outlineLevel="0" collapsed="false">
      <c r="A167" s="0" t="n">
        <v>163</v>
      </c>
      <c r="B167" s="0" t="n">
        <f aca="false">MOD(A167-1,52)+1</f>
        <v>7</v>
      </c>
      <c r="C167" s="0" t="n">
        <f aca="false">IF(OR(AND(B167&gt;='1 Inputs'!$B$45,B167&lt;='1 Inputs'!$C$45),AND(B167&gt;='1 Inputs'!$B$46,B167&lt;='1 Inputs'!$C$46)),1,0)</f>
        <v>0</v>
      </c>
      <c r="D167" s="13" t="n">
        <f aca="false">D166-E166</f>
        <v>0</v>
      </c>
      <c r="E167" s="13" t="n">
        <f aca="false">IF(A167&lt;'1 Inputs'!$B$21,0,IF(C167=1,0,MIN('1 Inputs'!$B$15,D167)))</f>
        <v>0</v>
      </c>
      <c r="F167" s="13" t="n">
        <f aca="false">E167*'1 Inputs'!$B$7*'1 Inputs'!$B$8*'1 Inputs'!$B$9*'1 Inputs'!$B$10</f>
        <v>0</v>
      </c>
      <c r="G167" s="12" t="n">
        <f aca="false">F167*'1 Inputs'!$B$11</f>
        <v>0</v>
      </c>
      <c r="H167" s="19" t="n">
        <f aca="false">A167+'1 Inputs'!$B$22+'1 Inputs'!$B$23+'1 Inputs'!$B$24</f>
        <v>183</v>
      </c>
      <c r="I167" s="19" t="n">
        <f aca="false">H167+'1 Inputs'!$B$25</f>
        <v>185</v>
      </c>
      <c r="J167" s="0" t="str">
        <f aca="false">IF(E167=0,"",IFERROR(INDEX($T$5:$T$40,MATCH(I167,$T$5:$T$40,1)+IF(INDEX($T$5:$T$40,MATCH(I167,$T$5:$T$40,1))=I167,0,1)),$T$5))</f>
        <v/>
      </c>
      <c r="K167" s="0" t="str">
        <f aca="false">IF(J167="","",J167+'1 Inputs'!$B$26)</f>
        <v/>
      </c>
      <c r="U167" s="0" t="n">
        <v>163</v>
      </c>
      <c r="V167" s="19" t="n">
        <f aca="false">IF(OR(AND((MOD(U167-1,52)+1)&gt;='1 Inputs'!$B$45,(MOD(U167-1,52)+1)&lt;='1 Inputs'!$C$45),AND((MOD(U167-1,52)+1)&gt;='1 Inputs'!$B$46,(MOD(U167-1,52)+1)&lt;='1 Inputs'!$C$46)),1,0)</f>
        <v>0</v>
      </c>
      <c r="W167" s="19" t="n">
        <f aca="false">W166+1-V167</f>
        <v>142</v>
      </c>
    </row>
    <row r="168" customFormat="false" ht="15" hidden="false" customHeight="false" outlineLevel="0" collapsed="false">
      <c r="A168" s="0" t="n">
        <v>164</v>
      </c>
      <c r="B168" s="0" t="n">
        <f aca="false">MOD(A168-1,52)+1</f>
        <v>8</v>
      </c>
      <c r="C168" s="0" t="n">
        <f aca="false">IF(OR(AND(B168&gt;='1 Inputs'!$B$45,B168&lt;='1 Inputs'!$C$45),AND(B168&gt;='1 Inputs'!$B$46,B168&lt;='1 Inputs'!$C$46)),1,0)</f>
        <v>0</v>
      </c>
      <c r="D168" s="13" t="n">
        <f aca="false">D167-E167</f>
        <v>0</v>
      </c>
      <c r="E168" s="13" t="n">
        <f aca="false">IF(A168&lt;'1 Inputs'!$B$21,0,IF(C168=1,0,MIN('1 Inputs'!$B$15,D168)))</f>
        <v>0</v>
      </c>
      <c r="F168" s="13" t="n">
        <f aca="false">E168*'1 Inputs'!$B$7*'1 Inputs'!$B$8*'1 Inputs'!$B$9*'1 Inputs'!$B$10</f>
        <v>0</v>
      </c>
      <c r="G168" s="12" t="n">
        <f aca="false">F168*'1 Inputs'!$B$11</f>
        <v>0</v>
      </c>
      <c r="H168" s="19" t="n">
        <f aca="false">A168+'1 Inputs'!$B$22+'1 Inputs'!$B$23+'1 Inputs'!$B$24</f>
        <v>184</v>
      </c>
      <c r="I168" s="19" t="n">
        <f aca="false">H168+'1 Inputs'!$B$25</f>
        <v>186</v>
      </c>
      <c r="J168" s="0" t="str">
        <f aca="false">IF(E168=0,"",IFERROR(INDEX($T$5:$T$40,MATCH(I168,$T$5:$T$40,1)+IF(INDEX($T$5:$T$40,MATCH(I168,$T$5:$T$40,1))=I168,0,1)),$T$5))</f>
        <v/>
      </c>
      <c r="K168" s="0" t="str">
        <f aca="false">IF(J168="","",J168+'1 Inputs'!$B$26)</f>
        <v/>
      </c>
      <c r="U168" s="0" t="n">
        <v>164</v>
      </c>
      <c r="V168" s="19" t="n">
        <f aca="false">IF(OR(AND((MOD(U168-1,52)+1)&gt;='1 Inputs'!$B$45,(MOD(U168-1,52)+1)&lt;='1 Inputs'!$C$45),AND((MOD(U168-1,52)+1)&gt;='1 Inputs'!$B$46,(MOD(U168-1,52)+1)&lt;='1 Inputs'!$C$46)),1,0)</f>
        <v>0</v>
      </c>
      <c r="W168" s="19" t="n">
        <f aca="false">W167+1-V168</f>
        <v>143</v>
      </c>
    </row>
    <row r="169" customFormat="false" ht="15" hidden="false" customHeight="false" outlineLevel="0" collapsed="false">
      <c r="A169" s="0" t="n">
        <v>165</v>
      </c>
      <c r="B169" s="0" t="n">
        <f aca="false">MOD(A169-1,52)+1</f>
        <v>9</v>
      </c>
      <c r="C169" s="0" t="n">
        <f aca="false">IF(OR(AND(B169&gt;='1 Inputs'!$B$45,B169&lt;='1 Inputs'!$C$45),AND(B169&gt;='1 Inputs'!$B$46,B169&lt;='1 Inputs'!$C$46)),1,0)</f>
        <v>0</v>
      </c>
      <c r="D169" s="13" t="n">
        <f aca="false">D168-E168</f>
        <v>0</v>
      </c>
      <c r="E169" s="13" t="n">
        <f aca="false">IF(A169&lt;'1 Inputs'!$B$21,0,IF(C169=1,0,MIN('1 Inputs'!$B$15,D169)))</f>
        <v>0</v>
      </c>
      <c r="F169" s="13" t="n">
        <f aca="false">E169*'1 Inputs'!$B$7*'1 Inputs'!$B$8*'1 Inputs'!$B$9*'1 Inputs'!$B$10</f>
        <v>0</v>
      </c>
      <c r="G169" s="12" t="n">
        <f aca="false">F169*'1 Inputs'!$B$11</f>
        <v>0</v>
      </c>
      <c r="H169" s="19" t="n">
        <f aca="false">A169+'1 Inputs'!$B$22+'1 Inputs'!$B$23+'1 Inputs'!$B$24</f>
        <v>185</v>
      </c>
      <c r="I169" s="19" t="n">
        <f aca="false">H169+'1 Inputs'!$B$25</f>
        <v>187</v>
      </c>
      <c r="J169" s="0" t="str">
        <f aca="false">IF(E169=0,"",IFERROR(INDEX($T$5:$T$40,MATCH(I169,$T$5:$T$40,1)+IF(INDEX($T$5:$T$40,MATCH(I169,$T$5:$T$40,1))=I169,0,1)),$T$5))</f>
        <v/>
      </c>
      <c r="K169" s="0" t="str">
        <f aca="false">IF(J169="","",J169+'1 Inputs'!$B$26)</f>
        <v/>
      </c>
      <c r="U169" s="0" t="n">
        <v>165</v>
      </c>
      <c r="V169" s="19" t="n">
        <f aca="false">IF(OR(AND((MOD(U169-1,52)+1)&gt;='1 Inputs'!$B$45,(MOD(U169-1,52)+1)&lt;='1 Inputs'!$C$45),AND((MOD(U169-1,52)+1)&gt;='1 Inputs'!$B$46,(MOD(U169-1,52)+1)&lt;='1 Inputs'!$C$46)),1,0)</f>
        <v>0</v>
      </c>
      <c r="W169" s="19" t="n">
        <f aca="false">W168+1-V169</f>
        <v>144</v>
      </c>
    </row>
    <row r="170" customFormat="false" ht="15" hidden="false" customHeight="false" outlineLevel="0" collapsed="false">
      <c r="A170" s="0" t="n">
        <v>166</v>
      </c>
      <c r="B170" s="0" t="n">
        <f aca="false">MOD(A170-1,52)+1</f>
        <v>10</v>
      </c>
      <c r="C170" s="0" t="n">
        <f aca="false">IF(OR(AND(B170&gt;='1 Inputs'!$B$45,B170&lt;='1 Inputs'!$C$45),AND(B170&gt;='1 Inputs'!$B$46,B170&lt;='1 Inputs'!$C$46)),1,0)</f>
        <v>0</v>
      </c>
      <c r="D170" s="13" t="n">
        <f aca="false">D169-E169</f>
        <v>0</v>
      </c>
      <c r="E170" s="13" t="n">
        <f aca="false">IF(A170&lt;'1 Inputs'!$B$21,0,IF(C170=1,0,MIN('1 Inputs'!$B$15,D170)))</f>
        <v>0</v>
      </c>
      <c r="F170" s="13" t="n">
        <f aca="false">E170*'1 Inputs'!$B$7*'1 Inputs'!$B$8*'1 Inputs'!$B$9*'1 Inputs'!$B$10</f>
        <v>0</v>
      </c>
      <c r="G170" s="12" t="n">
        <f aca="false">F170*'1 Inputs'!$B$11</f>
        <v>0</v>
      </c>
      <c r="H170" s="19" t="n">
        <f aca="false">A170+'1 Inputs'!$B$22+'1 Inputs'!$B$23+'1 Inputs'!$B$24</f>
        <v>186</v>
      </c>
      <c r="I170" s="19" t="n">
        <f aca="false">H170+'1 Inputs'!$B$25</f>
        <v>188</v>
      </c>
      <c r="J170" s="0" t="str">
        <f aca="false">IF(E170=0,"",IFERROR(INDEX($T$5:$T$40,MATCH(I170,$T$5:$T$40,1)+IF(INDEX($T$5:$T$40,MATCH(I170,$T$5:$T$40,1))=I170,0,1)),$T$5))</f>
        <v/>
      </c>
      <c r="K170" s="0" t="str">
        <f aca="false">IF(J170="","",J170+'1 Inputs'!$B$26)</f>
        <v/>
      </c>
      <c r="U170" s="0" t="n">
        <v>166</v>
      </c>
      <c r="V170" s="19" t="n">
        <f aca="false">IF(OR(AND((MOD(U170-1,52)+1)&gt;='1 Inputs'!$B$45,(MOD(U170-1,52)+1)&lt;='1 Inputs'!$C$45),AND((MOD(U170-1,52)+1)&gt;='1 Inputs'!$B$46,(MOD(U170-1,52)+1)&lt;='1 Inputs'!$C$46)),1,0)</f>
        <v>0</v>
      </c>
      <c r="W170" s="19" t="n">
        <f aca="false">W169+1-V170</f>
        <v>145</v>
      </c>
    </row>
    <row r="171" customFormat="false" ht="15" hidden="false" customHeight="false" outlineLevel="0" collapsed="false">
      <c r="A171" s="0" t="n">
        <v>167</v>
      </c>
      <c r="B171" s="0" t="n">
        <f aca="false">MOD(A171-1,52)+1</f>
        <v>11</v>
      </c>
      <c r="C171" s="0" t="n">
        <f aca="false">IF(OR(AND(B171&gt;='1 Inputs'!$B$45,B171&lt;='1 Inputs'!$C$45),AND(B171&gt;='1 Inputs'!$B$46,B171&lt;='1 Inputs'!$C$46)),1,0)</f>
        <v>0</v>
      </c>
      <c r="D171" s="13" t="n">
        <f aca="false">D170-E170</f>
        <v>0</v>
      </c>
      <c r="E171" s="13" t="n">
        <f aca="false">IF(A171&lt;'1 Inputs'!$B$21,0,IF(C171=1,0,MIN('1 Inputs'!$B$15,D171)))</f>
        <v>0</v>
      </c>
      <c r="F171" s="13" t="n">
        <f aca="false">E171*'1 Inputs'!$B$7*'1 Inputs'!$B$8*'1 Inputs'!$B$9*'1 Inputs'!$B$10</f>
        <v>0</v>
      </c>
      <c r="G171" s="12" t="n">
        <f aca="false">F171*'1 Inputs'!$B$11</f>
        <v>0</v>
      </c>
      <c r="H171" s="19" t="n">
        <f aca="false">A171+'1 Inputs'!$B$22+'1 Inputs'!$B$23+'1 Inputs'!$B$24</f>
        <v>187</v>
      </c>
      <c r="I171" s="19" t="n">
        <f aca="false">H171+'1 Inputs'!$B$25</f>
        <v>189</v>
      </c>
      <c r="J171" s="0" t="str">
        <f aca="false">IF(E171=0,"",IFERROR(INDEX($T$5:$T$40,MATCH(I171,$T$5:$T$40,1)+IF(INDEX($T$5:$T$40,MATCH(I171,$T$5:$T$40,1))=I171,0,1)),$T$5))</f>
        <v/>
      </c>
      <c r="K171" s="0" t="str">
        <f aca="false">IF(J171="","",J171+'1 Inputs'!$B$26)</f>
        <v/>
      </c>
      <c r="U171" s="0" t="n">
        <v>167</v>
      </c>
      <c r="V171" s="19" t="n">
        <f aca="false">IF(OR(AND((MOD(U171-1,52)+1)&gt;='1 Inputs'!$B$45,(MOD(U171-1,52)+1)&lt;='1 Inputs'!$C$45),AND((MOD(U171-1,52)+1)&gt;='1 Inputs'!$B$46,(MOD(U171-1,52)+1)&lt;='1 Inputs'!$C$46)),1,0)</f>
        <v>0</v>
      </c>
      <c r="W171" s="19" t="n">
        <f aca="false">W170+1-V171</f>
        <v>146</v>
      </c>
    </row>
    <row r="172" customFormat="false" ht="15" hidden="false" customHeight="false" outlineLevel="0" collapsed="false">
      <c r="A172" s="0" t="n">
        <v>168</v>
      </c>
      <c r="B172" s="0" t="n">
        <f aca="false">MOD(A172-1,52)+1</f>
        <v>12</v>
      </c>
      <c r="C172" s="0" t="n">
        <f aca="false">IF(OR(AND(B172&gt;='1 Inputs'!$B$45,B172&lt;='1 Inputs'!$C$45),AND(B172&gt;='1 Inputs'!$B$46,B172&lt;='1 Inputs'!$C$46)),1,0)</f>
        <v>0</v>
      </c>
      <c r="D172" s="13" t="n">
        <f aca="false">D171-E171</f>
        <v>0</v>
      </c>
      <c r="E172" s="13" t="n">
        <f aca="false">IF(A172&lt;'1 Inputs'!$B$21,0,IF(C172=1,0,MIN('1 Inputs'!$B$15,D172)))</f>
        <v>0</v>
      </c>
      <c r="F172" s="13" t="n">
        <f aca="false">E172*'1 Inputs'!$B$7*'1 Inputs'!$B$8*'1 Inputs'!$B$9*'1 Inputs'!$B$10</f>
        <v>0</v>
      </c>
      <c r="G172" s="12" t="n">
        <f aca="false">F172*'1 Inputs'!$B$11</f>
        <v>0</v>
      </c>
      <c r="H172" s="19" t="n">
        <f aca="false">A172+'1 Inputs'!$B$22+'1 Inputs'!$B$23+'1 Inputs'!$B$24</f>
        <v>188</v>
      </c>
      <c r="I172" s="19" t="n">
        <f aca="false">H172+'1 Inputs'!$B$25</f>
        <v>190</v>
      </c>
      <c r="J172" s="0" t="str">
        <f aca="false">IF(E172=0,"",IFERROR(INDEX($T$5:$T$40,MATCH(I172,$T$5:$T$40,1)+IF(INDEX($T$5:$T$40,MATCH(I172,$T$5:$T$40,1))=I172,0,1)),$T$5))</f>
        <v/>
      </c>
      <c r="K172" s="0" t="str">
        <f aca="false">IF(J172="","",J172+'1 Inputs'!$B$26)</f>
        <v/>
      </c>
      <c r="U172" s="0" t="n">
        <v>168</v>
      </c>
      <c r="V172" s="19" t="n">
        <f aca="false">IF(OR(AND((MOD(U172-1,52)+1)&gt;='1 Inputs'!$B$45,(MOD(U172-1,52)+1)&lt;='1 Inputs'!$C$45),AND((MOD(U172-1,52)+1)&gt;='1 Inputs'!$B$46,(MOD(U172-1,52)+1)&lt;='1 Inputs'!$C$46)),1,0)</f>
        <v>0</v>
      </c>
      <c r="W172" s="19" t="n">
        <f aca="false">W171+1-V172</f>
        <v>147</v>
      </c>
    </row>
    <row r="173" customFormat="false" ht="15" hidden="false" customHeight="false" outlineLevel="0" collapsed="false">
      <c r="A173" s="0" t="n">
        <v>169</v>
      </c>
      <c r="B173" s="0" t="n">
        <f aca="false">MOD(A173-1,52)+1</f>
        <v>13</v>
      </c>
      <c r="C173" s="0" t="n">
        <f aca="false">IF(OR(AND(B173&gt;='1 Inputs'!$B$45,B173&lt;='1 Inputs'!$C$45),AND(B173&gt;='1 Inputs'!$B$46,B173&lt;='1 Inputs'!$C$46)),1,0)</f>
        <v>0</v>
      </c>
      <c r="D173" s="13" t="n">
        <f aca="false">D172-E172</f>
        <v>0</v>
      </c>
      <c r="E173" s="13" t="n">
        <f aca="false">IF(A173&lt;'1 Inputs'!$B$21,0,IF(C173=1,0,MIN('1 Inputs'!$B$15,D173)))</f>
        <v>0</v>
      </c>
      <c r="F173" s="13" t="n">
        <f aca="false">E173*'1 Inputs'!$B$7*'1 Inputs'!$B$8*'1 Inputs'!$B$9*'1 Inputs'!$B$10</f>
        <v>0</v>
      </c>
      <c r="G173" s="12" t="n">
        <f aca="false">F173*'1 Inputs'!$B$11</f>
        <v>0</v>
      </c>
      <c r="H173" s="19" t="n">
        <f aca="false">A173+'1 Inputs'!$B$22+'1 Inputs'!$B$23+'1 Inputs'!$B$24</f>
        <v>189</v>
      </c>
      <c r="I173" s="19" t="n">
        <f aca="false">H173+'1 Inputs'!$B$25</f>
        <v>191</v>
      </c>
      <c r="J173" s="0" t="str">
        <f aca="false">IF(E173=0,"",IFERROR(INDEX($T$5:$T$40,MATCH(I173,$T$5:$T$40,1)+IF(INDEX($T$5:$T$40,MATCH(I173,$T$5:$T$40,1))=I173,0,1)),$T$5))</f>
        <v/>
      </c>
      <c r="K173" s="0" t="str">
        <f aca="false">IF(J173="","",J173+'1 Inputs'!$B$26)</f>
        <v/>
      </c>
      <c r="U173" s="0" t="n">
        <v>169</v>
      </c>
      <c r="V173" s="19" t="n">
        <f aca="false">IF(OR(AND((MOD(U173-1,52)+1)&gt;='1 Inputs'!$B$45,(MOD(U173-1,52)+1)&lt;='1 Inputs'!$C$45),AND((MOD(U173-1,52)+1)&gt;='1 Inputs'!$B$46,(MOD(U173-1,52)+1)&lt;='1 Inputs'!$C$46)),1,0)</f>
        <v>0</v>
      </c>
      <c r="W173" s="19" t="n">
        <f aca="false">W172+1-V173</f>
        <v>148</v>
      </c>
    </row>
    <row r="174" customFormat="false" ht="15" hidden="false" customHeight="false" outlineLevel="0" collapsed="false">
      <c r="A174" s="0" t="n">
        <v>170</v>
      </c>
      <c r="B174" s="0" t="n">
        <f aca="false">MOD(A174-1,52)+1</f>
        <v>14</v>
      </c>
      <c r="C174" s="0" t="n">
        <f aca="false">IF(OR(AND(B174&gt;='1 Inputs'!$B$45,B174&lt;='1 Inputs'!$C$45),AND(B174&gt;='1 Inputs'!$B$46,B174&lt;='1 Inputs'!$C$46)),1,0)</f>
        <v>0</v>
      </c>
      <c r="D174" s="13" t="n">
        <f aca="false">D173-E173</f>
        <v>0</v>
      </c>
      <c r="E174" s="13" t="n">
        <f aca="false">IF(A174&lt;'1 Inputs'!$B$21,0,IF(C174=1,0,MIN('1 Inputs'!$B$15,D174)))</f>
        <v>0</v>
      </c>
      <c r="F174" s="13" t="n">
        <f aca="false">E174*'1 Inputs'!$B$7*'1 Inputs'!$B$8*'1 Inputs'!$B$9*'1 Inputs'!$B$10</f>
        <v>0</v>
      </c>
      <c r="G174" s="12" t="n">
        <f aca="false">F174*'1 Inputs'!$B$11</f>
        <v>0</v>
      </c>
      <c r="H174" s="19" t="n">
        <f aca="false">A174+'1 Inputs'!$B$22+'1 Inputs'!$B$23+'1 Inputs'!$B$24</f>
        <v>190</v>
      </c>
      <c r="I174" s="19" t="n">
        <f aca="false">H174+'1 Inputs'!$B$25</f>
        <v>192</v>
      </c>
      <c r="J174" s="0" t="str">
        <f aca="false">IF(E174=0,"",IFERROR(INDEX($T$5:$T$40,MATCH(I174,$T$5:$T$40,1)+IF(INDEX($T$5:$T$40,MATCH(I174,$T$5:$T$40,1))=I174,0,1)),$T$5))</f>
        <v/>
      </c>
      <c r="K174" s="0" t="str">
        <f aca="false">IF(J174="","",J174+'1 Inputs'!$B$26)</f>
        <v/>
      </c>
      <c r="U174" s="0" t="n">
        <v>170</v>
      </c>
      <c r="V174" s="19" t="n">
        <f aca="false">IF(OR(AND((MOD(U174-1,52)+1)&gt;='1 Inputs'!$B$45,(MOD(U174-1,52)+1)&lt;='1 Inputs'!$C$45),AND((MOD(U174-1,52)+1)&gt;='1 Inputs'!$B$46,(MOD(U174-1,52)+1)&lt;='1 Inputs'!$C$46)),1,0)</f>
        <v>0</v>
      </c>
      <c r="W174" s="19" t="n">
        <f aca="false">W173+1-V174</f>
        <v>149</v>
      </c>
    </row>
    <row r="175" customFormat="false" ht="15" hidden="false" customHeight="false" outlineLevel="0" collapsed="false">
      <c r="A175" s="0" t="n">
        <v>171</v>
      </c>
      <c r="B175" s="0" t="n">
        <f aca="false">MOD(A175-1,52)+1</f>
        <v>15</v>
      </c>
      <c r="C175" s="0" t="n">
        <f aca="false">IF(OR(AND(B175&gt;='1 Inputs'!$B$45,B175&lt;='1 Inputs'!$C$45),AND(B175&gt;='1 Inputs'!$B$46,B175&lt;='1 Inputs'!$C$46)),1,0)</f>
        <v>0</v>
      </c>
      <c r="D175" s="13" t="n">
        <f aca="false">D174-E174</f>
        <v>0</v>
      </c>
      <c r="E175" s="13" t="n">
        <f aca="false">IF(A175&lt;'1 Inputs'!$B$21,0,IF(C175=1,0,MIN('1 Inputs'!$B$15,D175)))</f>
        <v>0</v>
      </c>
      <c r="F175" s="13" t="n">
        <f aca="false">E175*'1 Inputs'!$B$7*'1 Inputs'!$B$8*'1 Inputs'!$B$9*'1 Inputs'!$B$10</f>
        <v>0</v>
      </c>
      <c r="G175" s="12" t="n">
        <f aca="false">F175*'1 Inputs'!$B$11</f>
        <v>0</v>
      </c>
      <c r="H175" s="19" t="n">
        <f aca="false">A175+'1 Inputs'!$B$22+'1 Inputs'!$B$23+'1 Inputs'!$B$24</f>
        <v>191</v>
      </c>
      <c r="I175" s="19" t="n">
        <f aca="false">H175+'1 Inputs'!$B$25</f>
        <v>193</v>
      </c>
      <c r="J175" s="0" t="str">
        <f aca="false">IF(E175=0,"",IFERROR(INDEX($T$5:$T$40,MATCH(I175,$T$5:$T$40,1)+IF(INDEX($T$5:$T$40,MATCH(I175,$T$5:$T$40,1))=I175,0,1)),$T$5))</f>
        <v/>
      </c>
      <c r="K175" s="0" t="str">
        <f aca="false">IF(J175="","",J175+'1 Inputs'!$B$26)</f>
        <v/>
      </c>
      <c r="U175" s="0" t="n">
        <v>171</v>
      </c>
      <c r="V175" s="19" t="n">
        <f aca="false">IF(OR(AND((MOD(U175-1,52)+1)&gt;='1 Inputs'!$B$45,(MOD(U175-1,52)+1)&lt;='1 Inputs'!$C$45),AND((MOD(U175-1,52)+1)&gt;='1 Inputs'!$B$46,(MOD(U175-1,52)+1)&lt;='1 Inputs'!$C$46)),1,0)</f>
        <v>0</v>
      </c>
      <c r="W175" s="19" t="n">
        <f aca="false">W174+1-V175</f>
        <v>150</v>
      </c>
    </row>
    <row r="176" customFormat="false" ht="15" hidden="false" customHeight="false" outlineLevel="0" collapsed="false">
      <c r="A176" s="0" t="n">
        <v>172</v>
      </c>
      <c r="B176" s="0" t="n">
        <f aca="false">MOD(A176-1,52)+1</f>
        <v>16</v>
      </c>
      <c r="C176" s="0" t="n">
        <f aca="false">IF(OR(AND(B176&gt;='1 Inputs'!$B$45,B176&lt;='1 Inputs'!$C$45),AND(B176&gt;='1 Inputs'!$B$46,B176&lt;='1 Inputs'!$C$46)),1,0)</f>
        <v>0</v>
      </c>
      <c r="D176" s="13" t="n">
        <f aca="false">D175-E175</f>
        <v>0</v>
      </c>
      <c r="E176" s="13" t="n">
        <f aca="false">IF(A176&lt;'1 Inputs'!$B$21,0,IF(C176=1,0,MIN('1 Inputs'!$B$15,D176)))</f>
        <v>0</v>
      </c>
      <c r="F176" s="13" t="n">
        <f aca="false">E176*'1 Inputs'!$B$7*'1 Inputs'!$B$8*'1 Inputs'!$B$9*'1 Inputs'!$B$10</f>
        <v>0</v>
      </c>
      <c r="G176" s="12" t="n">
        <f aca="false">F176*'1 Inputs'!$B$11</f>
        <v>0</v>
      </c>
      <c r="H176" s="19" t="n">
        <f aca="false">A176+'1 Inputs'!$B$22+'1 Inputs'!$B$23+'1 Inputs'!$B$24</f>
        <v>192</v>
      </c>
      <c r="I176" s="19" t="n">
        <f aca="false">H176+'1 Inputs'!$B$25</f>
        <v>194</v>
      </c>
      <c r="J176" s="0" t="str">
        <f aca="false">IF(E176=0,"",IFERROR(INDEX($T$5:$T$40,MATCH(I176,$T$5:$T$40,1)+IF(INDEX($T$5:$T$40,MATCH(I176,$T$5:$T$40,1))=I176,0,1)),$T$5))</f>
        <v/>
      </c>
      <c r="K176" s="0" t="str">
        <f aca="false">IF(J176="","",J176+'1 Inputs'!$B$26)</f>
        <v/>
      </c>
      <c r="U176" s="0" t="n">
        <v>172</v>
      </c>
      <c r="V176" s="19" t="n">
        <f aca="false">IF(OR(AND((MOD(U176-1,52)+1)&gt;='1 Inputs'!$B$45,(MOD(U176-1,52)+1)&lt;='1 Inputs'!$C$45),AND((MOD(U176-1,52)+1)&gt;='1 Inputs'!$B$46,(MOD(U176-1,52)+1)&lt;='1 Inputs'!$C$46)),1,0)</f>
        <v>0</v>
      </c>
      <c r="W176" s="19" t="n">
        <f aca="false">W175+1-V176</f>
        <v>151</v>
      </c>
    </row>
    <row r="177" customFormat="false" ht="15" hidden="false" customHeight="false" outlineLevel="0" collapsed="false">
      <c r="A177" s="0" t="n">
        <v>173</v>
      </c>
      <c r="B177" s="0" t="n">
        <f aca="false">MOD(A177-1,52)+1</f>
        <v>17</v>
      </c>
      <c r="C177" s="0" t="n">
        <f aca="false">IF(OR(AND(B177&gt;='1 Inputs'!$B$45,B177&lt;='1 Inputs'!$C$45),AND(B177&gt;='1 Inputs'!$B$46,B177&lt;='1 Inputs'!$C$46)),1,0)</f>
        <v>0</v>
      </c>
      <c r="D177" s="13" t="n">
        <f aca="false">D176-E176</f>
        <v>0</v>
      </c>
      <c r="E177" s="13" t="n">
        <f aca="false">IF(A177&lt;'1 Inputs'!$B$21,0,IF(C177=1,0,MIN('1 Inputs'!$B$15,D177)))</f>
        <v>0</v>
      </c>
      <c r="F177" s="13" t="n">
        <f aca="false">E177*'1 Inputs'!$B$7*'1 Inputs'!$B$8*'1 Inputs'!$B$9*'1 Inputs'!$B$10</f>
        <v>0</v>
      </c>
      <c r="G177" s="12" t="n">
        <f aca="false">F177*'1 Inputs'!$B$11</f>
        <v>0</v>
      </c>
      <c r="H177" s="19" t="n">
        <f aca="false">A177+'1 Inputs'!$B$22+'1 Inputs'!$B$23+'1 Inputs'!$B$24</f>
        <v>193</v>
      </c>
      <c r="I177" s="19" t="n">
        <f aca="false">H177+'1 Inputs'!$B$25</f>
        <v>195</v>
      </c>
      <c r="J177" s="0" t="str">
        <f aca="false">IF(E177=0,"",IFERROR(INDEX($T$5:$T$40,MATCH(I177,$T$5:$T$40,1)+IF(INDEX($T$5:$T$40,MATCH(I177,$T$5:$T$40,1))=I177,0,1)),$T$5))</f>
        <v/>
      </c>
      <c r="K177" s="0" t="str">
        <f aca="false">IF(J177="","",J177+'1 Inputs'!$B$26)</f>
        <v/>
      </c>
      <c r="U177" s="0" t="n">
        <v>173</v>
      </c>
      <c r="V177" s="19" t="n">
        <f aca="false">IF(OR(AND((MOD(U177-1,52)+1)&gt;='1 Inputs'!$B$45,(MOD(U177-1,52)+1)&lt;='1 Inputs'!$C$45),AND((MOD(U177-1,52)+1)&gt;='1 Inputs'!$B$46,(MOD(U177-1,52)+1)&lt;='1 Inputs'!$C$46)),1,0)</f>
        <v>0</v>
      </c>
      <c r="W177" s="19" t="n">
        <f aca="false">W176+1-V177</f>
        <v>152</v>
      </c>
    </row>
    <row r="178" customFormat="false" ht="15" hidden="false" customHeight="false" outlineLevel="0" collapsed="false">
      <c r="A178" s="0" t="n">
        <v>174</v>
      </c>
      <c r="B178" s="0" t="n">
        <f aca="false">MOD(A178-1,52)+1</f>
        <v>18</v>
      </c>
      <c r="C178" s="0" t="n">
        <f aca="false">IF(OR(AND(B178&gt;='1 Inputs'!$B$45,B178&lt;='1 Inputs'!$C$45),AND(B178&gt;='1 Inputs'!$B$46,B178&lt;='1 Inputs'!$C$46)),1,0)</f>
        <v>0</v>
      </c>
      <c r="D178" s="13" t="n">
        <f aca="false">D177-E177</f>
        <v>0</v>
      </c>
      <c r="E178" s="13" t="n">
        <f aca="false">IF(A178&lt;'1 Inputs'!$B$21,0,IF(C178=1,0,MIN('1 Inputs'!$B$15,D178)))</f>
        <v>0</v>
      </c>
      <c r="F178" s="13" t="n">
        <f aca="false">E178*'1 Inputs'!$B$7*'1 Inputs'!$B$8*'1 Inputs'!$B$9*'1 Inputs'!$B$10</f>
        <v>0</v>
      </c>
      <c r="G178" s="12" t="n">
        <f aca="false">F178*'1 Inputs'!$B$11</f>
        <v>0</v>
      </c>
      <c r="H178" s="19" t="n">
        <f aca="false">A178+'1 Inputs'!$B$22+'1 Inputs'!$B$23+'1 Inputs'!$B$24</f>
        <v>194</v>
      </c>
      <c r="I178" s="19" t="n">
        <f aca="false">H178+'1 Inputs'!$B$25</f>
        <v>196</v>
      </c>
      <c r="J178" s="0" t="str">
        <f aca="false">IF(E178=0,"",IFERROR(INDEX($T$5:$T$40,MATCH(I178,$T$5:$T$40,1)+IF(INDEX($T$5:$T$40,MATCH(I178,$T$5:$T$40,1))=I178,0,1)),$T$5))</f>
        <v/>
      </c>
      <c r="K178" s="0" t="str">
        <f aca="false">IF(J178="","",J178+'1 Inputs'!$B$26)</f>
        <v/>
      </c>
      <c r="U178" s="0" t="n">
        <v>174</v>
      </c>
      <c r="V178" s="19" t="n">
        <f aca="false">IF(OR(AND((MOD(U178-1,52)+1)&gt;='1 Inputs'!$B$45,(MOD(U178-1,52)+1)&lt;='1 Inputs'!$C$45),AND((MOD(U178-1,52)+1)&gt;='1 Inputs'!$B$46,(MOD(U178-1,52)+1)&lt;='1 Inputs'!$C$46)),1,0)</f>
        <v>0</v>
      </c>
      <c r="W178" s="19" t="n">
        <f aca="false">W177+1-V178</f>
        <v>153</v>
      </c>
    </row>
    <row r="179" customFormat="false" ht="15" hidden="false" customHeight="false" outlineLevel="0" collapsed="false">
      <c r="A179" s="0" t="n">
        <v>175</v>
      </c>
      <c r="B179" s="0" t="n">
        <f aca="false">MOD(A179-1,52)+1</f>
        <v>19</v>
      </c>
      <c r="C179" s="0" t="n">
        <f aca="false">IF(OR(AND(B179&gt;='1 Inputs'!$B$45,B179&lt;='1 Inputs'!$C$45),AND(B179&gt;='1 Inputs'!$B$46,B179&lt;='1 Inputs'!$C$46)),1,0)</f>
        <v>0</v>
      </c>
      <c r="D179" s="13" t="n">
        <f aca="false">D178-E178</f>
        <v>0</v>
      </c>
      <c r="E179" s="13" t="n">
        <f aca="false">IF(A179&lt;'1 Inputs'!$B$21,0,IF(C179=1,0,MIN('1 Inputs'!$B$15,D179)))</f>
        <v>0</v>
      </c>
      <c r="F179" s="13" t="n">
        <f aca="false">E179*'1 Inputs'!$B$7*'1 Inputs'!$B$8*'1 Inputs'!$B$9*'1 Inputs'!$B$10</f>
        <v>0</v>
      </c>
      <c r="G179" s="12" t="n">
        <f aca="false">F179*'1 Inputs'!$B$11</f>
        <v>0</v>
      </c>
      <c r="H179" s="19" t="n">
        <f aca="false">A179+'1 Inputs'!$B$22+'1 Inputs'!$B$23+'1 Inputs'!$B$24</f>
        <v>195</v>
      </c>
      <c r="I179" s="19" t="n">
        <f aca="false">H179+'1 Inputs'!$B$25</f>
        <v>197</v>
      </c>
      <c r="J179" s="0" t="str">
        <f aca="false">IF(E179=0,"",IFERROR(INDEX($T$5:$T$40,MATCH(I179,$T$5:$T$40,1)+IF(INDEX($T$5:$T$40,MATCH(I179,$T$5:$T$40,1))=I179,0,1)),$T$5))</f>
        <v/>
      </c>
      <c r="K179" s="0" t="str">
        <f aca="false">IF(J179="","",J179+'1 Inputs'!$B$26)</f>
        <v/>
      </c>
      <c r="U179" s="0" t="n">
        <v>175</v>
      </c>
      <c r="V179" s="19" t="n">
        <f aca="false">IF(OR(AND((MOD(U179-1,52)+1)&gt;='1 Inputs'!$B$45,(MOD(U179-1,52)+1)&lt;='1 Inputs'!$C$45),AND((MOD(U179-1,52)+1)&gt;='1 Inputs'!$B$46,(MOD(U179-1,52)+1)&lt;='1 Inputs'!$C$46)),1,0)</f>
        <v>0</v>
      </c>
      <c r="W179" s="19" t="n">
        <f aca="false">W178+1-V179</f>
        <v>154</v>
      </c>
    </row>
    <row r="180" customFormat="false" ht="15" hidden="false" customHeight="false" outlineLevel="0" collapsed="false">
      <c r="A180" s="0" t="n">
        <v>176</v>
      </c>
      <c r="B180" s="0" t="n">
        <f aca="false">MOD(A180-1,52)+1</f>
        <v>20</v>
      </c>
      <c r="C180" s="0" t="n">
        <f aca="false">IF(OR(AND(B180&gt;='1 Inputs'!$B$45,B180&lt;='1 Inputs'!$C$45),AND(B180&gt;='1 Inputs'!$B$46,B180&lt;='1 Inputs'!$C$46)),1,0)</f>
        <v>0</v>
      </c>
      <c r="D180" s="13" t="n">
        <f aca="false">D179-E179</f>
        <v>0</v>
      </c>
      <c r="E180" s="13" t="n">
        <f aca="false">IF(A180&lt;'1 Inputs'!$B$21,0,IF(C180=1,0,MIN('1 Inputs'!$B$15,D180)))</f>
        <v>0</v>
      </c>
      <c r="F180" s="13" t="n">
        <f aca="false">E180*'1 Inputs'!$B$7*'1 Inputs'!$B$8*'1 Inputs'!$B$9*'1 Inputs'!$B$10</f>
        <v>0</v>
      </c>
      <c r="G180" s="12" t="n">
        <f aca="false">F180*'1 Inputs'!$B$11</f>
        <v>0</v>
      </c>
      <c r="H180" s="19" t="n">
        <f aca="false">A180+'1 Inputs'!$B$22+'1 Inputs'!$B$23+'1 Inputs'!$B$24</f>
        <v>196</v>
      </c>
      <c r="I180" s="19" t="n">
        <f aca="false">H180+'1 Inputs'!$B$25</f>
        <v>198</v>
      </c>
      <c r="J180" s="0" t="str">
        <f aca="false">IF(E180=0,"",IFERROR(INDEX($T$5:$T$40,MATCH(I180,$T$5:$T$40,1)+IF(INDEX($T$5:$T$40,MATCH(I180,$T$5:$T$40,1))=I180,0,1)),$T$5))</f>
        <v/>
      </c>
      <c r="K180" s="0" t="str">
        <f aca="false">IF(J180="","",J180+'1 Inputs'!$B$26)</f>
        <v/>
      </c>
      <c r="U180" s="0" t="n">
        <v>176</v>
      </c>
      <c r="V180" s="19" t="n">
        <f aca="false">IF(OR(AND((MOD(U180-1,52)+1)&gt;='1 Inputs'!$B$45,(MOD(U180-1,52)+1)&lt;='1 Inputs'!$C$45),AND((MOD(U180-1,52)+1)&gt;='1 Inputs'!$B$46,(MOD(U180-1,52)+1)&lt;='1 Inputs'!$C$46)),1,0)</f>
        <v>0</v>
      </c>
      <c r="W180" s="19" t="n">
        <f aca="false">W179+1-V180</f>
        <v>155</v>
      </c>
    </row>
    <row r="181" customFormat="false" ht="15" hidden="false" customHeight="false" outlineLevel="0" collapsed="false">
      <c r="A181" s="0" t="n">
        <v>177</v>
      </c>
      <c r="B181" s="0" t="n">
        <f aca="false">MOD(A181-1,52)+1</f>
        <v>21</v>
      </c>
      <c r="C181" s="0" t="n">
        <f aca="false">IF(OR(AND(B181&gt;='1 Inputs'!$B$45,B181&lt;='1 Inputs'!$C$45),AND(B181&gt;='1 Inputs'!$B$46,B181&lt;='1 Inputs'!$C$46)),1,0)</f>
        <v>0</v>
      </c>
      <c r="D181" s="13" t="n">
        <f aca="false">D180-E180</f>
        <v>0</v>
      </c>
      <c r="E181" s="13" t="n">
        <f aca="false">IF(A181&lt;'1 Inputs'!$B$21,0,IF(C181=1,0,MIN('1 Inputs'!$B$15,D181)))</f>
        <v>0</v>
      </c>
      <c r="F181" s="13" t="n">
        <f aca="false">E181*'1 Inputs'!$B$7*'1 Inputs'!$B$8*'1 Inputs'!$B$9*'1 Inputs'!$B$10</f>
        <v>0</v>
      </c>
      <c r="G181" s="12" t="n">
        <f aca="false">F181*'1 Inputs'!$B$11</f>
        <v>0</v>
      </c>
      <c r="H181" s="19" t="n">
        <f aca="false">A181+'1 Inputs'!$B$22+'1 Inputs'!$B$23+'1 Inputs'!$B$24</f>
        <v>197</v>
      </c>
      <c r="I181" s="19" t="n">
        <f aca="false">H181+'1 Inputs'!$B$25</f>
        <v>199</v>
      </c>
      <c r="J181" s="0" t="str">
        <f aca="false">IF(E181=0,"",IFERROR(INDEX($T$5:$T$40,MATCH(I181,$T$5:$T$40,1)+IF(INDEX($T$5:$T$40,MATCH(I181,$T$5:$T$40,1))=I181,0,1)),$T$5))</f>
        <v/>
      </c>
      <c r="K181" s="0" t="str">
        <f aca="false">IF(J181="","",J181+'1 Inputs'!$B$26)</f>
        <v/>
      </c>
      <c r="U181" s="0" t="n">
        <v>177</v>
      </c>
      <c r="V181" s="19" t="n">
        <f aca="false">IF(OR(AND((MOD(U181-1,52)+1)&gt;='1 Inputs'!$B$45,(MOD(U181-1,52)+1)&lt;='1 Inputs'!$C$45),AND((MOD(U181-1,52)+1)&gt;='1 Inputs'!$B$46,(MOD(U181-1,52)+1)&lt;='1 Inputs'!$C$46)),1,0)</f>
        <v>0</v>
      </c>
      <c r="W181" s="19" t="n">
        <f aca="false">W180+1-V181</f>
        <v>156</v>
      </c>
    </row>
    <row r="182" customFormat="false" ht="15" hidden="false" customHeight="false" outlineLevel="0" collapsed="false">
      <c r="A182" s="0" t="n">
        <v>178</v>
      </c>
      <c r="B182" s="0" t="n">
        <f aca="false">MOD(A182-1,52)+1</f>
        <v>22</v>
      </c>
      <c r="C182" s="0" t="n">
        <f aca="false">IF(OR(AND(B182&gt;='1 Inputs'!$B$45,B182&lt;='1 Inputs'!$C$45),AND(B182&gt;='1 Inputs'!$B$46,B182&lt;='1 Inputs'!$C$46)),1,0)</f>
        <v>0</v>
      </c>
      <c r="D182" s="13" t="n">
        <f aca="false">D181-E181</f>
        <v>0</v>
      </c>
      <c r="E182" s="13" t="n">
        <f aca="false">IF(A182&lt;'1 Inputs'!$B$21,0,IF(C182=1,0,MIN('1 Inputs'!$B$15,D182)))</f>
        <v>0</v>
      </c>
      <c r="F182" s="13" t="n">
        <f aca="false">E182*'1 Inputs'!$B$7*'1 Inputs'!$B$8*'1 Inputs'!$B$9*'1 Inputs'!$B$10</f>
        <v>0</v>
      </c>
      <c r="G182" s="12" t="n">
        <f aca="false">F182*'1 Inputs'!$B$11</f>
        <v>0</v>
      </c>
      <c r="H182" s="19" t="n">
        <f aca="false">A182+'1 Inputs'!$B$22+'1 Inputs'!$B$23+'1 Inputs'!$B$24</f>
        <v>198</v>
      </c>
      <c r="I182" s="19" t="n">
        <f aca="false">H182+'1 Inputs'!$B$25</f>
        <v>200</v>
      </c>
      <c r="J182" s="0" t="str">
        <f aca="false">IF(E182=0,"",IFERROR(INDEX($T$5:$T$40,MATCH(I182,$T$5:$T$40,1)+IF(INDEX($T$5:$T$40,MATCH(I182,$T$5:$T$40,1))=I182,0,1)),$T$5))</f>
        <v/>
      </c>
      <c r="K182" s="0" t="str">
        <f aca="false">IF(J182="","",J182+'1 Inputs'!$B$26)</f>
        <v/>
      </c>
      <c r="U182" s="0" t="n">
        <v>178</v>
      </c>
      <c r="V182" s="19" t="n">
        <f aca="false">IF(OR(AND((MOD(U182-1,52)+1)&gt;='1 Inputs'!$B$45,(MOD(U182-1,52)+1)&lt;='1 Inputs'!$C$45),AND((MOD(U182-1,52)+1)&gt;='1 Inputs'!$B$46,(MOD(U182-1,52)+1)&lt;='1 Inputs'!$C$46)),1,0)</f>
        <v>0</v>
      </c>
      <c r="W182" s="19" t="n">
        <f aca="false">W181+1-V182</f>
        <v>157</v>
      </c>
    </row>
    <row r="183" customFormat="false" ht="15" hidden="false" customHeight="false" outlineLevel="0" collapsed="false">
      <c r="A183" s="0" t="n">
        <v>179</v>
      </c>
      <c r="B183" s="0" t="n">
        <f aca="false">MOD(A183-1,52)+1</f>
        <v>23</v>
      </c>
      <c r="C183" s="0" t="n">
        <f aca="false">IF(OR(AND(B183&gt;='1 Inputs'!$B$45,B183&lt;='1 Inputs'!$C$45),AND(B183&gt;='1 Inputs'!$B$46,B183&lt;='1 Inputs'!$C$46)),1,0)</f>
        <v>0</v>
      </c>
      <c r="D183" s="13" t="n">
        <f aca="false">D182-E182</f>
        <v>0</v>
      </c>
      <c r="E183" s="13" t="n">
        <f aca="false">IF(A183&lt;'1 Inputs'!$B$21,0,IF(C183=1,0,MIN('1 Inputs'!$B$15,D183)))</f>
        <v>0</v>
      </c>
      <c r="F183" s="13" t="n">
        <f aca="false">E183*'1 Inputs'!$B$7*'1 Inputs'!$B$8*'1 Inputs'!$B$9*'1 Inputs'!$B$10</f>
        <v>0</v>
      </c>
      <c r="G183" s="12" t="n">
        <f aca="false">F183*'1 Inputs'!$B$11</f>
        <v>0</v>
      </c>
      <c r="H183" s="19" t="n">
        <f aca="false">A183+'1 Inputs'!$B$22+'1 Inputs'!$B$23+'1 Inputs'!$B$24</f>
        <v>199</v>
      </c>
      <c r="I183" s="19" t="n">
        <f aca="false">H183+'1 Inputs'!$B$25</f>
        <v>201</v>
      </c>
      <c r="J183" s="0" t="str">
        <f aca="false">IF(E183=0,"",IFERROR(INDEX($T$5:$T$40,MATCH(I183,$T$5:$T$40,1)+IF(INDEX($T$5:$T$40,MATCH(I183,$T$5:$T$40,1))=I183,0,1)),$T$5))</f>
        <v/>
      </c>
      <c r="K183" s="0" t="str">
        <f aca="false">IF(J183="","",J183+'1 Inputs'!$B$26)</f>
        <v/>
      </c>
      <c r="U183" s="0" t="n">
        <v>179</v>
      </c>
      <c r="V183" s="19" t="n">
        <f aca="false">IF(OR(AND((MOD(U183-1,52)+1)&gt;='1 Inputs'!$B$45,(MOD(U183-1,52)+1)&lt;='1 Inputs'!$C$45),AND((MOD(U183-1,52)+1)&gt;='1 Inputs'!$B$46,(MOD(U183-1,52)+1)&lt;='1 Inputs'!$C$46)),1,0)</f>
        <v>0</v>
      </c>
      <c r="W183" s="19" t="n">
        <f aca="false">W182+1-V183</f>
        <v>158</v>
      </c>
    </row>
    <row r="184" customFormat="false" ht="15" hidden="false" customHeight="false" outlineLevel="0" collapsed="false">
      <c r="A184" s="0" t="n">
        <v>180</v>
      </c>
      <c r="B184" s="0" t="n">
        <f aca="false">MOD(A184-1,52)+1</f>
        <v>24</v>
      </c>
      <c r="C184" s="0" t="n">
        <f aca="false">IF(OR(AND(B184&gt;='1 Inputs'!$B$45,B184&lt;='1 Inputs'!$C$45),AND(B184&gt;='1 Inputs'!$B$46,B184&lt;='1 Inputs'!$C$46)),1,0)</f>
        <v>0</v>
      </c>
      <c r="D184" s="13" t="n">
        <f aca="false">D183-E183</f>
        <v>0</v>
      </c>
      <c r="E184" s="13" t="n">
        <f aca="false">IF(A184&lt;'1 Inputs'!$B$21,0,IF(C184=1,0,MIN('1 Inputs'!$B$15,D184)))</f>
        <v>0</v>
      </c>
      <c r="F184" s="13" t="n">
        <f aca="false">E184*'1 Inputs'!$B$7*'1 Inputs'!$B$8*'1 Inputs'!$B$9*'1 Inputs'!$B$10</f>
        <v>0</v>
      </c>
      <c r="G184" s="12" t="n">
        <f aca="false">F184*'1 Inputs'!$B$11</f>
        <v>0</v>
      </c>
      <c r="H184" s="19" t="n">
        <f aca="false">A184+'1 Inputs'!$B$22+'1 Inputs'!$B$23+'1 Inputs'!$B$24</f>
        <v>200</v>
      </c>
      <c r="I184" s="19" t="n">
        <f aca="false">H184+'1 Inputs'!$B$25</f>
        <v>202</v>
      </c>
      <c r="J184" s="0" t="str">
        <f aca="false">IF(E184=0,"",IFERROR(INDEX($T$5:$T$40,MATCH(I184,$T$5:$T$40,1)+IF(INDEX($T$5:$T$40,MATCH(I184,$T$5:$T$40,1))=I184,0,1)),$T$5))</f>
        <v/>
      </c>
      <c r="K184" s="0" t="str">
        <f aca="false">IF(J184="","",J184+'1 Inputs'!$B$26)</f>
        <v/>
      </c>
      <c r="U184" s="0" t="n">
        <v>180</v>
      </c>
      <c r="V184" s="19" t="n">
        <f aca="false">IF(OR(AND((MOD(U184-1,52)+1)&gt;='1 Inputs'!$B$45,(MOD(U184-1,52)+1)&lt;='1 Inputs'!$C$45),AND((MOD(U184-1,52)+1)&gt;='1 Inputs'!$B$46,(MOD(U184-1,52)+1)&lt;='1 Inputs'!$C$46)),1,0)</f>
        <v>0</v>
      </c>
      <c r="W184" s="19" t="n">
        <f aca="false">W183+1-V184</f>
        <v>159</v>
      </c>
    </row>
    <row r="185" customFormat="false" ht="15" hidden="false" customHeight="false" outlineLevel="0" collapsed="false">
      <c r="A185" s="0" t="n">
        <v>181</v>
      </c>
      <c r="B185" s="0" t="n">
        <f aca="false">MOD(A185-1,52)+1</f>
        <v>25</v>
      </c>
      <c r="C185" s="0" t="n">
        <f aca="false">IF(OR(AND(B185&gt;='1 Inputs'!$B$45,B185&lt;='1 Inputs'!$C$45),AND(B185&gt;='1 Inputs'!$B$46,B185&lt;='1 Inputs'!$C$46)),1,0)</f>
        <v>0</v>
      </c>
      <c r="D185" s="13" t="n">
        <f aca="false">D184-E184</f>
        <v>0</v>
      </c>
      <c r="E185" s="13" t="n">
        <f aca="false">IF(A185&lt;'1 Inputs'!$B$21,0,IF(C185=1,0,MIN('1 Inputs'!$B$15,D185)))</f>
        <v>0</v>
      </c>
      <c r="F185" s="13" t="n">
        <f aca="false">E185*'1 Inputs'!$B$7*'1 Inputs'!$B$8*'1 Inputs'!$B$9*'1 Inputs'!$B$10</f>
        <v>0</v>
      </c>
      <c r="G185" s="12" t="n">
        <f aca="false">F185*'1 Inputs'!$B$11</f>
        <v>0</v>
      </c>
      <c r="H185" s="19" t="n">
        <f aca="false">A185+'1 Inputs'!$B$22+'1 Inputs'!$B$23+'1 Inputs'!$B$24</f>
        <v>201</v>
      </c>
      <c r="I185" s="19" t="n">
        <f aca="false">H185+'1 Inputs'!$B$25</f>
        <v>203</v>
      </c>
      <c r="J185" s="0" t="str">
        <f aca="false">IF(E185=0,"",IFERROR(INDEX($T$5:$T$40,MATCH(I185,$T$5:$T$40,1)+IF(INDEX($T$5:$T$40,MATCH(I185,$T$5:$T$40,1))=I185,0,1)),$T$5))</f>
        <v/>
      </c>
      <c r="K185" s="0" t="str">
        <f aca="false">IF(J185="","",J185+'1 Inputs'!$B$26)</f>
        <v/>
      </c>
      <c r="U185" s="0" t="n">
        <v>181</v>
      </c>
      <c r="V185" s="19" t="n">
        <f aca="false">IF(OR(AND((MOD(U185-1,52)+1)&gt;='1 Inputs'!$B$45,(MOD(U185-1,52)+1)&lt;='1 Inputs'!$C$45),AND((MOD(U185-1,52)+1)&gt;='1 Inputs'!$B$46,(MOD(U185-1,52)+1)&lt;='1 Inputs'!$C$46)),1,0)</f>
        <v>0</v>
      </c>
      <c r="W185" s="19" t="n">
        <f aca="false">W184+1-V185</f>
        <v>160</v>
      </c>
    </row>
    <row r="186" customFormat="false" ht="15" hidden="false" customHeight="false" outlineLevel="0" collapsed="false">
      <c r="A186" s="0" t="n">
        <v>182</v>
      </c>
      <c r="B186" s="0" t="n">
        <f aca="false">MOD(A186-1,52)+1</f>
        <v>26</v>
      </c>
      <c r="C186" s="0" t="n">
        <f aca="false">IF(OR(AND(B186&gt;='1 Inputs'!$B$45,B186&lt;='1 Inputs'!$C$45),AND(B186&gt;='1 Inputs'!$B$46,B186&lt;='1 Inputs'!$C$46)),1,0)</f>
        <v>0</v>
      </c>
      <c r="D186" s="13" t="n">
        <f aca="false">D185-E185</f>
        <v>0</v>
      </c>
      <c r="E186" s="13" t="n">
        <f aca="false">IF(A186&lt;'1 Inputs'!$B$21,0,IF(C186=1,0,MIN('1 Inputs'!$B$15,D186)))</f>
        <v>0</v>
      </c>
      <c r="F186" s="13" t="n">
        <f aca="false">E186*'1 Inputs'!$B$7*'1 Inputs'!$B$8*'1 Inputs'!$B$9*'1 Inputs'!$B$10</f>
        <v>0</v>
      </c>
      <c r="G186" s="12" t="n">
        <f aca="false">F186*'1 Inputs'!$B$11</f>
        <v>0</v>
      </c>
      <c r="H186" s="19" t="n">
        <f aca="false">A186+'1 Inputs'!$B$22+'1 Inputs'!$B$23+'1 Inputs'!$B$24</f>
        <v>202</v>
      </c>
      <c r="I186" s="19" t="n">
        <f aca="false">H186+'1 Inputs'!$B$25</f>
        <v>204</v>
      </c>
      <c r="J186" s="0" t="str">
        <f aca="false">IF(E186=0,"",IFERROR(INDEX($T$5:$T$40,MATCH(I186,$T$5:$T$40,1)+IF(INDEX($T$5:$T$40,MATCH(I186,$T$5:$T$40,1))=I186,0,1)),$T$5))</f>
        <v/>
      </c>
      <c r="K186" s="0" t="str">
        <f aca="false">IF(J186="","",J186+'1 Inputs'!$B$26)</f>
        <v/>
      </c>
      <c r="U186" s="0" t="n">
        <v>182</v>
      </c>
      <c r="V186" s="19" t="n">
        <f aca="false">IF(OR(AND((MOD(U186-1,52)+1)&gt;='1 Inputs'!$B$45,(MOD(U186-1,52)+1)&lt;='1 Inputs'!$C$45),AND((MOD(U186-1,52)+1)&gt;='1 Inputs'!$B$46,(MOD(U186-1,52)+1)&lt;='1 Inputs'!$C$46)),1,0)</f>
        <v>0</v>
      </c>
      <c r="W186" s="19" t="n">
        <f aca="false">W185+1-V186</f>
        <v>161</v>
      </c>
    </row>
    <row r="187" customFormat="false" ht="15" hidden="false" customHeight="false" outlineLevel="0" collapsed="false">
      <c r="A187" s="0" t="n">
        <v>183</v>
      </c>
      <c r="B187" s="0" t="n">
        <f aca="false">MOD(A187-1,52)+1</f>
        <v>27</v>
      </c>
      <c r="C187" s="0" t="n">
        <f aca="false">IF(OR(AND(B187&gt;='1 Inputs'!$B$45,B187&lt;='1 Inputs'!$C$45),AND(B187&gt;='1 Inputs'!$B$46,B187&lt;='1 Inputs'!$C$46)),1,0)</f>
        <v>0</v>
      </c>
      <c r="D187" s="13" t="n">
        <f aca="false">D186-E186</f>
        <v>0</v>
      </c>
      <c r="E187" s="13" t="n">
        <f aca="false">IF(A187&lt;'1 Inputs'!$B$21,0,IF(C187=1,0,MIN('1 Inputs'!$B$15,D187)))</f>
        <v>0</v>
      </c>
      <c r="F187" s="13" t="n">
        <f aca="false">E187*'1 Inputs'!$B$7*'1 Inputs'!$B$8*'1 Inputs'!$B$9*'1 Inputs'!$B$10</f>
        <v>0</v>
      </c>
      <c r="G187" s="12" t="n">
        <f aca="false">F187*'1 Inputs'!$B$11</f>
        <v>0</v>
      </c>
      <c r="H187" s="19" t="n">
        <f aca="false">A187+'1 Inputs'!$B$22+'1 Inputs'!$B$23+'1 Inputs'!$B$24</f>
        <v>203</v>
      </c>
      <c r="I187" s="19" t="n">
        <f aca="false">H187+'1 Inputs'!$B$25</f>
        <v>205</v>
      </c>
      <c r="J187" s="0" t="str">
        <f aca="false">IF(E187=0,"",IFERROR(INDEX($T$5:$T$40,MATCH(I187,$T$5:$T$40,1)+IF(INDEX($T$5:$T$40,MATCH(I187,$T$5:$T$40,1))=I187,0,1)),$T$5))</f>
        <v/>
      </c>
      <c r="K187" s="0" t="str">
        <f aca="false">IF(J187="","",J187+'1 Inputs'!$B$26)</f>
        <v/>
      </c>
      <c r="U187" s="0" t="n">
        <v>183</v>
      </c>
      <c r="V187" s="19" t="n">
        <f aca="false">IF(OR(AND((MOD(U187-1,52)+1)&gt;='1 Inputs'!$B$45,(MOD(U187-1,52)+1)&lt;='1 Inputs'!$C$45),AND((MOD(U187-1,52)+1)&gt;='1 Inputs'!$B$46,(MOD(U187-1,52)+1)&lt;='1 Inputs'!$C$46)),1,0)</f>
        <v>0</v>
      </c>
      <c r="W187" s="19" t="n">
        <f aca="false">W186+1-V187</f>
        <v>162</v>
      </c>
    </row>
    <row r="188" customFormat="false" ht="15" hidden="false" customHeight="false" outlineLevel="0" collapsed="false">
      <c r="A188" s="0" t="n">
        <v>184</v>
      </c>
      <c r="B188" s="0" t="n">
        <f aca="false">MOD(A188-1,52)+1</f>
        <v>28</v>
      </c>
      <c r="C188" s="0" t="n">
        <f aca="false">IF(OR(AND(B188&gt;='1 Inputs'!$B$45,B188&lt;='1 Inputs'!$C$45),AND(B188&gt;='1 Inputs'!$B$46,B188&lt;='1 Inputs'!$C$46)),1,0)</f>
        <v>0</v>
      </c>
      <c r="D188" s="13" t="n">
        <f aca="false">D187-E187</f>
        <v>0</v>
      </c>
      <c r="E188" s="13" t="n">
        <f aca="false">IF(A188&lt;'1 Inputs'!$B$21,0,IF(C188=1,0,MIN('1 Inputs'!$B$15,D188)))</f>
        <v>0</v>
      </c>
      <c r="F188" s="13" t="n">
        <f aca="false">E188*'1 Inputs'!$B$7*'1 Inputs'!$B$8*'1 Inputs'!$B$9*'1 Inputs'!$B$10</f>
        <v>0</v>
      </c>
      <c r="G188" s="12" t="n">
        <f aca="false">F188*'1 Inputs'!$B$11</f>
        <v>0</v>
      </c>
      <c r="H188" s="19" t="n">
        <f aca="false">A188+'1 Inputs'!$B$22+'1 Inputs'!$B$23+'1 Inputs'!$B$24</f>
        <v>204</v>
      </c>
      <c r="I188" s="19" t="n">
        <f aca="false">H188+'1 Inputs'!$B$25</f>
        <v>206</v>
      </c>
      <c r="J188" s="0" t="str">
        <f aca="false">IF(E188=0,"",IFERROR(INDEX($T$5:$T$40,MATCH(I188,$T$5:$T$40,1)+IF(INDEX($T$5:$T$40,MATCH(I188,$T$5:$T$40,1))=I188,0,1)),$T$5))</f>
        <v/>
      </c>
      <c r="K188" s="0" t="str">
        <f aca="false">IF(J188="","",J188+'1 Inputs'!$B$26)</f>
        <v/>
      </c>
      <c r="U188" s="0" t="n">
        <v>184</v>
      </c>
      <c r="V188" s="19" t="n">
        <f aca="false">IF(OR(AND((MOD(U188-1,52)+1)&gt;='1 Inputs'!$B$45,(MOD(U188-1,52)+1)&lt;='1 Inputs'!$C$45),AND((MOD(U188-1,52)+1)&gt;='1 Inputs'!$B$46,(MOD(U188-1,52)+1)&lt;='1 Inputs'!$C$46)),1,0)</f>
        <v>0</v>
      </c>
      <c r="W188" s="19" t="n">
        <f aca="false">W187+1-V188</f>
        <v>163</v>
      </c>
    </row>
    <row r="189" customFormat="false" ht="15" hidden="false" customHeight="false" outlineLevel="0" collapsed="false">
      <c r="A189" s="0" t="n">
        <v>185</v>
      </c>
      <c r="B189" s="0" t="n">
        <f aca="false">MOD(A189-1,52)+1</f>
        <v>29</v>
      </c>
      <c r="C189" s="0" t="n">
        <f aca="false">IF(OR(AND(B189&gt;='1 Inputs'!$B$45,B189&lt;='1 Inputs'!$C$45),AND(B189&gt;='1 Inputs'!$B$46,B189&lt;='1 Inputs'!$C$46)),1,0)</f>
        <v>0</v>
      </c>
      <c r="D189" s="13" t="n">
        <f aca="false">D188-E188</f>
        <v>0</v>
      </c>
      <c r="E189" s="13" t="n">
        <f aca="false">IF(A189&lt;'1 Inputs'!$B$21,0,IF(C189=1,0,MIN('1 Inputs'!$B$15,D189)))</f>
        <v>0</v>
      </c>
      <c r="F189" s="13" t="n">
        <f aca="false">E189*'1 Inputs'!$B$7*'1 Inputs'!$B$8*'1 Inputs'!$B$9*'1 Inputs'!$B$10</f>
        <v>0</v>
      </c>
      <c r="G189" s="12" t="n">
        <f aca="false">F189*'1 Inputs'!$B$11</f>
        <v>0</v>
      </c>
      <c r="H189" s="19" t="n">
        <f aca="false">A189+'1 Inputs'!$B$22+'1 Inputs'!$B$23+'1 Inputs'!$B$24</f>
        <v>205</v>
      </c>
      <c r="I189" s="19" t="n">
        <f aca="false">H189+'1 Inputs'!$B$25</f>
        <v>207</v>
      </c>
      <c r="J189" s="0" t="str">
        <f aca="false">IF(E189=0,"",IFERROR(INDEX($T$5:$T$40,MATCH(I189,$T$5:$T$40,1)+IF(INDEX($T$5:$T$40,MATCH(I189,$T$5:$T$40,1))=I189,0,1)),$T$5))</f>
        <v/>
      </c>
      <c r="K189" s="0" t="str">
        <f aca="false">IF(J189="","",J189+'1 Inputs'!$B$26)</f>
        <v/>
      </c>
      <c r="U189" s="0" t="n">
        <v>185</v>
      </c>
      <c r="V189" s="19" t="n">
        <f aca="false">IF(OR(AND((MOD(U189-1,52)+1)&gt;='1 Inputs'!$B$45,(MOD(U189-1,52)+1)&lt;='1 Inputs'!$C$45),AND((MOD(U189-1,52)+1)&gt;='1 Inputs'!$B$46,(MOD(U189-1,52)+1)&lt;='1 Inputs'!$C$46)),1,0)</f>
        <v>0</v>
      </c>
      <c r="W189" s="19" t="n">
        <f aca="false">W188+1-V189</f>
        <v>164</v>
      </c>
    </row>
    <row r="190" customFormat="false" ht="15" hidden="false" customHeight="false" outlineLevel="0" collapsed="false">
      <c r="A190" s="0" t="n">
        <v>186</v>
      </c>
      <c r="B190" s="0" t="n">
        <f aca="false">MOD(A190-1,52)+1</f>
        <v>30</v>
      </c>
      <c r="C190" s="0" t="n">
        <f aca="false">IF(OR(AND(B190&gt;='1 Inputs'!$B$45,B190&lt;='1 Inputs'!$C$45),AND(B190&gt;='1 Inputs'!$B$46,B190&lt;='1 Inputs'!$C$46)),1,0)</f>
        <v>0</v>
      </c>
      <c r="D190" s="13" t="n">
        <f aca="false">D189-E189</f>
        <v>0</v>
      </c>
      <c r="E190" s="13" t="n">
        <f aca="false">IF(A190&lt;'1 Inputs'!$B$21,0,IF(C190=1,0,MIN('1 Inputs'!$B$15,D190)))</f>
        <v>0</v>
      </c>
      <c r="F190" s="13" t="n">
        <f aca="false">E190*'1 Inputs'!$B$7*'1 Inputs'!$B$8*'1 Inputs'!$B$9*'1 Inputs'!$B$10</f>
        <v>0</v>
      </c>
      <c r="G190" s="12" t="n">
        <f aca="false">F190*'1 Inputs'!$B$11</f>
        <v>0</v>
      </c>
      <c r="H190" s="19" t="n">
        <f aca="false">A190+'1 Inputs'!$B$22+'1 Inputs'!$B$23+'1 Inputs'!$B$24</f>
        <v>206</v>
      </c>
      <c r="I190" s="19" t="n">
        <f aca="false">H190+'1 Inputs'!$B$25</f>
        <v>208</v>
      </c>
      <c r="J190" s="0" t="str">
        <f aca="false">IF(E190=0,"",IFERROR(INDEX($T$5:$T$40,MATCH(I190,$T$5:$T$40,1)+IF(INDEX($T$5:$T$40,MATCH(I190,$T$5:$T$40,1))=I190,0,1)),$T$5))</f>
        <v/>
      </c>
      <c r="K190" s="0" t="str">
        <f aca="false">IF(J190="","",J190+'1 Inputs'!$B$26)</f>
        <v/>
      </c>
      <c r="U190" s="0" t="n">
        <v>186</v>
      </c>
      <c r="V190" s="19" t="n">
        <f aca="false">IF(OR(AND((MOD(U190-1,52)+1)&gt;='1 Inputs'!$B$45,(MOD(U190-1,52)+1)&lt;='1 Inputs'!$C$45),AND((MOD(U190-1,52)+1)&gt;='1 Inputs'!$B$46,(MOD(U190-1,52)+1)&lt;='1 Inputs'!$C$46)),1,0)</f>
        <v>0</v>
      </c>
      <c r="W190" s="19" t="n">
        <f aca="false">W189+1-V190</f>
        <v>165</v>
      </c>
    </row>
    <row r="191" customFormat="false" ht="15" hidden="false" customHeight="false" outlineLevel="0" collapsed="false">
      <c r="A191" s="0" t="n">
        <v>187</v>
      </c>
      <c r="B191" s="0" t="n">
        <f aca="false">MOD(A191-1,52)+1</f>
        <v>31</v>
      </c>
      <c r="C191" s="0" t="n">
        <f aca="false">IF(OR(AND(B191&gt;='1 Inputs'!$B$45,B191&lt;='1 Inputs'!$C$45),AND(B191&gt;='1 Inputs'!$B$46,B191&lt;='1 Inputs'!$C$46)),1,0)</f>
        <v>1</v>
      </c>
      <c r="D191" s="13" t="n">
        <f aca="false">D190-E190</f>
        <v>0</v>
      </c>
      <c r="E191" s="13" t="n">
        <f aca="false">IF(A191&lt;'1 Inputs'!$B$21,0,IF(C191=1,0,MIN('1 Inputs'!$B$15,D191)))</f>
        <v>0</v>
      </c>
      <c r="F191" s="13" t="n">
        <f aca="false">E191*'1 Inputs'!$B$7*'1 Inputs'!$B$8*'1 Inputs'!$B$9*'1 Inputs'!$B$10</f>
        <v>0</v>
      </c>
      <c r="G191" s="12" t="n">
        <f aca="false">F191*'1 Inputs'!$B$11</f>
        <v>0</v>
      </c>
      <c r="H191" s="19" t="n">
        <f aca="false">A191+'1 Inputs'!$B$22+'1 Inputs'!$B$23+'1 Inputs'!$B$24</f>
        <v>207</v>
      </c>
      <c r="I191" s="19" t="n">
        <f aca="false">H191+'1 Inputs'!$B$25</f>
        <v>209</v>
      </c>
      <c r="J191" s="0" t="str">
        <f aca="false">IF(E191=0,"",IFERROR(INDEX($T$5:$T$40,MATCH(I191,$T$5:$T$40,1)+IF(INDEX($T$5:$T$40,MATCH(I191,$T$5:$T$40,1))=I191,0,1)),$T$5))</f>
        <v/>
      </c>
      <c r="K191" s="0" t="str">
        <f aca="false">IF(J191="","",J191+'1 Inputs'!$B$26)</f>
        <v/>
      </c>
      <c r="U191" s="0" t="n">
        <v>187</v>
      </c>
      <c r="V191" s="19" t="n">
        <f aca="false">IF(OR(AND((MOD(U191-1,52)+1)&gt;='1 Inputs'!$B$45,(MOD(U191-1,52)+1)&lt;='1 Inputs'!$C$45),AND((MOD(U191-1,52)+1)&gt;='1 Inputs'!$B$46,(MOD(U191-1,52)+1)&lt;='1 Inputs'!$C$46)),1,0)</f>
        <v>1</v>
      </c>
      <c r="W191" s="19" t="n">
        <f aca="false">W190+1-V191</f>
        <v>165</v>
      </c>
    </row>
    <row r="192" customFormat="false" ht="15" hidden="false" customHeight="false" outlineLevel="0" collapsed="false">
      <c r="A192" s="0" t="n">
        <v>188</v>
      </c>
      <c r="B192" s="0" t="n">
        <f aca="false">MOD(A192-1,52)+1</f>
        <v>32</v>
      </c>
      <c r="C192" s="0" t="n">
        <f aca="false">IF(OR(AND(B192&gt;='1 Inputs'!$B$45,B192&lt;='1 Inputs'!$C$45),AND(B192&gt;='1 Inputs'!$B$46,B192&lt;='1 Inputs'!$C$46)),1,0)</f>
        <v>1</v>
      </c>
      <c r="D192" s="13" t="n">
        <f aca="false">D191-E191</f>
        <v>0</v>
      </c>
      <c r="E192" s="13" t="n">
        <f aca="false">IF(A192&lt;'1 Inputs'!$B$21,0,IF(C192=1,0,MIN('1 Inputs'!$B$15,D192)))</f>
        <v>0</v>
      </c>
      <c r="F192" s="13" t="n">
        <f aca="false">E192*'1 Inputs'!$B$7*'1 Inputs'!$B$8*'1 Inputs'!$B$9*'1 Inputs'!$B$10</f>
        <v>0</v>
      </c>
      <c r="G192" s="12" t="n">
        <f aca="false">F192*'1 Inputs'!$B$11</f>
        <v>0</v>
      </c>
      <c r="H192" s="19" t="n">
        <f aca="false">A192+'1 Inputs'!$B$22+'1 Inputs'!$B$23+'1 Inputs'!$B$24</f>
        <v>208</v>
      </c>
      <c r="I192" s="19" t="n">
        <f aca="false">H192+'1 Inputs'!$B$25</f>
        <v>210</v>
      </c>
      <c r="J192" s="0" t="str">
        <f aca="false">IF(E192=0,"",IFERROR(INDEX($T$5:$T$40,MATCH(I192,$T$5:$T$40,1)+IF(INDEX($T$5:$T$40,MATCH(I192,$T$5:$T$40,1))=I192,0,1)),$T$5))</f>
        <v/>
      </c>
      <c r="K192" s="0" t="str">
        <f aca="false">IF(J192="","",J192+'1 Inputs'!$B$26)</f>
        <v/>
      </c>
      <c r="U192" s="0" t="n">
        <v>188</v>
      </c>
      <c r="V192" s="19" t="n">
        <f aca="false">IF(OR(AND((MOD(U192-1,52)+1)&gt;='1 Inputs'!$B$45,(MOD(U192-1,52)+1)&lt;='1 Inputs'!$C$45),AND((MOD(U192-1,52)+1)&gt;='1 Inputs'!$B$46,(MOD(U192-1,52)+1)&lt;='1 Inputs'!$C$46)),1,0)</f>
        <v>1</v>
      </c>
      <c r="W192" s="19" t="n">
        <f aca="false">W191+1-V192</f>
        <v>165</v>
      </c>
    </row>
    <row r="193" customFormat="false" ht="15" hidden="false" customHeight="false" outlineLevel="0" collapsed="false">
      <c r="A193" s="0" t="n">
        <v>189</v>
      </c>
      <c r="B193" s="0" t="n">
        <f aca="false">MOD(A193-1,52)+1</f>
        <v>33</v>
      </c>
      <c r="C193" s="0" t="n">
        <f aca="false">IF(OR(AND(B193&gt;='1 Inputs'!$B$45,B193&lt;='1 Inputs'!$C$45),AND(B193&gt;='1 Inputs'!$B$46,B193&lt;='1 Inputs'!$C$46)),1,0)</f>
        <v>1</v>
      </c>
      <c r="D193" s="13" t="n">
        <f aca="false">D192-E192</f>
        <v>0</v>
      </c>
      <c r="E193" s="13" t="n">
        <f aca="false">IF(A193&lt;'1 Inputs'!$B$21,0,IF(C193=1,0,MIN('1 Inputs'!$B$15,D193)))</f>
        <v>0</v>
      </c>
      <c r="F193" s="13" t="n">
        <f aca="false">E193*'1 Inputs'!$B$7*'1 Inputs'!$B$8*'1 Inputs'!$B$9*'1 Inputs'!$B$10</f>
        <v>0</v>
      </c>
      <c r="G193" s="12" t="n">
        <f aca="false">F193*'1 Inputs'!$B$11</f>
        <v>0</v>
      </c>
      <c r="H193" s="19" t="n">
        <f aca="false">A193+'1 Inputs'!$B$22+'1 Inputs'!$B$23+'1 Inputs'!$B$24</f>
        <v>209</v>
      </c>
      <c r="I193" s="19" t="n">
        <f aca="false">H193+'1 Inputs'!$B$25</f>
        <v>211</v>
      </c>
      <c r="J193" s="0" t="str">
        <f aca="false">IF(E193=0,"",IFERROR(INDEX($T$5:$T$40,MATCH(I193,$T$5:$T$40,1)+IF(INDEX($T$5:$T$40,MATCH(I193,$T$5:$T$40,1))=I193,0,1)),$T$5))</f>
        <v/>
      </c>
      <c r="K193" s="0" t="str">
        <f aca="false">IF(J193="","",J193+'1 Inputs'!$B$26)</f>
        <v/>
      </c>
      <c r="U193" s="0" t="n">
        <v>189</v>
      </c>
      <c r="V193" s="19" t="n">
        <f aca="false">IF(OR(AND((MOD(U193-1,52)+1)&gt;='1 Inputs'!$B$45,(MOD(U193-1,52)+1)&lt;='1 Inputs'!$C$45),AND((MOD(U193-1,52)+1)&gt;='1 Inputs'!$B$46,(MOD(U193-1,52)+1)&lt;='1 Inputs'!$C$46)),1,0)</f>
        <v>1</v>
      </c>
      <c r="W193" s="19" t="n">
        <f aca="false">W192+1-V193</f>
        <v>165</v>
      </c>
    </row>
    <row r="194" customFormat="false" ht="15" hidden="false" customHeight="false" outlineLevel="0" collapsed="false">
      <c r="A194" s="0" t="n">
        <v>190</v>
      </c>
      <c r="B194" s="0" t="n">
        <f aca="false">MOD(A194-1,52)+1</f>
        <v>34</v>
      </c>
      <c r="C194" s="0" t="n">
        <f aca="false">IF(OR(AND(B194&gt;='1 Inputs'!$B$45,B194&lt;='1 Inputs'!$C$45),AND(B194&gt;='1 Inputs'!$B$46,B194&lt;='1 Inputs'!$C$46)),1,0)</f>
        <v>1</v>
      </c>
      <c r="D194" s="13" t="n">
        <f aca="false">D193-E193</f>
        <v>0</v>
      </c>
      <c r="E194" s="13" t="n">
        <f aca="false">IF(A194&lt;'1 Inputs'!$B$21,0,IF(C194=1,0,MIN('1 Inputs'!$B$15,D194)))</f>
        <v>0</v>
      </c>
      <c r="F194" s="13" t="n">
        <f aca="false">E194*'1 Inputs'!$B$7*'1 Inputs'!$B$8*'1 Inputs'!$B$9*'1 Inputs'!$B$10</f>
        <v>0</v>
      </c>
      <c r="G194" s="12" t="n">
        <f aca="false">F194*'1 Inputs'!$B$11</f>
        <v>0</v>
      </c>
      <c r="H194" s="19" t="n">
        <f aca="false">A194+'1 Inputs'!$B$22+'1 Inputs'!$B$23+'1 Inputs'!$B$24</f>
        <v>210</v>
      </c>
      <c r="I194" s="19" t="n">
        <f aca="false">H194+'1 Inputs'!$B$25</f>
        <v>212</v>
      </c>
      <c r="J194" s="0" t="str">
        <f aca="false">IF(E194=0,"",IFERROR(INDEX($T$5:$T$40,MATCH(I194,$T$5:$T$40,1)+IF(INDEX($T$5:$T$40,MATCH(I194,$T$5:$T$40,1))=I194,0,1)),$T$5))</f>
        <v/>
      </c>
      <c r="K194" s="0" t="str">
        <f aca="false">IF(J194="","",J194+'1 Inputs'!$B$26)</f>
        <v/>
      </c>
      <c r="U194" s="0" t="n">
        <v>190</v>
      </c>
      <c r="V194" s="19" t="n">
        <f aca="false">IF(OR(AND((MOD(U194-1,52)+1)&gt;='1 Inputs'!$B$45,(MOD(U194-1,52)+1)&lt;='1 Inputs'!$C$45),AND((MOD(U194-1,52)+1)&gt;='1 Inputs'!$B$46,(MOD(U194-1,52)+1)&lt;='1 Inputs'!$C$46)),1,0)</f>
        <v>1</v>
      </c>
      <c r="W194" s="19" t="n">
        <f aca="false">W193+1-V194</f>
        <v>165</v>
      </c>
    </row>
    <row r="195" customFormat="false" ht="15" hidden="false" customHeight="false" outlineLevel="0" collapsed="false">
      <c r="A195" s="0" t="n">
        <v>191</v>
      </c>
      <c r="B195" s="0" t="n">
        <f aca="false">MOD(A195-1,52)+1</f>
        <v>35</v>
      </c>
      <c r="C195" s="0" t="n">
        <f aca="false">IF(OR(AND(B195&gt;='1 Inputs'!$B$45,B195&lt;='1 Inputs'!$C$45),AND(B195&gt;='1 Inputs'!$B$46,B195&lt;='1 Inputs'!$C$46)),1,0)</f>
        <v>0</v>
      </c>
      <c r="D195" s="13" t="n">
        <f aca="false">D194-E194</f>
        <v>0</v>
      </c>
      <c r="E195" s="13" t="n">
        <f aca="false">IF(A195&lt;'1 Inputs'!$B$21,0,IF(C195=1,0,MIN('1 Inputs'!$B$15,D195)))</f>
        <v>0</v>
      </c>
      <c r="F195" s="13" t="n">
        <f aca="false">E195*'1 Inputs'!$B$7*'1 Inputs'!$B$8*'1 Inputs'!$B$9*'1 Inputs'!$B$10</f>
        <v>0</v>
      </c>
      <c r="G195" s="12" t="n">
        <f aca="false">F195*'1 Inputs'!$B$11</f>
        <v>0</v>
      </c>
      <c r="H195" s="19" t="n">
        <f aca="false">A195+'1 Inputs'!$B$22+'1 Inputs'!$B$23+'1 Inputs'!$B$24</f>
        <v>211</v>
      </c>
      <c r="I195" s="19" t="n">
        <f aca="false">H195+'1 Inputs'!$B$25</f>
        <v>213</v>
      </c>
      <c r="J195" s="0" t="str">
        <f aca="false">IF(E195=0,"",IFERROR(INDEX($T$5:$T$40,MATCH(I195,$T$5:$T$40,1)+IF(INDEX($T$5:$T$40,MATCH(I195,$T$5:$T$40,1))=I195,0,1)),$T$5))</f>
        <v/>
      </c>
      <c r="K195" s="0" t="str">
        <f aca="false">IF(J195="","",J195+'1 Inputs'!$B$26)</f>
        <v/>
      </c>
      <c r="U195" s="0" t="n">
        <v>191</v>
      </c>
      <c r="V195" s="19" t="n">
        <f aca="false">IF(OR(AND((MOD(U195-1,52)+1)&gt;='1 Inputs'!$B$45,(MOD(U195-1,52)+1)&lt;='1 Inputs'!$C$45),AND((MOD(U195-1,52)+1)&gt;='1 Inputs'!$B$46,(MOD(U195-1,52)+1)&lt;='1 Inputs'!$C$46)),1,0)</f>
        <v>0</v>
      </c>
      <c r="W195" s="19" t="n">
        <f aca="false">W194+1-V195</f>
        <v>166</v>
      </c>
    </row>
    <row r="196" customFormat="false" ht="15" hidden="false" customHeight="false" outlineLevel="0" collapsed="false">
      <c r="A196" s="0" t="n">
        <v>192</v>
      </c>
      <c r="B196" s="0" t="n">
        <f aca="false">MOD(A196-1,52)+1</f>
        <v>36</v>
      </c>
      <c r="C196" s="0" t="n">
        <f aca="false">IF(OR(AND(B196&gt;='1 Inputs'!$B$45,B196&lt;='1 Inputs'!$C$45),AND(B196&gt;='1 Inputs'!$B$46,B196&lt;='1 Inputs'!$C$46)),1,0)</f>
        <v>0</v>
      </c>
      <c r="D196" s="13" t="n">
        <f aca="false">D195-E195</f>
        <v>0</v>
      </c>
      <c r="E196" s="13" t="n">
        <f aca="false">IF(A196&lt;'1 Inputs'!$B$21,0,IF(C196=1,0,MIN('1 Inputs'!$B$15,D196)))</f>
        <v>0</v>
      </c>
      <c r="F196" s="13" t="n">
        <f aca="false">E196*'1 Inputs'!$B$7*'1 Inputs'!$B$8*'1 Inputs'!$B$9*'1 Inputs'!$B$10</f>
        <v>0</v>
      </c>
      <c r="G196" s="12" t="n">
        <f aca="false">F196*'1 Inputs'!$B$11</f>
        <v>0</v>
      </c>
      <c r="H196" s="19" t="n">
        <f aca="false">A196+'1 Inputs'!$B$22+'1 Inputs'!$B$23+'1 Inputs'!$B$24</f>
        <v>212</v>
      </c>
      <c r="I196" s="19" t="n">
        <f aca="false">H196+'1 Inputs'!$B$25</f>
        <v>214</v>
      </c>
      <c r="J196" s="0" t="str">
        <f aca="false">IF(E196=0,"",IFERROR(INDEX($T$5:$T$40,MATCH(I196,$T$5:$T$40,1)+IF(INDEX($T$5:$T$40,MATCH(I196,$T$5:$T$40,1))=I196,0,1)),$T$5))</f>
        <v/>
      </c>
      <c r="K196" s="0" t="str">
        <f aca="false">IF(J196="","",J196+'1 Inputs'!$B$26)</f>
        <v/>
      </c>
      <c r="U196" s="0" t="n">
        <v>192</v>
      </c>
      <c r="V196" s="19" t="n">
        <f aca="false">IF(OR(AND((MOD(U196-1,52)+1)&gt;='1 Inputs'!$B$45,(MOD(U196-1,52)+1)&lt;='1 Inputs'!$C$45),AND((MOD(U196-1,52)+1)&gt;='1 Inputs'!$B$46,(MOD(U196-1,52)+1)&lt;='1 Inputs'!$C$46)),1,0)</f>
        <v>0</v>
      </c>
      <c r="W196" s="19" t="n">
        <f aca="false">W195+1-V196</f>
        <v>167</v>
      </c>
    </row>
    <row r="197" customFormat="false" ht="15" hidden="false" customHeight="false" outlineLevel="0" collapsed="false">
      <c r="A197" s="0" t="n">
        <v>193</v>
      </c>
      <c r="B197" s="0" t="n">
        <f aca="false">MOD(A197-1,52)+1</f>
        <v>37</v>
      </c>
      <c r="C197" s="0" t="n">
        <f aca="false">IF(OR(AND(B197&gt;='1 Inputs'!$B$45,B197&lt;='1 Inputs'!$C$45),AND(B197&gt;='1 Inputs'!$B$46,B197&lt;='1 Inputs'!$C$46)),1,0)</f>
        <v>0</v>
      </c>
      <c r="D197" s="13" t="n">
        <f aca="false">D196-E196</f>
        <v>0</v>
      </c>
      <c r="E197" s="13" t="n">
        <f aca="false">IF(A197&lt;'1 Inputs'!$B$21,0,IF(C197=1,0,MIN('1 Inputs'!$B$15,D197)))</f>
        <v>0</v>
      </c>
      <c r="F197" s="13" t="n">
        <f aca="false">E197*'1 Inputs'!$B$7*'1 Inputs'!$B$8*'1 Inputs'!$B$9*'1 Inputs'!$B$10</f>
        <v>0</v>
      </c>
      <c r="G197" s="12" t="n">
        <f aca="false">F197*'1 Inputs'!$B$11</f>
        <v>0</v>
      </c>
      <c r="H197" s="19" t="n">
        <f aca="false">A197+'1 Inputs'!$B$22+'1 Inputs'!$B$23+'1 Inputs'!$B$24</f>
        <v>213</v>
      </c>
      <c r="I197" s="19" t="n">
        <f aca="false">H197+'1 Inputs'!$B$25</f>
        <v>215</v>
      </c>
      <c r="J197" s="0" t="str">
        <f aca="false">IF(E197=0,"",IFERROR(INDEX($T$5:$T$40,MATCH(I197,$T$5:$T$40,1)+IF(INDEX($T$5:$T$40,MATCH(I197,$T$5:$T$40,1))=I197,0,1)),$T$5))</f>
        <v/>
      </c>
      <c r="K197" s="0" t="str">
        <f aca="false">IF(J197="","",J197+'1 Inputs'!$B$26)</f>
        <v/>
      </c>
      <c r="U197" s="0" t="n">
        <v>193</v>
      </c>
      <c r="V197" s="19" t="n">
        <f aca="false">IF(OR(AND((MOD(U197-1,52)+1)&gt;='1 Inputs'!$B$45,(MOD(U197-1,52)+1)&lt;='1 Inputs'!$C$45),AND((MOD(U197-1,52)+1)&gt;='1 Inputs'!$B$46,(MOD(U197-1,52)+1)&lt;='1 Inputs'!$C$46)),1,0)</f>
        <v>0</v>
      </c>
      <c r="W197" s="19" t="n">
        <f aca="false">W196+1-V197</f>
        <v>168</v>
      </c>
    </row>
    <row r="198" customFormat="false" ht="15" hidden="false" customHeight="false" outlineLevel="0" collapsed="false">
      <c r="A198" s="0" t="n">
        <v>194</v>
      </c>
      <c r="B198" s="0" t="n">
        <f aca="false">MOD(A198-1,52)+1</f>
        <v>38</v>
      </c>
      <c r="C198" s="0" t="n">
        <f aca="false">IF(OR(AND(B198&gt;='1 Inputs'!$B$45,B198&lt;='1 Inputs'!$C$45),AND(B198&gt;='1 Inputs'!$B$46,B198&lt;='1 Inputs'!$C$46)),1,0)</f>
        <v>0</v>
      </c>
      <c r="D198" s="13" t="n">
        <f aca="false">D197-E197</f>
        <v>0</v>
      </c>
      <c r="E198" s="13" t="n">
        <f aca="false">IF(A198&lt;'1 Inputs'!$B$21,0,IF(C198=1,0,MIN('1 Inputs'!$B$15,D198)))</f>
        <v>0</v>
      </c>
      <c r="F198" s="13" t="n">
        <f aca="false">E198*'1 Inputs'!$B$7*'1 Inputs'!$B$8*'1 Inputs'!$B$9*'1 Inputs'!$B$10</f>
        <v>0</v>
      </c>
      <c r="G198" s="12" t="n">
        <f aca="false">F198*'1 Inputs'!$B$11</f>
        <v>0</v>
      </c>
      <c r="H198" s="19" t="n">
        <f aca="false">A198+'1 Inputs'!$B$22+'1 Inputs'!$B$23+'1 Inputs'!$B$24</f>
        <v>214</v>
      </c>
      <c r="I198" s="19" t="n">
        <f aca="false">H198+'1 Inputs'!$B$25</f>
        <v>216</v>
      </c>
      <c r="J198" s="0" t="str">
        <f aca="false">IF(E198=0,"",IFERROR(INDEX($T$5:$T$40,MATCH(I198,$T$5:$T$40,1)+IF(INDEX($T$5:$T$40,MATCH(I198,$T$5:$T$40,1))=I198,0,1)),$T$5))</f>
        <v/>
      </c>
      <c r="K198" s="0" t="str">
        <f aca="false">IF(J198="","",J198+'1 Inputs'!$B$26)</f>
        <v/>
      </c>
      <c r="U198" s="0" t="n">
        <v>194</v>
      </c>
      <c r="V198" s="19" t="n">
        <f aca="false">IF(OR(AND((MOD(U198-1,52)+1)&gt;='1 Inputs'!$B$45,(MOD(U198-1,52)+1)&lt;='1 Inputs'!$C$45),AND((MOD(U198-1,52)+1)&gt;='1 Inputs'!$B$46,(MOD(U198-1,52)+1)&lt;='1 Inputs'!$C$46)),1,0)</f>
        <v>0</v>
      </c>
      <c r="W198" s="19" t="n">
        <f aca="false">W197+1-V198</f>
        <v>169</v>
      </c>
    </row>
    <row r="199" customFormat="false" ht="15" hidden="false" customHeight="false" outlineLevel="0" collapsed="false">
      <c r="A199" s="0" t="n">
        <v>195</v>
      </c>
      <c r="B199" s="0" t="n">
        <f aca="false">MOD(A199-1,52)+1</f>
        <v>39</v>
      </c>
      <c r="C199" s="0" t="n">
        <f aca="false">IF(OR(AND(B199&gt;='1 Inputs'!$B$45,B199&lt;='1 Inputs'!$C$45),AND(B199&gt;='1 Inputs'!$B$46,B199&lt;='1 Inputs'!$C$46)),1,0)</f>
        <v>0</v>
      </c>
      <c r="D199" s="13" t="n">
        <f aca="false">D198-E198</f>
        <v>0</v>
      </c>
      <c r="E199" s="13" t="n">
        <f aca="false">IF(A199&lt;'1 Inputs'!$B$21,0,IF(C199=1,0,MIN('1 Inputs'!$B$15,D199)))</f>
        <v>0</v>
      </c>
      <c r="F199" s="13" t="n">
        <f aca="false">E199*'1 Inputs'!$B$7*'1 Inputs'!$B$8*'1 Inputs'!$B$9*'1 Inputs'!$B$10</f>
        <v>0</v>
      </c>
      <c r="G199" s="12" t="n">
        <f aca="false">F199*'1 Inputs'!$B$11</f>
        <v>0</v>
      </c>
      <c r="H199" s="19" t="n">
        <f aca="false">A199+'1 Inputs'!$B$22+'1 Inputs'!$B$23+'1 Inputs'!$B$24</f>
        <v>215</v>
      </c>
      <c r="I199" s="19" t="n">
        <f aca="false">H199+'1 Inputs'!$B$25</f>
        <v>217</v>
      </c>
      <c r="J199" s="0" t="str">
        <f aca="false">IF(E199=0,"",IFERROR(INDEX($T$5:$T$40,MATCH(I199,$T$5:$T$40,1)+IF(INDEX($T$5:$T$40,MATCH(I199,$T$5:$T$40,1))=I199,0,1)),$T$5))</f>
        <v/>
      </c>
      <c r="K199" s="0" t="str">
        <f aca="false">IF(J199="","",J199+'1 Inputs'!$B$26)</f>
        <v/>
      </c>
      <c r="U199" s="0" t="n">
        <v>195</v>
      </c>
      <c r="V199" s="19" t="n">
        <f aca="false">IF(OR(AND((MOD(U199-1,52)+1)&gt;='1 Inputs'!$B$45,(MOD(U199-1,52)+1)&lt;='1 Inputs'!$C$45),AND((MOD(U199-1,52)+1)&gt;='1 Inputs'!$B$46,(MOD(U199-1,52)+1)&lt;='1 Inputs'!$C$46)),1,0)</f>
        <v>0</v>
      </c>
      <c r="W199" s="19" t="n">
        <f aca="false">W198+1-V199</f>
        <v>170</v>
      </c>
    </row>
    <row r="200" customFormat="false" ht="15" hidden="false" customHeight="false" outlineLevel="0" collapsed="false">
      <c r="A200" s="0" t="n">
        <v>196</v>
      </c>
      <c r="B200" s="0" t="n">
        <f aca="false">MOD(A200-1,52)+1</f>
        <v>40</v>
      </c>
      <c r="C200" s="0" t="n">
        <f aca="false">IF(OR(AND(B200&gt;='1 Inputs'!$B$45,B200&lt;='1 Inputs'!$C$45),AND(B200&gt;='1 Inputs'!$B$46,B200&lt;='1 Inputs'!$C$46)),1,0)</f>
        <v>0</v>
      </c>
      <c r="D200" s="13" t="n">
        <f aca="false">D199-E199</f>
        <v>0</v>
      </c>
      <c r="E200" s="13" t="n">
        <f aca="false">IF(A200&lt;'1 Inputs'!$B$21,0,IF(C200=1,0,MIN('1 Inputs'!$B$15,D200)))</f>
        <v>0</v>
      </c>
      <c r="F200" s="13" t="n">
        <f aca="false">E200*'1 Inputs'!$B$7*'1 Inputs'!$B$8*'1 Inputs'!$B$9*'1 Inputs'!$B$10</f>
        <v>0</v>
      </c>
      <c r="G200" s="12" t="n">
        <f aca="false">F200*'1 Inputs'!$B$11</f>
        <v>0</v>
      </c>
      <c r="H200" s="19" t="n">
        <f aca="false">A200+'1 Inputs'!$B$22+'1 Inputs'!$B$23+'1 Inputs'!$B$24</f>
        <v>216</v>
      </c>
      <c r="I200" s="19" t="n">
        <f aca="false">H200+'1 Inputs'!$B$25</f>
        <v>218</v>
      </c>
      <c r="J200" s="0" t="str">
        <f aca="false">IF(E200=0,"",IFERROR(INDEX($T$5:$T$40,MATCH(I200,$T$5:$T$40,1)+IF(INDEX($T$5:$T$40,MATCH(I200,$T$5:$T$40,1))=I200,0,1)),$T$5))</f>
        <v/>
      </c>
      <c r="K200" s="0" t="str">
        <f aca="false">IF(J200="","",J200+'1 Inputs'!$B$26)</f>
        <v/>
      </c>
      <c r="U200" s="0" t="n">
        <v>196</v>
      </c>
      <c r="V200" s="19" t="n">
        <f aca="false">IF(OR(AND((MOD(U200-1,52)+1)&gt;='1 Inputs'!$B$45,(MOD(U200-1,52)+1)&lt;='1 Inputs'!$C$45),AND((MOD(U200-1,52)+1)&gt;='1 Inputs'!$B$46,(MOD(U200-1,52)+1)&lt;='1 Inputs'!$C$46)),1,0)</f>
        <v>0</v>
      </c>
      <c r="W200" s="19" t="n">
        <f aca="false">W199+1-V200</f>
        <v>171</v>
      </c>
    </row>
    <row r="201" customFormat="false" ht="15" hidden="false" customHeight="false" outlineLevel="0" collapsed="false">
      <c r="A201" s="0" t="n">
        <v>197</v>
      </c>
      <c r="B201" s="0" t="n">
        <f aca="false">MOD(A201-1,52)+1</f>
        <v>41</v>
      </c>
      <c r="C201" s="0" t="n">
        <f aca="false">IF(OR(AND(B201&gt;='1 Inputs'!$B$45,B201&lt;='1 Inputs'!$C$45),AND(B201&gt;='1 Inputs'!$B$46,B201&lt;='1 Inputs'!$C$46)),1,0)</f>
        <v>0</v>
      </c>
      <c r="D201" s="13" t="n">
        <f aca="false">D200-E200</f>
        <v>0</v>
      </c>
      <c r="E201" s="13" t="n">
        <f aca="false">IF(A201&lt;'1 Inputs'!$B$21,0,IF(C201=1,0,MIN('1 Inputs'!$B$15,D201)))</f>
        <v>0</v>
      </c>
      <c r="F201" s="13" t="n">
        <f aca="false">E201*'1 Inputs'!$B$7*'1 Inputs'!$B$8*'1 Inputs'!$B$9*'1 Inputs'!$B$10</f>
        <v>0</v>
      </c>
      <c r="G201" s="12" t="n">
        <f aca="false">F201*'1 Inputs'!$B$11</f>
        <v>0</v>
      </c>
      <c r="H201" s="19" t="n">
        <f aca="false">A201+'1 Inputs'!$B$22+'1 Inputs'!$B$23+'1 Inputs'!$B$24</f>
        <v>217</v>
      </c>
      <c r="I201" s="19" t="n">
        <f aca="false">H201+'1 Inputs'!$B$25</f>
        <v>219</v>
      </c>
      <c r="J201" s="0" t="str">
        <f aca="false">IF(E201=0,"",IFERROR(INDEX($T$5:$T$40,MATCH(I201,$T$5:$T$40,1)+IF(INDEX($T$5:$T$40,MATCH(I201,$T$5:$T$40,1))=I201,0,1)),$T$5))</f>
        <v/>
      </c>
      <c r="K201" s="0" t="str">
        <f aca="false">IF(J201="","",J201+'1 Inputs'!$B$26)</f>
        <v/>
      </c>
      <c r="U201" s="0" t="n">
        <v>197</v>
      </c>
      <c r="V201" s="19" t="n">
        <f aca="false">IF(OR(AND((MOD(U201-1,52)+1)&gt;='1 Inputs'!$B$45,(MOD(U201-1,52)+1)&lt;='1 Inputs'!$C$45),AND((MOD(U201-1,52)+1)&gt;='1 Inputs'!$B$46,(MOD(U201-1,52)+1)&lt;='1 Inputs'!$C$46)),1,0)</f>
        <v>0</v>
      </c>
      <c r="W201" s="19" t="n">
        <f aca="false">W200+1-V201</f>
        <v>172</v>
      </c>
    </row>
    <row r="202" customFormat="false" ht="15" hidden="false" customHeight="false" outlineLevel="0" collapsed="false">
      <c r="A202" s="0" t="n">
        <v>198</v>
      </c>
      <c r="B202" s="0" t="n">
        <f aca="false">MOD(A202-1,52)+1</f>
        <v>42</v>
      </c>
      <c r="C202" s="0" t="n">
        <f aca="false">IF(OR(AND(B202&gt;='1 Inputs'!$B$45,B202&lt;='1 Inputs'!$C$45),AND(B202&gt;='1 Inputs'!$B$46,B202&lt;='1 Inputs'!$C$46)),1,0)</f>
        <v>0</v>
      </c>
      <c r="D202" s="13" t="n">
        <f aca="false">D201-E201</f>
        <v>0</v>
      </c>
      <c r="E202" s="13" t="n">
        <f aca="false">IF(A202&lt;'1 Inputs'!$B$21,0,IF(C202=1,0,MIN('1 Inputs'!$B$15,D202)))</f>
        <v>0</v>
      </c>
      <c r="F202" s="13" t="n">
        <f aca="false">E202*'1 Inputs'!$B$7*'1 Inputs'!$B$8*'1 Inputs'!$B$9*'1 Inputs'!$B$10</f>
        <v>0</v>
      </c>
      <c r="G202" s="12" t="n">
        <f aca="false">F202*'1 Inputs'!$B$11</f>
        <v>0</v>
      </c>
      <c r="H202" s="19" t="n">
        <f aca="false">A202+'1 Inputs'!$B$22+'1 Inputs'!$B$23+'1 Inputs'!$B$24</f>
        <v>218</v>
      </c>
      <c r="I202" s="19" t="n">
        <f aca="false">H202+'1 Inputs'!$B$25</f>
        <v>220</v>
      </c>
      <c r="J202" s="0" t="str">
        <f aca="false">IF(E202=0,"",IFERROR(INDEX($T$5:$T$40,MATCH(I202,$T$5:$T$40,1)+IF(INDEX($T$5:$T$40,MATCH(I202,$T$5:$T$40,1))=I202,0,1)),$T$5))</f>
        <v/>
      </c>
      <c r="K202" s="0" t="str">
        <f aca="false">IF(J202="","",J202+'1 Inputs'!$B$26)</f>
        <v/>
      </c>
      <c r="U202" s="0" t="n">
        <v>198</v>
      </c>
      <c r="V202" s="19" t="n">
        <f aca="false">IF(OR(AND((MOD(U202-1,52)+1)&gt;='1 Inputs'!$B$45,(MOD(U202-1,52)+1)&lt;='1 Inputs'!$C$45),AND((MOD(U202-1,52)+1)&gt;='1 Inputs'!$B$46,(MOD(U202-1,52)+1)&lt;='1 Inputs'!$C$46)),1,0)</f>
        <v>0</v>
      </c>
      <c r="W202" s="19" t="n">
        <f aca="false">W201+1-V202</f>
        <v>173</v>
      </c>
    </row>
    <row r="203" customFormat="false" ht="15" hidden="false" customHeight="false" outlineLevel="0" collapsed="false">
      <c r="A203" s="0" t="n">
        <v>199</v>
      </c>
      <c r="B203" s="0" t="n">
        <f aca="false">MOD(A203-1,52)+1</f>
        <v>43</v>
      </c>
      <c r="C203" s="0" t="n">
        <f aca="false">IF(OR(AND(B203&gt;='1 Inputs'!$B$45,B203&lt;='1 Inputs'!$C$45),AND(B203&gt;='1 Inputs'!$B$46,B203&lt;='1 Inputs'!$C$46)),1,0)</f>
        <v>0</v>
      </c>
      <c r="D203" s="13" t="n">
        <f aca="false">D202-E202</f>
        <v>0</v>
      </c>
      <c r="E203" s="13" t="n">
        <f aca="false">IF(A203&lt;'1 Inputs'!$B$21,0,IF(C203=1,0,MIN('1 Inputs'!$B$15,D203)))</f>
        <v>0</v>
      </c>
      <c r="F203" s="13" t="n">
        <f aca="false">E203*'1 Inputs'!$B$7*'1 Inputs'!$B$8*'1 Inputs'!$B$9*'1 Inputs'!$B$10</f>
        <v>0</v>
      </c>
      <c r="G203" s="12" t="n">
        <f aca="false">F203*'1 Inputs'!$B$11</f>
        <v>0</v>
      </c>
      <c r="H203" s="19" t="n">
        <f aca="false">A203+'1 Inputs'!$B$22+'1 Inputs'!$B$23+'1 Inputs'!$B$24</f>
        <v>219</v>
      </c>
      <c r="I203" s="19" t="n">
        <f aca="false">H203+'1 Inputs'!$B$25</f>
        <v>221</v>
      </c>
      <c r="J203" s="0" t="str">
        <f aca="false">IF(E203=0,"",IFERROR(INDEX($T$5:$T$40,MATCH(I203,$T$5:$T$40,1)+IF(INDEX($T$5:$T$40,MATCH(I203,$T$5:$T$40,1))=I203,0,1)),$T$5))</f>
        <v/>
      </c>
      <c r="K203" s="0" t="str">
        <f aca="false">IF(J203="","",J203+'1 Inputs'!$B$26)</f>
        <v/>
      </c>
      <c r="U203" s="0" t="n">
        <v>199</v>
      </c>
      <c r="V203" s="19" t="n">
        <f aca="false">IF(OR(AND((MOD(U203-1,52)+1)&gt;='1 Inputs'!$B$45,(MOD(U203-1,52)+1)&lt;='1 Inputs'!$C$45),AND((MOD(U203-1,52)+1)&gt;='1 Inputs'!$B$46,(MOD(U203-1,52)+1)&lt;='1 Inputs'!$C$46)),1,0)</f>
        <v>0</v>
      </c>
      <c r="W203" s="19" t="n">
        <f aca="false">W202+1-V203</f>
        <v>174</v>
      </c>
    </row>
    <row r="204" customFormat="false" ht="15" hidden="false" customHeight="false" outlineLevel="0" collapsed="false">
      <c r="A204" s="0" t="n">
        <v>200</v>
      </c>
      <c r="B204" s="0" t="n">
        <f aca="false">MOD(A204-1,52)+1</f>
        <v>44</v>
      </c>
      <c r="C204" s="0" t="n">
        <f aca="false">IF(OR(AND(B204&gt;='1 Inputs'!$B$45,B204&lt;='1 Inputs'!$C$45),AND(B204&gt;='1 Inputs'!$B$46,B204&lt;='1 Inputs'!$C$46)),1,0)</f>
        <v>0</v>
      </c>
      <c r="D204" s="13" t="n">
        <f aca="false">D203-E203</f>
        <v>0</v>
      </c>
      <c r="E204" s="13" t="n">
        <f aca="false">IF(A204&lt;'1 Inputs'!$B$21,0,IF(C204=1,0,MIN('1 Inputs'!$B$15,D204)))</f>
        <v>0</v>
      </c>
      <c r="F204" s="13" t="n">
        <f aca="false">E204*'1 Inputs'!$B$7*'1 Inputs'!$B$8*'1 Inputs'!$B$9*'1 Inputs'!$B$10</f>
        <v>0</v>
      </c>
      <c r="G204" s="12" t="n">
        <f aca="false">F204*'1 Inputs'!$B$11</f>
        <v>0</v>
      </c>
      <c r="H204" s="19" t="n">
        <f aca="false">A204+'1 Inputs'!$B$22+'1 Inputs'!$B$23+'1 Inputs'!$B$24</f>
        <v>220</v>
      </c>
      <c r="I204" s="19" t="n">
        <f aca="false">H204+'1 Inputs'!$B$25</f>
        <v>222</v>
      </c>
      <c r="J204" s="0" t="str">
        <f aca="false">IF(E204=0,"",IFERROR(INDEX($T$5:$T$40,MATCH(I204,$T$5:$T$40,1)+IF(INDEX($T$5:$T$40,MATCH(I204,$T$5:$T$40,1))=I204,0,1)),$T$5))</f>
        <v/>
      </c>
      <c r="K204" s="0" t="str">
        <f aca="false">IF(J204="","",J204+'1 Inputs'!$B$26)</f>
        <v/>
      </c>
      <c r="U204" s="0" t="n">
        <v>200</v>
      </c>
      <c r="V204" s="19" t="n">
        <f aca="false">IF(OR(AND((MOD(U204-1,52)+1)&gt;='1 Inputs'!$B$45,(MOD(U204-1,52)+1)&lt;='1 Inputs'!$C$45),AND((MOD(U204-1,52)+1)&gt;='1 Inputs'!$B$46,(MOD(U204-1,52)+1)&lt;='1 Inputs'!$C$46)),1,0)</f>
        <v>0</v>
      </c>
      <c r="W204" s="19" t="n">
        <f aca="false">W203+1-V204</f>
        <v>175</v>
      </c>
    </row>
    <row r="205" customFormat="false" ht="15" hidden="false" customHeight="false" outlineLevel="0" collapsed="false">
      <c r="U205" s="0" t="n">
        <v>201</v>
      </c>
      <c r="V205" s="0" t="n">
        <f aca="false">IF(OR(AND((MOD(U205-1,52)+1)&gt;='1 Inputs'!$B$45,(MOD(U205-1,52)+1)&lt;='1 Inputs'!$C$45),AND((MOD(U205-1,52)+1)&gt;='1 Inputs'!$B$46,(MOD(U205-1,52)+1)&lt;='1 Inputs'!$C$46)),1,0)</f>
        <v>0</v>
      </c>
      <c r="W205" s="0" t="n">
        <f aca="false">W204+1-V205</f>
        <v>176</v>
      </c>
    </row>
    <row r="206" customFormat="false" ht="15" hidden="false" customHeight="false" outlineLevel="0" collapsed="false">
      <c r="U206" s="0" t="n">
        <v>202</v>
      </c>
      <c r="V206" s="0" t="n">
        <f aca="false">IF(OR(AND((MOD(U206-1,52)+1)&gt;='1 Inputs'!$B$45,(MOD(U206-1,52)+1)&lt;='1 Inputs'!$C$45),AND((MOD(U206-1,52)+1)&gt;='1 Inputs'!$B$46,(MOD(U206-1,52)+1)&lt;='1 Inputs'!$C$46)),1,0)</f>
        <v>0</v>
      </c>
      <c r="W206" s="0" t="n">
        <f aca="false">W205+1-V206</f>
        <v>177</v>
      </c>
    </row>
    <row r="207" customFormat="false" ht="15" hidden="false" customHeight="false" outlineLevel="0" collapsed="false">
      <c r="U207" s="0" t="n">
        <v>203</v>
      </c>
      <c r="V207" s="0" t="n">
        <f aca="false">IF(OR(AND((MOD(U207-1,52)+1)&gt;='1 Inputs'!$B$45,(MOD(U207-1,52)+1)&lt;='1 Inputs'!$C$45),AND((MOD(U207-1,52)+1)&gt;='1 Inputs'!$B$46,(MOD(U207-1,52)+1)&lt;='1 Inputs'!$C$46)),1,0)</f>
        <v>0</v>
      </c>
      <c r="W207" s="0" t="n">
        <f aca="false">W206+1-V207</f>
        <v>178</v>
      </c>
    </row>
    <row r="208" customFormat="false" ht="15" hidden="false" customHeight="false" outlineLevel="0" collapsed="false">
      <c r="U208" s="0" t="n">
        <v>204</v>
      </c>
      <c r="V208" s="0" t="n">
        <f aca="false">IF(OR(AND((MOD(U208-1,52)+1)&gt;='1 Inputs'!$B$45,(MOD(U208-1,52)+1)&lt;='1 Inputs'!$C$45),AND((MOD(U208-1,52)+1)&gt;='1 Inputs'!$B$46,(MOD(U208-1,52)+1)&lt;='1 Inputs'!$C$46)),1,0)</f>
        <v>0</v>
      </c>
      <c r="W208" s="0" t="n">
        <f aca="false">W207+1-V208</f>
        <v>179</v>
      </c>
    </row>
    <row r="209" customFormat="false" ht="15" hidden="false" customHeight="false" outlineLevel="0" collapsed="false">
      <c r="U209" s="0" t="n">
        <v>205</v>
      </c>
      <c r="V209" s="0" t="n">
        <f aca="false">IF(OR(AND((MOD(U209-1,52)+1)&gt;='1 Inputs'!$B$45,(MOD(U209-1,52)+1)&lt;='1 Inputs'!$C$45),AND((MOD(U209-1,52)+1)&gt;='1 Inputs'!$B$46,(MOD(U209-1,52)+1)&lt;='1 Inputs'!$C$46)),1,0)</f>
        <v>0</v>
      </c>
      <c r="W209" s="0" t="n">
        <f aca="false">W208+1-V209</f>
        <v>180</v>
      </c>
    </row>
    <row r="210" customFormat="false" ht="15" hidden="false" customHeight="false" outlineLevel="0" collapsed="false">
      <c r="U210" s="0" t="n">
        <v>206</v>
      </c>
      <c r="V210" s="0" t="n">
        <f aca="false">IF(OR(AND((MOD(U210-1,52)+1)&gt;='1 Inputs'!$B$45,(MOD(U210-1,52)+1)&lt;='1 Inputs'!$C$45),AND((MOD(U210-1,52)+1)&gt;='1 Inputs'!$B$46,(MOD(U210-1,52)+1)&lt;='1 Inputs'!$C$46)),1,0)</f>
        <v>1</v>
      </c>
      <c r="W210" s="0" t="n">
        <f aca="false">W209+1-V210</f>
        <v>180</v>
      </c>
    </row>
    <row r="211" customFormat="false" ht="15" hidden="false" customHeight="false" outlineLevel="0" collapsed="false">
      <c r="U211" s="0" t="n">
        <v>207</v>
      </c>
      <c r="V211" s="0" t="n">
        <f aca="false">IF(OR(AND((MOD(U211-1,52)+1)&gt;='1 Inputs'!$B$45,(MOD(U211-1,52)+1)&lt;='1 Inputs'!$C$45),AND((MOD(U211-1,52)+1)&gt;='1 Inputs'!$B$46,(MOD(U211-1,52)+1)&lt;='1 Inputs'!$C$46)),1,0)</f>
        <v>1</v>
      </c>
      <c r="W211" s="0" t="n">
        <f aca="false">W210+1-V211</f>
        <v>180</v>
      </c>
    </row>
    <row r="212" customFormat="false" ht="15" hidden="false" customHeight="false" outlineLevel="0" collapsed="false">
      <c r="U212" s="0" t="n">
        <v>208</v>
      </c>
      <c r="V212" s="0" t="n">
        <f aca="false">IF(OR(AND((MOD(U212-1,52)+1)&gt;='1 Inputs'!$B$45,(MOD(U212-1,52)+1)&lt;='1 Inputs'!$C$45),AND((MOD(U212-1,52)+1)&gt;='1 Inputs'!$B$46,(MOD(U212-1,52)+1)&lt;='1 Inputs'!$C$46)),1,0)</f>
        <v>1</v>
      </c>
      <c r="W212" s="0" t="n">
        <f aca="false">W211+1-V212</f>
        <v>180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8"/>
    <col collapsed="false" customWidth="true" hidden="false" outlineLevel="0" max="4" min="3" style="0" width="16"/>
    <col collapsed="false" customWidth="true" hidden="false" outlineLevel="0" max="5" min="5" style="0" width="20"/>
    <col collapsed="false" customWidth="true" hidden="false" outlineLevel="0" max="6" min="6" style="0" width="7"/>
    <col collapsed="false" customWidth="true" hidden="false" outlineLevel="0" max="7" min="7" style="0" width="50"/>
  </cols>
  <sheetData>
    <row r="1" customFormat="false" ht="16.15" hidden="false" customHeight="false" outlineLevel="0" collapsed="false">
      <c r="A1" s="1" t="s">
        <v>141</v>
      </c>
    </row>
    <row r="2" customFormat="false" ht="15" hidden="false" customHeight="false" outlineLevel="0" collapsed="false">
      <c r="A2" s="2" t="s">
        <v>142</v>
      </c>
    </row>
    <row r="4" customFormat="false" ht="28.35" hidden="false" customHeight="false" outlineLevel="0" collapsed="false">
      <c r="A4" s="11" t="s">
        <v>143</v>
      </c>
      <c r="B4" s="11" t="s">
        <v>144</v>
      </c>
      <c r="C4" s="11" t="s">
        <v>145</v>
      </c>
      <c r="D4" s="11" t="s">
        <v>146</v>
      </c>
      <c r="E4" s="11" t="s">
        <v>147</v>
      </c>
    </row>
    <row r="5" customFormat="false" ht="15" hidden="false" customHeight="false" outlineLevel="0" collapsed="false">
      <c r="A5" s="0" t="n">
        <v>1</v>
      </c>
      <c r="B5" s="12" t="n">
        <f aca="false">SUMIF('4 The queue'!$P$5:$P$34,"&lt;="&amp;('1 Inputs'!$B$21+A5*52/12),'4 The queue'!$O$5:$O$34)</f>
        <v>0</v>
      </c>
      <c r="C5" s="12" t="n">
        <f aca="false">B5*'1 Inputs'!$B$33/12</f>
        <v>0</v>
      </c>
      <c r="D5" s="12" t="n">
        <f aca="false">C5-'1 Inputs'!$B$32</f>
        <v>-200000</v>
      </c>
      <c r="E5" s="12" t="n">
        <f aca="false">IF(A5=1,-D5,E4-D5)</f>
        <v>200000</v>
      </c>
    </row>
    <row r="6" customFormat="false" ht="15" hidden="false" customHeight="false" outlineLevel="0" collapsed="false">
      <c r="A6" s="0" t="n">
        <v>2</v>
      </c>
      <c r="B6" s="12" t="n">
        <f aca="false">SUMIF('4 The queue'!$P$5:$P$34,"&lt;="&amp;('1 Inputs'!$B$21+A6*52/12),'4 The queue'!$O$5:$O$34)</f>
        <v>0</v>
      </c>
      <c r="C6" s="12" t="n">
        <f aca="false">B6*'1 Inputs'!$B$33/12</f>
        <v>0</v>
      </c>
      <c r="D6" s="12" t="n">
        <f aca="false">C6-'1 Inputs'!$B$32</f>
        <v>-200000</v>
      </c>
      <c r="E6" s="12" t="n">
        <f aca="false">IF(A6=1,-D6,E5-D6)</f>
        <v>400000</v>
      </c>
    </row>
    <row r="7" customFormat="false" ht="15" hidden="false" customHeight="false" outlineLevel="0" collapsed="false">
      <c r="A7" s="0" t="n">
        <v>3</v>
      </c>
      <c r="B7" s="12" t="n">
        <f aca="false">SUMIF('4 The queue'!$P$5:$P$34,"&lt;="&amp;('1 Inputs'!$B$21+A7*52/12),'4 The queue'!$O$5:$O$34)</f>
        <v>0</v>
      </c>
      <c r="C7" s="12" t="n">
        <f aca="false">B7*'1 Inputs'!$B$33/12</f>
        <v>0</v>
      </c>
      <c r="D7" s="12" t="n">
        <f aca="false">C7-'1 Inputs'!$B$32</f>
        <v>-200000</v>
      </c>
      <c r="E7" s="12" t="n">
        <f aca="false">IF(A7=1,-D7,E6-D7)</f>
        <v>600000</v>
      </c>
    </row>
    <row r="8" customFormat="false" ht="15" hidden="false" customHeight="false" outlineLevel="0" collapsed="false">
      <c r="A8" s="0" t="n">
        <v>4</v>
      </c>
      <c r="B8" s="12" t="n">
        <f aca="false">SUMIF('4 The queue'!$P$5:$P$34,"&lt;="&amp;('1 Inputs'!$B$21+A8*52/12),'4 The queue'!$O$5:$O$34)</f>
        <v>0</v>
      </c>
      <c r="C8" s="12" t="n">
        <f aca="false">B8*'1 Inputs'!$B$33/12</f>
        <v>0</v>
      </c>
      <c r="D8" s="12" t="n">
        <f aca="false">C8-'1 Inputs'!$B$32</f>
        <v>-200000</v>
      </c>
      <c r="E8" s="12" t="n">
        <f aca="false">IF(A8=1,-D8,E7-D8)</f>
        <v>800000</v>
      </c>
    </row>
    <row r="9" customFormat="false" ht="15" hidden="false" customHeight="false" outlineLevel="0" collapsed="false">
      <c r="A9" s="0" t="n">
        <v>5</v>
      </c>
      <c r="B9" s="12" t="n">
        <f aca="false">SUMIF('4 The queue'!$P$5:$P$34,"&lt;="&amp;('1 Inputs'!$B$21+A9*52/12),'4 The queue'!$O$5:$O$34)</f>
        <v>0</v>
      </c>
      <c r="C9" s="12" t="n">
        <f aca="false">B9*'1 Inputs'!$B$33/12</f>
        <v>0</v>
      </c>
      <c r="D9" s="12" t="n">
        <f aca="false">C9-'1 Inputs'!$B$32</f>
        <v>-200000</v>
      </c>
      <c r="E9" s="12" t="n">
        <f aca="false">IF(A9=1,-D9,E8-D9)</f>
        <v>1000000</v>
      </c>
    </row>
    <row r="10" customFormat="false" ht="15" hidden="false" customHeight="false" outlineLevel="0" collapsed="false">
      <c r="A10" s="0" t="n">
        <v>6</v>
      </c>
      <c r="B10" s="12" t="n">
        <f aca="false">SUMIF('4 The queue'!$P$5:$P$34,"&lt;="&amp;('1 Inputs'!$B$21+A10*52/12),'4 The queue'!$O$5:$O$34)</f>
        <v>0</v>
      </c>
      <c r="C10" s="12" t="n">
        <f aca="false">B10*'1 Inputs'!$B$33/12</f>
        <v>0</v>
      </c>
      <c r="D10" s="12" t="n">
        <f aca="false">C10-'1 Inputs'!$B$32</f>
        <v>-200000</v>
      </c>
      <c r="E10" s="12" t="n">
        <f aca="false">IF(A10=1,-D10,E9-D10)</f>
        <v>1200000</v>
      </c>
    </row>
    <row r="11" customFormat="false" ht="15" hidden="false" customHeight="false" outlineLevel="0" collapsed="false">
      <c r="A11" s="0" t="n">
        <v>7</v>
      </c>
      <c r="B11" s="12" t="n">
        <f aca="false">SUMIF('4 The queue'!$P$5:$P$34,"&lt;="&amp;('1 Inputs'!$B$21+A11*52/12),'4 The queue'!$O$5:$O$34)</f>
        <v>0</v>
      </c>
      <c r="C11" s="12" t="n">
        <f aca="false">B11*'1 Inputs'!$B$33/12</f>
        <v>0</v>
      </c>
      <c r="D11" s="12" t="n">
        <f aca="false">C11-'1 Inputs'!$B$32</f>
        <v>-200000</v>
      </c>
      <c r="E11" s="12" t="n">
        <f aca="false">IF(A11=1,-D11,E10-D11)</f>
        <v>1400000</v>
      </c>
    </row>
    <row r="12" customFormat="false" ht="15" hidden="false" customHeight="false" outlineLevel="0" collapsed="false">
      <c r="A12" s="0" t="n">
        <v>8</v>
      </c>
      <c r="B12" s="12" t="n">
        <f aca="false">SUMIF('4 The queue'!$P$5:$P$34,"&lt;="&amp;('1 Inputs'!$B$21+A12*52/12),'4 The queue'!$O$5:$O$34)</f>
        <v>37500000</v>
      </c>
      <c r="C12" s="12" t="n">
        <f aca="false">B12*'1 Inputs'!$B$33/12</f>
        <v>46875</v>
      </c>
      <c r="D12" s="12" t="n">
        <f aca="false">C12-'1 Inputs'!$B$32</f>
        <v>-153125</v>
      </c>
      <c r="E12" s="12" t="n">
        <f aca="false">IF(A12=1,-D12,E11-D12)</f>
        <v>1553125</v>
      </c>
    </row>
    <row r="13" customFormat="false" ht="15" hidden="false" customHeight="false" outlineLevel="0" collapsed="false">
      <c r="A13" s="0" t="n">
        <v>9</v>
      </c>
      <c r="B13" s="12" t="n">
        <f aca="false">SUMIF('4 The queue'!$P$5:$P$34,"&lt;="&amp;('1 Inputs'!$B$21+A13*52/12),'4 The queue'!$O$5:$O$34)</f>
        <v>37500000</v>
      </c>
      <c r="C13" s="12" t="n">
        <f aca="false">B13*'1 Inputs'!$B$33/12</f>
        <v>46875</v>
      </c>
      <c r="D13" s="12" t="n">
        <f aca="false">C13-'1 Inputs'!$B$32</f>
        <v>-153125</v>
      </c>
      <c r="E13" s="12" t="n">
        <f aca="false">IF(A13=1,-D13,E12-D13)</f>
        <v>1706250</v>
      </c>
    </row>
    <row r="14" customFormat="false" ht="15" hidden="false" customHeight="false" outlineLevel="0" collapsed="false">
      <c r="A14" s="0" t="n">
        <v>10</v>
      </c>
      <c r="B14" s="12" t="n">
        <f aca="false">SUMIF('4 The queue'!$P$5:$P$34,"&lt;="&amp;('1 Inputs'!$B$21+A14*52/12),'4 The queue'!$O$5:$O$34)</f>
        <v>37500000</v>
      </c>
      <c r="C14" s="12" t="n">
        <f aca="false">B14*'1 Inputs'!$B$33/12</f>
        <v>46875</v>
      </c>
      <c r="D14" s="12" t="n">
        <f aca="false">C14-'1 Inputs'!$B$32</f>
        <v>-153125</v>
      </c>
      <c r="E14" s="12" t="n">
        <f aca="false">IF(A14=1,-D14,E13-D14)</f>
        <v>1859375</v>
      </c>
    </row>
    <row r="15" customFormat="false" ht="15" hidden="false" customHeight="false" outlineLevel="0" collapsed="false">
      <c r="A15" s="0" t="n">
        <v>11</v>
      </c>
      <c r="B15" s="12" t="n">
        <f aca="false">SUMIF('4 The queue'!$P$5:$P$34,"&lt;="&amp;('1 Inputs'!$B$21+A15*52/12),'4 The queue'!$O$5:$O$34)</f>
        <v>37500000</v>
      </c>
      <c r="C15" s="12" t="n">
        <f aca="false">B15*'1 Inputs'!$B$33/12</f>
        <v>46875</v>
      </c>
      <c r="D15" s="12" t="n">
        <f aca="false">C15-'1 Inputs'!$B$32</f>
        <v>-153125</v>
      </c>
      <c r="E15" s="12" t="n">
        <f aca="false">IF(A15=1,-D15,E14-D15)</f>
        <v>2012500</v>
      </c>
    </row>
    <row r="16" customFormat="false" ht="15" hidden="false" customHeight="false" outlineLevel="0" collapsed="false">
      <c r="A16" s="0" t="n">
        <v>12</v>
      </c>
      <c r="B16" s="12" t="n">
        <f aca="false">SUMIF('4 The queue'!$P$5:$P$34,"&lt;="&amp;('1 Inputs'!$B$21+A16*52/12),'4 The queue'!$O$5:$O$34)</f>
        <v>93750000</v>
      </c>
      <c r="C16" s="12" t="n">
        <f aca="false">B16*'1 Inputs'!$B$33/12</f>
        <v>117187.5</v>
      </c>
      <c r="D16" s="12" t="n">
        <f aca="false">C16-'1 Inputs'!$B$32</f>
        <v>-82812.5</v>
      </c>
      <c r="E16" s="12" t="n">
        <f aca="false">IF(A16=1,-D16,E15-D16)</f>
        <v>2095312.5</v>
      </c>
    </row>
    <row r="17" customFormat="false" ht="15" hidden="false" customHeight="false" outlineLevel="0" collapsed="false">
      <c r="A17" s="0" t="n">
        <v>13</v>
      </c>
      <c r="B17" s="12" t="n">
        <f aca="false">SUMIF('4 The queue'!$P$5:$P$34,"&lt;="&amp;('1 Inputs'!$B$21+A17*52/12),'4 The queue'!$O$5:$O$34)</f>
        <v>93750000</v>
      </c>
      <c r="C17" s="12" t="n">
        <f aca="false">B17*'1 Inputs'!$B$33/12</f>
        <v>117187.5</v>
      </c>
      <c r="D17" s="12" t="n">
        <f aca="false">C17-'1 Inputs'!$B$32</f>
        <v>-82812.5</v>
      </c>
      <c r="E17" s="12" t="n">
        <f aca="false">IF(A17=1,-D17,E16-D17)</f>
        <v>2178125</v>
      </c>
    </row>
    <row r="18" customFormat="false" ht="15" hidden="false" customHeight="false" outlineLevel="0" collapsed="false">
      <c r="A18" s="0" t="n">
        <v>14</v>
      </c>
      <c r="B18" s="12" t="n">
        <f aca="false">SUMIF('4 The queue'!$P$5:$P$34,"&lt;="&amp;('1 Inputs'!$B$21+A18*52/12),'4 The queue'!$O$5:$O$34)</f>
        <v>93750000</v>
      </c>
      <c r="C18" s="12" t="n">
        <f aca="false">B18*'1 Inputs'!$B$33/12</f>
        <v>117187.5</v>
      </c>
      <c r="D18" s="12" t="n">
        <f aca="false">C18-'1 Inputs'!$B$32</f>
        <v>-82812.5</v>
      </c>
      <c r="E18" s="12" t="n">
        <f aca="false">IF(A18=1,-D18,E17-D18)</f>
        <v>2260937.5</v>
      </c>
    </row>
    <row r="19" customFormat="false" ht="15" hidden="false" customHeight="false" outlineLevel="0" collapsed="false">
      <c r="A19" s="0" t="n">
        <v>15</v>
      </c>
      <c r="B19" s="12" t="n">
        <f aca="false">SUMIF('4 The queue'!$P$5:$P$34,"&lt;="&amp;('1 Inputs'!$B$21+A19*52/12),'4 The queue'!$O$5:$O$34)</f>
        <v>93750000</v>
      </c>
      <c r="C19" s="12" t="n">
        <f aca="false">B19*'1 Inputs'!$B$33/12</f>
        <v>117187.5</v>
      </c>
      <c r="D19" s="12" t="n">
        <f aca="false">C19-'1 Inputs'!$B$32</f>
        <v>-82812.5</v>
      </c>
      <c r="E19" s="12" t="n">
        <f aca="false">IF(A19=1,-D19,E18-D19)</f>
        <v>2343750</v>
      </c>
    </row>
    <row r="20" customFormat="false" ht="15" hidden="false" customHeight="false" outlineLevel="0" collapsed="false">
      <c r="A20" s="0" t="n">
        <v>16</v>
      </c>
      <c r="B20" s="12" t="n">
        <f aca="false">SUMIF('4 The queue'!$P$5:$P$34,"&lt;="&amp;('1 Inputs'!$B$21+A20*52/12),'4 The queue'!$O$5:$O$34)</f>
        <v>93750000</v>
      </c>
      <c r="C20" s="12" t="n">
        <f aca="false">B20*'1 Inputs'!$B$33/12</f>
        <v>117187.5</v>
      </c>
      <c r="D20" s="12" t="n">
        <f aca="false">C20-'1 Inputs'!$B$32</f>
        <v>-82812.5</v>
      </c>
      <c r="E20" s="12" t="n">
        <f aca="false">IF(A20=1,-D20,E19-D20)</f>
        <v>2426562.5</v>
      </c>
    </row>
    <row r="21" customFormat="false" ht="15" hidden="false" customHeight="false" outlineLevel="0" collapsed="false">
      <c r="A21" s="0" t="n">
        <v>17</v>
      </c>
      <c r="B21" s="12" t="n">
        <f aca="false">SUMIF('4 The queue'!$P$5:$P$34,"&lt;="&amp;('1 Inputs'!$B$21+A21*52/12),'4 The queue'!$O$5:$O$34)</f>
        <v>93750000</v>
      </c>
      <c r="C21" s="12" t="n">
        <f aca="false">B21*'1 Inputs'!$B$33/12</f>
        <v>117187.5</v>
      </c>
      <c r="D21" s="12" t="n">
        <f aca="false">C21-'1 Inputs'!$B$32</f>
        <v>-82812.5</v>
      </c>
      <c r="E21" s="12" t="n">
        <f aca="false">IF(A21=1,-D21,E20-D21)</f>
        <v>2509375</v>
      </c>
    </row>
    <row r="22" customFormat="false" ht="15" hidden="false" customHeight="false" outlineLevel="0" collapsed="false">
      <c r="A22" s="0" t="n">
        <v>18</v>
      </c>
      <c r="B22" s="12" t="n">
        <f aca="false">SUMIF('4 The queue'!$P$5:$P$34,"&lt;="&amp;('1 Inputs'!$B$21+A22*52/12),'4 The queue'!$O$5:$O$34)</f>
        <v>93750000</v>
      </c>
      <c r="C22" s="12" t="n">
        <f aca="false">B22*'1 Inputs'!$B$33/12</f>
        <v>117187.5</v>
      </c>
      <c r="D22" s="12" t="n">
        <f aca="false">C22-'1 Inputs'!$B$32</f>
        <v>-82812.5</v>
      </c>
      <c r="E22" s="12" t="n">
        <f aca="false">IF(A22=1,-D22,E21-D22)</f>
        <v>2592187.5</v>
      </c>
    </row>
    <row r="23" customFormat="false" ht="15" hidden="false" customHeight="false" outlineLevel="0" collapsed="false">
      <c r="A23" s="0" t="n">
        <v>19</v>
      </c>
      <c r="B23" s="12" t="n">
        <f aca="false">SUMIF('4 The queue'!$P$5:$P$34,"&lt;="&amp;('1 Inputs'!$B$21+A23*52/12),'4 The queue'!$O$5:$O$34)</f>
        <v>93750000</v>
      </c>
      <c r="C23" s="12" t="n">
        <f aca="false">B23*'1 Inputs'!$B$33/12</f>
        <v>117187.5</v>
      </c>
      <c r="D23" s="12" t="n">
        <f aca="false">C23-'1 Inputs'!$B$32</f>
        <v>-82812.5</v>
      </c>
      <c r="E23" s="12" t="n">
        <f aca="false">IF(A23=1,-D23,E22-D23)</f>
        <v>2675000</v>
      </c>
    </row>
    <row r="24" customFormat="false" ht="15" hidden="false" customHeight="false" outlineLevel="0" collapsed="false">
      <c r="A24" s="0" t="n">
        <v>20</v>
      </c>
      <c r="B24" s="12" t="n">
        <f aca="false">SUMIF('4 The queue'!$P$5:$P$34,"&lt;="&amp;('1 Inputs'!$B$21+A24*52/12),'4 The queue'!$O$5:$O$34)</f>
        <v>93750000</v>
      </c>
      <c r="C24" s="12" t="n">
        <f aca="false">B24*'1 Inputs'!$B$33/12</f>
        <v>117187.5</v>
      </c>
      <c r="D24" s="12" t="n">
        <f aca="false">C24-'1 Inputs'!$B$32</f>
        <v>-82812.5</v>
      </c>
      <c r="E24" s="12" t="n">
        <f aca="false">IF(A24=1,-D24,E23-D24)</f>
        <v>2757812.5</v>
      </c>
    </row>
    <row r="25" customFormat="false" ht="15" hidden="false" customHeight="false" outlineLevel="0" collapsed="false">
      <c r="A25" s="0" t="n">
        <v>21</v>
      </c>
      <c r="B25" s="12" t="n">
        <f aca="false">SUMIF('4 The queue'!$P$5:$P$34,"&lt;="&amp;('1 Inputs'!$B$21+A25*52/12),'4 The queue'!$O$5:$O$34)</f>
        <v>93750000</v>
      </c>
      <c r="C25" s="12" t="n">
        <f aca="false">B25*'1 Inputs'!$B$33/12</f>
        <v>117187.5</v>
      </c>
      <c r="D25" s="12" t="n">
        <f aca="false">C25-'1 Inputs'!$B$32</f>
        <v>-82812.5</v>
      </c>
      <c r="E25" s="12" t="n">
        <f aca="false">IF(A25=1,-D25,E24-D25)</f>
        <v>2840625</v>
      </c>
    </row>
    <row r="26" customFormat="false" ht="15" hidden="false" customHeight="false" outlineLevel="0" collapsed="false">
      <c r="A26" s="0" t="n">
        <v>22</v>
      </c>
      <c r="B26" s="12" t="n">
        <f aca="false">SUMIF('4 The queue'!$P$5:$P$34,"&lt;="&amp;('1 Inputs'!$B$21+A26*52/12),'4 The queue'!$O$5:$O$34)</f>
        <v>93750000</v>
      </c>
      <c r="C26" s="12" t="n">
        <f aca="false">B26*'1 Inputs'!$B$33/12</f>
        <v>117187.5</v>
      </c>
      <c r="D26" s="12" t="n">
        <f aca="false">C26-'1 Inputs'!$B$32</f>
        <v>-82812.5</v>
      </c>
      <c r="E26" s="12" t="n">
        <f aca="false">IF(A26=1,-D26,E25-D26)</f>
        <v>2923437.5</v>
      </c>
    </row>
    <row r="27" customFormat="false" ht="15" hidden="false" customHeight="false" outlineLevel="0" collapsed="false">
      <c r="A27" s="0" t="n">
        <v>23</v>
      </c>
      <c r="B27" s="12" t="n">
        <f aca="false">SUMIF('4 The queue'!$P$5:$P$34,"&lt;="&amp;('1 Inputs'!$B$21+A27*52/12),'4 The queue'!$O$5:$O$34)</f>
        <v>93750000</v>
      </c>
      <c r="C27" s="12" t="n">
        <f aca="false">B27*'1 Inputs'!$B$33/12</f>
        <v>117187.5</v>
      </c>
      <c r="D27" s="12" t="n">
        <f aca="false">C27-'1 Inputs'!$B$32</f>
        <v>-82812.5</v>
      </c>
      <c r="E27" s="12" t="n">
        <f aca="false">IF(A27=1,-D27,E26-D27)</f>
        <v>3006250</v>
      </c>
    </row>
    <row r="28" customFormat="false" ht="15" hidden="false" customHeight="false" outlineLevel="0" collapsed="false">
      <c r="A28" s="0" t="n">
        <v>24</v>
      </c>
      <c r="B28" s="12" t="n">
        <f aca="false">SUMIF('4 The queue'!$P$5:$P$34,"&lt;="&amp;('1 Inputs'!$B$21+A28*52/12),'4 The queue'!$O$5:$O$34)</f>
        <v>93750000</v>
      </c>
      <c r="C28" s="12" t="n">
        <f aca="false">B28*'1 Inputs'!$B$33/12</f>
        <v>117187.5</v>
      </c>
      <c r="D28" s="12" t="n">
        <f aca="false">C28-'1 Inputs'!$B$32</f>
        <v>-82812.5</v>
      </c>
      <c r="E28" s="12" t="n">
        <f aca="false">IF(A28=1,-D28,E27-D28)</f>
        <v>3089062.5</v>
      </c>
    </row>
    <row r="29" customFormat="false" ht="15" hidden="false" customHeight="false" outlineLevel="0" collapsed="false">
      <c r="A29" s="0" t="n">
        <v>25</v>
      </c>
      <c r="B29" s="12" t="n">
        <f aca="false">SUMIF('4 The queue'!$P$5:$P$34,"&lt;="&amp;('1 Inputs'!$B$21+A29*52/12),'4 The queue'!$O$5:$O$34)</f>
        <v>93750000</v>
      </c>
      <c r="C29" s="12" t="n">
        <f aca="false">B29*'1 Inputs'!$B$33/12</f>
        <v>117187.5</v>
      </c>
      <c r="D29" s="12" t="n">
        <f aca="false">C29-'1 Inputs'!$B$32</f>
        <v>-82812.5</v>
      </c>
      <c r="E29" s="12" t="n">
        <f aca="false">IF(A29=1,-D29,E28-D29)</f>
        <v>3171875</v>
      </c>
    </row>
    <row r="30" customFormat="false" ht="15" hidden="false" customHeight="false" outlineLevel="0" collapsed="false">
      <c r="A30" s="0" t="n">
        <v>26</v>
      </c>
      <c r="B30" s="12" t="n">
        <f aca="false">SUMIF('4 The queue'!$P$5:$P$34,"&lt;="&amp;('1 Inputs'!$B$21+A30*52/12),'4 The queue'!$O$5:$O$34)</f>
        <v>93750000</v>
      </c>
      <c r="C30" s="12" t="n">
        <f aca="false">B30*'1 Inputs'!$B$33/12</f>
        <v>117187.5</v>
      </c>
      <c r="D30" s="12" t="n">
        <f aca="false">C30-'1 Inputs'!$B$32</f>
        <v>-82812.5</v>
      </c>
      <c r="E30" s="12" t="n">
        <f aca="false">IF(A30=1,-D30,E29-D30)</f>
        <v>3254687.5</v>
      </c>
    </row>
    <row r="31" customFormat="false" ht="15" hidden="false" customHeight="false" outlineLevel="0" collapsed="false">
      <c r="A31" s="0" t="n">
        <v>27</v>
      </c>
      <c r="B31" s="12" t="n">
        <f aca="false">SUMIF('4 The queue'!$P$5:$P$34,"&lt;="&amp;('1 Inputs'!$B$21+A31*52/12),'4 The queue'!$O$5:$O$34)</f>
        <v>93750000</v>
      </c>
      <c r="C31" s="12" t="n">
        <f aca="false">B31*'1 Inputs'!$B$33/12</f>
        <v>117187.5</v>
      </c>
      <c r="D31" s="12" t="n">
        <f aca="false">C31-'1 Inputs'!$B$32</f>
        <v>-82812.5</v>
      </c>
      <c r="E31" s="12" t="n">
        <f aca="false">IF(A31=1,-D31,E30-D31)</f>
        <v>3337500</v>
      </c>
    </row>
    <row r="32" customFormat="false" ht="15" hidden="false" customHeight="false" outlineLevel="0" collapsed="false">
      <c r="A32" s="0" t="n">
        <v>28</v>
      </c>
      <c r="B32" s="12" t="n">
        <f aca="false">SUMIF('4 The queue'!$P$5:$P$34,"&lt;="&amp;('1 Inputs'!$B$21+A32*52/12),'4 The queue'!$O$5:$O$34)</f>
        <v>93750000</v>
      </c>
      <c r="C32" s="12" t="n">
        <f aca="false">B32*'1 Inputs'!$B$33/12</f>
        <v>117187.5</v>
      </c>
      <c r="D32" s="12" t="n">
        <f aca="false">C32-'1 Inputs'!$B$32</f>
        <v>-82812.5</v>
      </c>
      <c r="E32" s="12" t="n">
        <f aca="false">IF(A32=1,-D32,E31-D32)</f>
        <v>3420312.5</v>
      </c>
    </row>
    <row r="33" customFormat="false" ht="15" hidden="false" customHeight="false" outlineLevel="0" collapsed="false">
      <c r="A33" s="0" t="n">
        <v>29</v>
      </c>
      <c r="B33" s="12" t="n">
        <f aca="false">SUMIF('4 The queue'!$P$5:$P$34,"&lt;="&amp;('1 Inputs'!$B$21+A33*52/12),'4 The queue'!$O$5:$O$34)</f>
        <v>93750000</v>
      </c>
      <c r="C33" s="12" t="n">
        <f aca="false">B33*'1 Inputs'!$B$33/12</f>
        <v>117187.5</v>
      </c>
      <c r="D33" s="12" t="n">
        <f aca="false">C33-'1 Inputs'!$B$32</f>
        <v>-82812.5</v>
      </c>
      <c r="E33" s="12" t="n">
        <f aca="false">IF(A33=1,-D33,E32-D33)</f>
        <v>3503125</v>
      </c>
    </row>
    <row r="34" customFormat="false" ht="15" hidden="false" customHeight="false" outlineLevel="0" collapsed="false">
      <c r="A34" s="0" t="n">
        <v>30</v>
      </c>
      <c r="B34" s="12" t="n">
        <f aca="false">SUMIF('4 The queue'!$P$5:$P$34,"&lt;="&amp;('1 Inputs'!$B$21+A34*52/12),'4 The queue'!$O$5:$O$34)</f>
        <v>93750000</v>
      </c>
      <c r="C34" s="12" t="n">
        <f aca="false">B34*'1 Inputs'!$B$33/12</f>
        <v>117187.5</v>
      </c>
      <c r="D34" s="12" t="n">
        <f aca="false">C34-'1 Inputs'!$B$32</f>
        <v>-82812.5</v>
      </c>
      <c r="E34" s="12" t="n">
        <f aca="false">IF(A34=1,-D34,E33-D34)</f>
        <v>3585937.5</v>
      </c>
    </row>
    <row r="35" customFormat="false" ht="15" hidden="false" customHeight="false" outlineLevel="0" collapsed="false">
      <c r="A35" s="0" t="n">
        <v>31</v>
      </c>
      <c r="B35" s="12" t="n">
        <f aca="false">SUMIF('4 The queue'!$P$5:$P$34,"&lt;="&amp;('1 Inputs'!$B$21+A35*52/12),'4 The queue'!$O$5:$O$34)</f>
        <v>93750000</v>
      </c>
      <c r="C35" s="12" t="n">
        <f aca="false">B35*'1 Inputs'!$B$33/12</f>
        <v>117187.5</v>
      </c>
      <c r="D35" s="12" t="n">
        <f aca="false">C35-'1 Inputs'!$B$32</f>
        <v>-82812.5</v>
      </c>
      <c r="E35" s="12" t="n">
        <f aca="false">IF(A35=1,-D35,E34-D35)</f>
        <v>3668750</v>
      </c>
    </row>
    <row r="36" customFormat="false" ht="15" hidden="false" customHeight="false" outlineLevel="0" collapsed="false">
      <c r="A36" s="0" t="n">
        <v>32</v>
      </c>
      <c r="B36" s="12" t="n">
        <f aca="false">SUMIF('4 The queue'!$P$5:$P$34,"&lt;="&amp;('1 Inputs'!$B$21+A36*52/12),'4 The queue'!$O$5:$O$34)</f>
        <v>93750000</v>
      </c>
      <c r="C36" s="12" t="n">
        <f aca="false">B36*'1 Inputs'!$B$33/12</f>
        <v>117187.5</v>
      </c>
      <c r="D36" s="12" t="n">
        <f aca="false">C36-'1 Inputs'!$B$32</f>
        <v>-82812.5</v>
      </c>
      <c r="E36" s="12" t="n">
        <f aca="false">IF(A36=1,-D36,E35-D36)</f>
        <v>3751562.5</v>
      </c>
    </row>
    <row r="37" customFormat="false" ht="15" hidden="false" customHeight="false" outlineLevel="0" collapsed="false">
      <c r="A37" s="0" t="n">
        <v>33</v>
      </c>
      <c r="B37" s="12" t="n">
        <f aca="false">SUMIF('4 The queue'!$P$5:$P$34,"&lt;="&amp;('1 Inputs'!$B$21+A37*52/12),'4 The queue'!$O$5:$O$34)</f>
        <v>93750000</v>
      </c>
      <c r="C37" s="12" t="n">
        <f aca="false">B37*'1 Inputs'!$B$33/12</f>
        <v>117187.5</v>
      </c>
      <c r="D37" s="12" t="n">
        <f aca="false">C37-'1 Inputs'!$B$32</f>
        <v>-82812.5</v>
      </c>
      <c r="E37" s="12" t="n">
        <f aca="false">IF(A37=1,-D37,E36-D37)</f>
        <v>3834375</v>
      </c>
    </row>
    <row r="38" customFormat="false" ht="15" hidden="false" customHeight="false" outlineLevel="0" collapsed="false">
      <c r="A38" s="0" t="n">
        <v>34</v>
      </c>
      <c r="B38" s="12" t="n">
        <f aca="false">SUMIF('4 The queue'!$P$5:$P$34,"&lt;="&amp;('1 Inputs'!$B$21+A38*52/12),'4 The queue'!$O$5:$O$34)</f>
        <v>93750000</v>
      </c>
      <c r="C38" s="12" t="n">
        <f aca="false">B38*'1 Inputs'!$B$33/12</f>
        <v>117187.5</v>
      </c>
      <c r="D38" s="12" t="n">
        <f aca="false">C38-'1 Inputs'!$B$32</f>
        <v>-82812.5</v>
      </c>
      <c r="E38" s="12" t="n">
        <f aca="false">IF(A38=1,-D38,E37-D38)</f>
        <v>3917187.5</v>
      </c>
    </row>
    <row r="39" customFormat="false" ht="15" hidden="false" customHeight="false" outlineLevel="0" collapsed="false">
      <c r="A39" s="0" t="n">
        <v>35</v>
      </c>
      <c r="B39" s="12" t="n">
        <f aca="false">SUMIF('4 The queue'!$P$5:$P$34,"&lt;="&amp;('1 Inputs'!$B$21+A39*52/12),'4 The queue'!$O$5:$O$34)</f>
        <v>93750000</v>
      </c>
      <c r="C39" s="12" t="n">
        <f aca="false">B39*'1 Inputs'!$B$33/12</f>
        <v>117187.5</v>
      </c>
      <c r="D39" s="12" t="n">
        <f aca="false">C39-'1 Inputs'!$B$32</f>
        <v>-82812.5</v>
      </c>
      <c r="E39" s="12" t="n">
        <f aca="false">IF(A39=1,-D39,E38-D39)</f>
        <v>4000000</v>
      </c>
    </row>
    <row r="40" customFormat="false" ht="15" hidden="false" customHeight="false" outlineLevel="0" collapsed="false">
      <c r="A40" s="0" t="n">
        <v>36</v>
      </c>
      <c r="B40" s="12" t="n">
        <f aca="false">SUMIF('4 The queue'!$P$5:$P$34,"&lt;="&amp;('1 Inputs'!$B$21+A40*52/12),'4 The queue'!$O$5:$O$34)</f>
        <v>93750000</v>
      </c>
      <c r="C40" s="12" t="n">
        <f aca="false">B40*'1 Inputs'!$B$33/12</f>
        <v>117187.5</v>
      </c>
      <c r="D40" s="12" t="n">
        <f aca="false">C40-'1 Inputs'!$B$32</f>
        <v>-82812.5</v>
      </c>
      <c r="E40" s="12" t="n">
        <f aca="false">IF(A40=1,-D40,E39-D40)</f>
        <v>4082812.5</v>
      </c>
    </row>
    <row r="41" customFormat="false" ht="15" hidden="false" customHeight="false" outlineLevel="0" collapsed="false">
      <c r="A41" s="0" t="n">
        <v>37</v>
      </c>
      <c r="B41" s="12" t="n">
        <f aca="false">SUMIF('4 The queue'!$P$5:$P$34,"&lt;="&amp;('1 Inputs'!$B$21+A41*52/12),'4 The queue'!$O$5:$O$34)</f>
        <v>93750000</v>
      </c>
      <c r="C41" s="12" t="n">
        <f aca="false">B41*'1 Inputs'!$B$33/12</f>
        <v>117187.5</v>
      </c>
      <c r="D41" s="12" t="n">
        <f aca="false">C41-'1 Inputs'!$B$32</f>
        <v>-82812.5</v>
      </c>
      <c r="E41" s="12" t="n">
        <f aca="false">IF(A41=1,-D41,E40-D41)</f>
        <v>4165625</v>
      </c>
    </row>
    <row r="42" customFormat="false" ht="15" hidden="false" customHeight="false" outlineLevel="0" collapsed="false">
      <c r="A42" s="0" t="n">
        <v>38</v>
      </c>
      <c r="B42" s="12" t="n">
        <f aca="false">SUMIF('4 The queue'!$P$5:$P$34,"&lt;="&amp;('1 Inputs'!$B$21+A42*52/12),'4 The queue'!$O$5:$O$34)</f>
        <v>93750000</v>
      </c>
      <c r="C42" s="12" t="n">
        <f aca="false">B42*'1 Inputs'!$B$33/12</f>
        <v>117187.5</v>
      </c>
      <c r="D42" s="12" t="n">
        <f aca="false">C42-'1 Inputs'!$B$32</f>
        <v>-82812.5</v>
      </c>
      <c r="E42" s="12" t="n">
        <f aca="false">IF(A42=1,-D42,E41-D42)</f>
        <v>4248437.5</v>
      </c>
    </row>
    <row r="43" customFormat="false" ht="15" hidden="false" customHeight="false" outlineLevel="0" collapsed="false">
      <c r="A43" s="0" t="n">
        <v>39</v>
      </c>
      <c r="B43" s="12" t="n">
        <f aca="false">SUMIF('4 The queue'!$P$5:$P$34,"&lt;="&amp;('1 Inputs'!$B$21+A43*52/12),'4 The queue'!$O$5:$O$34)</f>
        <v>93750000</v>
      </c>
      <c r="C43" s="12" t="n">
        <f aca="false">B43*'1 Inputs'!$B$33/12</f>
        <v>117187.5</v>
      </c>
      <c r="D43" s="12" t="n">
        <f aca="false">C43-'1 Inputs'!$B$32</f>
        <v>-82812.5</v>
      </c>
      <c r="E43" s="12" t="n">
        <f aca="false">IF(A43=1,-D43,E42-D43)</f>
        <v>4331250</v>
      </c>
    </row>
    <row r="44" customFormat="false" ht="15" hidden="false" customHeight="false" outlineLevel="0" collapsed="false">
      <c r="A44" s="0" t="n">
        <v>40</v>
      </c>
      <c r="B44" s="12" t="n">
        <f aca="false">SUMIF('4 The queue'!$P$5:$P$34,"&lt;="&amp;('1 Inputs'!$B$21+A44*52/12),'4 The queue'!$O$5:$O$34)</f>
        <v>93750000</v>
      </c>
      <c r="C44" s="12" t="n">
        <f aca="false">B44*'1 Inputs'!$B$33/12</f>
        <v>117187.5</v>
      </c>
      <c r="D44" s="12" t="n">
        <f aca="false">C44-'1 Inputs'!$B$32</f>
        <v>-82812.5</v>
      </c>
      <c r="E44" s="12" t="n">
        <f aca="false">IF(A44=1,-D44,E43-D44)</f>
        <v>4414062.5</v>
      </c>
    </row>
    <row r="45" customFormat="false" ht="15" hidden="false" customHeight="false" outlineLevel="0" collapsed="false">
      <c r="A45" s="0" t="n">
        <v>41</v>
      </c>
      <c r="B45" s="12" t="n">
        <f aca="false">SUMIF('4 The queue'!$P$5:$P$34,"&lt;="&amp;('1 Inputs'!$B$21+A45*52/12),'4 The queue'!$O$5:$O$34)</f>
        <v>93750000</v>
      </c>
      <c r="C45" s="12" t="n">
        <f aca="false">B45*'1 Inputs'!$B$33/12</f>
        <v>117187.5</v>
      </c>
      <c r="D45" s="12" t="n">
        <f aca="false">C45-'1 Inputs'!$B$32</f>
        <v>-82812.5</v>
      </c>
      <c r="E45" s="12" t="n">
        <f aca="false">IF(A45=1,-D45,E44-D45)</f>
        <v>4496875</v>
      </c>
    </row>
    <row r="46" customFormat="false" ht="15" hidden="false" customHeight="false" outlineLevel="0" collapsed="false">
      <c r="A46" s="0" t="n">
        <v>42</v>
      </c>
      <c r="B46" s="12" t="n">
        <f aca="false">SUMIF('4 The queue'!$P$5:$P$34,"&lt;="&amp;('1 Inputs'!$B$21+A46*52/12),'4 The queue'!$O$5:$O$34)</f>
        <v>93750000</v>
      </c>
      <c r="C46" s="12" t="n">
        <f aca="false">B46*'1 Inputs'!$B$33/12</f>
        <v>117187.5</v>
      </c>
      <c r="D46" s="12" t="n">
        <f aca="false">C46-'1 Inputs'!$B$32</f>
        <v>-82812.5</v>
      </c>
      <c r="E46" s="12" t="n">
        <f aca="false">IF(A46=1,-D46,E45-D46)</f>
        <v>4579687.5</v>
      </c>
    </row>
    <row r="47" customFormat="false" ht="15" hidden="false" customHeight="false" outlineLevel="0" collapsed="false">
      <c r="A47" s="0" t="n">
        <v>43</v>
      </c>
      <c r="B47" s="12" t="n">
        <f aca="false">SUMIF('4 The queue'!$P$5:$P$34,"&lt;="&amp;('1 Inputs'!$B$21+A47*52/12),'4 The queue'!$O$5:$O$34)</f>
        <v>93750000</v>
      </c>
      <c r="C47" s="12" t="n">
        <f aca="false">B47*'1 Inputs'!$B$33/12</f>
        <v>117187.5</v>
      </c>
      <c r="D47" s="12" t="n">
        <f aca="false">C47-'1 Inputs'!$B$32</f>
        <v>-82812.5</v>
      </c>
      <c r="E47" s="12" t="n">
        <f aca="false">IF(A47=1,-D47,E46-D47)</f>
        <v>4662500</v>
      </c>
    </row>
    <row r="48" customFormat="false" ht="15" hidden="false" customHeight="false" outlineLevel="0" collapsed="false">
      <c r="A48" s="0" t="n">
        <v>44</v>
      </c>
      <c r="B48" s="12" t="n">
        <f aca="false">SUMIF('4 The queue'!$P$5:$P$34,"&lt;="&amp;('1 Inputs'!$B$21+A48*52/12),'4 The queue'!$O$5:$O$34)</f>
        <v>93750000</v>
      </c>
      <c r="C48" s="12" t="n">
        <f aca="false">B48*'1 Inputs'!$B$33/12</f>
        <v>117187.5</v>
      </c>
      <c r="D48" s="12" t="n">
        <f aca="false">C48-'1 Inputs'!$B$32</f>
        <v>-82812.5</v>
      </c>
      <c r="E48" s="12" t="n">
        <f aca="false">IF(A48=1,-D48,E47-D48)</f>
        <v>4745312.5</v>
      </c>
    </row>
    <row r="49" customFormat="false" ht="15" hidden="false" customHeight="false" outlineLevel="0" collapsed="false">
      <c r="A49" s="0" t="n">
        <v>45</v>
      </c>
      <c r="B49" s="12" t="n">
        <f aca="false">SUMIF('4 The queue'!$P$5:$P$34,"&lt;="&amp;('1 Inputs'!$B$21+A49*52/12),'4 The queue'!$O$5:$O$34)</f>
        <v>93750000</v>
      </c>
      <c r="C49" s="12" t="n">
        <f aca="false">B49*'1 Inputs'!$B$33/12</f>
        <v>117187.5</v>
      </c>
      <c r="D49" s="12" t="n">
        <f aca="false">C49-'1 Inputs'!$B$32</f>
        <v>-82812.5</v>
      </c>
      <c r="E49" s="12" t="n">
        <f aca="false">IF(A49=1,-D49,E48-D49)</f>
        <v>4828125</v>
      </c>
    </row>
    <row r="50" customFormat="false" ht="15" hidden="false" customHeight="false" outlineLevel="0" collapsed="false">
      <c r="A50" s="0" t="n">
        <v>46</v>
      </c>
      <c r="B50" s="12" t="n">
        <f aca="false">SUMIF('4 The queue'!$P$5:$P$34,"&lt;="&amp;('1 Inputs'!$B$21+A50*52/12),'4 The queue'!$O$5:$O$34)</f>
        <v>93750000</v>
      </c>
      <c r="C50" s="12" t="n">
        <f aca="false">B50*'1 Inputs'!$B$33/12</f>
        <v>117187.5</v>
      </c>
      <c r="D50" s="12" t="n">
        <f aca="false">C50-'1 Inputs'!$B$32</f>
        <v>-82812.5</v>
      </c>
      <c r="E50" s="12" t="n">
        <f aca="false">IF(A50=1,-D50,E49-D50)</f>
        <v>4910937.5</v>
      </c>
    </row>
    <row r="51" customFormat="false" ht="15" hidden="false" customHeight="false" outlineLevel="0" collapsed="false">
      <c r="A51" s="0" t="n">
        <v>47</v>
      </c>
      <c r="B51" s="12" t="n">
        <f aca="false">SUMIF('4 The queue'!$P$5:$P$34,"&lt;="&amp;('1 Inputs'!$B$21+A51*52/12),'4 The queue'!$O$5:$O$34)</f>
        <v>93750000</v>
      </c>
      <c r="C51" s="12" t="n">
        <f aca="false">B51*'1 Inputs'!$B$33/12</f>
        <v>117187.5</v>
      </c>
      <c r="D51" s="12" t="n">
        <f aca="false">C51-'1 Inputs'!$B$32</f>
        <v>-82812.5</v>
      </c>
      <c r="E51" s="12" t="n">
        <f aca="false">IF(A51=1,-D51,E50-D51)</f>
        <v>4993750</v>
      </c>
    </row>
    <row r="52" customFormat="false" ht="15" hidden="false" customHeight="false" outlineLevel="0" collapsed="false">
      <c r="A52" s="0" t="n">
        <v>48</v>
      </c>
      <c r="B52" s="12" t="n">
        <f aca="false">SUMIF('4 The queue'!$P$5:$P$34,"&lt;="&amp;('1 Inputs'!$B$21+A52*52/12),'4 The queue'!$O$5:$O$34)</f>
        <v>93750000</v>
      </c>
      <c r="C52" s="12" t="n">
        <f aca="false">B52*'1 Inputs'!$B$33/12</f>
        <v>117187.5</v>
      </c>
      <c r="D52" s="12" t="n">
        <f aca="false">C52-'1 Inputs'!$B$32</f>
        <v>-82812.5</v>
      </c>
      <c r="E52" s="12" t="n">
        <f aca="false">IF(A52=1,-D52,E51-D52)</f>
        <v>5076562.5</v>
      </c>
    </row>
    <row r="54" customFormat="false" ht="15" hidden="false" customHeight="false" outlineLevel="0" collapsed="false">
      <c r="A54" s="9" t="s">
        <v>148</v>
      </c>
      <c r="C54" s="12" t="n">
        <f aca="false">E16</f>
        <v>2095312.5</v>
      </c>
    </row>
    <row r="55" customFormat="false" ht="15" hidden="false" customHeight="false" outlineLevel="0" collapsed="false">
      <c r="A55" s="9" t="s">
        <v>149</v>
      </c>
      <c r="C55" s="12" t="n">
        <f aca="false">E28</f>
        <v>3089062.5</v>
      </c>
    </row>
    <row r="56" customFormat="false" ht="15" hidden="false" customHeight="false" outlineLevel="0" collapsed="false">
      <c r="A56" s="9" t="s">
        <v>150</v>
      </c>
      <c r="C56" s="12" t="n">
        <f aca="false">E40</f>
        <v>4082812.5</v>
      </c>
    </row>
    <row r="57" customFormat="false" ht="15" hidden="false" customHeight="false" outlineLevel="0" collapsed="false">
      <c r="A57" s="9" t="s">
        <v>151</v>
      </c>
      <c r="C57" s="16" t="str">
        <f aca="false">IF(COUNTIF(D5:D52,"&gt;=0")=0,"never — the fee never covers the burn",INDEX(A5:A52,MATCH(TRUE(),INDEX(D5:D52&gt;=0,0),0)))</f>
        <v>never — the fee never covers the burn</v>
      </c>
    </row>
    <row r="58" customFormat="false" ht="15" hidden="false" customHeight="false" outlineLevel="0" collapsed="false">
      <c r="A58" s="9" t="s">
        <v>152</v>
      </c>
      <c r="C58" s="12" t="n">
        <f aca="false">'1 Inputs'!$B$32*12/'1 Inputs'!$B$33</f>
        <v>160000000</v>
      </c>
    </row>
    <row r="59" customFormat="false" ht="15" hidden="false" customHeight="false" outlineLevel="0" collapsed="false">
      <c r="A59" s="9" t="s">
        <v>153</v>
      </c>
      <c r="C59" s="12" t="n">
        <f aca="false">'1 Inputs'!$B$12*'1 Inputs'!$B$33/12</f>
        <v>125000</v>
      </c>
    </row>
    <row r="60" customFormat="false" ht="15" hidden="false" customHeight="false" outlineLevel="0" collapsed="false">
      <c r="A60" s="9" t="s">
        <v>154</v>
      </c>
      <c r="C60" s="14" t="n">
        <f aca="false">'1 Inputs'!$B$12*'1 Inputs'!$B$33/12/'1 Inputs'!$B$32</f>
        <v>0.625</v>
      </c>
    </row>
    <row r="62" customFormat="false" ht="15" hidden="false" customHeight="false" outlineLevel="0" collapsed="false">
      <c r="A62" s="2" t="s">
        <v>155</v>
      </c>
    </row>
    <row r="63" customFormat="false" ht="15" hidden="false" customHeight="false" outlineLevel="0" collapsed="false">
      <c r="A63" s="2" t="s">
        <v>156</v>
      </c>
    </row>
    <row r="64" customFormat="false" ht="15" hidden="false" customHeight="false" outlineLevel="0" collapsed="false">
      <c r="A64" s="2" t="s">
        <v>157</v>
      </c>
    </row>
    <row r="65" customFormat="false" ht="15" hidden="false" customHeight="false" outlineLevel="0" collapsed="false">
      <c r="A65" s="2" t="s">
        <v>158</v>
      </c>
    </row>
    <row r="66" customFormat="false" ht="15" hidden="false" customHeight="false" outlineLevel="0" collapsed="false">
      <c r="A66" s="2" t="s">
        <v>159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54"/>
  </cols>
  <sheetData>
    <row r="1" customFormat="false" ht="16.15" hidden="false" customHeight="false" outlineLevel="0" collapsed="false">
      <c r="A1" s="1" t="s">
        <v>160</v>
      </c>
    </row>
    <row r="2" customFormat="false" ht="15" hidden="false" customHeight="false" outlineLevel="0" collapsed="false">
      <c r="A2" s="2" t="s">
        <v>161</v>
      </c>
    </row>
    <row r="5" customFormat="false" ht="15" hidden="false" customHeight="false" outlineLevel="0" collapsed="false">
      <c r="A5" s="0" t="s">
        <v>162</v>
      </c>
      <c r="B5" s="10" t="n">
        <v>9</v>
      </c>
    </row>
    <row r="6" customFormat="false" ht="15" hidden="false" customHeight="false" outlineLevel="0" collapsed="false">
      <c r="A6" s="0" t="s">
        <v>163</v>
      </c>
      <c r="B6" s="10" t="n">
        <v>15</v>
      </c>
    </row>
    <row r="7" customFormat="false" ht="15" hidden="false" customHeight="false" outlineLevel="0" collapsed="false">
      <c r="A7" s="0" t="s">
        <v>164</v>
      </c>
      <c r="B7" s="16" t="n">
        <f aca="false">B6-B5</f>
        <v>6</v>
      </c>
    </row>
    <row r="8" customFormat="false" ht="15" hidden="false" customHeight="false" outlineLevel="0" collapsed="false">
      <c r="A8" s="0" t="s">
        <v>165</v>
      </c>
      <c r="B8" s="12" t="n">
        <f aca="false">B7*'1 Inputs'!$B$32</f>
        <v>1200000</v>
      </c>
      <c r="C8" s="2" t="s">
        <v>166</v>
      </c>
    </row>
    <row r="9" customFormat="false" ht="15" hidden="false" customHeight="false" outlineLevel="0" collapsed="false">
      <c r="A9" s="0" t="s">
        <v>167</v>
      </c>
      <c r="B9" s="12" t="n">
        <f aca="false">B7*'1 Inputs'!$B$12*'1 Inputs'!$B$33/12</f>
        <v>750000</v>
      </c>
      <c r="C9" s="2" t="s">
        <v>168</v>
      </c>
    </row>
    <row r="10" customFormat="false" ht="15" hidden="false" customHeight="false" outlineLevel="0" collapsed="false">
      <c r="A10" s="0" t="s">
        <v>169</v>
      </c>
      <c r="B10" s="12" t="n">
        <f aca="false">B8+B9</f>
        <v>1950000</v>
      </c>
      <c r="C10" s="2" t="s">
        <v>170</v>
      </c>
    </row>
    <row r="12" customFormat="false" ht="15" hidden="false" customHeight="false" outlineLevel="0" collapsed="false">
      <c r="A12" s="9" t="s">
        <v>171</v>
      </c>
      <c r="B12" s="0" t="str">
        <f aca="false">'4 The queue'!O39</f>
        <v>NEVER REACHED</v>
      </c>
    </row>
    <row r="13" customFormat="false" ht="15" hidden="false" customHeight="false" outlineLevel="0" collapsed="false">
      <c r="A13" s="9" t="s">
        <v>172</v>
      </c>
      <c r="B13" s="12" t="n">
        <f aca="false">'4 The queue'!O36</f>
        <v>93750000</v>
      </c>
    </row>
    <row r="15" customFormat="false" ht="15" hidden="false" customHeight="false" outlineLevel="0" collapsed="false">
      <c r="A15" s="2" t="s">
        <v>173</v>
      </c>
    </row>
    <row r="16" customFormat="false" ht="15" hidden="false" customHeight="false" outlineLevel="0" collapsed="false">
      <c r="A16" s="2" t="s">
        <v>174</v>
      </c>
    </row>
    <row r="17" customFormat="false" ht="15" hidden="false" customHeight="false" outlineLevel="0" collapsed="false">
      <c r="A17" s="2" t="s">
        <v>175</v>
      </c>
    </row>
    <row r="18" customFormat="false" ht="15" hidden="false" customHeight="false" outlineLevel="0" collapsed="false">
      <c r="A18" s="2" t="s">
        <v>176</v>
      </c>
    </row>
    <row r="19" customFormat="false" ht="15" hidden="false" customHeight="false" outlineLevel="0" collapsed="false">
      <c r="A19" s="2" t="s">
        <v>177</v>
      </c>
    </row>
    <row r="20" customFormat="false" ht="15" hidden="false" customHeight="false" outlineLevel="0" collapsed="false">
      <c r="A20" s="2" t="s">
        <v>178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15"/>
    <col collapsed="false" customWidth="true" hidden="false" outlineLevel="0" max="4" min="4" style="0" width="16"/>
    <col collapsed="false" customWidth="true" hidden="false" outlineLevel="0" max="5" min="5" style="0" width="15"/>
    <col collapsed="false" customWidth="true" hidden="false" outlineLevel="0" max="7" min="6" style="0" width="17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179</v>
      </c>
    </row>
    <row r="2" customFormat="false" ht="15" hidden="false" customHeight="false" outlineLevel="0" collapsed="false">
      <c r="A2" s="2" t="s">
        <v>180</v>
      </c>
    </row>
    <row r="4" customFormat="false" ht="15" hidden="false" customHeight="false" outlineLevel="0" collapsed="false">
      <c r="A4" s="9" t="s">
        <v>181</v>
      </c>
    </row>
    <row r="5" customFormat="false" ht="41.75" hidden="false" customHeight="false" outlineLevel="0" collapsed="false">
      <c r="A5" s="11" t="s">
        <v>182</v>
      </c>
      <c r="B5" s="11" t="s">
        <v>183</v>
      </c>
      <c r="C5" s="11" t="s">
        <v>184</v>
      </c>
      <c r="D5" s="11" t="s">
        <v>185</v>
      </c>
      <c r="E5" s="11" t="s">
        <v>184</v>
      </c>
      <c r="F5" s="11" t="s">
        <v>186</v>
      </c>
      <c r="G5" s="11" t="s">
        <v>187</v>
      </c>
      <c r="H5" s="11" t="s">
        <v>188</v>
      </c>
    </row>
    <row r="6" customFormat="false" ht="15" hidden="false" customHeight="false" outlineLevel="0" collapsed="false">
      <c r="A6" s="12" t="n">
        <v>100000000</v>
      </c>
      <c r="B6" s="12" t="n">
        <f aca="false">A6*0.25</f>
        <v>25000000</v>
      </c>
      <c r="C6" s="12" t="n">
        <f aca="false">B6*'1 Inputs'!$B$35</f>
        <v>437500</v>
      </c>
      <c r="D6" s="12" t="n">
        <f aca="false">A6/3</f>
        <v>33333333.3333333</v>
      </c>
      <c r="E6" s="12" t="n">
        <f aca="false">D6*'1 Inputs'!$B$35</f>
        <v>583333.333333333</v>
      </c>
      <c r="F6" s="12" t="n">
        <f aca="false">MAX('1 Inputs'!$B$34-C6,0)</f>
        <v>1687500</v>
      </c>
      <c r="G6" s="12" t="n">
        <f aca="false">MAX('1 Inputs'!$B$34-E6,0)</f>
        <v>1541666.66666667</v>
      </c>
      <c r="H6" s="15" t="n">
        <f aca="false">MIN(12,E6/'1 Inputs'!$B$34*12)</f>
        <v>3.29411764705882</v>
      </c>
    </row>
    <row r="7" customFormat="false" ht="15" hidden="false" customHeight="false" outlineLevel="0" collapsed="false">
      <c r="A7" s="12" t="n">
        <v>150000000</v>
      </c>
      <c r="B7" s="12" t="n">
        <f aca="false">A7*0.25</f>
        <v>37500000</v>
      </c>
      <c r="C7" s="12" t="n">
        <f aca="false">B7*'1 Inputs'!$B$35</f>
        <v>656250</v>
      </c>
      <c r="D7" s="12" t="n">
        <f aca="false">A7/3</f>
        <v>50000000</v>
      </c>
      <c r="E7" s="12" t="n">
        <f aca="false">D7*'1 Inputs'!$B$35</f>
        <v>875000</v>
      </c>
      <c r="F7" s="12" t="n">
        <f aca="false">MAX('1 Inputs'!$B$34-C7,0)</f>
        <v>1468750</v>
      </c>
      <c r="G7" s="12" t="n">
        <f aca="false">MAX('1 Inputs'!$B$34-E7,0)</f>
        <v>1250000</v>
      </c>
      <c r="H7" s="15" t="n">
        <f aca="false">MIN(12,E7/'1 Inputs'!$B$34*12)</f>
        <v>4.94117647058824</v>
      </c>
    </row>
    <row r="8" customFormat="false" ht="15" hidden="false" customHeight="false" outlineLevel="0" collapsed="false">
      <c r="A8" s="12" t="n">
        <v>200000000</v>
      </c>
      <c r="B8" s="12" t="n">
        <f aca="false">A8*0.25</f>
        <v>50000000</v>
      </c>
      <c r="C8" s="12" t="n">
        <f aca="false">B8*'1 Inputs'!$B$35</f>
        <v>875000</v>
      </c>
      <c r="D8" s="12" t="n">
        <f aca="false">A8/3</f>
        <v>66666666.6666667</v>
      </c>
      <c r="E8" s="12" t="n">
        <f aca="false">D8*'1 Inputs'!$B$35</f>
        <v>1166666.66666667</v>
      </c>
      <c r="F8" s="12" t="n">
        <f aca="false">MAX('1 Inputs'!$B$34-C8,0)</f>
        <v>1250000</v>
      </c>
      <c r="G8" s="12" t="n">
        <f aca="false">MAX('1 Inputs'!$B$34-E8,0)</f>
        <v>958333.333333333</v>
      </c>
      <c r="H8" s="15" t="n">
        <f aca="false">MIN(12,E8/'1 Inputs'!$B$34*12)</f>
        <v>6.58823529411765</v>
      </c>
    </row>
    <row r="9" customFormat="false" ht="15" hidden="false" customHeight="false" outlineLevel="0" collapsed="false">
      <c r="A9" s="12" t="n">
        <v>300000000</v>
      </c>
      <c r="B9" s="12" t="n">
        <f aca="false">A9*0.25</f>
        <v>75000000</v>
      </c>
      <c r="C9" s="12" t="n">
        <f aca="false">B9*'1 Inputs'!$B$35</f>
        <v>1312500</v>
      </c>
      <c r="D9" s="12" t="n">
        <f aca="false">A9/3</f>
        <v>100000000</v>
      </c>
      <c r="E9" s="12" t="n">
        <f aca="false">D9*'1 Inputs'!$B$35</f>
        <v>1750000</v>
      </c>
      <c r="F9" s="12" t="n">
        <f aca="false">MAX('1 Inputs'!$B$34-C9,0)</f>
        <v>812500</v>
      </c>
      <c r="G9" s="12" t="n">
        <f aca="false">MAX('1 Inputs'!$B$34-E9,0)</f>
        <v>375000</v>
      </c>
      <c r="H9" s="15" t="n">
        <f aca="false">MIN(12,E9/'1 Inputs'!$B$34*12)</f>
        <v>9.88235294117647</v>
      </c>
    </row>
    <row r="10" customFormat="false" ht="15" hidden="false" customHeight="false" outlineLevel="0" collapsed="false">
      <c r="A10" s="12" t="n">
        <v>400000000</v>
      </c>
      <c r="B10" s="12" t="n">
        <f aca="false">A10*0.25</f>
        <v>100000000</v>
      </c>
      <c r="C10" s="12" t="n">
        <f aca="false">B10*'1 Inputs'!$B$35</f>
        <v>1750000</v>
      </c>
      <c r="D10" s="12" t="n">
        <f aca="false">A10/3</f>
        <v>133333333.333333</v>
      </c>
      <c r="E10" s="12" t="n">
        <f aca="false">D10*'1 Inputs'!$B$35</f>
        <v>2333333.33333333</v>
      </c>
      <c r="F10" s="12" t="n">
        <f aca="false">MAX('1 Inputs'!$B$34-C10,0)</f>
        <v>375000</v>
      </c>
      <c r="G10" s="12" t="n">
        <f aca="false">MAX('1 Inputs'!$B$34-E10,0)</f>
        <v>0</v>
      </c>
      <c r="H10" s="15" t="n">
        <f aca="false">MIN(12,E10/'1 Inputs'!$B$34*12)</f>
        <v>12</v>
      </c>
    </row>
    <row r="11" customFormat="false" ht="15" hidden="false" customHeight="false" outlineLevel="0" collapsed="false">
      <c r="A11" s="12" t="n">
        <v>500000000</v>
      </c>
      <c r="B11" s="12" t="n">
        <f aca="false">A11*0.25</f>
        <v>125000000</v>
      </c>
      <c r="C11" s="12" t="n">
        <f aca="false">B11*'1 Inputs'!$B$35</f>
        <v>2187500</v>
      </c>
      <c r="D11" s="12" t="n">
        <f aca="false">A11/3</f>
        <v>166666666.666667</v>
      </c>
      <c r="E11" s="12" t="n">
        <f aca="false">D11*'1 Inputs'!$B$35</f>
        <v>2916666.66666667</v>
      </c>
      <c r="F11" s="12" t="n">
        <f aca="false">MAX('1 Inputs'!$B$34-C11,0)</f>
        <v>0</v>
      </c>
      <c r="G11" s="12" t="n">
        <f aca="false">MAX('1 Inputs'!$B$34-E11,0)</f>
        <v>0</v>
      </c>
      <c r="H11" s="15" t="n">
        <f aca="false">MIN(12,E11/'1 Inputs'!$B$34*12)</f>
        <v>12</v>
      </c>
    </row>
    <row r="12" customFormat="false" ht="15" hidden="false" customHeight="false" outlineLevel="0" collapsed="false">
      <c r="A12" s="12" t="n">
        <v>600000000</v>
      </c>
      <c r="B12" s="12" t="n">
        <f aca="false">A12*0.25</f>
        <v>150000000</v>
      </c>
      <c r="C12" s="12" t="n">
        <f aca="false">B12*'1 Inputs'!$B$35</f>
        <v>2625000</v>
      </c>
      <c r="D12" s="12" t="n">
        <f aca="false">A12/3</f>
        <v>200000000</v>
      </c>
      <c r="E12" s="12" t="n">
        <f aca="false">D12*'1 Inputs'!$B$35</f>
        <v>3500000</v>
      </c>
      <c r="F12" s="12" t="n">
        <f aca="false">MAX('1 Inputs'!$B$34-C12,0)</f>
        <v>0</v>
      </c>
      <c r="G12" s="12" t="n">
        <f aca="false">MAX('1 Inputs'!$B$34-E12,0)</f>
        <v>0</v>
      </c>
      <c r="H12" s="15" t="n">
        <f aca="false">MIN(12,E12/'1 Inputs'!$B$34*12)</f>
        <v>12</v>
      </c>
    </row>
    <row r="13" customFormat="false" ht="15" hidden="false" customHeight="false" outlineLevel="0" collapsed="false">
      <c r="A13" s="9" t="s">
        <v>189</v>
      </c>
      <c r="D13" s="12" t="n">
        <f aca="false">'1 Inputs'!$B$34/'1 Inputs'!$B$35/0.25</f>
        <v>485714285.714286</v>
      </c>
    </row>
    <row r="14" customFormat="false" ht="15" hidden="false" customHeight="false" outlineLevel="0" collapsed="false">
      <c r="A14" s="9" t="s">
        <v>190</v>
      </c>
      <c r="D14" s="12" t="n">
        <f aca="false">'1 Inputs'!$B$34/'1 Inputs'!$B$35*3</f>
        <v>364285714.285714</v>
      </c>
    </row>
    <row r="18" customFormat="false" ht="15" hidden="false" customHeight="false" outlineLevel="0" collapsed="false">
      <c r="A18" s="9" t="s">
        <v>191</v>
      </c>
    </row>
    <row r="19" customFormat="false" ht="41.75" hidden="false" customHeight="false" outlineLevel="0" collapsed="false">
      <c r="A19" s="11" t="s">
        <v>182</v>
      </c>
      <c r="B19" s="11" t="s">
        <v>183</v>
      </c>
      <c r="C19" s="11" t="s">
        <v>184</v>
      </c>
      <c r="D19" s="11" t="s">
        <v>185</v>
      </c>
      <c r="E19" s="11" t="s">
        <v>184</v>
      </c>
      <c r="F19" s="11" t="s">
        <v>186</v>
      </c>
      <c r="G19" s="11" t="s">
        <v>187</v>
      </c>
      <c r="H19" s="11" t="s">
        <v>188</v>
      </c>
    </row>
    <row r="20" customFormat="false" ht="15" hidden="false" customHeight="false" outlineLevel="0" collapsed="false">
      <c r="A20" s="12" t="n">
        <v>100000000</v>
      </c>
      <c r="B20" s="12" t="n">
        <f aca="false">A20*0.25</f>
        <v>25000000</v>
      </c>
      <c r="C20" s="12" t="n">
        <f aca="false">B20*'1 Inputs'!$B$33</f>
        <v>375000</v>
      </c>
      <c r="D20" s="12" t="n">
        <f aca="false">A20/3</f>
        <v>33333333.3333333</v>
      </c>
      <c r="E20" s="12" t="n">
        <f aca="false">D20*'1 Inputs'!$B$33</f>
        <v>500000</v>
      </c>
      <c r="F20" s="12" t="n">
        <f aca="false">MAX(('1 Inputs'!$B$32*12)-C20,0)</f>
        <v>2025000</v>
      </c>
      <c r="G20" s="12" t="n">
        <f aca="false">MAX(('1 Inputs'!$B$32*12)-E20,0)</f>
        <v>1900000</v>
      </c>
      <c r="H20" s="15" t="n">
        <f aca="false">MIN(12,E20/('1 Inputs'!$B$32*12)*12)</f>
        <v>2.5</v>
      </c>
    </row>
    <row r="21" customFormat="false" ht="15" hidden="false" customHeight="false" outlineLevel="0" collapsed="false">
      <c r="A21" s="12" t="n">
        <v>150000000</v>
      </c>
      <c r="B21" s="12" t="n">
        <f aca="false">A21*0.25</f>
        <v>37500000</v>
      </c>
      <c r="C21" s="12" t="n">
        <f aca="false">B21*'1 Inputs'!$B$33</f>
        <v>562500</v>
      </c>
      <c r="D21" s="12" t="n">
        <f aca="false">A21/3</f>
        <v>50000000</v>
      </c>
      <c r="E21" s="12" t="n">
        <f aca="false">D21*'1 Inputs'!$B$33</f>
        <v>750000</v>
      </c>
      <c r="F21" s="12" t="n">
        <f aca="false">MAX(('1 Inputs'!$B$32*12)-C21,0)</f>
        <v>1837500</v>
      </c>
      <c r="G21" s="12" t="n">
        <f aca="false">MAX(('1 Inputs'!$B$32*12)-E21,0)</f>
        <v>1650000</v>
      </c>
      <c r="H21" s="15" t="n">
        <f aca="false">MIN(12,E21/('1 Inputs'!$B$32*12)*12)</f>
        <v>3.75</v>
      </c>
    </row>
    <row r="22" customFormat="false" ht="15" hidden="false" customHeight="false" outlineLevel="0" collapsed="false">
      <c r="A22" s="12" t="n">
        <v>200000000</v>
      </c>
      <c r="B22" s="12" t="n">
        <f aca="false">A22*0.25</f>
        <v>50000000</v>
      </c>
      <c r="C22" s="12" t="n">
        <f aca="false">B22*'1 Inputs'!$B$33</f>
        <v>750000</v>
      </c>
      <c r="D22" s="12" t="n">
        <f aca="false">A22/3</f>
        <v>66666666.6666667</v>
      </c>
      <c r="E22" s="12" t="n">
        <f aca="false">D22*'1 Inputs'!$B$33</f>
        <v>1000000</v>
      </c>
      <c r="F22" s="12" t="n">
        <f aca="false">MAX(('1 Inputs'!$B$32*12)-C22,0)</f>
        <v>1650000</v>
      </c>
      <c r="G22" s="12" t="n">
        <f aca="false">MAX(('1 Inputs'!$B$32*12)-E22,0)</f>
        <v>1400000</v>
      </c>
      <c r="H22" s="15" t="n">
        <f aca="false">MIN(12,E22/('1 Inputs'!$B$32*12)*12)</f>
        <v>5</v>
      </c>
    </row>
    <row r="23" customFormat="false" ht="15" hidden="false" customHeight="false" outlineLevel="0" collapsed="false">
      <c r="A23" s="12" t="n">
        <v>300000000</v>
      </c>
      <c r="B23" s="12" t="n">
        <f aca="false">A23*0.25</f>
        <v>75000000</v>
      </c>
      <c r="C23" s="12" t="n">
        <f aca="false">B23*'1 Inputs'!$B$33</f>
        <v>1125000</v>
      </c>
      <c r="D23" s="12" t="n">
        <f aca="false">A23/3</f>
        <v>100000000</v>
      </c>
      <c r="E23" s="12" t="n">
        <f aca="false">D23*'1 Inputs'!$B$33</f>
        <v>1500000</v>
      </c>
      <c r="F23" s="12" t="n">
        <f aca="false">MAX(('1 Inputs'!$B$32*12)-C23,0)</f>
        <v>1275000</v>
      </c>
      <c r="G23" s="12" t="n">
        <f aca="false">MAX(('1 Inputs'!$B$32*12)-E23,0)</f>
        <v>900000</v>
      </c>
      <c r="H23" s="15" t="n">
        <f aca="false">MIN(12,E23/('1 Inputs'!$B$32*12)*12)</f>
        <v>7.5</v>
      </c>
    </row>
    <row r="24" customFormat="false" ht="15" hidden="false" customHeight="false" outlineLevel="0" collapsed="false">
      <c r="A24" s="12" t="n">
        <v>400000000</v>
      </c>
      <c r="B24" s="12" t="n">
        <f aca="false">A24*0.25</f>
        <v>100000000</v>
      </c>
      <c r="C24" s="12" t="n">
        <f aca="false">B24*'1 Inputs'!$B$33</f>
        <v>1500000</v>
      </c>
      <c r="D24" s="12" t="n">
        <f aca="false">A24/3</f>
        <v>133333333.333333</v>
      </c>
      <c r="E24" s="12" t="n">
        <f aca="false">D24*'1 Inputs'!$B$33</f>
        <v>2000000</v>
      </c>
      <c r="F24" s="12" t="n">
        <f aca="false">MAX(('1 Inputs'!$B$32*12)-C24,0)</f>
        <v>900000</v>
      </c>
      <c r="G24" s="12" t="n">
        <f aca="false">MAX(('1 Inputs'!$B$32*12)-E24,0)</f>
        <v>400000</v>
      </c>
      <c r="H24" s="15" t="n">
        <f aca="false">MIN(12,E24/('1 Inputs'!$B$32*12)*12)</f>
        <v>10</v>
      </c>
    </row>
    <row r="25" customFormat="false" ht="15" hidden="false" customHeight="false" outlineLevel="0" collapsed="false">
      <c r="A25" s="12" t="n">
        <v>500000000</v>
      </c>
      <c r="B25" s="12" t="n">
        <f aca="false">A25*0.25</f>
        <v>125000000</v>
      </c>
      <c r="C25" s="12" t="n">
        <f aca="false">B25*'1 Inputs'!$B$33</f>
        <v>1875000</v>
      </c>
      <c r="D25" s="12" t="n">
        <f aca="false">A25/3</f>
        <v>166666666.666667</v>
      </c>
      <c r="E25" s="12" t="n">
        <f aca="false">D25*'1 Inputs'!$B$33</f>
        <v>2500000</v>
      </c>
      <c r="F25" s="12" t="n">
        <f aca="false">MAX(('1 Inputs'!$B$32*12)-C25,0)</f>
        <v>525000</v>
      </c>
      <c r="G25" s="12" t="n">
        <f aca="false">MAX(('1 Inputs'!$B$32*12)-E25,0)</f>
        <v>0</v>
      </c>
      <c r="H25" s="15" t="n">
        <f aca="false">MIN(12,E25/('1 Inputs'!$B$32*12)*12)</f>
        <v>12</v>
      </c>
    </row>
    <row r="26" customFormat="false" ht="15" hidden="false" customHeight="false" outlineLevel="0" collapsed="false">
      <c r="A26" s="12" t="n">
        <v>600000000</v>
      </c>
      <c r="B26" s="12" t="n">
        <f aca="false">A26*0.25</f>
        <v>150000000</v>
      </c>
      <c r="C26" s="12" t="n">
        <f aca="false">B26*'1 Inputs'!$B$33</f>
        <v>2250000</v>
      </c>
      <c r="D26" s="12" t="n">
        <f aca="false">A26/3</f>
        <v>200000000</v>
      </c>
      <c r="E26" s="12" t="n">
        <f aca="false">D26*'1 Inputs'!$B$33</f>
        <v>3000000</v>
      </c>
      <c r="F26" s="12" t="n">
        <f aca="false">MAX(('1 Inputs'!$B$32*12)-C26,0)</f>
        <v>150000</v>
      </c>
      <c r="G26" s="12" t="n">
        <f aca="false">MAX(('1 Inputs'!$B$32*12)-E26,0)</f>
        <v>0</v>
      </c>
      <c r="H26" s="15" t="n">
        <f aca="false">MIN(12,E26/('1 Inputs'!$B$32*12)*12)</f>
        <v>12</v>
      </c>
    </row>
    <row r="27" customFormat="false" ht="15" hidden="false" customHeight="false" outlineLevel="0" collapsed="false">
      <c r="A27" s="9" t="s">
        <v>189</v>
      </c>
      <c r="D27" s="12" t="n">
        <f aca="false">('1 Inputs'!$B$32*12)/'1 Inputs'!$B$33/0.25</f>
        <v>640000000</v>
      </c>
    </row>
    <row r="28" customFormat="false" ht="15" hidden="false" customHeight="false" outlineLevel="0" collapsed="false">
      <c r="A28" s="9" t="s">
        <v>190</v>
      </c>
      <c r="D28" s="12" t="n">
        <f aca="false">('1 Inputs'!$B$32*12)/'1 Inputs'!$B$33*3</f>
        <v>480000000</v>
      </c>
    </row>
    <row r="32" customFormat="false" ht="15" hidden="false" customHeight="false" outlineLevel="0" collapsed="false">
      <c r="A32" s="2" t="s">
        <v>192</v>
      </c>
    </row>
    <row r="33" customFormat="false" ht="15" hidden="false" customHeight="false" outlineLevel="0" collapsed="false">
      <c r="A33" s="2" t="s">
        <v>193</v>
      </c>
    </row>
    <row r="34" customFormat="false" ht="15" hidden="false" customHeight="false" outlineLevel="0" collapsed="false">
      <c r="A34" s="2" t="s">
        <v>194</v>
      </c>
    </row>
    <row r="35" customFormat="false" ht="15" hidden="false" customHeight="false" outlineLevel="0" collapsed="false">
      <c r="A35" s="2" t="s">
        <v>195</v>
      </c>
    </row>
    <row r="36" customFormat="false" ht="15" hidden="false" customHeight="false" outlineLevel="0" collapsed="false">
      <c r="A36" s="2" t="s">
        <v>196</v>
      </c>
    </row>
    <row r="37" customFormat="false" ht="15" hidden="false" customHeight="false" outlineLevel="0" collapsed="false">
      <c r="A37" s="2" t="s">
        <v>197</v>
      </c>
    </row>
    <row r="38" customFormat="false" ht="15" hidden="false" customHeight="false" outlineLevel="0" collapsed="false">
      <c r="A38" s="2" t="s">
        <v>198</v>
      </c>
    </row>
    <row r="39" customFormat="false" ht="15" hidden="false" customHeight="false" outlineLevel="0" collapsed="false">
      <c r="A39" s="2" t="s">
        <v>199</v>
      </c>
    </row>
    <row r="40" customFormat="false" ht="15" hidden="false" customHeight="false" outlineLevel="0" collapsed="false">
      <c r="A40" s="2" t="s">
        <v>200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K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20"/>
    <col collapsed="false" customWidth="true" hidden="false" outlineLevel="0" max="4" min="4" style="0" width="18"/>
    <col collapsed="false" customWidth="true" hidden="false" outlineLevel="0" max="9" min="5" style="0" width="4"/>
    <col collapsed="false" customWidth="true" hidden="true" outlineLevel="0" max="89" min="10" style="0" width="13"/>
  </cols>
  <sheetData>
    <row r="1" customFormat="false" ht="16.15" hidden="false" customHeight="false" outlineLevel="0" collapsed="false">
      <c r="A1" s="1" t="s">
        <v>201</v>
      </c>
    </row>
    <row r="2" customFormat="false" ht="15" hidden="false" customHeight="false" outlineLevel="0" collapsed="false">
      <c r="A2" s="2" t="s">
        <v>202</v>
      </c>
    </row>
    <row r="4" customFormat="false" ht="15" hidden="false" customHeight="false" outlineLevel="0" collapsed="false">
      <c r="A4" s="11" t="s">
        <v>203</v>
      </c>
      <c r="B4" s="11" t="s">
        <v>204</v>
      </c>
      <c r="C4" s="11" t="s">
        <v>205</v>
      </c>
      <c r="D4" s="11" t="s">
        <v>206</v>
      </c>
    </row>
    <row r="5" customFormat="false" ht="15" hidden="false" customHeight="false" outlineLevel="0" collapsed="false">
      <c r="A5" s="0" t="n">
        <v>18</v>
      </c>
      <c r="B5" s="12" t="n">
        <f aca="false">SUMIF(J5:AW5,"&lt;="&amp;($A5+52),AX5:CK5)</f>
        <v>62500000</v>
      </c>
      <c r="C5" s="12" t="n">
        <f aca="false">SUM(AX5:CK5)</f>
        <v>93750000</v>
      </c>
      <c r="D5" s="15" t="n">
        <f aca="false">(MIN(J5:AW5)-$A5)/52*12</f>
        <v>8.53846153846154</v>
      </c>
      <c r="J5" s="19" t="n">
        <f aca="false">IFERROR(INDEX('4 The queue'!$T$5:$T$40,MATCH((IFERROR(INDEX('4 The queue'!$U$5:$U$212,MATCH(IF($A5&lt;=1,0,INDEX('4 The queue'!$W$5:$W$212,$A5-1))+0+1,'4 The queue'!$W$5:$W$212,0)),9999)+'1 Inputs'!$B$22+'1 Inputs'!$B$23+'1 Inputs'!$B$24+'1 Inputs'!$B$25),'4 The queue'!$T$5:$T$40,1)+IF(INDEX('4 The queue'!$T$5:$T$40,MATCH((IFERROR(INDEX('4 The queue'!$U$5:$U$212,MATCH(IF($A5&lt;=1,0,INDEX('4 The queue'!$W$5:$W$212,$A5-1))+0+1,'4 The queue'!$W$5:$W$212,0)),9999)+'1 Inputs'!$B$22+'1 Inputs'!$B$23+'1 Inputs'!$B$24+'1 Inputs'!$B$25),'4 The queue'!$T$5:$T$40,1))=(IFERROR(INDEX('4 The queue'!$U$5:$U$212,MATCH(IF($A5&lt;=1,0,INDEX('4 The queue'!$W$5:$W$212,$A5-1))+0+1,'4 The queue'!$W$5:$W$212,0)),9999)+'1 Inputs'!$B$22+'1 Inputs'!$B$23+'1 Inputs'!$B$24+'1 Inputs'!$B$25),0,1)),9999)+'1 Inputs'!$B$26</f>
        <v>55</v>
      </c>
      <c r="K5" s="19" t="n">
        <f aca="false">IFERROR(INDEX('4 The queue'!$T$5:$T$40,MATCH((IFERROR(INDEX('4 The queue'!$U$5:$U$212,MATCH(IF($A5&lt;=1,0,INDEX('4 The queue'!$W$5:$W$212,$A5-1))+1+1,'4 The queue'!$W$5:$W$212,0)),9999)+'1 Inputs'!$B$22+'1 Inputs'!$B$23+'1 Inputs'!$B$24+'1 Inputs'!$B$25),'4 The queue'!$T$5:$T$40,1)+IF(INDEX('4 The queue'!$T$5:$T$40,MATCH((IFERROR(INDEX('4 The queue'!$U$5:$U$212,MATCH(IF($A5&lt;=1,0,INDEX('4 The queue'!$W$5:$W$212,$A5-1))+1+1,'4 The queue'!$W$5:$W$212,0)),9999)+'1 Inputs'!$B$22+'1 Inputs'!$B$23+'1 Inputs'!$B$24+'1 Inputs'!$B$25),'4 The queue'!$T$5:$T$40,1))=(IFERROR(INDEX('4 The queue'!$U$5:$U$212,MATCH(IF($A5&lt;=1,0,INDEX('4 The queue'!$W$5:$W$212,$A5-1))+1+1,'4 The queue'!$W$5:$W$212,0)),9999)+'1 Inputs'!$B$22+'1 Inputs'!$B$23+'1 Inputs'!$B$24+'1 Inputs'!$B$25),0,1)),9999)+'1 Inputs'!$B$26</f>
        <v>55</v>
      </c>
      <c r="L5" s="19" t="n">
        <f aca="false">IFERROR(INDEX('4 The queue'!$T$5:$T$40,MATCH((IFERROR(INDEX('4 The queue'!$U$5:$U$212,MATCH(IF($A5&lt;=1,0,INDEX('4 The queue'!$W$5:$W$212,$A5-1))+2+1,'4 The queue'!$W$5:$W$212,0)),9999)+'1 Inputs'!$B$22+'1 Inputs'!$B$23+'1 Inputs'!$B$24+'1 Inputs'!$B$25),'4 The queue'!$T$5:$T$40,1)+IF(INDEX('4 The queue'!$T$5:$T$40,MATCH((IFERROR(INDEX('4 The queue'!$U$5:$U$212,MATCH(IF($A5&lt;=1,0,INDEX('4 The queue'!$W$5:$W$212,$A5-1))+2+1,'4 The queue'!$W$5:$W$212,0)),9999)+'1 Inputs'!$B$22+'1 Inputs'!$B$23+'1 Inputs'!$B$24+'1 Inputs'!$B$25),'4 The queue'!$T$5:$T$40,1))=(IFERROR(INDEX('4 The queue'!$U$5:$U$212,MATCH(IF($A5&lt;=1,0,INDEX('4 The queue'!$W$5:$W$212,$A5-1))+2+1,'4 The queue'!$W$5:$W$212,0)),9999)+'1 Inputs'!$B$22+'1 Inputs'!$B$23+'1 Inputs'!$B$24+'1 Inputs'!$B$25),0,1)),9999)+'1 Inputs'!$B$26</f>
        <v>55</v>
      </c>
      <c r="M5" s="19" t="n">
        <f aca="false">IFERROR(INDEX('4 The queue'!$T$5:$T$40,MATCH((IFERROR(INDEX('4 The queue'!$U$5:$U$212,MATCH(IF($A5&lt;=1,0,INDEX('4 The queue'!$W$5:$W$212,$A5-1))+3+1,'4 The queue'!$W$5:$W$212,0)),9999)+'1 Inputs'!$B$22+'1 Inputs'!$B$23+'1 Inputs'!$B$24+'1 Inputs'!$B$25),'4 The queue'!$T$5:$T$40,1)+IF(INDEX('4 The queue'!$T$5:$T$40,MATCH((IFERROR(INDEX('4 The queue'!$U$5:$U$212,MATCH(IF($A5&lt;=1,0,INDEX('4 The queue'!$W$5:$W$212,$A5-1))+3+1,'4 The queue'!$W$5:$W$212,0)),9999)+'1 Inputs'!$B$22+'1 Inputs'!$B$23+'1 Inputs'!$B$24+'1 Inputs'!$B$25),'4 The queue'!$T$5:$T$40,1))=(IFERROR(INDEX('4 The queue'!$U$5:$U$212,MATCH(IF($A5&lt;=1,0,INDEX('4 The queue'!$W$5:$W$212,$A5-1))+3+1,'4 The queue'!$W$5:$W$212,0)),9999)+'1 Inputs'!$B$22+'1 Inputs'!$B$23+'1 Inputs'!$B$24+'1 Inputs'!$B$25),0,1)),9999)+'1 Inputs'!$B$26</f>
        <v>55</v>
      </c>
      <c r="N5" s="19" t="n">
        <f aca="false">IFERROR(INDEX('4 The queue'!$T$5:$T$40,MATCH((IFERROR(INDEX('4 The queue'!$U$5:$U$212,MATCH(IF($A5&lt;=1,0,INDEX('4 The queue'!$W$5:$W$212,$A5-1))+4+1,'4 The queue'!$W$5:$W$212,0)),9999)+'1 Inputs'!$B$22+'1 Inputs'!$B$23+'1 Inputs'!$B$24+'1 Inputs'!$B$25),'4 The queue'!$T$5:$T$40,1)+IF(INDEX('4 The queue'!$T$5:$T$40,MATCH((IFERROR(INDEX('4 The queue'!$U$5:$U$212,MATCH(IF($A5&lt;=1,0,INDEX('4 The queue'!$W$5:$W$212,$A5-1))+4+1,'4 The queue'!$W$5:$W$212,0)),9999)+'1 Inputs'!$B$22+'1 Inputs'!$B$23+'1 Inputs'!$B$24+'1 Inputs'!$B$25),'4 The queue'!$T$5:$T$40,1))=(IFERROR(INDEX('4 The queue'!$U$5:$U$212,MATCH(IF($A5&lt;=1,0,INDEX('4 The queue'!$W$5:$W$212,$A5-1))+4+1,'4 The queue'!$W$5:$W$212,0)),9999)+'1 Inputs'!$B$22+'1 Inputs'!$B$23+'1 Inputs'!$B$24+'1 Inputs'!$B$25),0,1)),9999)+'1 Inputs'!$B$26</f>
        <v>55</v>
      </c>
      <c r="O5" s="19" t="n">
        <f aca="false">IFERROR(INDEX('4 The queue'!$T$5:$T$40,MATCH((IFERROR(INDEX('4 The queue'!$U$5:$U$212,MATCH(IF($A5&lt;=1,0,INDEX('4 The queue'!$W$5:$W$212,$A5-1))+5+1,'4 The queue'!$W$5:$W$212,0)),9999)+'1 Inputs'!$B$22+'1 Inputs'!$B$23+'1 Inputs'!$B$24+'1 Inputs'!$B$25),'4 The queue'!$T$5:$T$40,1)+IF(INDEX('4 The queue'!$T$5:$T$40,MATCH((IFERROR(INDEX('4 The queue'!$U$5:$U$212,MATCH(IF($A5&lt;=1,0,INDEX('4 The queue'!$W$5:$W$212,$A5-1))+5+1,'4 The queue'!$W$5:$W$212,0)),9999)+'1 Inputs'!$B$22+'1 Inputs'!$B$23+'1 Inputs'!$B$24+'1 Inputs'!$B$25),'4 The queue'!$T$5:$T$40,1))=(IFERROR(INDEX('4 The queue'!$U$5:$U$212,MATCH(IF($A5&lt;=1,0,INDEX('4 The queue'!$W$5:$W$212,$A5-1))+5+1,'4 The queue'!$W$5:$W$212,0)),9999)+'1 Inputs'!$B$22+'1 Inputs'!$B$23+'1 Inputs'!$B$24+'1 Inputs'!$B$25),0,1)),9999)+'1 Inputs'!$B$26</f>
        <v>55</v>
      </c>
      <c r="P5" s="19" t="n">
        <f aca="false">IFERROR(INDEX('4 The queue'!$T$5:$T$40,MATCH((IFERROR(INDEX('4 The queue'!$U$5:$U$212,MATCH(IF($A5&lt;=1,0,INDEX('4 The queue'!$W$5:$W$212,$A5-1))+6+1,'4 The queue'!$W$5:$W$212,0)),9999)+'1 Inputs'!$B$22+'1 Inputs'!$B$23+'1 Inputs'!$B$24+'1 Inputs'!$B$25),'4 The queue'!$T$5:$T$40,1)+IF(INDEX('4 The queue'!$T$5:$T$40,MATCH((IFERROR(INDEX('4 The queue'!$U$5:$U$212,MATCH(IF($A5&lt;=1,0,INDEX('4 The queue'!$W$5:$W$212,$A5-1))+6+1,'4 The queue'!$W$5:$W$212,0)),9999)+'1 Inputs'!$B$22+'1 Inputs'!$B$23+'1 Inputs'!$B$24+'1 Inputs'!$B$25),'4 The queue'!$T$5:$T$40,1))=(IFERROR(INDEX('4 The queue'!$U$5:$U$212,MATCH(IF($A5&lt;=1,0,INDEX('4 The queue'!$W$5:$W$212,$A5-1))+6+1,'4 The queue'!$W$5:$W$212,0)),9999)+'1 Inputs'!$B$22+'1 Inputs'!$B$23+'1 Inputs'!$B$24+'1 Inputs'!$B$25),0,1)),9999)+'1 Inputs'!$B$26</f>
        <v>55</v>
      </c>
      <c r="Q5" s="19" t="n">
        <f aca="false">IFERROR(INDEX('4 The queue'!$T$5:$T$40,MATCH((IFERROR(INDEX('4 The queue'!$U$5:$U$212,MATCH(IF($A5&lt;=1,0,INDEX('4 The queue'!$W$5:$W$212,$A5-1))+7+1,'4 The queue'!$W$5:$W$212,0)),9999)+'1 Inputs'!$B$22+'1 Inputs'!$B$23+'1 Inputs'!$B$24+'1 Inputs'!$B$25),'4 The queue'!$T$5:$T$40,1)+IF(INDEX('4 The queue'!$T$5:$T$40,MATCH((IFERROR(INDEX('4 The queue'!$U$5:$U$212,MATCH(IF($A5&lt;=1,0,INDEX('4 The queue'!$W$5:$W$212,$A5-1))+7+1,'4 The queue'!$W$5:$W$212,0)),9999)+'1 Inputs'!$B$22+'1 Inputs'!$B$23+'1 Inputs'!$B$24+'1 Inputs'!$B$25),'4 The queue'!$T$5:$T$40,1))=(IFERROR(INDEX('4 The queue'!$U$5:$U$212,MATCH(IF($A5&lt;=1,0,INDEX('4 The queue'!$W$5:$W$212,$A5-1))+7+1,'4 The queue'!$W$5:$W$212,0)),9999)+'1 Inputs'!$B$22+'1 Inputs'!$B$23+'1 Inputs'!$B$24+'1 Inputs'!$B$25),0,1)),9999)+'1 Inputs'!$B$26</f>
        <v>55</v>
      </c>
      <c r="R5" s="19" t="n">
        <f aca="false">IFERROR(INDEX('4 The queue'!$T$5:$T$40,MATCH((IFERROR(INDEX('4 The queue'!$U$5:$U$212,MATCH(IF($A5&lt;=1,0,INDEX('4 The queue'!$W$5:$W$212,$A5-1))+8+1,'4 The queue'!$W$5:$W$212,0)),9999)+'1 Inputs'!$B$22+'1 Inputs'!$B$23+'1 Inputs'!$B$24+'1 Inputs'!$B$25),'4 The queue'!$T$5:$T$40,1)+IF(INDEX('4 The queue'!$T$5:$T$40,MATCH((IFERROR(INDEX('4 The queue'!$U$5:$U$212,MATCH(IF($A5&lt;=1,0,INDEX('4 The queue'!$W$5:$W$212,$A5-1))+8+1,'4 The queue'!$W$5:$W$212,0)),9999)+'1 Inputs'!$B$22+'1 Inputs'!$B$23+'1 Inputs'!$B$24+'1 Inputs'!$B$25),'4 The queue'!$T$5:$T$40,1))=(IFERROR(INDEX('4 The queue'!$U$5:$U$212,MATCH(IF($A5&lt;=1,0,INDEX('4 The queue'!$W$5:$W$212,$A5-1))+8+1,'4 The queue'!$W$5:$W$212,0)),9999)+'1 Inputs'!$B$22+'1 Inputs'!$B$23+'1 Inputs'!$B$24+'1 Inputs'!$B$25),0,1)),9999)+'1 Inputs'!$B$26</f>
        <v>55</v>
      </c>
      <c r="S5" s="19" t="n">
        <f aca="false">IFERROR(INDEX('4 The queue'!$T$5:$T$40,MATCH((IFERROR(INDEX('4 The queue'!$U$5:$U$212,MATCH(IF($A5&lt;=1,0,INDEX('4 The queue'!$W$5:$W$212,$A5-1))+9+1,'4 The queue'!$W$5:$W$212,0)),9999)+'1 Inputs'!$B$22+'1 Inputs'!$B$23+'1 Inputs'!$B$24+'1 Inputs'!$B$25),'4 The queue'!$T$5:$T$40,1)+IF(INDEX('4 The queue'!$T$5:$T$40,MATCH((IFERROR(INDEX('4 The queue'!$U$5:$U$212,MATCH(IF($A5&lt;=1,0,INDEX('4 The queue'!$W$5:$W$212,$A5-1))+9+1,'4 The queue'!$W$5:$W$212,0)),9999)+'1 Inputs'!$B$22+'1 Inputs'!$B$23+'1 Inputs'!$B$24+'1 Inputs'!$B$25),'4 The queue'!$T$5:$T$40,1))=(IFERROR(INDEX('4 The queue'!$U$5:$U$212,MATCH(IF($A5&lt;=1,0,INDEX('4 The queue'!$W$5:$W$212,$A5-1))+9+1,'4 The queue'!$W$5:$W$212,0)),9999)+'1 Inputs'!$B$22+'1 Inputs'!$B$23+'1 Inputs'!$B$24+'1 Inputs'!$B$25),0,1)),9999)+'1 Inputs'!$B$26</f>
        <v>55</v>
      </c>
      <c r="T5" s="19" t="n">
        <f aca="false">IFERROR(INDEX('4 The queue'!$T$5:$T$40,MATCH((IFERROR(INDEX('4 The queue'!$U$5:$U$212,MATCH(IF($A5&lt;=1,0,INDEX('4 The queue'!$W$5:$W$212,$A5-1))+10+1,'4 The queue'!$W$5:$W$212,0)),9999)+'1 Inputs'!$B$22+'1 Inputs'!$B$23+'1 Inputs'!$B$24+'1 Inputs'!$B$25),'4 The queue'!$T$5:$T$40,1)+IF(INDEX('4 The queue'!$T$5:$T$40,MATCH((IFERROR(INDEX('4 The queue'!$U$5:$U$212,MATCH(IF($A5&lt;=1,0,INDEX('4 The queue'!$W$5:$W$212,$A5-1))+10+1,'4 The queue'!$W$5:$W$212,0)),9999)+'1 Inputs'!$B$22+'1 Inputs'!$B$23+'1 Inputs'!$B$24+'1 Inputs'!$B$25),'4 The queue'!$T$5:$T$40,1))=(IFERROR(INDEX('4 The queue'!$U$5:$U$212,MATCH(IF($A5&lt;=1,0,INDEX('4 The queue'!$W$5:$W$212,$A5-1))+10+1,'4 The queue'!$W$5:$W$212,0)),9999)+'1 Inputs'!$B$22+'1 Inputs'!$B$23+'1 Inputs'!$B$24+'1 Inputs'!$B$25),0,1)),9999)+'1 Inputs'!$B$26</f>
        <v>71</v>
      </c>
      <c r="U5" s="19" t="n">
        <f aca="false">IFERROR(INDEX('4 The queue'!$T$5:$T$40,MATCH((IFERROR(INDEX('4 The queue'!$U$5:$U$212,MATCH(IF($A5&lt;=1,0,INDEX('4 The queue'!$W$5:$W$212,$A5-1))+11+1,'4 The queue'!$W$5:$W$212,0)),9999)+'1 Inputs'!$B$22+'1 Inputs'!$B$23+'1 Inputs'!$B$24+'1 Inputs'!$B$25),'4 The queue'!$T$5:$T$40,1)+IF(INDEX('4 The queue'!$T$5:$T$40,MATCH((IFERROR(INDEX('4 The queue'!$U$5:$U$212,MATCH(IF($A5&lt;=1,0,INDEX('4 The queue'!$W$5:$W$212,$A5-1))+11+1,'4 The queue'!$W$5:$W$212,0)),9999)+'1 Inputs'!$B$22+'1 Inputs'!$B$23+'1 Inputs'!$B$24+'1 Inputs'!$B$25),'4 The queue'!$T$5:$T$40,1))=(IFERROR(INDEX('4 The queue'!$U$5:$U$212,MATCH(IF($A5&lt;=1,0,INDEX('4 The queue'!$W$5:$W$212,$A5-1))+11+1,'4 The queue'!$W$5:$W$212,0)),9999)+'1 Inputs'!$B$22+'1 Inputs'!$B$23+'1 Inputs'!$B$24+'1 Inputs'!$B$25),0,1)),9999)+'1 Inputs'!$B$26</f>
        <v>71</v>
      </c>
      <c r="V5" s="19" t="n">
        <f aca="false">IFERROR(INDEX('4 The queue'!$T$5:$T$40,MATCH((IFERROR(INDEX('4 The queue'!$U$5:$U$212,MATCH(IF($A5&lt;=1,0,INDEX('4 The queue'!$W$5:$W$212,$A5-1))+12+1,'4 The queue'!$W$5:$W$212,0)),9999)+'1 Inputs'!$B$22+'1 Inputs'!$B$23+'1 Inputs'!$B$24+'1 Inputs'!$B$25),'4 The queue'!$T$5:$T$40,1)+IF(INDEX('4 The queue'!$T$5:$T$40,MATCH((IFERROR(INDEX('4 The queue'!$U$5:$U$212,MATCH(IF($A5&lt;=1,0,INDEX('4 The queue'!$W$5:$W$212,$A5-1))+12+1,'4 The queue'!$W$5:$W$212,0)),9999)+'1 Inputs'!$B$22+'1 Inputs'!$B$23+'1 Inputs'!$B$24+'1 Inputs'!$B$25),'4 The queue'!$T$5:$T$40,1))=(IFERROR(INDEX('4 The queue'!$U$5:$U$212,MATCH(IF($A5&lt;=1,0,INDEX('4 The queue'!$W$5:$W$212,$A5-1))+12+1,'4 The queue'!$W$5:$W$212,0)),9999)+'1 Inputs'!$B$22+'1 Inputs'!$B$23+'1 Inputs'!$B$24+'1 Inputs'!$B$25),0,1)),9999)+'1 Inputs'!$B$26</f>
        <v>71</v>
      </c>
      <c r="W5" s="19" t="n">
        <f aca="false">IFERROR(INDEX('4 The queue'!$T$5:$T$40,MATCH((IFERROR(INDEX('4 The queue'!$U$5:$U$212,MATCH(IF($A5&lt;=1,0,INDEX('4 The queue'!$W$5:$W$212,$A5-1))+13+1,'4 The queue'!$W$5:$W$212,0)),9999)+'1 Inputs'!$B$22+'1 Inputs'!$B$23+'1 Inputs'!$B$24+'1 Inputs'!$B$25),'4 The queue'!$T$5:$T$40,1)+IF(INDEX('4 The queue'!$T$5:$T$40,MATCH((IFERROR(INDEX('4 The queue'!$U$5:$U$212,MATCH(IF($A5&lt;=1,0,INDEX('4 The queue'!$W$5:$W$212,$A5-1))+13+1,'4 The queue'!$W$5:$W$212,0)),9999)+'1 Inputs'!$B$22+'1 Inputs'!$B$23+'1 Inputs'!$B$24+'1 Inputs'!$B$25),'4 The queue'!$T$5:$T$40,1))=(IFERROR(INDEX('4 The queue'!$U$5:$U$212,MATCH(IF($A5&lt;=1,0,INDEX('4 The queue'!$W$5:$W$212,$A5-1))+13+1,'4 The queue'!$W$5:$W$212,0)),9999)+'1 Inputs'!$B$22+'1 Inputs'!$B$23+'1 Inputs'!$B$24+'1 Inputs'!$B$25),0,1)),9999)+'1 Inputs'!$B$26</f>
        <v>71</v>
      </c>
      <c r="X5" s="19" t="n">
        <f aca="false">IFERROR(INDEX('4 The queue'!$T$5:$T$40,MATCH((IFERROR(INDEX('4 The queue'!$U$5:$U$212,MATCH(IF($A5&lt;=1,0,INDEX('4 The queue'!$W$5:$W$212,$A5-1))+14+1,'4 The queue'!$W$5:$W$212,0)),9999)+'1 Inputs'!$B$22+'1 Inputs'!$B$23+'1 Inputs'!$B$24+'1 Inputs'!$B$25),'4 The queue'!$T$5:$T$40,1)+IF(INDEX('4 The queue'!$T$5:$T$40,MATCH((IFERROR(INDEX('4 The queue'!$U$5:$U$212,MATCH(IF($A5&lt;=1,0,INDEX('4 The queue'!$W$5:$W$212,$A5-1))+14+1,'4 The queue'!$W$5:$W$212,0)),9999)+'1 Inputs'!$B$22+'1 Inputs'!$B$23+'1 Inputs'!$B$24+'1 Inputs'!$B$25),'4 The queue'!$T$5:$T$40,1))=(IFERROR(INDEX('4 The queue'!$U$5:$U$212,MATCH(IF($A5&lt;=1,0,INDEX('4 The queue'!$W$5:$W$212,$A5-1))+14+1,'4 The queue'!$W$5:$W$212,0)),9999)+'1 Inputs'!$B$22+'1 Inputs'!$B$23+'1 Inputs'!$B$24+'1 Inputs'!$B$25),0,1)),9999)+'1 Inputs'!$B$26</f>
        <v>71</v>
      </c>
      <c r="Y5" s="19" t="n">
        <f aca="false">IFERROR(INDEX('4 The queue'!$T$5:$T$40,MATCH((IFERROR(INDEX('4 The queue'!$U$5:$U$212,MATCH(IF($A5&lt;=1,0,INDEX('4 The queue'!$W$5:$W$212,$A5-1))+15+1,'4 The queue'!$W$5:$W$212,0)),9999)+'1 Inputs'!$B$22+'1 Inputs'!$B$23+'1 Inputs'!$B$24+'1 Inputs'!$B$25),'4 The queue'!$T$5:$T$40,1)+IF(INDEX('4 The queue'!$T$5:$T$40,MATCH((IFERROR(INDEX('4 The queue'!$U$5:$U$212,MATCH(IF($A5&lt;=1,0,INDEX('4 The queue'!$W$5:$W$212,$A5-1))+15+1,'4 The queue'!$W$5:$W$212,0)),9999)+'1 Inputs'!$B$22+'1 Inputs'!$B$23+'1 Inputs'!$B$24+'1 Inputs'!$B$25),'4 The queue'!$T$5:$T$40,1))=(IFERROR(INDEX('4 The queue'!$U$5:$U$212,MATCH(IF($A5&lt;=1,0,INDEX('4 The queue'!$W$5:$W$212,$A5-1))+15+1,'4 The queue'!$W$5:$W$212,0)),9999)+'1 Inputs'!$B$22+'1 Inputs'!$B$23+'1 Inputs'!$B$24+'1 Inputs'!$B$25),0,1)),9999)+'1 Inputs'!$B$26</f>
        <v>71</v>
      </c>
      <c r="Z5" s="19" t="n">
        <f aca="false">IFERROR(INDEX('4 The queue'!$T$5:$T$40,MATCH((IFERROR(INDEX('4 The queue'!$U$5:$U$212,MATCH(IF($A5&lt;=1,0,INDEX('4 The queue'!$W$5:$W$212,$A5-1))+16+1,'4 The queue'!$W$5:$W$212,0)),9999)+'1 Inputs'!$B$22+'1 Inputs'!$B$23+'1 Inputs'!$B$24+'1 Inputs'!$B$25),'4 The queue'!$T$5:$T$40,1)+IF(INDEX('4 The queue'!$T$5:$T$40,MATCH((IFERROR(INDEX('4 The queue'!$U$5:$U$212,MATCH(IF($A5&lt;=1,0,INDEX('4 The queue'!$W$5:$W$212,$A5-1))+16+1,'4 The queue'!$W$5:$W$212,0)),9999)+'1 Inputs'!$B$22+'1 Inputs'!$B$23+'1 Inputs'!$B$24+'1 Inputs'!$B$25),'4 The queue'!$T$5:$T$40,1))=(IFERROR(INDEX('4 The queue'!$U$5:$U$212,MATCH(IF($A5&lt;=1,0,INDEX('4 The queue'!$W$5:$W$212,$A5-1))+16+1,'4 The queue'!$W$5:$W$212,0)),9999)+'1 Inputs'!$B$22+'1 Inputs'!$B$23+'1 Inputs'!$B$24+'1 Inputs'!$B$25),0,1)),9999)+'1 Inputs'!$B$26</f>
        <v>71</v>
      </c>
      <c r="AA5" s="19" t="n">
        <f aca="false">IFERROR(INDEX('4 The queue'!$T$5:$T$40,MATCH((IFERROR(INDEX('4 The queue'!$U$5:$U$212,MATCH(IF($A5&lt;=1,0,INDEX('4 The queue'!$W$5:$W$212,$A5-1))+17+1,'4 The queue'!$W$5:$W$212,0)),9999)+'1 Inputs'!$B$22+'1 Inputs'!$B$23+'1 Inputs'!$B$24+'1 Inputs'!$B$25),'4 The queue'!$T$5:$T$40,1)+IF(INDEX('4 The queue'!$T$5:$T$40,MATCH((IFERROR(INDEX('4 The queue'!$U$5:$U$212,MATCH(IF($A5&lt;=1,0,INDEX('4 The queue'!$W$5:$W$212,$A5-1))+17+1,'4 The queue'!$W$5:$W$212,0)),9999)+'1 Inputs'!$B$22+'1 Inputs'!$B$23+'1 Inputs'!$B$24+'1 Inputs'!$B$25),'4 The queue'!$T$5:$T$40,1))=(IFERROR(INDEX('4 The queue'!$U$5:$U$212,MATCH(IF($A5&lt;=1,0,INDEX('4 The queue'!$W$5:$W$212,$A5-1))+17+1,'4 The queue'!$W$5:$W$212,0)),9999)+'1 Inputs'!$B$22+'1 Inputs'!$B$23+'1 Inputs'!$B$24+'1 Inputs'!$B$25),0,1)),9999)+'1 Inputs'!$B$26</f>
        <v>71</v>
      </c>
      <c r="AB5" s="19" t="n">
        <f aca="false">IFERROR(INDEX('4 The queue'!$T$5:$T$40,MATCH((IFERROR(INDEX('4 The queue'!$U$5:$U$212,MATCH(IF($A5&lt;=1,0,INDEX('4 The queue'!$W$5:$W$212,$A5-1))+18+1,'4 The queue'!$W$5:$W$212,0)),9999)+'1 Inputs'!$B$22+'1 Inputs'!$B$23+'1 Inputs'!$B$24+'1 Inputs'!$B$25),'4 The queue'!$T$5:$T$40,1)+IF(INDEX('4 The queue'!$T$5:$T$40,MATCH((IFERROR(INDEX('4 The queue'!$U$5:$U$212,MATCH(IF($A5&lt;=1,0,INDEX('4 The queue'!$W$5:$W$212,$A5-1))+18+1,'4 The queue'!$W$5:$W$212,0)),9999)+'1 Inputs'!$B$22+'1 Inputs'!$B$23+'1 Inputs'!$B$24+'1 Inputs'!$B$25),'4 The queue'!$T$5:$T$40,1))=(IFERROR(INDEX('4 The queue'!$U$5:$U$212,MATCH(IF($A5&lt;=1,0,INDEX('4 The queue'!$W$5:$W$212,$A5-1))+18+1,'4 The queue'!$W$5:$W$212,0)),9999)+'1 Inputs'!$B$22+'1 Inputs'!$B$23+'1 Inputs'!$B$24+'1 Inputs'!$B$25),0,1)),9999)+'1 Inputs'!$B$26</f>
        <v>71</v>
      </c>
      <c r="AC5" s="19" t="n">
        <f aca="false">IFERROR(INDEX('4 The queue'!$T$5:$T$40,MATCH((IFERROR(INDEX('4 The queue'!$U$5:$U$212,MATCH(IF($A5&lt;=1,0,INDEX('4 The queue'!$W$5:$W$212,$A5-1))+19+1,'4 The queue'!$W$5:$W$212,0)),9999)+'1 Inputs'!$B$22+'1 Inputs'!$B$23+'1 Inputs'!$B$24+'1 Inputs'!$B$25),'4 The queue'!$T$5:$T$40,1)+IF(INDEX('4 The queue'!$T$5:$T$40,MATCH((IFERROR(INDEX('4 The queue'!$U$5:$U$212,MATCH(IF($A5&lt;=1,0,INDEX('4 The queue'!$W$5:$W$212,$A5-1))+19+1,'4 The queue'!$W$5:$W$212,0)),9999)+'1 Inputs'!$B$22+'1 Inputs'!$B$23+'1 Inputs'!$B$24+'1 Inputs'!$B$25),'4 The queue'!$T$5:$T$40,1))=(IFERROR(INDEX('4 The queue'!$U$5:$U$212,MATCH(IF($A5&lt;=1,0,INDEX('4 The queue'!$W$5:$W$212,$A5-1))+19+1,'4 The queue'!$W$5:$W$212,0)),9999)+'1 Inputs'!$B$22+'1 Inputs'!$B$23+'1 Inputs'!$B$24+'1 Inputs'!$B$25),0,1)),9999)+'1 Inputs'!$B$26</f>
        <v>71</v>
      </c>
      <c r="AD5" s="19" t="n">
        <f aca="false">IFERROR(INDEX('4 The queue'!$T$5:$T$40,MATCH((IFERROR(INDEX('4 The queue'!$U$5:$U$212,MATCH(IF($A5&lt;=1,0,INDEX('4 The queue'!$W$5:$W$212,$A5-1))+20+1,'4 The queue'!$W$5:$W$212,0)),9999)+'1 Inputs'!$B$22+'1 Inputs'!$B$23+'1 Inputs'!$B$24+'1 Inputs'!$B$25),'4 The queue'!$T$5:$T$40,1)+IF(INDEX('4 The queue'!$T$5:$T$40,MATCH((IFERROR(INDEX('4 The queue'!$U$5:$U$212,MATCH(IF($A5&lt;=1,0,INDEX('4 The queue'!$W$5:$W$212,$A5-1))+20+1,'4 The queue'!$W$5:$W$212,0)),9999)+'1 Inputs'!$B$22+'1 Inputs'!$B$23+'1 Inputs'!$B$24+'1 Inputs'!$B$25),'4 The queue'!$T$5:$T$40,1))=(IFERROR(INDEX('4 The queue'!$U$5:$U$212,MATCH(IF($A5&lt;=1,0,INDEX('4 The queue'!$W$5:$W$212,$A5-1))+20+1,'4 The queue'!$W$5:$W$212,0)),9999)+'1 Inputs'!$B$22+'1 Inputs'!$B$23+'1 Inputs'!$B$24+'1 Inputs'!$B$25),0,1)),9999)+'1 Inputs'!$B$26</f>
        <v>71</v>
      </c>
      <c r="AE5" s="19" t="n">
        <f aca="false">IFERROR(INDEX('4 The queue'!$T$5:$T$40,MATCH((IFERROR(INDEX('4 The queue'!$U$5:$U$212,MATCH(IF($A5&lt;=1,0,INDEX('4 The queue'!$W$5:$W$212,$A5-1))+21+1,'4 The queue'!$W$5:$W$212,0)),9999)+'1 Inputs'!$B$22+'1 Inputs'!$B$23+'1 Inputs'!$B$24+'1 Inputs'!$B$25),'4 The queue'!$T$5:$T$40,1)+IF(INDEX('4 The queue'!$T$5:$T$40,MATCH((IFERROR(INDEX('4 The queue'!$U$5:$U$212,MATCH(IF($A5&lt;=1,0,INDEX('4 The queue'!$W$5:$W$212,$A5-1))+21+1,'4 The queue'!$W$5:$W$212,0)),9999)+'1 Inputs'!$B$22+'1 Inputs'!$B$23+'1 Inputs'!$B$24+'1 Inputs'!$B$25),'4 The queue'!$T$5:$T$40,1))=(IFERROR(INDEX('4 The queue'!$U$5:$U$212,MATCH(IF($A5&lt;=1,0,INDEX('4 The queue'!$W$5:$W$212,$A5-1))+21+1,'4 The queue'!$W$5:$W$212,0)),9999)+'1 Inputs'!$B$22+'1 Inputs'!$B$23+'1 Inputs'!$B$24+'1 Inputs'!$B$25),0,1)),9999)+'1 Inputs'!$B$26</f>
        <v>71</v>
      </c>
      <c r="AF5" s="19" t="n">
        <f aca="false">IFERROR(INDEX('4 The queue'!$T$5:$T$40,MATCH((IFERROR(INDEX('4 The queue'!$U$5:$U$212,MATCH(IF($A5&lt;=1,0,INDEX('4 The queue'!$W$5:$W$212,$A5-1))+22+1,'4 The queue'!$W$5:$W$212,0)),9999)+'1 Inputs'!$B$22+'1 Inputs'!$B$23+'1 Inputs'!$B$24+'1 Inputs'!$B$25),'4 The queue'!$T$5:$T$40,1)+IF(INDEX('4 The queue'!$T$5:$T$40,MATCH((IFERROR(INDEX('4 The queue'!$U$5:$U$212,MATCH(IF($A5&lt;=1,0,INDEX('4 The queue'!$W$5:$W$212,$A5-1))+22+1,'4 The queue'!$W$5:$W$212,0)),9999)+'1 Inputs'!$B$22+'1 Inputs'!$B$23+'1 Inputs'!$B$24+'1 Inputs'!$B$25),'4 The queue'!$T$5:$T$40,1))=(IFERROR(INDEX('4 The queue'!$U$5:$U$212,MATCH(IF($A5&lt;=1,0,INDEX('4 The queue'!$W$5:$W$212,$A5-1))+22+1,'4 The queue'!$W$5:$W$212,0)),9999)+'1 Inputs'!$B$22+'1 Inputs'!$B$23+'1 Inputs'!$B$24+'1 Inputs'!$B$25),0,1)),9999)+'1 Inputs'!$B$26</f>
        <v>84</v>
      </c>
      <c r="AG5" s="19" t="n">
        <f aca="false">IFERROR(INDEX('4 The queue'!$T$5:$T$40,MATCH((IFERROR(INDEX('4 The queue'!$U$5:$U$212,MATCH(IF($A5&lt;=1,0,INDEX('4 The queue'!$W$5:$W$212,$A5-1))+23+1,'4 The queue'!$W$5:$W$212,0)),9999)+'1 Inputs'!$B$22+'1 Inputs'!$B$23+'1 Inputs'!$B$24+'1 Inputs'!$B$25),'4 The queue'!$T$5:$T$40,1)+IF(INDEX('4 The queue'!$T$5:$T$40,MATCH((IFERROR(INDEX('4 The queue'!$U$5:$U$212,MATCH(IF($A5&lt;=1,0,INDEX('4 The queue'!$W$5:$W$212,$A5-1))+23+1,'4 The queue'!$W$5:$W$212,0)),9999)+'1 Inputs'!$B$22+'1 Inputs'!$B$23+'1 Inputs'!$B$24+'1 Inputs'!$B$25),'4 The queue'!$T$5:$T$40,1))=(IFERROR(INDEX('4 The queue'!$U$5:$U$212,MATCH(IF($A5&lt;=1,0,INDEX('4 The queue'!$W$5:$W$212,$A5-1))+23+1,'4 The queue'!$W$5:$W$212,0)),9999)+'1 Inputs'!$B$22+'1 Inputs'!$B$23+'1 Inputs'!$B$24+'1 Inputs'!$B$25),0,1)),9999)+'1 Inputs'!$B$26</f>
        <v>84</v>
      </c>
      <c r="AH5" s="19" t="n">
        <f aca="false">IFERROR(INDEX('4 The queue'!$T$5:$T$40,MATCH((IFERROR(INDEX('4 The queue'!$U$5:$U$212,MATCH(IF($A5&lt;=1,0,INDEX('4 The queue'!$W$5:$W$212,$A5-1))+24+1,'4 The queue'!$W$5:$W$212,0)),9999)+'1 Inputs'!$B$22+'1 Inputs'!$B$23+'1 Inputs'!$B$24+'1 Inputs'!$B$25),'4 The queue'!$T$5:$T$40,1)+IF(INDEX('4 The queue'!$T$5:$T$40,MATCH((IFERROR(INDEX('4 The queue'!$U$5:$U$212,MATCH(IF($A5&lt;=1,0,INDEX('4 The queue'!$W$5:$W$212,$A5-1))+24+1,'4 The queue'!$W$5:$W$212,0)),9999)+'1 Inputs'!$B$22+'1 Inputs'!$B$23+'1 Inputs'!$B$24+'1 Inputs'!$B$25),'4 The queue'!$T$5:$T$40,1))=(IFERROR(INDEX('4 The queue'!$U$5:$U$212,MATCH(IF($A5&lt;=1,0,INDEX('4 The queue'!$W$5:$W$212,$A5-1))+24+1,'4 The queue'!$W$5:$W$212,0)),9999)+'1 Inputs'!$B$22+'1 Inputs'!$B$23+'1 Inputs'!$B$24+'1 Inputs'!$B$25),0,1)),9999)+'1 Inputs'!$B$26</f>
        <v>84</v>
      </c>
      <c r="AI5" s="19" t="n">
        <f aca="false">IFERROR(INDEX('4 The queue'!$T$5:$T$40,MATCH((IFERROR(INDEX('4 The queue'!$U$5:$U$212,MATCH(IF($A5&lt;=1,0,INDEX('4 The queue'!$W$5:$W$212,$A5-1))+25+1,'4 The queue'!$W$5:$W$212,0)),9999)+'1 Inputs'!$B$22+'1 Inputs'!$B$23+'1 Inputs'!$B$24+'1 Inputs'!$B$25),'4 The queue'!$T$5:$T$40,1)+IF(INDEX('4 The queue'!$T$5:$T$40,MATCH((IFERROR(INDEX('4 The queue'!$U$5:$U$212,MATCH(IF($A5&lt;=1,0,INDEX('4 The queue'!$W$5:$W$212,$A5-1))+25+1,'4 The queue'!$W$5:$W$212,0)),9999)+'1 Inputs'!$B$22+'1 Inputs'!$B$23+'1 Inputs'!$B$24+'1 Inputs'!$B$25),'4 The queue'!$T$5:$T$40,1))=(IFERROR(INDEX('4 The queue'!$U$5:$U$212,MATCH(IF($A5&lt;=1,0,INDEX('4 The queue'!$W$5:$W$212,$A5-1))+25+1,'4 The queue'!$W$5:$W$212,0)),9999)+'1 Inputs'!$B$22+'1 Inputs'!$B$23+'1 Inputs'!$B$24+'1 Inputs'!$B$25),0,1)),9999)+'1 Inputs'!$B$26</f>
        <v>84</v>
      </c>
      <c r="AJ5" s="19" t="n">
        <f aca="false">IFERROR(INDEX('4 The queue'!$T$5:$T$40,MATCH((IFERROR(INDEX('4 The queue'!$U$5:$U$212,MATCH(IF($A5&lt;=1,0,INDEX('4 The queue'!$W$5:$W$212,$A5-1))+26+1,'4 The queue'!$W$5:$W$212,0)),9999)+'1 Inputs'!$B$22+'1 Inputs'!$B$23+'1 Inputs'!$B$24+'1 Inputs'!$B$25),'4 The queue'!$T$5:$T$40,1)+IF(INDEX('4 The queue'!$T$5:$T$40,MATCH((IFERROR(INDEX('4 The queue'!$U$5:$U$212,MATCH(IF($A5&lt;=1,0,INDEX('4 The queue'!$W$5:$W$212,$A5-1))+26+1,'4 The queue'!$W$5:$W$212,0)),9999)+'1 Inputs'!$B$22+'1 Inputs'!$B$23+'1 Inputs'!$B$24+'1 Inputs'!$B$25),'4 The queue'!$T$5:$T$40,1))=(IFERROR(INDEX('4 The queue'!$U$5:$U$212,MATCH(IF($A5&lt;=1,0,INDEX('4 The queue'!$W$5:$W$212,$A5-1))+26+1,'4 The queue'!$W$5:$W$212,0)),9999)+'1 Inputs'!$B$22+'1 Inputs'!$B$23+'1 Inputs'!$B$24+'1 Inputs'!$B$25),0,1)),9999)+'1 Inputs'!$B$26</f>
        <v>84</v>
      </c>
      <c r="AK5" s="19" t="n">
        <f aca="false">IFERROR(INDEX('4 The queue'!$T$5:$T$40,MATCH((IFERROR(INDEX('4 The queue'!$U$5:$U$212,MATCH(IF($A5&lt;=1,0,INDEX('4 The queue'!$W$5:$W$212,$A5-1))+27+1,'4 The queue'!$W$5:$W$212,0)),9999)+'1 Inputs'!$B$22+'1 Inputs'!$B$23+'1 Inputs'!$B$24+'1 Inputs'!$B$25),'4 The queue'!$T$5:$T$40,1)+IF(INDEX('4 The queue'!$T$5:$T$40,MATCH((IFERROR(INDEX('4 The queue'!$U$5:$U$212,MATCH(IF($A5&lt;=1,0,INDEX('4 The queue'!$W$5:$W$212,$A5-1))+27+1,'4 The queue'!$W$5:$W$212,0)),9999)+'1 Inputs'!$B$22+'1 Inputs'!$B$23+'1 Inputs'!$B$24+'1 Inputs'!$B$25),'4 The queue'!$T$5:$T$40,1))=(IFERROR(INDEX('4 The queue'!$U$5:$U$212,MATCH(IF($A5&lt;=1,0,INDEX('4 The queue'!$W$5:$W$212,$A5-1))+27+1,'4 The queue'!$W$5:$W$212,0)),9999)+'1 Inputs'!$B$22+'1 Inputs'!$B$23+'1 Inputs'!$B$24+'1 Inputs'!$B$25),0,1)),9999)+'1 Inputs'!$B$26</f>
        <v>84</v>
      </c>
      <c r="AL5" s="19" t="n">
        <f aca="false">IFERROR(INDEX('4 The queue'!$T$5:$T$40,MATCH((IFERROR(INDEX('4 The queue'!$U$5:$U$212,MATCH(IF($A5&lt;=1,0,INDEX('4 The queue'!$W$5:$W$212,$A5-1))+28+1,'4 The queue'!$W$5:$W$212,0)),9999)+'1 Inputs'!$B$22+'1 Inputs'!$B$23+'1 Inputs'!$B$24+'1 Inputs'!$B$25),'4 The queue'!$T$5:$T$40,1)+IF(INDEX('4 The queue'!$T$5:$T$40,MATCH((IFERROR(INDEX('4 The queue'!$U$5:$U$212,MATCH(IF($A5&lt;=1,0,INDEX('4 The queue'!$W$5:$W$212,$A5-1))+28+1,'4 The queue'!$W$5:$W$212,0)),9999)+'1 Inputs'!$B$22+'1 Inputs'!$B$23+'1 Inputs'!$B$24+'1 Inputs'!$B$25),'4 The queue'!$T$5:$T$40,1))=(IFERROR(INDEX('4 The queue'!$U$5:$U$212,MATCH(IF($A5&lt;=1,0,INDEX('4 The queue'!$W$5:$W$212,$A5-1))+28+1,'4 The queue'!$W$5:$W$212,0)),9999)+'1 Inputs'!$B$22+'1 Inputs'!$B$23+'1 Inputs'!$B$24+'1 Inputs'!$B$25),0,1)),9999)+'1 Inputs'!$B$26</f>
        <v>84</v>
      </c>
      <c r="AM5" s="19" t="n">
        <f aca="false">IFERROR(INDEX('4 The queue'!$T$5:$T$40,MATCH((IFERROR(INDEX('4 The queue'!$U$5:$U$212,MATCH(IF($A5&lt;=1,0,INDEX('4 The queue'!$W$5:$W$212,$A5-1))+29+1,'4 The queue'!$W$5:$W$212,0)),9999)+'1 Inputs'!$B$22+'1 Inputs'!$B$23+'1 Inputs'!$B$24+'1 Inputs'!$B$25),'4 The queue'!$T$5:$T$40,1)+IF(INDEX('4 The queue'!$T$5:$T$40,MATCH((IFERROR(INDEX('4 The queue'!$U$5:$U$212,MATCH(IF($A5&lt;=1,0,INDEX('4 The queue'!$W$5:$W$212,$A5-1))+29+1,'4 The queue'!$W$5:$W$212,0)),9999)+'1 Inputs'!$B$22+'1 Inputs'!$B$23+'1 Inputs'!$B$24+'1 Inputs'!$B$25),'4 The queue'!$T$5:$T$40,1))=(IFERROR(INDEX('4 The queue'!$U$5:$U$212,MATCH(IF($A5&lt;=1,0,INDEX('4 The queue'!$W$5:$W$212,$A5-1))+29+1,'4 The queue'!$W$5:$W$212,0)),9999)+'1 Inputs'!$B$22+'1 Inputs'!$B$23+'1 Inputs'!$B$24+'1 Inputs'!$B$25),0,1)),9999)+'1 Inputs'!$B$26</f>
        <v>84</v>
      </c>
      <c r="AN5" s="19" t="n">
        <f aca="false">IFERROR(INDEX('4 The queue'!$T$5:$T$40,MATCH((IFERROR(INDEX('4 The queue'!$U$5:$U$212,MATCH(IF($A5&lt;=1,0,INDEX('4 The queue'!$W$5:$W$212,$A5-1))+30+1,'4 The queue'!$W$5:$W$212,0)),9999)+'1 Inputs'!$B$22+'1 Inputs'!$B$23+'1 Inputs'!$B$24+'1 Inputs'!$B$25),'4 The queue'!$T$5:$T$40,1)+IF(INDEX('4 The queue'!$T$5:$T$40,MATCH((IFERROR(INDEX('4 The queue'!$U$5:$U$212,MATCH(IF($A5&lt;=1,0,INDEX('4 The queue'!$W$5:$W$212,$A5-1))+30+1,'4 The queue'!$W$5:$W$212,0)),9999)+'1 Inputs'!$B$22+'1 Inputs'!$B$23+'1 Inputs'!$B$24+'1 Inputs'!$B$25),'4 The queue'!$T$5:$T$40,1))=(IFERROR(INDEX('4 The queue'!$U$5:$U$212,MATCH(IF($A5&lt;=1,0,INDEX('4 The queue'!$W$5:$W$212,$A5-1))+30+1,'4 The queue'!$W$5:$W$212,0)),9999)+'1 Inputs'!$B$22+'1 Inputs'!$B$23+'1 Inputs'!$B$24+'1 Inputs'!$B$25),0,1)),9999)+'1 Inputs'!$B$26</f>
        <v>84</v>
      </c>
      <c r="AO5" s="19" t="n">
        <f aca="false">IFERROR(INDEX('4 The queue'!$T$5:$T$40,MATCH((IFERROR(INDEX('4 The queue'!$U$5:$U$212,MATCH(IF($A5&lt;=1,0,INDEX('4 The queue'!$W$5:$W$212,$A5-1))+31+1,'4 The queue'!$W$5:$W$212,0)),9999)+'1 Inputs'!$B$22+'1 Inputs'!$B$23+'1 Inputs'!$B$24+'1 Inputs'!$B$25),'4 The queue'!$T$5:$T$40,1)+IF(INDEX('4 The queue'!$T$5:$T$40,MATCH((IFERROR(INDEX('4 The queue'!$U$5:$U$212,MATCH(IF($A5&lt;=1,0,INDEX('4 The queue'!$W$5:$W$212,$A5-1))+31+1,'4 The queue'!$W$5:$W$212,0)),9999)+'1 Inputs'!$B$22+'1 Inputs'!$B$23+'1 Inputs'!$B$24+'1 Inputs'!$B$25),'4 The queue'!$T$5:$T$40,1))=(IFERROR(INDEX('4 The queue'!$U$5:$U$212,MATCH(IF($A5&lt;=1,0,INDEX('4 The queue'!$W$5:$W$212,$A5-1))+31+1,'4 The queue'!$W$5:$W$212,0)),9999)+'1 Inputs'!$B$22+'1 Inputs'!$B$23+'1 Inputs'!$B$24+'1 Inputs'!$B$25),0,1)),9999)+'1 Inputs'!$B$26</f>
        <v>84</v>
      </c>
      <c r="AP5" s="19" t="n">
        <f aca="false">IFERROR(INDEX('4 The queue'!$T$5:$T$40,MATCH((IFERROR(INDEX('4 The queue'!$U$5:$U$212,MATCH(IF($A5&lt;=1,0,INDEX('4 The queue'!$W$5:$W$212,$A5-1))+32+1,'4 The queue'!$W$5:$W$212,0)),9999)+'1 Inputs'!$B$22+'1 Inputs'!$B$23+'1 Inputs'!$B$24+'1 Inputs'!$B$25),'4 The queue'!$T$5:$T$40,1)+IF(INDEX('4 The queue'!$T$5:$T$40,MATCH((IFERROR(INDEX('4 The queue'!$U$5:$U$212,MATCH(IF($A5&lt;=1,0,INDEX('4 The queue'!$W$5:$W$212,$A5-1))+32+1,'4 The queue'!$W$5:$W$212,0)),9999)+'1 Inputs'!$B$22+'1 Inputs'!$B$23+'1 Inputs'!$B$24+'1 Inputs'!$B$25),'4 The queue'!$T$5:$T$40,1))=(IFERROR(INDEX('4 The queue'!$U$5:$U$212,MATCH(IF($A5&lt;=1,0,INDEX('4 The queue'!$W$5:$W$212,$A5-1))+32+1,'4 The queue'!$W$5:$W$212,0)),9999)+'1 Inputs'!$B$22+'1 Inputs'!$B$23+'1 Inputs'!$B$24+'1 Inputs'!$B$25),0,1)),9999)+'1 Inputs'!$B$26</f>
        <v>97</v>
      </c>
      <c r="AQ5" s="19" t="n">
        <f aca="false">IFERROR(INDEX('4 The queue'!$T$5:$T$40,MATCH((IFERROR(INDEX('4 The queue'!$U$5:$U$212,MATCH(IF($A5&lt;=1,0,INDEX('4 The queue'!$W$5:$W$212,$A5-1))+33+1,'4 The queue'!$W$5:$W$212,0)),9999)+'1 Inputs'!$B$22+'1 Inputs'!$B$23+'1 Inputs'!$B$24+'1 Inputs'!$B$25),'4 The queue'!$T$5:$T$40,1)+IF(INDEX('4 The queue'!$T$5:$T$40,MATCH((IFERROR(INDEX('4 The queue'!$U$5:$U$212,MATCH(IF($A5&lt;=1,0,INDEX('4 The queue'!$W$5:$W$212,$A5-1))+33+1,'4 The queue'!$W$5:$W$212,0)),9999)+'1 Inputs'!$B$22+'1 Inputs'!$B$23+'1 Inputs'!$B$24+'1 Inputs'!$B$25),'4 The queue'!$T$5:$T$40,1))=(IFERROR(INDEX('4 The queue'!$U$5:$U$212,MATCH(IF($A5&lt;=1,0,INDEX('4 The queue'!$W$5:$W$212,$A5-1))+33+1,'4 The queue'!$W$5:$W$212,0)),9999)+'1 Inputs'!$B$22+'1 Inputs'!$B$23+'1 Inputs'!$B$24+'1 Inputs'!$B$25),0,1)),9999)+'1 Inputs'!$B$26</f>
        <v>97</v>
      </c>
      <c r="AR5" s="19" t="n">
        <f aca="false">IFERROR(INDEX('4 The queue'!$T$5:$T$40,MATCH((IFERROR(INDEX('4 The queue'!$U$5:$U$212,MATCH(IF($A5&lt;=1,0,INDEX('4 The queue'!$W$5:$W$212,$A5-1))+34+1,'4 The queue'!$W$5:$W$212,0)),9999)+'1 Inputs'!$B$22+'1 Inputs'!$B$23+'1 Inputs'!$B$24+'1 Inputs'!$B$25),'4 The queue'!$T$5:$T$40,1)+IF(INDEX('4 The queue'!$T$5:$T$40,MATCH((IFERROR(INDEX('4 The queue'!$U$5:$U$212,MATCH(IF($A5&lt;=1,0,INDEX('4 The queue'!$W$5:$W$212,$A5-1))+34+1,'4 The queue'!$W$5:$W$212,0)),9999)+'1 Inputs'!$B$22+'1 Inputs'!$B$23+'1 Inputs'!$B$24+'1 Inputs'!$B$25),'4 The queue'!$T$5:$T$40,1))=(IFERROR(INDEX('4 The queue'!$U$5:$U$212,MATCH(IF($A5&lt;=1,0,INDEX('4 The queue'!$W$5:$W$212,$A5-1))+34+1,'4 The queue'!$W$5:$W$212,0)),9999)+'1 Inputs'!$B$22+'1 Inputs'!$B$23+'1 Inputs'!$B$24+'1 Inputs'!$B$25),0,1)),9999)+'1 Inputs'!$B$26</f>
        <v>97</v>
      </c>
      <c r="AS5" s="19" t="n">
        <f aca="false">IFERROR(INDEX('4 The queue'!$T$5:$T$40,MATCH((IFERROR(INDEX('4 The queue'!$U$5:$U$212,MATCH(IF($A5&lt;=1,0,INDEX('4 The queue'!$W$5:$W$212,$A5-1))+35+1,'4 The queue'!$W$5:$W$212,0)),9999)+'1 Inputs'!$B$22+'1 Inputs'!$B$23+'1 Inputs'!$B$24+'1 Inputs'!$B$25),'4 The queue'!$T$5:$T$40,1)+IF(INDEX('4 The queue'!$T$5:$T$40,MATCH((IFERROR(INDEX('4 The queue'!$U$5:$U$212,MATCH(IF($A5&lt;=1,0,INDEX('4 The queue'!$W$5:$W$212,$A5-1))+35+1,'4 The queue'!$W$5:$W$212,0)),9999)+'1 Inputs'!$B$22+'1 Inputs'!$B$23+'1 Inputs'!$B$24+'1 Inputs'!$B$25),'4 The queue'!$T$5:$T$40,1))=(IFERROR(INDEX('4 The queue'!$U$5:$U$212,MATCH(IF($A5&lt;=1,0,INDEX('4 The queue'!$W$5:$W$212,$A5-1))+35+1,'4 The queue'!$W$5:$W$212,0)),9999)+'1 Inputs'!$B$22+'1 Inputs'!$B$23+'1 Inputs'!$B$24+'1 Inputs'!$B$25),0,1)),9999)+'1 Inputs'!$B$26</f>
        <v>97</v>
      </c>
      <c r="AT5" s="19" t="n">
        <f aca="false">IFERROR(INDEX('4 The queue'!$T$5:$T$40,MATCH((IFERROR(INDEX('4 The queue'!$U$5:$U$212,MATCH(IF($A5&lt;=1,0,INDEX('4 The queue'!$W$5:$W$212,$A5-1))+36+1,'4 The queue'!$W$5:$W$212,0)),9999)+'1 Inputs'!$B$22+'1 Inputs'!$B$23+'1 Inputs'!$B$24+'1 Inputs'!$B$25),'4 The queue'!$T$5:$T$40,1)+IF(INDEX('4 The queue'!$T$5:$T$40,MATCH((IFERROR(INDEX('4 The queue'!$U$5:$U$212,MATCH(IF($A5&lt;=1,0,INDEX('4 The queue'!$W$5:$W$212,$A5-1))+36+1,'4 The queue'!$W$5:$W$212,0)),9999)+'1 Inputs'!$B$22+'1 Inputs'!$B$23+'1 Inputs'!$B$24+'1 Inputs'!$B$25),'4 The queue'!$T$5:$T$40,1))=(IFERROR(INDEX('4 The queue'!$U$5:$U$212,MATCH(IF($A5&lt;=1,0,INDEX('4 The queue'!$W$5:$W$212,$A5-1))+36+1,'4 The queue'!$W$5:$W$212,0)),9999)+'1 Inputs'!$B$22+'1 Inputs'!$B$23+'1 Inputs'!$B$24+'1 Inputs'!$B$25),0,1)),9999)+'1 Inputs'!$B$26</f>
        <v>97</v>
      </c>
      <c r="AU5" s="19" t="n">
        <f aca="false">IFERROR(INDEX('4 The queue'!$T$5:$T$40,MATCH((IFERROR(INDEX('4 The queue'!$U$5:$U$212,MATCH(IF($A5&lt;=1,0,INDEX('4 The queue'!$W$5:$W$212,$A5-1))+37+1,'4 The queue'!$W$5:$W$212,0)),9999)+'1 Inputs'!$B$22+'1 Inputs'!$B$23+'1 Inputs'!$B$24+'1 Inputs'!$B$25),'4 The queue'!$T$5:$T$40,1)+IF(INDEX('4 The queue'!$T$5:$T$40,MATCH((IFERROR(INDEX('4 The queue'!$U$5:$U$212,MATCH(IF($A5&lt;=1,0,INDEX('4 The queue'!$W$5:$W$212,$A5-1))+37+1,'4 The queue'!$W$5:$W$212,0)),9999)+'1 Inputs'!$B$22+'1 Inputs'!$B$23+'1 Inputs'!$B$24+'1 Inputs'!$B$25),'4 The queue'!$T$5:$T$40,1))=(IFERROR(INDEX('4 The queue'!$U$5:$U$212,MATCH(IF($A5&lt;=1,0,INDEX('4 The queue'!$W$5:$W$212,$A5-1))+37+1,'4 The queue'!$W$5:$W$212,0)),9999)+'1 Inputs'!$B$22+'1 Inputs'!$B$23+'1 Inputs'!$B$24+'1 Inputs'!$B$25),0,1)),9999)+'1 Inputs'!$B$26</f>
        <v>97</v>
      </c>
      <c r="AV5" s="19" t="n">
        <f aca="false">IFERROR(INDEX('4 The queue'!$T$5:$T$40,MATCH((IFERROR(INDEX('4 The queue'!$U$5:$U$212,MATCH(IF($A5&lt;=1,0,INDEX('4 The queue'!$W$5:$W$212,$A5-1))+38+1,'4 The queue'!$W$5:$W$212,0)),9999)+'1 Inputs'!$B$22+'1 Inputs'!$B$23+'1 Inputs'!$B$24+'1 Inputs'!$B$25),'4 The queue'!$T$5:$T$40,1)+IF(INDEX('4 The queue'!$T$5:$T$40,MATCH((IFERROR(INDEX('4 The queue'!$U$5:$U$212,MATCH(IF($A5&lt;=1,0,INDEX('4 The queue'!$W$5:$W$212,$A5-1))+38+1,'4 The queue'!$W$5:$W$212,0)),9999)+'1 Inputs'!$B$22+'1 Inputs'!$B$23+'1 Inputs'!$B$24+'1 Inputs'!$B$25),'4 The queue'!$T$5:$T$40,1))=(IFERROR(INDEX('4 The queue'!$U$5:$U$212,MATCH(IF($A5&lt;=1,0,INDEX('4 The queue'!$W$5:$W$212,$A5-1))+38+1,'4 The queue'!$W$5:$W$212,0)),9999)+'1 Inputs'!$B$22+'1 Inputs'!$B$23+'1 Inputs'!$B$24+'1 Inputs'!$B$25),0,1)),9999)+'1 Inputs'!$B$26</f>
        <v>97</v>
      </c>
      <c r="AW5" s="19" t="n">
        <f aca="false">IFERROR(INDEX('4 The queue'!$T$5:$T$40,MATCH((IFERROR(INDEX('4 The queue'!$U$5:$U$212,MATCH(IF($A5&lt;=1,0,INDEX('4 The queue'!$W$5:$W$212,$A5-1))+39+1,'4 The queue'!$W$5:$W$212,0)),9999)+'1 Inputs'!$B$22+'1 Inputs'!$B$23+'1 Inputs'!$B$24+'1 Inputs'!$B$25),'4 The queue'!$T$5:$T$40,1)+IF(INDEX('4 The queue'!$T$5:$T$40,MATCH((IFERROR(INDEX('4 The queue'!$U$5:$U$212,MATCH(IF($A5&lt;=1,0,INDEX('4 The queue'!$W$5:$W$212,$A5-1))+39+1,'4 The queue'!$W$5:$W$212,0)),9999)+'1 Inputs'!$B$22+'1 Inputs'!$B$23+'1 Inputs'!$B$24+'1 Inputs'!$B$25),'4 The queue'!$T$5:$T$40,1))=(IFERROR(INDEX('4 The queue'!$U$5:$U$212,MATCH(IF($A5&lt;=1,0,INDEX('4 The queue'!$W$5:$W$212,$A5-1))+39+1,'4 The queue'!$W$5:$W$212,0)),9999)+'1 Inputs'!$B$22+'1 Inputs'!$B$23+'1 Inputs'!$B$24+'1 Inputs'!$B$25),0,1)),9999)+'1 Inputs'!$B$26</f>
        <v>97</v>
      </c>
      <c r="AX5" s="19" t="n">
        <f aca="false">MAX(0,MIN('1 Inputs'!$B$15,'1 Inputs'!$B$5*'1 Inputs'!$B$6-0*'1 Inputs'!$B$15))*'1 Inputs'!$B$7*'1 Inputs'!$B$8*'1 Inputs'!$B$9*'1 Inputs'!$B$10*'1 Inputs'!$B$11</f>
        <v>6250000</v>
      </c>
      <c r="AY5" s="19" t="n">
        <f aca="false">MAX(0,MIN('1 Inputs'!$B$15,'1 Inputs'!$B$5*'1 Inputs'!$B$6-1*'1 Inputs'!$B$15))*'1 Inputs'!$B$7*'1 Inputs'!$B$8*'1 Inputs'!$B$9*'1 Inputs'!$B$10*'1 Inputs'!$B$11</f>
        <v>6250000</v>
      </c>
      <c r="AZ5" s="19" t="n">
        <f aca="false">MAX(0,MIN('1 Inputs'!$B$15,'1 Inputs'!$B$5*'1 Inputs'!$B$6-2*'1 Inputs'!$B$15))*'1 Inputs'!$B$7*'1 Inputs'!$B$8*'1 Inputs'!$B$9*'1 Inputs'!$B$10*'1 Inputs'!$B$11</f>
        <v>6250000</v>
      </c>
      <c r="BA5" s="19" t="n">
        <f aca="false">MAX(0,MIN('1 Inputs'!$B$15,'1 Inputs'!$B$5*'1 Inputs'!$B$6-3*'1 Inputs'!$B$15))*'1 Inputs'!$B$7*'1 Inputs'!$B$8*'1 Inputs'!$B$9*'1 Inputs'!$B$10*'1 Inputs'!$B$11</f>
        <v>6250000</v>
      </c>
      <c r="BB5" s="19" t="n">
        <f aca="false">MAX(0,MIN('1 Inputs'!$B$15,'1 Inputs'!$B$5*'1 Inputs'!$B$6-4*'1 Inputs'!$B$15))*'1 Inputs'!$B$7*'1 Inputs'!$B$8*'1 Inputs'!$B$9*'1 Inputs'!$B$10*'1 Inputs'!$B$11</f>
        <v>6250000</v>
      </c>
      <c r="BC5" s="19" t="n">
        <f aca="false">MAX(0,MIN('1 Inputs'!$B$15,'1 Inputs'!$B$5*'1 Inputs'!$B$6-5*'1 Inputs'!$B$15))*'1 Inputs'!$B$7*'1 Inputs'!$B$8*'1 Inputs'!$B$9*'1 Inputs'!$B$10*'1 Inputs'!$B$11</f>
        <v>6250000</v>
      </c>
      <c r="BD5" s="19" t="n">
        <f aca="false">MAX(0,MIN('1 Inputs'!$B$15,'1 Inputs'!$B$5*'1 Inputs'!$B$6-6*'1 Inputs'!$B$15))*'1 Inputs'!$B$7*'1 Inputs'!$B$8*'1 Inputs'!$B$9*'1 Inputs'!$B$10*'1 Inputs'!$B$11</f>
        <v>6250000</v>
      </c>
      <c r="BE5" s="19" t="n">
        <f aca="false">MAX(0,MIN('1 Inputs'!$B$15,'1 Inputs'!$B$5*'1 Inputs'!$B$6-7*'1 Inputs'!$B$15))*'1 Inputs'!$B$7*'1 Inputs'!$B$8*'1 Inputs'!$B$9*'1 Inputs'!$B$10*'1 Inputs'!$B$11</f>
        <v>6250000</v>
      </c>
      <c r="BF5" s="19" t="n">
        <f aca="false">MAX(0,MIN('1 Inputs'!$B$15,'1 Inputs'!$B$5*'1 Inputs'!$B$6-8*'1 Inputs'!$B$15))*'1 Inputs'!$B$7*'1 Inputs'!$B$8*'1 Inputs'!$B$9*'1 Inputs'!$B$10*'1 Inputs'!$B$11</f>
        <v>6250000</v>
      </c>
      <c r="BG5" s="19" t="n">
        <f aca="false">MAX(0,MIN('1 Inputs'!$B$15,'1 Inputs'!$B$5*'1 Inputs'!$B$6-9*'1 Inputs'!$B$15))*'1 Inputs'!$B$7*'1 Inputs'!$B$8*'1 Inputs'!$B$9*'1 Inputs'!$B$10*'1 Inputs'!$B$11</f>
        <v>6250000</v>
      </c>
      <c r="BH5" s="19" t="n">
        <f aca="false">MAX(0,MIN('1 Inputs'!$B$15,'1 Inputs'!$B$5*'1 Inputs'!$B$6-10*'1 Inputs'!$B$15))*'1 Inputs'!$B$7*'1 Inputs'!$B$8*'1 Inputs'!$B$9*'1 Inputs'!$B$10*'1 Inputs'!$B$11</f>
        <v>6250000</v>
      </c>
      <c r="BI5" s="19" t="n">
        <f aca="false">MAX(0,MIN('1 Inputs'!$B$15,'1 Inputs'!$B$5*'1 Inputs'!$B$6-11*'1 Inputs'!$B$15))*'1 Inputs'!$B$7*'1 Inputs'!$B$8*'1 Inputs'!$B$9*'1 Inputs'!$B$10*'1 Inputs'!$B$11</f>
        <v>6250000</v>
      </c>
      <c r="BJ5" s="19" t="n">
        <f aca="false">MAX(0,MIN('1 Inputs'!$B$15,'1 Inputs'!$B$5*'1 Inputs'!$B$6-12*'1 Inputs'!$B$15))*'1 Inputs'!$B$7*'1 Inputs'!$B$8*'1 Inputs'!$B$9*'1 Inputs'!$B$10*'1 Inputs'!$B$11</f>
        <v>6250000</v>
      </c>
      <c r="BK5" s="19" t="n">
        <f aca="false">MAX(0,MIN('1 Inputs'!$B$15,'1 Inputs'!$B$5*'1 Inputs'!$B$6-13*'1 Inputs'!$B$15))*'1 Inputs'!$B$7*'1 Inputs'!$B$8*'1 Inputs'!$B$9*'1 Inputs'!$B$10*'1 Inputs'!$B$11</f>
        <v>6250000</v>
      </c>
      <c r="BL5" s="19" t="n">
        <f aca="false">MAX(0,MIN('1 Inputs'!$B$15,'1 Inputs'!$B$5*'1 Inputs'!$B$6-14*'1 Inputs'!$B$15))*'1 Inputs'!$B$7*'1 Inputs'!$B$8*'1 Inputs'!$B$9*'1 Inputs'!$B$10*'1 Inputs'!$B$11</f>
        <v>6250000</v>
      </c>
      <c r="BM5" s="19" t="n">
        <f aca="false">MAX(0,MIN('1 Inputs'!$B$15,'1 Inputs'!$B$5*'1 Inputs'!$B$6-15*'1 Inputs'!$B$15))*'1 Inputs'!$B$7*'1 Inputs'!$B$8*'1 Inputs'!$B$9*'1 Inputs'!$B$10*'1 Inputs'!$B$11</f>
        <v>0</v>
      </c>
      <c r="BN5" s="19" t="n">
        <f aca="false">MAX(0,MIN('1 Inputs'!$B$15,'1 Inputs'!$B$5*'1 Inputs'!$B$6-16*'1 Inputs'!$B$15))*'1 Inputs'!$B$7*'1 Inputs'!$B$8*'1 Inputs'!$B$9*'1 Inputs'!$B$10*'1 Inputs'!$B$11</f>
        <v>0</v>
      </c>
      <c r="BO5" s="19" t="n">
        <f aca="false">MAX(0,MIN('1 Inputs'!$B$15,'1 Inputs'!$B$5*'1 Inputs'!$B$6-17*'1 Inputs'!$B$15))*'1 Inputs'!$B$7*'1 Inputs'!$B$8*'1 Inputs'!$B$9*'1 Inputs'!$B$10*'1 Inputs'!$B$11</f>
        <v>0</v>
      </c>
      <c r="BP5" s="19" t="n">
        <f aca="false">MAX(0,MIN('1 Inputs'!$B$15,'1 Inputs'!$B$5*'1 Inputs'!$B$6-18*'1 Inputs'!$B$15))*'1 Inputs'!$B$7*'1 Inputs'!$B$8*'1 Inputs'!$B$9*'1 Inputs'!$B$10*'1 Inputs'!$B$11</f>
        <v>0</v>
      </c>
      <c r="BQ5" s="19" t="n">
        <f aca="false">MAX(0,MIN('1 Inputs'!$B$15,'1 Inputs'!$B$5*'1 Inputs'!$B$6-19*'1 Inputs'!$B$15))*'1 Inputs'!$B$7*'1 Inputs'!$B$8*'1 Inputs'!$B$9*'1 Inputs'!$B$10*'1 Inputs'!$B$11</f>
        <v>0</v>
      </c>
      <c r="BR5" s="19" t="n">
        <f aca="false">MAX(0,MIN('1 Inputs'!$B$15,'1 Inputs'!$B$5*'1 Inputs'!$B$6-20*'1 Inputs'!$B$15))*'1 Inputs'!$B$7*'1 Inputs'!$B$8*'1 Inputs'!$B$9*'1 Inputs'!$B$10*'1 Inputs'!$B$11</f>
        <v>0</v>
      </c>
      <c r="BS5" s="19" t="n">
        <f aca="false">MAX(0,MIN('1 Inputs'!$B$15,'1 Inputs'!$B$5*'1 Inputs'!$B$6-21*'1 Inputs'!$B$15))*'1 Inputs'!$B$7*'1 Inputs'!$B$8*'1 Inputs'!$B$9*'1 Inputs'!$B$10*'1 Inputs'!$B$11</f>
        <v>0</v>
      </c>
      <c r="BT5" s="19" t="n">
        <f aca="false">MAX(0,MIN('1 Inputs'!$B$15,'1 Inputs'!$B$5*'1 Inputs'!$B$6-22*'1 Inputs'!$B$15))*'1 Inputs'!$B$7*'1 Inputs'!$B$8*'1 Inputs'!$B$9*'1 Inputs'!$B$10*'1 Inputs'!$B$11</f>
        <v>0</v>
      </c>
      <c r="BU5" s="19" t="n">
        <f aca="false">MAX(0,MIN('1 Inputs'!$B$15,'1 Inputs'!$B$5*'1 Inputs'!$B$6-23*'1 Inputs'!$B$15))*'1 Inputs'!$B$7*'1 Inputs'!$B$8*'1 Inputs'!$B$9*'1 Inputs'!$B$10*'1 Inputs'!$B$11</f>
        <v>0</v>
      </c>
      <c r="BV5" s="19" t="n">
        <f aca="false">MAX(0,MIN('1 Inputs'!$B$15,'1 Inputs'!$B$5*'1 Inputs'!$B$6-24*'1 Inputs'!$B$15))*'1 Inputs'!$B$7*'1 Inputs'!$B$8*'1 Inputs'!$B$9*'1 Inputs'!$B$10*'1 Inputs'!$B$11</f>
        <v>0</v>
      </c>
      <c r="BW5" s="19" t="n">
        <f aca="false">MAX(0,MIN('1 Inputs'!$B$15,'1 Inputs'!$B$5*'1 Inputs'!$B$6-25*'1 Inputs'!$B$15))*'1 Inputs'!$B$7*'1 Inputs'!$B$8*'1 Inputs'!$B$9*'1 Inputs'!$B$10*'1 Inputs'!$B$11</f>
        <v>0</v>
      </c>
      <c r="BX5" s="19" t="n">
        <f aca="false">MAX(0,MIN('1 Inputs'!$B$15,'1 Inputs'!$B$5*'1 Inputs'!$B$6-26*'1 Inputs'!$B$15))*'1 Inputs'!$B$7*'1 Inputs'!$B$8*'1 Inputs'!$B$9*'1 Inputs'!$B$10*'1 Inputs'!$B$11</f>
        <v>0</v>
      </c>
      <c r="BY5" s="19" t="n">
        <f aca="false">MAX(0,MIN('1 Inputs'!$B$15,'1 Inputs'!$B$5*'1 Inputs'!$B$6-27*'1 Inputs'!$B$15))*'1 Inputs'!$B$7*'1 Inputs'!$B$8*'1 Inputs'!$B$9*'1 Inputs'!$B$10*'1 Inputs'!$B$11</f>
        <v>0</v>
      </c>
      <c r="BZ5" s="19" t="n">
        <f aca="false">MAX(0,MIN('1 Inputs'!$B$15,'1 Inputs'!$B$5*'1 Inputs'!$B$6-28*'1 Inputs'!$B$15))*'1 Inputs'!$B$7*'1 Inputs'!$B$8*'1 Inputs'!$B$9*'1 Inputs'!$B$10*'1 Inputs'!$B$11</f>
        <v>0</v>
      </c>
      <c r="CA5" s="19" t="n">
        <f aca="false">MAX(0,MIN('1 Inputs'!$B$15,'1 Inputs'!$B$5*'1 Inputs'!$B$6-29*'1 Inputs'!$B$15))*'1 Inputs'!$B$7*'1 Inputs'!$B$8*'1 Inputs'!$B$9*'1 Inputs'!$B$10*'1 Inputs'!$B$11</f>
        <v>0</v>
      </c>
      <c r="CB5" s="19" t="n">
        <f aca="false">MAX(0,MIN('1 Inputs'!$B$15,'1 Inputs'!$B$5*'1 Inputs'!$B$6-30*'1 Inputs'!$B$15))*'1 Inputs'!$B$7*'1 Inputs'!$B$8*'1 Inputs'!$B$9*'1 Inputs'!$B$10*'1 Inputs'!$B$11</f>
        <v>0</v>
      </c>
      <c r="CC5" s="19" t="n">
        <f aca="false">MAX(0,MIN('1 Inputs'!$B$15,'1 Inputs'!$B$5*'1 Inputs'!$B$6-31*'1 Inputs'!$B$15))*'1 Inputs'!$B$7*'1 Inputs'!$B$8*'1 Inputs'!$B$9*'1 Inputs'!$B$10*'1 Inputs'!$B$11</f>
        <v>0</v>
      </c>
      <c r="CD5" s="19" t="n">
        <f aca="false">MAX(0,MIN('1 Inputs'!$B$15,'1 Inputs'!$B$5*'1 Inputs'!$B$6-32*'1 Inputs'!$B$15))*'1 Inputs'!$B$7*'1 Inputs'!$B$8*'1 Inputs'!$B$9*'1 Inputs'!$B$10*'1 Inputs'!$B$11</f>
        <v>0</v>
      </c>
      <c r="CE5" s="19" t="n">
        <f aca="false">MAX(0,MIN('1 Inputs'!$B$15,'1 Inputs'!$B$5*'1 Inputs'!$B$6-33*'1 Inputs'!$B$15))*'1 Inputs'!$B$7*'1 Inputs'!$B$8*'1 Inputs'!$B$9*'1 Inputs'!$B$10*'1 Inputs'!$B$11</f>
        <v>0</v>
      </c>
      <c r="CF5" s="19" t="n">
        <f aca="false">MAX(0,MIN('1 Inputs'!$B$15,'1 Inputs'!$B$5*'1 Inputs'!$B$6-34*'1 Inputs'!$B$15))*'1 Inputs'!$B$7*'1 Inputs'!$B$8*'1 Inputs'!$B$9*'1 Inputs'!$B$10*'1 Inputs'!$B$11</f>
        <v>0</v>
      </c>
      <c r="CG5" s="19" t="n">
        <f aca="false">MAX(0,MIN('1 Inputs'!$B$15,'1 Inputs'!$B$5*'1 Inputs'!$B$6-35*'1 Inputs'!$B$15))*'1 Inputs'!$B$7*'1 Inputs'!$B$8*'1 Inputs'!$B$9*'1 Inputs'!$B$10*'1 Inputs'!$B$11</f>
        <v>0</v>
      </c>
      <c r="CH5" s="19" t="n">
        <f aca="false">MAX(0,MIN('1 Inputs'!$B$15,'1 Inputs'!$B$5*'1 Inputs'!$B$6-36*'1 Inputs'!$B$15))*'1 Inputs'!$B$7*'1 Inputs'!$B$8*'1 Inputs'!$B$9*'1 Inputs'!$B$10*'1 Inputs'!$B$11</f>
        <v>0</v>
      </c>
      <c r="CI5" s="19" t="n">
        <f aca="false">MAX(0,MIN('1 Inputs'!$B$15,'1 Inputs'!$B$5*'1 Inputs'!$B$6-37*'1 Inputs'!$B$15))*'1 Inputs'!$B$7*'1 Inputs'!$B$8*'1 Inputs'!$B$9*'1 Inputs'!$B$10*'1 Inputs'!$B$11</f>
        <v>0</v>
      </c>
      <c r="CJ5" s="19" t="n">
        <f aca="false">MAX(0,MIN('1 Inputs'!$B$15,'1 Inputs'!$B$5*'1 Inputs'!$B$6-38*'1 Inputs'!$B$15))*'1 Inputs'!$B$7*'1 Inputs'!$B$8*'1 Inputs'!$B$9*'1 Inputs'!$B$10*'1 Inputs'!$B$11</f>
        <v>0</v>
      </c>
      <c r="CK5" s="19" t="n">
        <f aca="false">MAX(0,MIN('1 Inputs'!$B$15,'1 Inputs'!$B$5*'1 Inputs'!$B$6-39*'1 Inputs'!$B$15))*'1 Inputs'!$B$7*'1 Inputs'!$B$8*'1 Inputs'!$B$9*'1 Inputs'!$B$10*'1 Inputs'!$B$11</f>
        <v>0</v>
      </c>
    </row>
    <row r="6" customFormat="false" ht="15" hidden="false" customHeight="false" outlineLevel="0" collapsed="false">
      <c r="A6" s="0" t="n">
        <v>19</v>
      </c>
      <c r="B6" s="12" t="n">
        <f aca="false">SUMIF(J6:AW6,"&lt;="&amp;($A6+52),AX6:CK6)</f>
        <v>93750000</v>
      </c>
      <c r="C6" s="12" t="n">
        <f aca="false">SUM(AX6:CK6)</f>
        <v>93750000</v>
      </c>
      <c r="D6" s="15" t="n">
        <f aca="false">(MIN(J6:AW6)-$A6)/52*12</f>
        <v>8.30769230769231</v>
      </c>
      <c r="J6" s="19" t="n">
        <f aca="false">IFERROR(INDEX('4 The queue'!$T$5:$T$40,MATCH((IFERROR(INDEX('4 The queue'!$U$5:$U$212,MATCH(IF($A6&lt;=1,0,INDEX('4 The queue'!$W$5:$W$212,$A6-1))+0+1,'4 The queue'!$W$5:$W$212,0)),9999)+'1 Inputs'!$B$22+'1 Inputs'!$B$23+'1 Inputs'!$B$24+'1 Inputs'!$B$25),'4 The queue'!$T$5:$T$40,1)+IF(INDEX('4 The queue'!$T$5:$T$40,MATCH((IFERROR(INDEX('4 The queue'!$U$5:$U$212,MATCH(IF($A6&lt;=1,0,INDEX('4 The queue'!$W$5:$W$212,$A6-1))+0+1,'4 The queue'!$W$5:$W$212,0)),9999)+'1 Inputs'!$B$22+'1 Inputs'!$B$23+'1 Inputs'!$B$24+'1 Inputs'!$B$25),'4 The queue'!$T$5:$T$40,1))=(IFERROR(INDEX('4 The queue'!$U$5:$U$212,MATCH(IF($A6&lt;=1,0,INDEX('4 The queue'!$W$5:$W$212,$A6-1))+0+1,'4 The queue'!$W$5:$W$212,0)),9999)+'1 Inputs'!$B$22+'1 Inputs'!$B$23+'1 Inputs'!$B$24+'1 Inputs'!$B$25),0,1)),9999)+'1 Inputs'!$B$26</f>
        <v>55</v>
      </c>
      <c r="K6" s="19" t="n">
        <f aca="false">IFERROR(INDEX('4 The queue'!$T$5:$T$40,MATCH((IFERROR(INDEX('4 The queue'!$U$5:$U$212,MATCH(IF($A6&lt;=1,0,INDEX('4 The queue'!$W$5:$W$212,$A6-1))+1+1,'4 The queue'!$W$5:$W$212,0)),9999)+'1 Inputs'!$B$22+'1 Inputs'!$B$23+'1 Inputs'!$B$24+'1 Inputs'!$B$25),'4 The queue'!$T$5:$T$40,1)+IF(INDEX('4 The queue'!$T$5:$T$40,MATCH((IFERROR(INDEX('4 The queue'!$U$5:$U$212,MATCH(IF($A6&lt;=1,0,INDEX('4 The queue'!$W$5:$W$212,$A6-1))+1+1,'4 The queue'!$W$5:$W$212,0)),9999)+'1 Inputs'!$B$22+'1 Inputs'!$B$23+'1 Inputs'!$B$24+'1 Inputs'!$B$25),'4 The queue'!$T$5:$T$40,1))=(IFERROR(INDEX('4 The queue'!$U$5:$U$212,MATCH(IF($A6&lt;=1,0,INDEX('4 The queue'!$W$5:$W$212,$A6-1))+1+1,'4 The queue'!$W$5:$W$212,0)),9999)+'1 Inputs'!$B$22+'1 Inputs'!$B$23+'1 Inputs'!$B$24+'1 Inputs'!$B$25),0,1)),9999)+'1 Inputs'!$B$26</f>
        <v>55</v>
      </c>
      <c r="L6" s="19" t="n">
        <f aca="false">IFERROR(INDEX('4 The queue'!$T$5:$T$40,MATCH((IFERROR(INDEX('4 The queue'!$U$5:$U$212,MATCH(IF($A6&lt;=1,0,INDEX('4 The queue'!$W$5:$W$212,$A6-1))+2+1,'4 The queue'!$W$5:$W$212,0)),9999)+'1 Inputs'!$B$22+'1 Inputs'!$B$23+'1 Inputs'!$B$24+'1 Inputs'!$B$25),'4 The queue'!$T$5:$T$40,1)+IF(INDEX('4 The queue'!$T$5:$T$40,MATCH((IFERROR(INDEX('4 The queue'!$U$5:$U$212,MATCH(IF($A6&lt;=1,0,INDEX('4 The queue'!$W$5:$W$212,$A6-1))+2+1,'4 The queue'!$W$5:$W$212,0)),9999)+'1 Inputs'!$B$22+'1 Inputs'!$B$23+'1 Inputs'!$B$24+'1 Inputs'!$B$25),'4 The queue'!$T$5:$T$40,1))=(IFERROR(INDEX('4 The queue'!$U$5:$U$212,MATCH(IF($A6&lt;=1,0,INDEX('4 The queue'!$W$5:$W$212,$A6-1))+2+1,'4 The queue'!$W$5:$W$212,0)),9999)+'1 Inputs'!$B$22+'1 Inputs'!$B$23+'1 Inputs'!$B$24+'1 Inputs'!$B$25),0,1)),9999)+'1 Inputs'!$B$26</f>
        <v>55</v>
      </c>
      <c r="M6" s="19" t="n">
        <f aca="false">IFERROR(INDEX('4 The queue'!$T$5:$T$40,MATCH((IFERROR(INDEX('4 The queue'!$U$5:$U$212,MATCH(IF($A6&lt;=1,0,INDEX('4 The queue'!$W$5:$W$212,$A6-1))+3+1,'4 The queue'!$W$5:$W$212,0)),9999)+'1 Inputs'!$B$22+'1 Inputs'!$B$23+'1 Inputs'!$B$24+'1 Inputs'!$B$25),'4 The queue'!$T$5:$T$40,1)+IF(INDEX('4 The queue'!$T$5:$T$40,MATCH((IFERROR(INDEX('4 The queue'!$U$5:$U$212,MATCH(IF($A6&lt;=1,0,INDEX('4 The queue'!$W$5:$W$212,$A6-1))+3+1,'4 The queue'!$W$5:$W$212,0)),9999)+'1 Inputs'!$B$22+'1 Inputs'!$B$23+'1 Inputs'!$B$24+'1 Inputs'!$B$25),'4 The queue'!$T$5:$T$40,1))=(IFERROR(INDEX('4 The queue'!$U$5:$U$212,MATCH(IF($A6&lt;=1,0,INDEX('4 The queue'!$W$5:$W$212,$A6-1))+3+1,'4 The queue'!$W$5:$W$212,0)),9999)+'1 Inputs'!$B$22+'1 Inputs'!$B$23+'1 Inputs'!$B$24+'1 Inputs'!$B$25),0,1)),9999)+'1 Inputs'!$B$26</f>
        <v>55</v>
      </c>
      <c r="N6" s="19" t="n">
        <f aca="false">IFERROR(INDEX('4 The queue'!$T$5:$T$40,MATCH((IFERROR(INDEX('4 The queue'!$U$5:$U$212,MATCH(IF($A6&lt;=1,0,INDEX('4 The queue'!$W$5:$W$212,$A6-1))+4+1,'4 The queue'!$W$5:$W$212,0)),9999)+'1 Inputs'!$B$22+'1 Inputs'!$B$23+'1 Inputs'!$B$24+'1 Inputs'!$B$25),'4 The queue'!$T$5:$T$40,1)+IF(INDEX('4 The queue'!$T$5:$T$40,MATCH((IFERROR(INDEX('4 The queue'!$U$5:$U$212,MATCH(IF($A6&lt;=1,0,INDEX('4 The queue'!$W$5:$W$212,$A6-1))+4+1,'4 The queue'!$W$5:$W$212,0)),9999)+'1 Inputs'!$B$22+'1 Inputs'!$B$23+'1 Inputs'!$B$24+'1 Inputs'!$B$25),'4 The queue'!$T$5:$T$40,1))=(IFERROR(INDEX('4 The queue'!$U$5:$U$212,MATCH(IF($A6&lt;=1,0,INDEX('4 The queue'!$W$5:$W$212,$A6-1))+4+1,'4 The queue'!$W$5:$W$212,0)),9999)+'1 Inputs'!$B$22+'1 Inputs'!$B$23+'1 Inputs'!$B$24+'1 Inputs'!$B$25),0,1)),9999)+'1 Inputs'!$B$26</f>
        <v>55</v>
      </c>
      <c r="O6" s="19" t="n">
        <f aca="false">IFERROR(INDEX('4 The queue'!$T$5:$T$40,MATCH((IFERROR(INDEX('4 The queue'!$U$5:$U$212,MATCH(IF($A6&lt;=1,0,INDEX('4 The queue'!$W$5:$W$212,$A6-1))+5+1,'4 The queue'!$W$5:$W$212,0)),9999)+'1 Inputs'!$B$22+'1 Inputs'!$B$23+'1 Inputs'!$B$24+'1 Inputs'!$B$25),'4 The queue'!$T$5:$T$40,1)+IF(INDEX('4 The queue'!$T$5:$T$40,MATCH((IFERROR(INDEX('4 The queue'!$U$5:$U$212,MATCH(IF($A6&lt;=1,0,INDEX('4 The queue'!$W$5:$W$212,$A6-1))+5+1,'4 The queue'!$W$5:$W$212,0)),9999)+'1 Inputs'!$B$22+'1 Inputs'!$B$23+'1 Inputs'!$B$24+'1 Inputs'!$B$25),'4 The queue'!$T$5:$T$40,1))=(IFERROR(INDEX('4 The queue'!$U$5:$U$212,MATCH(IF($A6&lt;=1,0,INDEX('4 The queue'!$W$5:$W$212,$A6-1))+5+1,'4 The queue'!$W$5:$W$212,0)),9999)+'1 Inputs'!$B$22+'1 Inputs'!$B$23+'1 Inputs'!$B$24+'1 Inputs'!$B$25),0,1)),9999)+'1 Inputs'!$B$26</f>
        <v>55</v>
      </c>
      <c r="P6" s="19" t="n">
        <f aca="false">IFERROR(INDEX('4 The queue'!$T$5:$T$40,MATCH((IFERROR(INDEX('4 The queue'!$U$5:$U$212,MATCH(IF($A6&lt;=1,0,INDEX('4 The queue'!$W$5:$W$212,$A6-1))+6+1,'4 The queue'!$W$5:$W$212,0)),9999)+'1 Inputs'!$B$22+'1 Inputs'!$B$23+'1 Inputs'!$B$24+'1 Inputs'!$B$25),'4 The queue'!$T$5:$T$40,1)+IF(INDEX('4 The queue'!$T$5:$T$40,MATCH((IFERROR(INDEX('4 The queue'!$U$5:$U$212,MATCH(IF($A6&lt;=1,0,INDEX('4 The queue'!$W$5:$W$212,$A6-1))+6+1,'4 The queue'!$W$5:$W$212,0)),9999)+'1 Inputs'!$B$22+'1 Inputs'!$B$23+'1 Inputs'!$B$24+'1 Inputs'!$B$25),'4 The queue'!$T$5:$T$40,1))=(IFERROR(INDEX('4 The queue'!$U$5:$U$212,MATCH(IF($A6&lt;=1,0,INDEX('4 The queue'!$W$5:$W$212,$A6-1))+6+1,'4 The queue'!$W$5:$W$212,0)),9999)+'1 Inputs'!$B$22+'1 Inputs'!$B$23+'1 Inputs'!$B$24+'1 Inputs'!$B$25),0,1)),9999)+'1 Inputs'!$B$26</f>
        <v>55</v>
      </c>
      <c r="Q6" s="19" t="n">
        <f aca="false">IFERROR(INDEX('4 The queue'!$T$5:$T$40,MATCH((IFERROR(INDEX('4 The queue'!$U$5:$U$212,MATCH(IF($A6&lt;=1,0,INDEX('4 The queue'!$W$5:$W$212,$A6-1))+7+1,'4 The queue'!$W$5:$W$212,0)),9999)+'1 Inputs'!$B$22+'1 Inputs'!$B$23+'1 Inputs'!$B$24+'1 Inputs'!$B$25),'4 The queue'!$T$5:$T$40,1)+IF(INDEX('4 The queue'!$T$5:$T$40,MATCH((IFERROR(INDEX('4 The queue'!$U$5:$U$212,MATCH(IF($A6&lt;=1,0,INDEX('4 The queue'!$W$5:$W$212,$A6-1))+7+1,'4 The queue'!$W$5:$W$212,0)),9999)+'1 Inputs'!$B$22+'1 Inputs'!$B$23+'1 Inputs'!$B$24+'1 Inputs'!$B$25),'4 The queue'!$T$5:$T$40,1))=(IFERROR(INDEX('4 The queue'!$U$5:$U$212,MATCH(IF($A6&lt;=1,0,INDEX('4 The queue'!$W$5:$W$212,$A6-1))+7+1,'4 The queue'!$W$5:$W$212,0)),9999)+'1 Inputs'!$B$22+'1 Inputs'!$B$23+'1 Inputs'!$B$24+'1 Inputs'!$B$25),0,1)),9999)+'1 Inputs'!$B$26</f>
        <v>55</v>
      </c>
      <c r="R6" s="19" t="n">
        <f aca="false">IFERROR(INDEX('4 The queue'!$T$5:$T$40,MATCH((IFERROR(INDEX('4 The queue'!$U$5:$U$212,MATCH(IF($A6&lt;=1,0,INDEX('4 The queue'!$W$5:$W$212,$A6-1))+8+1,'4 The queue'!$W$5:$W$212,0)),9999)+'1 Inputs'!$B$22+'1 Inputs'!$B$23+'1 Inputs'!$B$24+'1 Inputs'!$B$25),'4 The queue'!$T$5:$T$40,1)+IF(INDEX('4 The queue'!$T$5:$T$40,MATCH((IFERROR(INDEX('4 The queue'!$U$5:$U$212,MATCH(IF($A6&lt;=1,0,INDEX('4 The queue'!$W$5:$W$212,$A6-1))+8+1,'4 The queue'!$W$5:$W$212,0)),9999)+'1 Inputs'!$B$22+'1 Inputs'!$B$23+'1 Inputs'!$B$24+'1 Inputs'!$B$25),'4 The queue'!$T$5:$T$40,1))=(IFERROR(INDEX('4 The queue'!$U$5:$U$212,MATCH(IF($A6&lt;=1,0,INDEX('4 The queue'!$W$5:$W$212,$A6-1))+8+1,'4 The queue'!$W$5:$W$212,0)),9999)+'1 Inputs'!$B$22+'1 Inputs'!$B$23+'1 Inputs'!$B$24+'1 Inputs'!$B$25),0,1)),9999)+'1 Inputs'!$B$26</f>
        <v>55</v>
      </c>
      <c r="S6" s="19" t="n">
        <f aca="false">IFERROR(INDEX('4 The queue'!$T$5:$T$40,MATCH((IFERROR(INDEX('4 The queue'!$U$5:$U$212,MATCH(IF($A6&lt;=1,0,INDEX('4 The queue'!$W$5:$W$212,$A6-1))+9+1,'4 The queue'!$W$5:$W$212,0)),9999)+'1 Inputs'!$B$22+'1 Inputs'!$B$23+'1 Inputs'!$B$24+'1 Inputs'!$B$25),'4 The queue'!$T$5:$T$40,1)+IF(INDEX('4 The queue'!$T$5:$T$40,MATCH((IFERROR(INDEX('4 The queue'!$U$5:$U$212,MATCH(IF($A6&lt;=1,0,INDEX('4 The queue'!$W$5:$W$212,$A6-1))+9+1,'4 The queue'!$W$5:$W$212,0)),9999)+'1 Inputs'!$B$22+'1 Inputs'!$B$23+'1 Inputs'!$B$24+'1 Inputs'!$B$25),'4 The queue'!$T$5:$T$40,1))=(IFERROR(INDEX('4 The queue'!$U$5:$U$212,MATCH(IF($A6&lt;=1,0,INDEX('4 The queue'!$W$5:$W$212,$A6-1))+9+1,'4 The queue'!$W$5:$W$212,0)),9999)+'1 Inputs'!$B$22+'1 Inputs'!$B$23+'1 Inputs'!$B$24+'1 Inputs'!$B$25),0,1)),9999)+'1 Inputs'!$B$26</f>
        <v>71</v>
      </c>
      <c r="T6" s="19" t="n">
        <f aca="false">IFERROR(INDEX('4 The queue'!$T$5:$T$40,MATCH((IFERROR(INDEX('4 The queue'!$U$5:$U$212,MATCH(IF($A6&lt;=1,0,INDEX('4 The queue'!$W$5:$W$212,$A6-1))+10+1,'4 The queue'!$W$5:$W$212,0)),9999)+'1 Inputs'!$B$22+'1 Inputs'!$B$23+'1 Inputs'!$B$24+'1 Inputs'!$B$25),'4 The queue'!$T$5:$T$40,1)+IF(INDEX('4 The queue'!$T$5:$T$40,MATCH((IFERROR(INDEX('4 The queue'!$U$5:$U$212,MATCH(IF($A6&lt;=1,0,INDEX('4 The queue'!$W$5:$W$212,$A6-1))+10+1,'4 The queue'!$W$5:$W$212,0)),9999)+'1 Inputs'!$B$22+'1 Inputs'!$B$23+'1 Inputs'!$B$24+'1 Inputs'!$B$25),'4 The queue'!$T$5:$T$40,1))=(IFERROR(INDEX('4 The queue'!$U$5:$U$212,MATCH(IF($A6&lt;=1,0,INDEX('4 The queue'!$W$5:$W$212,$A6-1))+10+1,'4 The queue'!$W$5:$W$212,0)),9999)+'1 Inputs'!$B$22+'1 Inputs'!$B$23+'1 Inputs'!$B$24+'1 Inputs'!$B$25),0,1)),9999)+'1 Inputs'!$B$26</f>
        <v>71</v>
      </c>
      <c r="U6" s="19" t="n">
        <f aca="false">IFERROR(INDEX('4 The queue'!$T$5:$T$40,MATCH((IFERROR(INDEX('4 The queue'!$U$5:$U$212,MATCH(IF($A6&lt;=1,0,INDEX('4 The queue'!$W$5:$W$212,$A6-1))+11+1,'4 The queue'!$W$5:$W$212,0)),9999)+'1 Inputs'!$B$22+'1 Inputs'!$B$23+'1 Inputs'!$B$24+'1 Inputs'!$B$25),'4 The queue'!$T$5:$T$40,1)+IF(INDEX('4 The queue'!$T$5:$T$40,MATCH((IFERROR(INDEX('4 The queue'!$U$5:$U$212,MATCH(IF($A6&lt;=1,0,INDEX('4 The queue'!$W$5:$W$212,$A6-1))+11+1,'4 The queue'!$W$5:$W$212,0)),9999)+'1 Inputs'!$B$22+'1 Inputs'!$B$23+'1 Inputs'!$B$24+'1 Inputs'!$B$25),'4 The queue'!$T$5:$T$40,1))=(IFERROR(INDEX('4 The queue'!$U$5:$U$212,MATCH(IF($A6&lt;=1,0,INDEX('4 The queue'!$W$5:$W$212,$A6-1))+11+1,'4 The queue'!$W$5:$W$212,0)),9999)+'1 Inputs'!$B$22+'1 Inputs'!$B$23+'1 Inputs'!$B$24+'1 Inputs'!$B$25),0,1)),9999)+'1 Inputs'!$B$26</f>
        <v>71</v>
      </c>
      <c r="V6" s="19" t="n">
        <f aca="false">IFERROR(INDEX('4 The queue'!$T$5:$T$40,MATCH((IFERROR(INDEX('4 The queue'!$U$5:$U$212,MATCH(IF($A6&lt;=1,0,INDEX('4 The queue'!$W$5:$W$212,$A6-1))+12+1,'4 The queue'!$W$5:$W$212,0)),9999)+'1 Inputs'!$B$22+'1 Inputs'!$B$23+'1 Inputs'!$B$24+'1 Inputs'!$B$25),'4 The queue'!$T$5:$T$40,1)+IF(INDEX('4 The queue'!$T$5:$T$40,MATCH((IFERROR(INDEX('4 The queue'!$U$5:$U$212,MATCH(IF($A6&lt;=1,0,INDEX('4 The queue'!$W$5:$W$212,$A6-1))+12+1,'4 The queue'!$W$5:$W$212,0)),9999)+'1 Inputs'!$B$22+'1 Inputs'!$B$23+'1 Inputs'!$B$24+'1 Inputs'!$B$25),'4 The queue'!$T$5:$T$40,1))=(IFERROR(INDEX('4 The queue'!$U$5:$U$212,MATCH(IF($A6&lt;=1,0,INDEX('4 The queue'!$W$5:$W$212,$A6-1))+12+1,'4 The queue'!$W$5:$W$212,0)),9999)+'1 Inputs'!$B$22+'1 Inputs'!$B$23+'1 Inputs'!$B$24+'1 Inputs'!$B$25),0,1)),9999)+'1 Inputs'!$B$26</f>
        <v>71</v>
      </c>
      <c r="W6" s="19" t="n">
        <f aca="false">IFERROR(INDEX('4 The queue'!$T$5:$T$40,MATCH((IFERROR(INDEX('4 The queue'!$U$5:$U$212,MATCH(IF($A6&lt;=1,0,INDEX('4 The queue'!$W$5:$W$212,$A6-1))+13+1,'4 The queue'!$W$5:$W$212,0)),9999)+'1 Inputs'!$B$22+'1 Inputs'!$B$23+'1 Inputs'!$B$24+'1 Inputs'!$B$25),'4 The queue'!$T$5:$T$40,1)+IF(INDEX('4 The queue'!$T$5:$T$40,MATCH((IFERROR(INDEX('4 The queue'!$U$5:$U$212,MATCH(IF($A6&lt;=1,0,INDEX('4 The queue'!$W$5:$W$212,$A6-1))+13+1,'4 The queue'!$W$5:$W$212,0)),9999)+'1 Inputs'!$B$22+'1 Inputs'!$B$23+'1 Inputs'!$B$24+'1 Inputs'!$B$25),'4 The queue'!$T$5:$T$40,1))=(IFERROR(INDEX('4 The queue'!$U$5:$U$212,MATCH(IF($A6&lt;=1,0,INDEX('4 The queue'!$W$5:$W$212,$A6-1))+13+1,'4 The queue'!$W$5:$W$212,0)),9999)+'1 Inputs'!$B$22+'1 Inputs'!$B$23+'1 Inputs'!$B$24+'1 Inputs'!$B$25),0,1)),9999)+'1 Inputs'!$B$26</f>
        <v>71</v>
      </c>
      <c r="X6" s="19" t="n">
        <f aca="false">IFERROR(INDEX('4 The queue'!$T$5:$T$40,MATCH((IFERROR(INDEX('4 The queue'!$U$5:$U$212,MATCH(IF($A6&lt;=1,0,INDEX('4 The queue'!$W$5:$W$212,$A6-1))+14+1,'4 The queue'!$W$5:$W$212,0)),9999)+'1 Inputs'!$B$22+'1 Inputs'!$B$23+'1 Inputs'!$B$24+'1 Inputs'!$B$25),'4 The queue'!$T$5:$T$40,1)+IF(INDEX('4 The queue'!$T$5:$T$40,MATCH((IFERROR(INDEX('4 The queue'!$U$5:$U$212,MATCH(IF($A6&lt;=1,0,INDEX('4 The queue'!$W$5:$W$212,$A6-1))+14+1,'4 The queue'!$W$5:$W$212,0)),9999)+'1 Inputs'!$B$22+'1 Inputs'!$B$23+'1 Inputs'!$B$24+'1 Inputs'!$B$25),'4 The queue'!$T$5:$T$40,1))=(IFERROR(INDEX('4 The queue'!$U$5:$U$212,MATCH(IF($A6&lt;=1,0,INDEX('4 The queue'!$W$5:$W$212,$A6-1))+14+1,'4 The queue'!$W$5:$W$212,0)),9999)+'1 Inputs'!$B$22+'1 Inputs'!$B$23+'1 Inputs'!$B$24+'1 Inputs'!$B$25),0,1)),9999)+'1 Inputs'!$B$26</f>
        <v>71</v>
      </c>
      <c r="Y6" s="19" t="n">
        <f aca="false">IFERROR(INDEX('4 The queue'!$T$5:$T$40,MATCH((IFERROR(INDEX('4 The queue'!$U$5:$U$212,MATCH(IF($A6&lt;=1,0,INDEX('4 The queue'!$W$5:$W$212,$A6-1))+15+1,'4 The queue'!$W$5:$W$212,0)),9999)+'1 Inputs'!$B$22+'1 Inputs'!$B$23+'1 Inputs'!$B$24+'1 Inputs'!$B$25),'4 The queue'!$T$5:$T$40,1)+IF(INDEX('4 The queue'!$T$5:$T$40,MATCH((IFERROR(INDEX('4 The queue'!$U$5:$U$212,MATCH(IF($A6&lt;=1,0,INDEX('4 The queue'!$W$5:$W$212,$A6-1))+15+1,'4 The queue'!$W$5:$W$212,0)),9999)+'1 Inputs'!$B$22+'1 Inputs'!$B$23+'1 Inputs'!$B$24+'1 Inputs'!$B$25),'4 The queue'!$T$5:$T$40,1))=(IFERROR(INDEX('4 The queue'!$U$5:$U$212,MATCH(IF($A6&lt;=1,0,INDEX('4 The queue'!$W$5:$W$212,$A6-1))+15+1,'4 The queue'!$W$5:$W$212,0)),9999)+'1 Inputs'!$B$22+'1 Inputs'!$B$23+'1 Inputs'!$B$24+'1 Inputs'!$B$25),0,1)),9999)+'1 Inputs'!$B$26</f>
        <v>71</v>
      </c>
      <c r="Z6" s="19" t="n">
        <f aca="false">IFERROR(INDEX('4 The queue'!$T$5:$T$40,MATCH((IFERROR(INDEX('4 The queue'!$U$5:$U$212,MATCH(IF($A6&lt;=1,0,INDEX('4 The queue'!$W$5:$W$212,$A6-1))+16+1,'4 The queue'!$W$5:$W$212,0)),9999)+'1 Inputs'!$B$22+'1 Inputs'!$B$23+'1 Inputs'!$B$24+'1 Inputs'!$B$25),'4 The queue'!$T$5:$T$40,1)+IF(INDEX('4 The queue'!$T$5:$T$40,MATCH((IFERROR(INDEX('4 The queue'!$U$5:$U$212,MATCH(IF($A6&lt;=1,0,INDEX('4 The queue'!$W$5:$W$212,$A6-1))+16+1,'4 The queue'!$W$5:$W$212,0)),9999)+'1 Inputs'!$B$22+'1 Inputs'!$B$23+'1 Inputs'!$B$24+'1 Inputs'!$B$25),'4 The queue'!$T$5:$T$40,1))=(IFERROR(INDEX('4 The queue'!$U$5:$U$212,MATCH(IF($A6&lt;=1,0,INDEX('4 The queue'!$W$5:$W$212,$A6-1))+16+1,'4 The queue'!$W$5:$W$212,0)),9999)+'1 Inputs'!$B$22+'1 Inputs'!$B$23+'1 Inputs'!$B$24+'1 Inputs'!$B$25),0,1)),9999)+'1 Inputs'!$B$26</f>
        <v>71</v>
      </c>
      <c r="AA6" s="19" t="n">
        <f aca="false">IFERROR(INDEX('4 The queue'!$T$5:$T$40,MATCH((IFERROR(INDEX('4 The queue'!$U$5:$U$212,MATCH(IF($A6&lt;=1,0,INDEX('4 The queue'!$W$5:$W$212,$A6-1))+17+1,'4 The queue'!$W$5:$W$212,0)),9999)+'1 Inputs'!$B$22+'1 Inputs'!$B$23+'1 Inputs'!$B$24+'1 Inputs'!$B$25),'4 The queue'!$T$5:$T$40,1)+IF(INDEX('4 The queue'!$T$5:$T$40,MATCH((IFERROR(INDEX('4 The queue'!$U$5:$U$212,MATCH(IF($A6&lt;=1,0,INDEX('4 The queue'!$W$5:$W$212,$A6-1))+17+1,'4 The queue'!$W$5:$W$212,0)),9999)+'1 Inputs'!$B$22+'1 Inputs'!$B$23+'1 Inputs'!$B$24+'1 Inputs'!$B$25),'4 The queue'!$T$5:$T$40,1))=(IFERROR(INDEX('4 The queue'!$U$5:$U$212,MATCH(IF($A6&lt;=1,0,INDEX('4 The queue'!$W$5:$W$212,$A6-1))+17+1,'4 The queue'!$W$5:$W$212,0)),9999)+'1 Inputs'!$B$22+'1 Inputs'!$B$23+'1 Inputs'!$B$24+'1 Inputs'!$B$25),0,1)),9999)+'1 Inputs'!$B$26</f>
        <v>71</v>
      </c>
      <c r="AB6" s="19" t="n">
        <f aca="false">IFERROR(INDEX('4 The queue'!$T$5:$T$40,MATCH((IFERROR(INDEX('4 The queue'!$U$5:$U$212,MATCH(IF($A6&lt;=1,0,INDEX('4 The queue'!$W$5:$W$212,$A6-1))+18+1,'4 The queue'!$W$5:$W$212,0)),9999)+'1 Inputs'!$B$22+'1 Inputs'!$B$23+'1 Inputs'!$B$24+'1 Inputs'!$B$25),'4 The queue'!$T$5:$T$40,1)+IF(INDEX('4 The queue'!$T$5:$T$40,MATCH((IFERROR(INDEX('4 The queue'!$U$5:$U$212,MATCH(IF($A6&lt;=1,0,INDEX('4 The queue'!$W$5:$W$212,$A6-1))+18+1,'4 The queue'!$W$5:$W$212,0)),9999)+'1 Inputs'!$B$22+'1 Inputs'!$B$23+'1 Inputs'!$B$24+'1 Inputs'!$B$25),'4 The queue'!$T$5:$T$40,1))=(IFERROR(INDEX('4 The queue'!$U$5:$U$212,MATCH(IF($A6&lt;=1,0,INDEX('4 The queue'!$W$5:$W$212,$A6-1))+18+1,'4 The queue'!$W$5:$W$212,0)),9999)+'1 Inputs'!$B$22+'1 Inputs'!$B$23+'1 Inputs'!$B$24+'1 Inputs'!$B$25),0,1)),9999)+'1 Inputs'!$B$26</f>
        <v>71</v>
      </c>
      <c r="AC6" s="19" t="n">
        <f aca="false">IFERROR(INDEX('4 The queue'!$T$5:$T$40,MATCH((IFERROR(INDEX('4 The queue'!$U$5:$U$212,MATCH(IF($A6&lt;=1,0,INDEX('4 The queue'!$W$5:$W$212,$A6-1))+19+1,'4 The queue'!$W$5:$W$212,0)),9999)+'1 Inputs'!$B$22+'1 Inputs'!$B$23+'1 Inputs'!$B$24+'1 Inputs'!$B$25),'4 The queue'!$T$5:$T$40,1)+IF(INDEX('4 The queue'!$T$5:$T$40,MATCH((IFERROR(INDEX('4 The queue'!$U$5:$U$212,MATCH(IF($A6&lt;=1,0,INDEX('4 The queue'!$W$5:$W$212,$A6-1))+19+1,'4 The queue'!$W$5:$W$212,0)),9999)+'1 Inputs'!$B$22+'1 Inputs'!$B$23+'1 Inputs'!$B$24+'1 Inputs'!$B$25),'4 The queue'!$T$5:$T$40,1))=(IFERROR(INDEX('4 The queue'!$U$5:$U$212,MATCH(IF($A6&lt;=1,0,INDEX('4 The queue'!$W$5:$W$212,$A6-1))+19+1,'4 The queue'!$W$5:$W$212,0)),9999)+'1 Inputs'!$B$22+'1 Inputs'!$B$23+'1 Inputs'!$B$24+'1 Inputs'!$B$25),0,1)),9999)+'1 Inputs'!$B$26</f>
        <v>71</v>
      </c>
      <c r="AD6" s="19" t="n">
        <f aca="false">IFERROR(INDEX('4 The queue'!$T$5:$T$40,MATCH((IFERROR(INDEX('4 The queue'!$U$5:$U$212,MATCH(IF($A6&lt;=1,0,INDEX('4 The queue'!$W$5:$W$212,$A6-1))+20+1,'4 The queue'!$W$5:$W$212,0)),9999)+'1 Inputs'!$B$22+'1 Inputs'!$B$23+'1 Inputs'!$B$24+'1 Inputs'!$B$25),'4 The queue'!$T$5:$T$40,1)+IF(INDEX('4 The queue'!$T$5:$T$40,MATCH((IFERROR(INDEX('4 The queue'!$U$5:$U$212,MATCH(IF($A6&lt;=1,0,INDEX('4 The queue'!$W$5:$W$212,$A6-1))+20+1,'4 The queue'!$W$5:$W$212,0)),9999)+'1 Inputs'!$B$22+'1 Inputs'!$B$23+'1 Inputs'!$B$24+'1 Inputs'!$B$25),'4 The queue'!$T$5:$T$40,1))=(IFERROR(INDEX('4 The queue'!$U$5:$U$212,MATCH(IF($A6&lt;=1,0,INDEX('4 The queue'!$W$5:$W$212,$A6-1))+20+1,'4 The queue'!$W$5:$W$212,0)),9999)+'1 Inputs'!$B$22+'1 Inputs'!$B$23+'1 Inputs'!$B$24+'1 Inputs'!$B$25),0,1)),9999)+'1 Inputs'!$B$26</f>
        <v>71</v>
      </c>
      <c r="AE6" s="19" t="n">
        <f aca="false">IFERROR(INDEX('4 The queue'!$T$5:$T$40,MATCH((IFERROR(INDEX('4 The queue'!$U$5:$U$212,MATCH(IF($A6&lt;=1,0,INDEX('4 The queue'!$W$5:$W$212,$A6-1))+21+1,'4 The queue'!$W$5:$W$212,0)),9999)+'1 Inputs'!$B$22+'1 Inputs'!$B$23+'1 Inputs'!$B$24+'1 Inputs'!$B$25),'4 The queue'!$T$5:$T$40,1)+IF(INDEX('4 The queue'!$T$5:$T$40,MATCH((IFERROR(INDEX('4 The queue'!$U$5:$U$212,MATCH(IF($A6&lt;=1,0,INDEX('4 The queue'!$W$5:$W$212,$A6-1))+21+1,'4 The queue'!$W$5:$W$212,0)),9999)+'1 Inputs'!$B$22+'1 Inputs'!$B$23+'1 Inputs'!$B$24+'1 Inputs'!$B$25),'4 The queue'!$T$5:$T$40,1))=(IFERROR(INDEX('4 The queue'!$U$5:$U$212,MATCH(IF($A6&lt;=1,0,INDEX('4 The queue'!$W$5:$W$212,$A6-1))+21+1,'4 The queue'!$W$5:$W$212,0)),9999)+'1 Inputs'!$B$22+'1 Inputs'!$B$23+'1 Inputs'!$B$24+'1 Inputs'!$B$25),0,1)),9999)+'1 Inputs'!$B$26</f>
        <v>84</v>
      </c>
      <c r="AF6" s="19" t="n">
        <f aca="false">IFERROR(INDEX('4 The queue'!$T$5:$T$40,MATCH((IFERROR(INDEX('4 The queue'!$U$5:$U$212,MATCH(IF($A6&lt;=1,0,INDEX('4 The queue'!$W$5:$W$212,$A6-1))+22+1,'4 The queue'!$W$5:$W$212,0)),9999)+'1 Inputs'!$B$22+'1 Inputs'!$B$23+'1 Inputs'!$B$24+'1 Inputs'!$B$25),'4 The queue'!$T$5:$T$40,1)+IF(INDEX('4 The queue'!$T$5:$T$40,MATCH((IFERROR(INDEX('4 The queue'!$U$5:$U$212,MATCH(IF($A6&lt;=1,0,INDEX('4 The queue'!$W$5:$W$212,$A6-1))+22+1,'4 The queue'!$W$5:$W$212,0)),9999)+'1 Inputs'!$B$22+'1 Inputs'!$B$23+'1 Inputs'!$B$24+'1 Inputs'!$B$25),'4 The queue'!$T$5:$T$40,1))=(IFERROR(INDEX('4 The queue'!$U$5:$U$212,MATCH(IF($A6&lt;=1,0,INDEX('4 The queue'!$W$5:$W$212,$A6-1))+22+1,'4 The queue'!$W$5:$W$212,0)),9999)+'1 Inputs'!$B$22+'1 Inputs'!$B$23+'1 Inputs'!$B$24+'1 Inputs'!$B$25),0,1)),9999)+'1 Inputs'!$B$26</f>
        <v>84</v>
      </c>
      <c r="AG6" s="19" t="n">
        <f aca="false">IFERROR(INDEX('4 The queue'!$T$5:$T$40,MATCH((IFERROR(INDEX('4 The queue'!$U$5:$U$212,MATCH(IF($A6&lt;=1,0,INDEX('4 The queue'!$W$5:$W$212,$A6-1))+23+1,'4 The queue'!$W$5:$W$212,0)),9999)+'1 Inputs'!$B$22+'1 Inputs'!$B$23+'1 Inputs'!$B$24+'1 Inputs'!$B$25),'4 The queue'!$T$5:$T$40,1)+IF(INDEX('4 The queue'!$T$5:$T$40,MATCH((IFERROR(INDEX('4 The queue'!$U$5:$U$212,MATCH(IF($A6&lt;=1,0,INDEX('4 The queue'!$W$5:$W$212,$A6-1))+23+1,'4 The queue'!$W$5:$W$212,0)),9999)+'1 Inputs'!$B$22+'1 Inputs'!$B$23+'1 Inputs'!$B$24+'1 Inputs'!$B$25),'4 The queue'!$T$5:$T$40,1))=(IFERROR(INDEX('4 The queue'!$U$5:$U$212,MATCH(IF($A6&lt;=1,0,INDEX('4 The queue'!$W$5:$W$212,$A6-1))+23+1,'4 The queue'!$W$5:$W$212,0)),9999)+'1 Inputs'!$B$22+'1 Inputs'!$B$23+'1 Inputs'!$B$24+'1 Inputs'!$B$25),0,1)),9999)+'1 Inputs'!$B$26</f>
        <v>84</v>
      </c>
      <c r="AH6" s="19" t="n">
        <f aca="false">IFERROR(INDEX('4 The queue'!$T$5:$T$40,MATCH((IFERROR(INDEX('4 The queue'!$U$5:$U$212,MATCH(IF($A6&lt;=1,0,INDEX('4 The queue'!$W$5:$W$212,$A6-1))+24+1,'4 The queue'!$W$5:$W$212,0)),9999)+'1 Inputs'!$B$22+'1 Inputs'!$B$23+'1 Inputs'!$B$24+'1 Inputs'!$B$25),'4 The queue'!$T$5:$T$40,1)+IF(INDEX('4 The queue'!$T$5:$T$40,MATCH((IFERROR(INDEX('4 The queue'!$U$5:$U$212,MATCH(IF($A6&lt;=1,0,INDEX('4 The queue'!$W$5:$W$212,$A6-1))+24+1,'4 The queue'!$W$5:$W$212,0)),9999)+'1 Inputs'!$B$22+'1 Inputs'!$B$23+'1 Inputs'!$B$24+'1 Inputs'!$B$25),'4 The queue'!$T$5:$T$40,1))=(IFERROR(INDEX('4 The queue'!$U$5:$U$212,MATCH(IF($A6&lt;=1,0,INDEX('4 The queue'!$W$5:$W$212,$A6-1))+24+1,'4 The queue'!$W$5:$W$212,0)),9999)+'1 Inputs'!$B$22+'1 Inputs'!$B$23+'1 Inputs'!$B$24+'1 Inputs'!$B$25),0,1)),9999)+'1 Inputs'!$B$26</f>
        <v>84</v>
      </c>
      <c r="AI6" s="19" t="n">
        <f aca="false">IFERROR(INDEX('4 The queue'!$T$5:$T$40,MATCH((IFERROR(INDEX('4 The queue'!$U$5:$U$212,MATCH(IF($A6&lt;=1,0,INDEX('4 The queue'!$W$5:$W$212,$A6-1))+25+1,'4 The queue'!$W$5:$W$212,0)),9999)+'1 Inputs'!$B$22+'1 Inputs'!$B$23+'1 Inputs'!$B$24+'1 Inputs'!$B$25),'4 The queue'!$T$5:$T$40,1)+IF(INDEX('4 The queue'!$T$5:$T$40,MATCH((IFERROR(INDEX('4 The queue'!$U$5:$U$212,MATCH(IF($A6&lt;=1,0,INDEX('4 The queue'!$W$5:$W$212,$A6-1))+25+1,'4 The queue'!$W$5:$W$212,0)),9999)+'1 Inputs'!$B$22+'1 Inputs'!$B$23+'1 Inputs'!$B$24+'1 Inputs'!$B$25),'4 The queue'!$T$5:$T$40,1))=(IFERROR(INDEX('4 The queue'!$U$5:$U$212,MATCH(IF($A6&lt;=1,0,INDEX('4 The queue'!$W$5:$W$212,$A6-1))+25+1,'4 The queue'!$W$5:$W$212,0)),9999)+'1 Inputs'!$B$22+'1 Inputs'!$B$23+'1 Inputs'!$B$24+'1 Inputs'!$B$25),0,1)),9999)+'1 Inputs'!$B$26</f>
        <v>84</v>
      </c>
      <c r="AJ6" s="19" t="n">
        <f aca="false">IFERROR(INDEX('4 The queue'!$T$5:$T$40,MATCH((IFERROR(INDEX('4 The queue'!$U$5:$U$212,MATCH(IF($A6&lt;=1,0,INDEX('4 The queue'!$W$5:$W$212,$A6-1))+26+1,'4 The queue'!$W$5:$W$212,0)),9999)+'1 Inputs'!$B$22+'1 Inputs'!$B$23+'1 Inputs'!$B$24+'1 Inputs'!$B$25),'4 The queue'!$T$5:$T$40,1)+IF(INDEX('4 The queue'!$T$5:$T$40,MATCH((IFERROR(INDEX('4 The queue'!$U$5:$U$212,MATCH(IF($A6&lt;=1,0,INDEX('4 The queue'!$W$5:$W$212,$A6-1))+26+1,'4 The queue'!$W$5:$W$212,0)),9999)+'1 Inputs'!$B$22+'1 Inputs'!$B$23+'1 Inputs'!$B$24+'1 Inputs'!$B$25),'4 The queue'!$T$5:$T$40,1))=(IFERROR(INDEX('4 The queue'!$U$5:$U$212,MATCH(IF($A6&lt;=1,0,INDEX('4 The queue'!$W$5:$W$212,$A6-1))+26+1,'4 The queue'!$W$5:$W$212,0)),9999)+'1 Inputs'!$B$22+'1 Inputs'!$B$23+'1 Inputs'!$B$24+'1 Inputs'!$B$25),0,1)),9999)+'1 Inputs'!$B$26</f>
        <v>84</v>
      </c>
      <c r="AK6" s="19" t="n">
        <f aca="false">IFERROR(INDEX('4 The queue'!$T$5:$T$40,MATCH((IFERROR(INDEX('4 The queue'!$U$5:$U$212,MATCH(IF($A6&lt;=1,0,INDEX('4 The queue'!$W$5:$W$212,$A6-1))+27+1,'4 The queue'!$W$5:$W$212,0)),9999)+'1 Inputs'!$B$22+'1 Inputs'!$B$23+'1 Inputs'!$B$24+'1 Inputs'!$B$25),'4 The queue'!$T$5:$T$40,1)+IF(INDEX('4 The queue'!$T$5:$T$40,MATCH((IFERROR(INDEX('4 The queue'!$U$5:$U$212,MATCH(IF($A6&lt;=1,0,INDEX('4 The queue'!$W$5:$W$212,$A6-1))+27+1,'4 The queue'!$W$5:$W$212,0)),9999)+'1 Inputs'!$B$22+'1 Inputs'!$B$23+'1 Inputs'!$B$24+'1 Inputs'!$B$25),'4 The queue'!$T$5:$T$40,1))=(IFERROR(INDEX('4 The queue'!$U$5:$U$212,MATCH(IF($A6&lt;=1,0,INDEX('4 The queue'!$W$5:$W$212,$A6-1))+27+1,'4 The queue'!$W$5:$W$212,0)),9999)+'1 Inputs'!$B$22+'1 Inputs'!$B$23+'1 Inputs'!$B$24+'1 Inputs'!$B$25),0,1)),9999)+'1 Inputs'!$B$26</f>
        <v>84</v>
      </c>
      <c r="AL6" s="19" t="n">
        <f aca="false">IFERROR(INDEX('4 The queue'!$T$5:$T$40,MATCH((IFERROR(INDEX('4 The queue'!$U$5:$U$212,MATCH(IF($A6&lt;=1,0,INDEX('4 The queue'!$W$5:$W$212,$A6-1))+28+1,'4 The queue'!$W$5:$W$212,0)),9999)+'1 Inputs'!$B$22+'1 Inputs'!$B$23+'1 Inputs'!$B$24+'1 Inputs'!$B$25),'4 The queue'!$T$5:$T$40,1)+IF(INDEX('4 The queue'!$T$5:$T$40,MATCH((IFERROR(INDEX('4 The queue'!$U$5:$U$212,MATCH(IF($A6&lt;=1,0,INDEX('4 The queue'!$W$5:$W$212,$A6-1))+28+1,'4 The queue'!$W$5:$W$212,0)),9999)+'1 Inputs'!$B$22+'1 Inputs'!$B$23+'1 Inputs'!$B$24+'1 Inputs'!$B$25),'4 The queue'!$T$5:$T$40,1))=(IFERROR(INDEX('4 The queue'!$U$5:$U$212,MATCH(IF($A6&lt;=1,0,INDEX('4 The queue'!$W$5:$W$212,$A6-1))+28+1,'4 The queue'!$W$5:$W$212,0)),9999)+'1 Inputs'!$B$22+'1 Inputs'!$B$23+'1 Inputs'!$B$24+'1 Inputs'!$B$25),0,1)),9999)+'1 Inputs'!$B$26</f>
        <v>84</v>
      </c>
      <c r="AM6" s="19" t="n">
        <f aca="false">IFERROR(INDEX('4 The queue'!$T$5:$T$40,MATCH((IFERROR(INDEX('4 The queue'!$U$5:$U$212,MATCH(IF($A6&lt;=1,0,INDEX('4 The queue'!$W$5:$W$212,$A6-1))+29+1,'4 The queue'!$W$5:$W$212,0)),9999)+'1 Inputs'!$B$22+'1 Inputs'!$B$23+'1 Inputs'!$B$24+'1 Inputs'!$B$25),'4 The queue'!$T$5:$T$40,1)+IF(INDEX('4 The queue'!$T$5:$T$40,MATCH((IFERROR(INDEX('4 The queue'!$U$5:$U$212,MATCH(IF($A6&lt;=1,0,INDEX('4 The queue'!$W$5:$W$212,$A6-1))+29+1,'4 The queue'!$W$5:$W$212,0)),9999)+'1 Inputs'!$B$22+'1 Inputs'!$B$23+'1 Inputs'!$B$24+'1 Inputs'!$B$25),'4 The queue'!$T$5:$T$40,1))=(IFERROR(INDEX('4 The queue'!$U$5:$U$212,MATCH(IF($A6&lt;=1,0,INDEX('4 The queue'!$W$5:$W$212,$A6-1))+29+1,'4 The queue'!$W$5:$W$212,0)),9999)+'1 Inputs'!$B$22+'1 Inputs'!$B$23+'1 Inputs'!$B$24+'1 Inputs'!$B$25),0,1)),9999)+'1 Inputs'!$B$26</f>
        <v>84</v>
      </c>
      <c r="AN6" s="19" t="n">
        <f aca="false">IFERROR(INDEX('4 The queue'!$T$5:$T$40,MATCH((IFERROR(INDEX('4 The queue'!$U$5:$U$212,MATCH(IF($A6&lt;=1,0,INDEX('4 The queue'!$W$5:$W$212,$A6-1))+30+1,'4 The queue'!$W$5:$W$212,0)),9999)+'1 Inputs'!$B$22+'1 Inputs'!$B$23+'1 Inputs'!$B$24+'1 Inputs'!$B$25),'4 The queue'!$T$5:$T$40,1)+IF(INDEX('4 The queue'!$T$5:$T$40,MATCH((IFERROR(INDEX('4 The queue'!$U$5:$U$212,MATCH(IF($A6&lt;=1,0,INDEX('4 The queue'!$W$5:$W$212,$A6-1))+30+1,'4 The queue'!$W$5:$W$212,0)),9999)+'1 Inputs'!$B$22+'1 Inputs'!$B$23+'1 Inputs'!$B$24+'1 Inputs'!$B$25),'4 The queue'!$T$5:$T$40,1))=(IFERROR(INDEX('4 The queue'!$U$5:$U$212,MATCH(IF($A6&lt;=1,0,INDEX('4 The queue'!$W$5:$W$212,$A6-1))+30+1,'4 The queue'!$W$5:$W$212,0)),9999)+'1 Inputs'!$B$22+'1 Inputs'!$B$23+'1 Inputs'!$B$24+'1 Inputs'!$B$25),0,1)),9999)+'1 Inputs'!$B$26</f>
        <v>84</v>
      </c>
      <c r="AO6" s="19" t="n">
        <f aca="false">IFERROR(INDEX('4 The queue'!$T$5:$T$40,MATCH((IFERROR(INDEX('4 The queue'!$U$5:$U$212,MATCH(IF($A6&lt;=1,0,INDEX('4 The queue'!$W$5:$W$212,$A6-1))+31+1,'4 The queue'!$W$5:$W$212,0)),9999)+'1 Inputs'!$B$22+'1 Inputs'!$B$23+'1 Inputs'!$B$24+'1 Inputs'!$B$25),'4 The queue'!$T$5:$T$40,1)+IF(INDEX('4 The queue'!$T$5:$T$40,MATCH((IFERROR(INDEX('4 The queue'!$U$5:$U$212,MATCH(IF($A6&lt;=1,0,INDEX('4 The queue'!$W$5:$W$212,$A6-1))+31+1,'4 The queue'!$W$5:$W$212,0)),9999)+'1 Inputs'!$B$22+'1 Inputs'!$B$23+'1 Inputs'!$B$24+'1 Inputs'!$B$25),'4 The queue'!$T$5:$T$40,1))=(IFERROR(INDEX('4 The queue'!$U$5:$U$212,MATCH(IF($A6&lt;=1,0,INDEX('4 The queue'!$W$5:$W$212,$A6-1))+31+1,'4 The queue'!$W$5:$W$212,0)),9999)+'1 Inputs'!$B$22+'1 Inputs'!$B$23+'1 Inputs'!$B$24+'1 Inputs'!$B$25),0,1)),9999)+'1 Inputs'!$B$26</f>
        <v>97</v>
      </c>
      <c r="AP6" s="19" t="n">
        <f aca="false">IFERROR(INDEX('4 The queue'!$T$5:$T$40,MATCH((IFERROR(INDEX('4 The queue'!$U$5:$U$212,MATCH(IF($A6&lt;=1,0,INDEX('4 The queue'!$W$5:$W$212,$A6-1))+32+1,'4 The queue'!$W$5:$W$212,0)),9999)+'1 Inputs'!$B$22+'1 Inputs'!$B$23+'1 Inputs'!$B$24+'1 Inputs'!$B$25),'4 The queue'!$T$5:$T$40,1)+IF(INDEX('4 The queue'!$T$5:$T$40,MATCH((IFERROR(INDEX('4 The queue'!$U$5:$U$212,MATCH(IF($A6&lt;=1,0,INDEX('4 The queue'!$W$5:$W$212,$A6-1))+32+1,'4 The queue'!$W$5:$W$212,0)),9999)+'1 Inputs'!$B$22+'1 Inputs'!$B$23+'1 Inputs'!$B$24+'1 Inputs'!$B$25),'4 The queue'!$T$5:$T$40,1))=(IFERROR(INDEX('4 The queue'!$U$5:$U$212,MATCH(IF($A6&lt;=1,0,INDEX('4 The queue'!$W$5:$W$212,$A6-1))+32+1,'4 The queue'!$W$5:$W$212,0)),9999)+'1 Inputs'!$B$22+'1 Inputs'!$B$23+'1 Inputs'!$B$24+'1 Inputs'!$B$25),0,1)),9999)+'1 Inputs'!$B$26</f>
        <v>97</v>
      </c>
      <c r="AQ6" s="19" t="n">
        <f aca="false">IFERROR(INDEX('4 The queue'!$T$5:$T$40,MATCH((IFERROR(INDEX('4 The queue'!$U$5:$U$212,MATCH(IF($A6&lt;=1,0,INDEX('4 The queue'!$W$5:$W$212,$A6-1))+33+1,'4 The queue'!$W$5:$W$212,0)),9999)+'1 Inputs'!$B$22+'1 Inputs'!$B$23+'1 Inputs'!$B$24+'1 Inputs'!$B$25),'4 The queue'!$T$5:$T$40,1)+IF(INDEX('4 The queue'!$T$5:$T$40,MATCH((IFERROR(INDEX('4 The queue'!$U$5:$U$212,MATCH(IF($A6&lt;=1,0,INDEX('4 The queue'!$W$5:$W$212,$A6-1))+33+1,'4 The queue'!$W$5:$W$212,0)),9999)+'1 Inputs'!$B$22+'1 Inputs'!$B$23+'1 Inputs'!$B$24+'1 Inputs'!$B$25),'4 The queue'!$T$5:$T$40,1))=(IFERROR(INDEX('4 The queue'!$U$5:$U$212,MATCH(IF($A6&lt;=1,0,INDEX('4 The queue'!$W$5:$W$212,$A6-1))+33+1,'4 The queue'!$W$5:$W$212,0)),9999)+'1 Inputs'!$B$22+'1 Inputs'!$B$23+'1 Inputs'!$B$24+'1 Inputs'!$B$25),0,1)),9999)+'1 Inputs'!$B$26</f>
        <v>97</v>
      </c>
      <c r="AR6" s="19" t="n">
        <f aca="false">IFERROR(INDEX('4 The queue'!$T$5:$T$40,MATCH((IFERROR(INDEX('4 The queue'!$U$5:$U$212,MATCH(IF($A6&lt;=1,0,INDEX('4 The queue'!$W$5:$W$212,$A6-1))+34+1,'4 The queue'!$W$5:$W$212,0)),9999)+'1 Inputs'!$B$22+'1 Inputs'!$B$23+'1 Inputs'!$B$24+'1 Inputs'!$B$25),'4 The queue'!$T$5:$T$40,1)+IF(INDEX('4 The queue'!$T$5:$T$40,MATCH((IFERROR(INDEX('4 The queue'!$U$5:$U$212,MATCH(IF($A6&lt;=1,0,INDEX('4 The queue'!$W$5:$W$212,$A6-1))+34+1,'4 The queue'!$W$5:$W$212,0)),9999)+'1 Inputs'!$B$22+'1 Inputs'!$B$23+'1 Inputs'!$B$24+'1 Inputs'!$B$25),'4 The queue'!$T$5:$T$40,1))=(IFERROR(INDEX('4 The queue'!$U$5:$U$212,MATCH(IF($A6&lt;=1,0,INDEX('4 The queue'!$W$5:$W$212,$A6-1))+34+1,'4 The queue'!$W$5:$W$212,0)),9999)+'1 Inputs'!$B$22+'1 Inputs'!$B$23+'1 Inputs'!$B$24+'1 Inputs'!$B$25),0,1)),9999)+'1 Inputs'!$B$26</f>
        <v>97</v>
      </c>
      <c r="AS6" s="19" t="n">
        <f aca="false">IFERROR(INDEX('4 The queue'!$T$5:$T$40,MATCH((IFERROR(INDEX('4 The queue'!$U$5:$U$212,MATCH(IF($A6&lt;=1,0,INDEX('4 The queue'!$W$5:$W$212,$A6-1))+35+1,'4 The queue'!$W$5:$W$212,0)),9999)+'1 Inputs'!$B$22+'1 Inputs'!$B$23+'1 Inputs'!$B$24+'1 Inputs'!$B$25),'4 The queue'!$T$5:$T$40,1)+IF(INDEX('4 The queue'!$T$5:$T$40,MATCH((IFERROR(INDEX('4 The queue'!$U$5:$U$212,MATCH(IF($A6&lt;=1,0,INDEX('4 The queue'!$W$5:$W$212,$A6-1))+35+1,'4 The queue'!$W$5:$W$212,0)),9999)+'1 Inputs'!$B$22+'1 Inputs'!$B$23+'1 Inputs'!$B$24+'1 Inputs'!$B$25),'4 The queue'!$T$5:$T$40,1))=(IFERROR(INDEX('4 The queue'!$U$5:$U$212,MATCH(IF($A6&lt;=1,0,INDEX('4 The queue'!$W$5:$W$212,$A6-1))+35+1,'4 The queue'!$W$5:$W$212,0)),9999)+'1 Inputs'!$B$22+'1 Inputs'!$B$23+'1 Inputs'!$B$24+'1 Inputs'!$B$25),0,1)),9999)+'1 Inputs'!$B$26</f>
        <v>97</v>
      </c>
      <c r="AT6" s="19" t="n">
        <f aca="false">IFERROR(INDEX('4 The queue'!$T$5:$T$40,MATCH((IFERROR(INDEX('4 The queue'!$U$5:$U$212,MATCH(IF($A6&lt;=1,0,INDEX('4 The queue'!$W$5:$W$212,$A6-1))+36+1,'4 The queue'!$W$5:$W$212,0)),9999)+'1 Inputs'!$B$22+'1 Inputs'!$B$23+'1 Inputs'!$B$24+'1 Inputs'!$B$25),'4 The queue'!$T$5:$T$40,1)+IF(INDEX('4 The queue'!$T$5:$T$40,MATCH((IFERROR(INDEX('4 The queue'!$U$5:$U$212,MATCH(IF($A6&lt;=1,0,INDEX('4 The queue'!$W$5:$W$212,$A6-1))+36+1,'4 The queue'!$W$5:$W$212,0)),9999)+'1 Inputs'!$B$22+'1 Inputs'!$B$23+'1 Inputs'!$B$24+'1 Inputs'!$B$25),'4 The queue'!$T$5:$T$40,1))=(IFERROR(INDEX('4 The queue'!$U$5:$U$212,MATCH(IF($A6&lt;=1,0,INDEX('4 The queue'!$W$5:$W$212,$A6-1))+36+1,'4 The queue'!$W$5:$W$212,0)),9999)+'1 Inputs'!$B$22+'1 Inputs'!$B$23+'1 Inputs'!$B$24+'1 Inputs'!$B$25),0,1)),9999)+'1 Inputs'!$B$26</f>
        <v>97</v>
      </c>
      <c r="AU6" s="19" t="n">
        <f aca="false">IFERROR(INDEX('4 The queue'!$T$5:$T$40,MATCH((IFERROR(INDEX('4 The queue'!$U$5:$U$212,MATCH(IF($A6&lt;=1,0,INDEX('4 The queue'!$W$5:$W$212,$A6-1))+37+1,'4 The queue'!$W$5:$W$212,0)),9999)+'1 Inputs'!$B$22+'1 Inputs'!$B$23+'1 Inputs'!$B$24+'1 Inputs'!$B$25),'4 The queue'!$T$5:$T$40,1)+IF(INDEX('4 The queue'!$T$5:$T$40,MATCH((IFERROR(INDEX('4 The queue'!$U$5:$U$212,MATCH(IF($A6&lt;=1,0,INDEX('4 The queue'!$W$5:$W$212,$A6-1))+37+1,'4 The queue'!$W$5:$W$212,0)),9999)+'1 Inputs'!$B$22+'1 Inputs'!$B$23+'1 Inputs'!$B$24+'1 Inputs'!$B$25),'4 The queue'!$T$5:$T$40,1))=(IFERROR(INDEX('4 The queue'!$U$5:$U$212,MATCH(IF($A6&lt;=1,0,INDEX('4 The queue'!$W$5:$W$212,$A6-1))+37+1,'4 The queue'!$W$5:$W$212,0)),9999)+'1 Inputs'!$B$22+'1 Inputs'!$B$23+'1 Inputs'!$B$24+'1 Inputs'!$B$25),0,1)),9999)+'1 Inputs'!$B$26</f>
        <v>97</v>
      </c>
      <c r="AV6" s="19" t="n">
        <f aca="false">IFERROR(INDEX('4 The queue'!$T$5:$T$40,MATCH((IFERROR(INDEX('4 The queue'!$U$5:$U$212,MATCH(IF($A6&lt;=1,0,INDEX('4 The queue'!$W$5:$W$212,$A6-1))+38+1,'4 The queue'!$W$5:$W$212,0)),9999)+'1 Inputs'!$B$22+'1 Inputs'!$B$23+'1 Inputs'!$B$24+'1 Inputs'!$B$25),'4 The queue'!$T$5:$T$40,1)+IF(INDEX('4 The queue'!$T$5:$T$40,MATCH((IFERROR(INDEX('4 The queue'!$U$5:$U$212,MATCH(IF($A6&lt;=1,0,INDEX('4 The queue'!$W$5:$W$212,$A6-1))+38+1,'4 The queue'!$W$5:$W$212,0)),9999)+'1 Inputs'!$B$22+'1 Inputs'!$B$23+'1 Inputs'!$B$24+'1 Inputs'!$B$25),'4 The queue'!$T$5:$T$40,1))=(IFERROR(INDEX('4 The queue'!$U$5:$U$212,MATCH(IF($A6&lt;=1,0,INDEX('4 The queue'!$W$5:$W$212,$A6-1))+38+1,'4 The queue'!$W$5:$W$212,0)),9999)+'1 Inputs'!$B$22+'1 Inputs'!$B$23+'1 Inputs'!$B$24+'1 Inputs'!$B$25),0,1)),9999)+'1 Inputs'!$B$26</f>
        <v>97</v>
      </c>
      <c r="AW6" s="19" t="n">
        <f aca="false">IFERROR(INDEX('4 The queue'!$T$5:$T$40,MATCH((IFERROR(INDEX('4 The queue'!$U$5:$U$212,MATCH(IF($A6&lt;=1,0,INDEX('4 The queue'!$W$5:$W$212,$A6-1))+39+1,'4 The queue'!$W$5:$W$212,0)),9999)+'1 Inputs'!$B$22+'1 Inputs'!$B$23+'1 Inputs'!$B$24+'1 Inputs'!$B$25),'4 The queue'!$T$5:$T$40,1)+IF(INDEX('4 The queue'!$T$5:$T$40,MATCH((IFERROR(INDEX('4 The queue'!$U$5:$U$212,MATCH(IF($A6&lt;=1,0,INDEX('4 The queue'!$W$5:$W$212,$A6-1))+39+1,'4 The queue'!$W$5:$W$212,0)),9999)+'1 Inputs'!$B$22+'1 Inputs'!$B$23+'1 Inputs'!$B$24+'1 Inputs'!$B$25),'4 The queue'!$T$5:$T$40,1))=(IFERROR(INDEX('4 The queue'!$U$5:$U$212,MATCH(IF($A6&lt;=1,0,INDEX('4 The queue'!$W$5:$W$212,$A6-1))+39+1,'4 The queue'!$W$5:$W$212,0)),9999)+'1 Inputs'!$B$22+'1 Inputs'!$B$23+'1 Inputs'!$B$24+'1 Inputs'!$B$25),0,1)),9999)+'1 Inputs'!$B$26</f>
        <v>97</v>
      </c>
      <c r="AX6" s="19" t="n">
        <f aca="false">MAX(0,MIN('1 Inputs'!$B$15,'1 Inputs'!$B$5*'1 Inputs'!$B$6-0*'1 Inputs'!$B$15))*'1 Inputs'!$B$7*'1 Inputs'!$B$8*'1 Inputs'!$B$9*'1 Inputs'!$B$10*'1 Inputs'!$B$11</f>
        <v>6250000</v>
      </c>
      <c r="AY6" s="19" t="n">
        <f aca="false">MAX(0,MIN('1 Inputs'!$B$15,'1 Inputs'!$B$5*'1 Inputs'!$B$6-1*'1 Inputs'!$B$15))*'1 Inputs'!$B$7*'1 Inputs'!$B$8*'1 Inputs'!$B$9*'1 Inputs'!$B$10*'1 Inputs'!$B$11</f>
        <v>6250000</v>
      </c>
      <c r="AZ6" s="19" t="n">
        <f aca="false">MAX(0,MIN('1 Inputs'!$B$15,'1 Inputs'!$B$5*'1 Inputs'!$B$6-2*'1 Inputs'!$B$15))*'1 Inputs'!$B$7*'1 Inputs'!$B$8*'1 Inputs'!$B$9*'1 Inputs'!$B$10*'1 Inputs'!$B$11</f>
        <v>6250000</v>
      </c>
      <c r="BA6" s="19" t="n">
        <f aca="false">MAX(0,MIN('1 Inputs'!$B$15,'1 Inputs'!$B$5*'1 Inputs'!$B$6-3*'1 Inputs'!$B$15))*'1 Inputs'!$B$7*'1 Inputs'!$B$8*'1 Inputs'!$B$9*'1 Inputs'!$B$10*'1 Inputs'!$B$11</f>
        <v>6250000</v>
      </c>
      <c r="BB6" s="19" t="n">
        <f aca="false">MAX(0,MIN('1 Inputs'!$B$15,'1 Inputs'!$B$5*'1 Inputs'!$B$6-4*'1 Inputs'!$B$15))*'1 Inputs'!$B$7*'1 Inputs'!$B$8*'1 Inputs'!$B$9*'1 Inputs'!$B$10*'1 Inputs'!$B$11</f>
        <v>6250000</v>
      </c>
      <c r="BC6" s="19" t="n">
        <f aca="false">MAX(0,MIN('1 Inputs'!$B$15,'1 Inputs'!$B$5*'1 Inputs'!$B$6-5*'1 Inputs'!$B$15))*'1 Inputs'!$B$7*'1 Inputs'!$B$8*'1 Inputs'!$B$9*'1 Inputs'!$B$10*'1 Inputs'!$B$11</f>
        <v>6250000</v>
      </c>
      <c r="BD6" s="19" t="n">
        <f aca="false">MAX(0,MIN('1 Inputs'!$B$15,'1 Inputs'!$B$5*'1 Inputs'!$B$6-6*'1 Inputs'!$B$15))*'1 Inputs'!$B$7*'1 Inputs'!$B$8*'1 Inputs'!$B$9*'1 Inputs'!$B$10*'1 Inputs'!$B$11</f>
        <v>6250000</v>
      </c>
      <c r="BE6" s="19" t="n">
        <f aca="false">MAX(0,MIN('1 Inputs'!$B$15,'1 Inputs'!$B$5*'1 Inputs'!$B$6-7*'1 Inputs'!$B$15))*'1 Inputs'!$B$7*'1 Inputs'!$B$8*'1 Inputs'!$B$9*'1 Inputs'!$B$10*'1 Inputs'!$B$11</f>
        <v>6250000</v>
      </c>
      <c r="BF6" s="19" t="n">
        <f aca="false">MAX(0,MIN('1 Inputs'!$B$15,'1 Inputs'!$B$5*'1 Inputs'!$B$6-8*'1 Inputs'!$B$15))*'1 Inputs'!$B$7*'1 Inputs'!$B$8*'1 Inputs'!$B$9*'1 Inputs'!$B$10*'1 Inputs'!$B$11</f>
        <v>6250000</v>
      </c>
      <c r="BG6" s="19" t="n">
        <f aca="false">MAX(0,MIN('1 Inputs'!$B$15,'1 Inputs'!$B$5*'1 Inputs'!$B$6-9*'1 Inputs'!$B$15))*'1 Inputs'!$B$7*'1 Inputs'!$B$8*'1 Inputs'!$B$9*'1 Inputs'!$B$10*'1 Inputs'!$B$11</f>
        <v>6250000</v>
      </c>
      <c r="BH6" s="19" t="n">
        <f aca="false">MAX(0,MIN('1 Inputs'!$B$15,'1 Inputs'!$B$5*'1 Inputs'!$B$6-10*'1 Inputs'!$B$15))*'1 Inputs'!$B$7*'1 Inputs'!$B$8*'1 Inputs'!$B$9*'1 Inputs'!$B$10*'1 Inputs'!$B$11</f>
        <v>6250000</v>
      </c>
      <c r="BI6" s="19" t="n">
        <f aca="false">MAX(0,MIN('1 Inputs'!$B$15,'1 Inputs'!$B$5*'1 Inputs'!$B$6-11*'1 Inputs'!$B$15))*'1 Inputs'!$B$7*'1 Inputs'!$B$8*'1 Inputs'!$B$9*'1 Inputs'!$B$10*'1 Inputs'!$B$11</f>
        <v>6250000</v>
      </c>
      <c r="BJ6" s="19" t="n">
        <f aca="false">MAX(0,MIN('1 Inputs'!$B$15,'1 Inputs'!$B$5*'1 Inputs'!$B$6-12*'1 Inputs'!$B$15))*'1 Inputs'!$B$7*'1 Inputs'!$B$8*'1 Inputs'!$B$9*'1 Inputs'!$B$10*'1 Inputs'!$B$11</f>
        <v>6250000</v>
      </c>
      <c r="BK6" s="19" t="n">
        <f aca="false">MAX(0,MIN('1 Inputs'!$B$15,'1 Inputs'!$B$5*'1 Inputs'!$B$6-13*'1 Inputs'!$B$15))*'1 Inputs'!$B$7*'1 Inputs'!$B$8*'1 Inputs'!$B$9*'1 Inputs'!$B$10*'1 Inputs'!$B$11</f>
        <v>6250000</v>
      </c>
      <c r="BL6" s="19" t="n">
        <f aca="false">MAX(0,MIN('1 Inputs'!$B$15,'1 Inputs'!$B$5*'1 Inputs'!$B$6-14*'1 Inputs'!$B$15))*'1 Inputs'!$B$7*'1 Inputs'!$B$8*'1 Inputs'!$B$9*'1 Inputs'!$B$10*'1 Inputs'!$B$11</f>
        <v>6250000</v>
      </c>
      <c r="BM6" s="19" t="n">
        <f aca="false">MAX(0,MIN('1 Inputs'!$B$15,'1 Inputs'!$B$5*'1 Inputs'!$B$6-15*'1 Inputs'!$B$15))*'1 Inputs'!$B$7*'1 Inputs'!$B$8*'1 Inputs'!$B$9*'1 Inputs'!$B$10*'1 Inputs'!$B$11</f>
        <v>0</v>
      </c>
      <c r="BN6" s="19" t="n">
        <f aca="false">MAX(0,MIN('1 Inputs'!$B$15,'1 Inputs'!$B$5*'1 Inputs'!$B$6-16*'1 Inputs'!$B$15))*'1 Inputs'!$B$7*'1 Inputs'!$B$8*'1 Inputs'!$B$9*'1 Inputs'!$B$10*'1 Inputs'!$B$11</f>
        <v>0</v>
      </c>
      <c r="BO6" s="19" t="n">
        <f aca="false">MAX(0,MIN('1 Inputs'!$B$15,'1 Inputs'!$B$5*'1 Inputs'!$B$6-17*'1 Inputs'!$B$15))*'1 Inputs'!$B$7*'1 Inputs'!$B$8*'1 Inputs'!$B$9*'1 Inputs'!$B$10*'1 Inputs'!$B$11</f>
        <v>0</v>
      </c>
      <c r="BP6" s="19" t="n">
        <f aca="false">MAX(0,MIN('1 Inputs'!$B$15,'1 Inputs'!$B$5*'1 Inputs'!$B$6-18*'1 Inputs'!$B$15))*'1 Inputs'!$B$7*'1 Inputs'!$B$8*'1 Inputs'!$B$9*'1 Inputs'!$B$10*'1 Inputs'!$B$11</f>
        <v>0</v>
      </c>
      <c r="BQ6" s="19" t="n">
        <f aca="false">MAX(0,MIN('1 Inputs'!$B$15,'1 Inputs'!$B$5*'1 Inputs'!$B$6-19*'1 Inputs'!$B$15))*'1 Inputs'!$B$7*'1 Inputs'!$B$8*'1 Inputs'!$B$9*'1 Inputs'!$B$10*'1 Inputs'!$B$11</f>
        <v>0</v>
      </c>
      <c r="BR6" s="19" t="n">
        <f aca="false">MAX(0,MIN('1 Inputs'!$B$15,'1 Inputs'!$B$5*'1 Inputs'!$B$6-20*'1 Inputs'!$B$15))*'1 Inputs'!$B$7*'1 Inputs'!$B$8*'1 Inputs'!$B$9*'1 Inputs'!$B$10*'1 Inputs'!$B$11</f>
        <v>0</v>
      </c>
      <c r="BS6" s="19" t="n">
        <f aca="false">MAX(0,MIN('1 Inputs'!$B$15,'1 Inputs'!$B$5*'1 Inputs'!$B$6-21*'1 Inputs'!$B$15))*'1 Inputs'!$B$7*'1 Inputs'!$B$8*'1 Inputs'!$B$9*'1 Inputs'!$B$10*'1 Inputs'!$B$11</f>
        <v>0</v>
      </c>
      <c r="BT6" s="19" t="n">
        <f aca="false">MAX(0,MIN('1 Inputs'!$B$15,'1 Inputs'!$B$5*'1 Inputs'!$B$6-22*'1 Inputs'!$B$15))*'1 Inputs'!$B$7*'1 Inputs'!$B$8*'1 Inputs'!$B$9*'1 Inputs'!$B$10*'1 Inputs'!$B$11</f>
        <v>0</v>
      </c>
      <c r="BU6" s="19" t="n">
        <f aca="false">MAX(0,MIN('1 Inputs'!$B$15,'1 Inputs'!$B$5*'1 Inputs'!$B$6-23*'1 Inputs'!$B$15))*'1 Inputs'!$B$7*'1 Inputs'!$B$8*'1 Inputs'!$B$9*'1 Inputs'!$B$10*'1 Inputs'!$B$11</f>
        <v>0</v>
      </c>
      <c r="BV6" s="19" t="n">
        <f aca="false">MAX(0,MIN('1 Inputs'!$B$15,'1 Inputs'!$B$5*'1 Inputs'!$B$6-24*'1 Inputs'!$B$15))*'1 Inputs'!$B$7*'1 Inputs'!$B$8*'1 Inputs'!$B$9*'1 Inputs'!$B$10*'1 Inputs'!$B$11</f>
        <v>0</v>
      </c>
      <c r="BW6" s="19" t="n">
        <f aca="false">MAX(0,MIN('1 Inputs'!$B$15,'1 Inputs'!$B$5*'1 Inputs'!$B$6-25*'1 Inputs'!$B$15))*'1 Inputs'!$B$7*'1 Inputs'!$B$8*'1 Inputs'!$B$9*'1 Inputs'!$B$10*'1 Inputs'!$B$11</f>
        <v>0</v>
      </c>
      <c r="BX6" s="19" t="n">
        <f aca="false">MAX(0,MIN('1 Inputs'!$B$15,'1 Inputs'!$B$5*'1 Inputs'!$B$6-26*'1 Inputs'!$B$15))*'1 Inputs'!$B$7*'1 Inputs'!$B$8*'1 Inputs'!$B$9*'1 Inputs'!$B$10*'1 Inputs'!$B$11</f>
        <v>0</v>
      </c>
      <c r="BY6" s="19" t="n">
        <f aca="false">MAX(0,MIN('1 Inputs'!$B$15,'1 Inputs'!$B$5*'1 Inputs'!$B$6-27*'1 Inputs'!$B$15))*'1 Inputs'!$B$7*'1 Inputs'!$B$8*'1 Inputs'!$B$9*'1 Inputs'!$B$10*'1 Inputs'!$B$11</f>
        <v>0</v>
      </c>
      <c r="BZ6" s="19" t="n">
        <f aca="false">MAX(0,MIN('1 Inputs'!$B$15,'1 Inputs'!$B$5*'1 Inputs'!$B$6-28*'1 Inputs'!$B$15))*'1 Inputs'!$B$7*'1 Inputs'!$B$8*'1 Inputs'!$B$9*'1 Inputs'!$B$10*'1 Inputs'!$B$11</f>
        <v>0</v>
      </c>
      <c r="CA6" s="19" t="n">
        <f aca="false">MAX(0,MIN('1 Inputs'!$B$15,'1 Inputs'!$B$5*'1 Inputs'!$B$6-29*'1 Inputs'!$B$15))*'1 Inputs'!$B$7*'1 Inputs'!$B$8*'1 Inputs'!$B$9*'1 Inputs'!$B$10*'1 Inputs'!$B$11</f>
        <v>0</v>
      </c>
      <c r="CB6" s="19" t="n">
        <f aca="false">MAX(0,MIN('1 Inputs'!$B$15,'1 Inputs'!$B$5*'1 Inputs'!$B$6-30*'1 Inputs'!$B$15))*'1 Inputs'!$B$7*'1 Inputs'!$B$8*'1 Inputs'!$B$9*'1 Inputs'!$B$10*'1 Inputs'!$B$11</f>
        <v>0</v>
      </c>
      <c r="CC6" s="19" t="n">
        <f aca="false">MAX(0,MIN('1 Inputs'!$B$15,'1 Inputs'!$B$5*'1 Inputs'!$B$6-31*'1 Inputs'!$B$15))*'1 Inputs'!$B$7*'1 Inputs'!$B$8*'1 Inputs'!$B$9*'1 Inputs'!$B$10*'1 Inputs'!$B$11</f>
        <v>0</v>
      </c>
      <c r="CD6" s="19" t="n">
        <f aca="false">MAX(0,MIN('1 Inputs'!$B$15,'1 Inputs'!$B$5*'1 Inputs'!$B$6-32*'1 Inputs'!$B$15))*'1 Inputs'!$B$7*'1 Inputs'!$B$8*'1 Inputs'!$B$9*'1 Inputs'!$B$10*'1 Inputs'!$B$11</f>
        <v>0</v>
      </c>
      <c r="CE6" s="19" t="n">
        <f aca="false">MAX(0,MIN('1 Inputs'!$B$15,'1 Inputs'!$B$5*'1 Inputs'!$B$6-33*'1 Inputs'!$B$15))*'1 Inputs'!$B$7*'1 Inputs'!$B$8*'1 Inputs'!$B$9*'1 Inputs'!$B$10*'1 Inputs'!$B$11</f>
        <v>0</v>
      </c>
      <c r="CF6" s="19" t="n">
        <f aca="false">MAX(0,MIN('1 Inputs'!$B$15,'1 Inputs'!$B$5*'1 Inputs'!$B$6-34*'1 Inputs'!$B$15))*'1 Inputs'!$B$7*'1 Inputs'!$B$8*'1 Inputs'!$B$9*'1 Inputs'!$B$10*'1 Inputs'!$B$11</f>
        <v>0</v>
      </c>
      <c r="CG6" s="19" t="n">
        <f aca="false">MAX(0,MIN('1 Inputs'!$B$15,'1 Inputs'!$B$5*'1 Inputs'!$B$6-35*'1 Inputs'!$B$15))*'1 Inputs'!$B$7*'1 Inputs'!$B$8*'1 Inputs'!$B$9*'1 Inputs'!$B$10*'1 Inputs'!$B$11</f>
        <v>0</v>
      </c>
      <c r="CH6" s="19" t="n">
        <f aca="false">MAX(0,MIN('1 Inputs'!$B$15,'1 Inputs'!$B$5*'1 Inputs'!$B$6-36*'1 Inputs'!$B$15))*'1 Inputs'!$B$7*'1 Inputs'!$B$8*'1 Inputs'!$B$9*'1 Inputs'!$B$10*'1 Inputs'!$B$11</f>
        <v>0</v>
      </c>
      <c r="CI6" s="19" t="n">
        <f aca="false">MAX(0,MIN('1 Inputs'!$B$15,'1 Inputs'!$B$5*'1 Inputs'!$B$6-37*'1 Inputs'!$B$15))*'1 Inputs'!$B$7*'1 Inputs'!$B$8*'1 Inputs'!$B$9*'1 Inputs'!$B$10*'1 Inputs'!$B$11</f>
        <v>0</v>
      </c>
      <c r="CJ6" s="19" t="n">
        <f aca="false">MAX(0,MIN('1 Inputs'!$B$15,'1 Inputs'!$B$5*'1 Inputs'!$B$6-38*'1 Inputs'!$B$15))*'1 Inputs'!$B$7*'1 Inputs'!$B$8*'1 Inputs'!$B$9*'1 Inputs'!$B$10*'1 Inputs'!$B$11</f>
        <v>0</v>
      </c>
      <c r="CK6" s="19" t="n">
        <f aca="false">MAX(0,MIN('1 Inputs'!$B$15,'1 Inputs'!$B$5*'1 Inputs'!$B$6-39*'1 Inputs'!$B$15))*'1 Inputs'!$B$7*'1 Inputs'!$B$8*'1 Inputs'!$B$9*'1 Inputs'!$B$10*'1 Inputs'!$B$11</f>
        <v>0</v>
      </c>
    </row>
    <row r="7" customFormat="false" ht="15" hidden="false" customHeight="false" outlineLevel="0" collapsed="false">
      <c r="A7" s="0" t="n">
        <v>20</v>
      </c>
      <c r="B7" s="12" t="n">
        <f aca="false">SUMIF(J7:AW7,"&lt;="&amp;($A7+52),AX7:CK7)</f>
        <v>93750000</v>
      </c>
      <c r="C7" s="12" t="n">
        <f aca="false">SUM(AX7:CK7)</f>
        <v>93750000</v>
      </c>
      <c r="D7" s="15" t="n">
        <f aca="false">(MIN(J7:AW7)-$A7)/52*12</f>
        <v>8.07692307692308</v>
      </c>
      <c r="J7" s="19" t="n">
        <f aca="false">IFERROR(INDEX('4 The queue'!$T$5:$T$40,MATCH((IFERROR(INDEX('4 The queue'!$U$5:$U$212,MATCH(IF($A7&lt;=1,0,INDEX('4 The queue'!$W$5:$W$212,$A7-1))+0+1,'4 The queue'!$W$5:$W$212,0)),9999)+'1 Inputs'!$B$22+'1 Inputs'!$B$23+'1 Inputs'!$B$24+'1 Inputs'!$B$25),'4 The queue'!$T$5:$T$40,1)+IF(INDEX('4 The queue'!$T$5:$T$40,MATCH((IFERROR(INDEX('4 The queue'!$U$5:$U$212,MATCH(IF($A7&lt;=1,0,INDEX('4 The queue'!$W$5:$W$212,$A7-1))+0+1,'4 The queue'!$W$5:$W$212,0)),9999)+'1 Inputs'!$B$22+'1 Inputs'!$B$23+'1 Inputs'!$B$24+'1 Inputs'!$B$25),'4 The queue'!$T$5:$T$40,1))=(IFERROR(INDEX('4 The queue'!$U$5:$U$212,MATCH(IF($A7&lt;=1,0,INDEX('4 The queue'!$W$5:$W$212,$A7-1))+0+1,'4 The queue'!$W$5:$W$212,0)),9999)+'1 Inputs'!$B$22+'1 Inputs'!$B$23+'1 Inputs'!$B$24+'1 Inputs'!$B$25),0,1)),9999)+'1 Inputs'!$B$26</f>
        <v>55</v>
      </c>
      <c r="K7" s="19" t="n">
        <f aca="false">IFERROR(INDEX('4 The queue'!$T$5:$T$40,MATCH((IFERROR(INDEX('4 The queue'!$U$5:$U$212,MATCH(IF($A7&lt;=1,0,INDEX('4 The queue'!$W$5:$W$212,$A7-1))+1+1,'4 The queue'!$W$5:$W$212,0)),9999)+'1 Inputs'!$B$22+'1 Inputs'!$B$23+'1 Inputs'!$B$24+'1 Inputs'!$B$25),'4 The queue'!$T$5:$T$40,1)+IF(INDEX('4 The queue'!$T$5:$T$40,MATCH((IFERROR(INDEX('4 The queue'!$U$5:$U$212,MATCH(IF($A7&lt;=1,0,INDEX('4 The queue'!$W$5:$W$212,$A7-1))+1+1,'4 The queue'!$W$5:$W$212,0)),9999)+'1 Inputs'!$B$22+'1 Inputs'!$B$23+'1 Inputs'!$B$24+'1 Inputs'!$B$25),'4 The queue'!$T$5:$T$40,1))=(IFERROR(INDEX('4 The queue'!$U$5:$U$212,MATCH(IF($A7&lt;=1,0,INDEX('4 The queue'!$W$5:$W$212,$A7-1))+1+1,'4 The queue'!$W$5:$W$212,0)),9999)+'1 Inputs'!$B$22+'1 Inputs'!$B$23+'1 Inputs'!$B$24+'1 Inputs'!$B$25),0,1)),9999)+'1 Inputs'!$B$26</f>
        <v>55</v>
      </c>
      <c r="L7" s="19" t="n">
        <f aca="false">IFERROR(INDEX('4 The queue'!$T$5:$T$40,MATCH((IFERROR(INDEX('4 The queue'!$U$5:$U$212,MATCH(IF($A7&lt;=1,0,INDEX('4 The queue'!$W$5:$W$212,$A7-1))+2+1,'4 The queue'!$W$5:$W$212,0)),9999)+'1 Inputs'!$B$22+'1 Inputs'!$B$23+'1 Inputs'!$B$24+'1 Inputs'!$B$25),'4 The queue'!$T$5:$T$40,1)+IF(INDEX('4 The queue'!$T$5:$T$40,MATCH((IFERROR(INDEX('4 The queue'!$U$5:$U$212,MATCH(IF($A7&lt;=1,0,INDEX('4 The queue'!$W$5:$W$212,$A7-1))+2+1,'4 The queue'!$W$5:$W$212,0)),9999)+'1 Inputs'!$B$22+'1 Inputs'!$B$23+'1 Inputs'!$B$24+'1 Inputs'!$B$25),'4 The queue'!$T$5:$T$40,1))=(IFERROR(INDEX('4 The queue'!$U$5:$U$212,MATCH(IF($A7&lt;=1,0,INDEX('4 The queue'!$W$5:$W$212,$A7-1))+2+1,'4 The queue'!$W$5:$W$212,0)),9999)+'1 Inputs'!$B$22+'1 Inputs'!$B$23+'1 Inputs'!$B$24+'1 Inputs'!$B$25),0,1)),9999)+'1 Inputs'!$B$26</f>
        <v>55</v>
      </c>
      <c r="M7" s="19" t="n">
        <f aca="false">IFERROR(INDEX('4 The queue'!$T$5:$T$40,MATCH((IFERROR(INDEX('4 The queue'!$U$5:$U$212,MATCH(IF($A7&lt;=1,0,INDEX('4 The queue'!$W$5:$W$212,$A7-1))+3+1,'4 The queue'!$W$5:$W$212,0)),9999)+'1 Inputs'!$B$22+'1 Inputs'!$B$23+'1 Inputs'!$B$24+'1 Inputs'!$B$25),'4 The queue'!$T$5:$T$40,1)+IF(INDEX('4 The queue'!$T$5:$T$40,MATCH((IFERROR(INDEX('4 The queue'!$U$5:$U$212,MATCH(IF($A7&lt;=1,0,INDEX('4 The queue'!$W$5:$W$212,$A7-1))+3+1,'4 The queue'!$W$5:$W$212,0)),9999)+'1 Inputs'!$B$22+'1 Inputs'!$B$23+'1 Inputs'!$B$24+'1 Inputs'!$B$25),'4 The queue'!$T$5:$T$40,1))=(IFERROR(INDEX('4 The queue'!$U$5:$U$212,MATCH(IF($A7&lt;=1,0,INDEX('4 The queue'!$W$5:$W$212,$A7-1))+3+1,'4 The queue'!$W$5:$W$212,0)),9999)+'1 Inputs'!$B$22+'1 Inputs'!$B$23+'1 Inputs'!$B$24+'1 Inputs'!$B$25),0,1)),9999)+'1 Inputs'!$B$26</f>
        <v>55</v>
      </c>
      <c r="N7" s="19" t="n">
        <f aca="false">IFERROR(INDEX('4 The queue'!$T$5:$T$40,MATCH((IFERROR(INDEX('4 The queue'!$U$5:$U$212,MATCH(IF($A7&lt;=1,0,INDEX('4 The queue'!$W$5:$W$212,$A7-1))+4+1,'4 The queue'!$W$5:$W$212,0)),9999)+'1 Inputs'!$B$22+'1 Inputs'!$B$23+'1 Inputs'!$B$24+'1 Inputs'!$B$25),'4 The queue'!$T$5:$T$40,1)+IF(INDEX('4 The queue'!$T$5:$T$40,MATCH((IFERROR(INDEX('4 The queue'!$U$5:$U$212,MATCH(IF($A7&lt;=1,0,INDEX('4 The queue'!$W$5:$W$212,$A7-1))+4+1,'4 The queue'!$W$5:$W$212,0)),9999)+'1 Inputs'!$B$22+'1 Inputs'!$B$23+'1 Inputs'!$B$24+'1 Inputs'!$B$25),'4 The queue'!$T$5:$T$40,1))=(IFERROR(INDEX('4 The queue'!$U$5:$U$212,MATCH(IF($A7&lt;=1,0,INDEX('4 The queue'!$W$5:$W$212,$A7-1))+4+1,'4 The queue'!$W$5:$W$212,0)),9999)+'1 Inputs'!$B$22+'1 Inputs'!$B$23+'1 Inputs'!$B$24+'1 Inputs'!$B$25),0,1)),9999)+'1 Inputs'!$B$26</f>
        <v>55</v>
      </c>
      <c r="O7" s="19" t="n">
        <f aca="false">IFERROR(INDEX('4 The queue'!$T$5:$T$40,MATCH((IFERROR(INDEX('4 The queue'!$U$5:$U$212,MATCH(IF($A7&lt;=1,0,INDEX('4 The queue'!$W$5:$W$212,$A7-1))+5+1,'4 The queue'!$W$5:$W$212,0)),9999)+'1 Inputs'!$B$22+'1 Inputs'!$B$23+'1 Inputs'!$B$24+'1 Inputs'!$B$25),'4 The queue'!$T$5:$T$40,1)+IF(INDEX('4 The queue'!$T$5:$T$40,MATCH((IFERROR(INDEX('4 The queue'!$U$5:$U$212,MATCH(IF($A7&lt;=1,0,INDEX('4 The queue'!$W$5:$W$212,$A7-1))+5+1,'4 The queue'!$W$5:$W$212,0)),9999)+'1 Inputs'!$B$22+'1 Inputs'!$B$23+'1 Inputs'!$B$24+'1 Inputs'!$B$25),'4 The queue'!$T$5:$T$40,1))=(IFERROR(INDEX('4 The queue'!$U$5:$U$212,MATCH(IF($A7&lt;=1,0,INDEX('4 The queue'!$W$5:$W$212,$A7-1))+5+1,'4 The queue'!$W$5:$W$212,0)),9999)+'1 Inputs'!$B$22+'1 Inputs'!$B$23+'1 Inputs'!$B$24+'1 Inputs'!$B$25),0,1)),9999)+'1 Inputs'!$B$26</f>
        <v>55</v>
      </c>
      <c r="P7" s="19" t="n">
        <f aca="false">IFERROR(INDEX('4 The queue'!$T$5:$T$40,MATCH((IFERROR(INDEX('4 The queue'!$U$5:$U$212,MATCH(IF($A7&lt;=1,0,INDEX('4 The queue'!$W$5:$W$212,$A7-1))+6+1,'4 The queue'!$W$5:$W$212,0)),9999)+'1 Inputs'!$B$22+'1 Inputs'!$B$23+'1 Inputs'!$B$24+'1 Inputs'!$B$25),'4 The queue'!$T$5:$T$40,1)+IF(INDEX('4 The queue'!$T$5:$T$40,MATCH((IFERROR(INDEX('4 The queue'!$U$5:$U$212,MATCH(IF($A7&lt;=1,0,INDEX('4 The queue'!$W$5:$W$212,$A7-1))+6+1,'4 The queue'!$W$5:$W$212,0)),9999)+'1 Inputs'!$B$22+'1 Inputs'!$B$23+'1 Inputs'!$B$24+'1 Inputs'!$B$25),'4 The queue'!$T$5:$T$40,1))=(IFERROR(INDEX('4 The queue'!$U$5:$U$212,MATCH(IF($A7&lt;=1,0,INDEX('4 The queue'!$W$5:$W$212,$A7-1))+6+1,'4 The queue'!$W$5:$W$212,0)),9999)+'1 Inputs'!$B$22+'1 Inputs'!$B$23+'1 Inputs'!$B$24+'1 Inputs'!$B$25),0,1)),9999)+'1 Inputs'!$B$26</f>
        <v>55</v>
      </c>
      <c r="Q7" s="19" t="n">
        <f aca="false">IFERROR(INDEX('4 The queue'!$T$5:$T$40,MATCH((IFERROR(INDEX('4 The queue'!$U$5:$U$212,MATCH(IF($A7&lt;=1,0,INDEX('4 The queue'!$W$5:$W$212,$A7-1))+7+1,'4 The queue'!$W$5:$W$212,0)),9999)+'1 Inputs'!$B$22+'1 Inputs'!$B$23+'1 Inputs'!$B$24+'1 Inputs'!$B$25),'4 The queue'!$T$5:$T$40,1)+IF(INDEX('4 The queue'!$T$5:$T$40,MATCH((IFERROR(INDEX('4 The queue'!$U$5:$U$212,MATCH(IF($A7&lt;=1,0,INDEX('4 The queue'!$W$5:$W$212,$A7-1))+7+1,'4 The queue'!$W$5:$W$212,0)),9999)+'1 Inputs'!$B$22+'1 Inputs'!$B$23+'1 Inputs'!$B$24+'1 Inputs'!$B$25),'4 The queue'!$T$5:$T$40,1))=(IFERROR(INDEX('4 The queue'!$U$5:$U$212,MATCH(IF($A7&lt;=1,0,INDEX('4 The queue'!$W$5:$W$212,$A7-1))+7+1,'4 The queue'!$W$5:$W$212,0)),9999)+'1 Inputs'!$B$22+'1 Inputs'!$B$23+'1 Inputs'!$B$24+'1 Inputs'!$B$25),0,1)),9999)+'1 Inputs'!$B$26</f>
        <v>55</v>
      </c>
      <c r="R7" s="19" t="n">
        <f aca="false">IFERROR(INDEX('4 The queue'!$T$5:$T$40,MATCH((IFERROR(INDEX('4 The queue'!$U$5:$U$212,MATCH(IF($A7&lt;=1,0,INDEX('4 The queue'!$W$5:$W$212,$A7-1))+8+1,'4 The queue'!$W$5:$W$212,0)),9999)+'1 Inputs'!$B$22+'1 Inputs'!$B$23+'1 Inputs'!$B$24+'1 Inputs'!$B$25),'4 The queue'!$T$5:$T$40,1)+IF(INDEX('4 The queue'!$T$5:$T$40,MATCH((IFERROR(INDEX('4 The queue'!$U$5:$U$212,MATCH(IF($A7&lt;=1,0,INDEX('4 The queue'!$W$5:$W$212,$A7-1))+8+1,'4 The queue'!$W$5:$W$212,0)),9999)+'1 Inputs'!$B$22+'1 Inputs'!$B$23+'1 Inputs'!$B$24+'1 Inputs'!$B$25),'4 The queue'!$T$5:$T$40,1))=(IFERROR(INDEX('4 The queue'!$U$5:$U$212,MATCH(IF($A7&lt;=1,0,INDEX('4 The queue'!$W$5:$W$212,$A7-1))+8+1,'4 The queue'!$W$5:$W$212,0)),9999)+'1 Inputs'!$B$22+'1 Inputs'!$B$23+'1 Inputs'!$B$24+'1 Inputs'!$B$25),0,1)),9999)+'1 Inputs'!$B$26</f>
        <v>71</v>
      </c>
      <c r="S7" s="19" t="n">
        <f aca="false">IFERROR(INDEX('4 The queue'!$T$5:$T$40,MATCH((IFERROR(INDEX('4 The queue'!$U$5:$U$212,MATCH(IF($A7&lt;=1,0,INDEX('4 The queue'!$W$5:$W$212,$A7-1))+9+1,'4 The queue'!$W$5:$W$212,0)),9999)+'1 Inputs'!$B$22+'1 Inputs'!$B$23+'1 Inputs'!$B$24+'1 Inputs'!$B$25),'4 The queue'!$T$5:$T$40,1)+IF(INDEX('4 The queue'!$T$5:$T$40,MATCH((IFERROR(INDEX('4 The queue'!$U$5:$U$212,MATCH(IF($A7&lt;=1,0,INDEX('4 The queue'!$W$5:$W$212,$A7-1))+9+1,'4 The queue'!$W$5:$W$212,0)),9999)+'1 Inputs'!$B$22+'1 Inputs'!$B$23+'1 Inputs'!$B$24+'1 Inputs'!$B$25),'4 The queue'!$T$5:$T$40,1))=(IFERROR(INDEX('4 The queue'!$U$5:$U$212,MATCH(IF($A7&lt;=1,0,INDEX('4 The queue'!$W$5:$W$212,$A7-1))+9+1,'4 The queue'!$W$5:$W$212,0)),9999)+'1 Inputs'!$B$22+'1 Inputs'!$B$23+'1 Inputs'!$B$24+'1 Inputs'!$B$25),0,1)),9999)+'1 Inputs'!$B$26</f>
        <v>71</v>
      </c>
      <c r="T7" s="19" t="n">
        <f aca="false">IFERROR(INDEX('4 The queue'!$T$5:$T$40,MATCH((IFERROR(INDEX('4 The queue'!$U$5:$U$212,MATCH(IF($A7&lt;=1,0,INDEX('4 The queue'!$W$5:$W$212,$A7-1))+10+1,'4 The queue'!$W$5:$W$212,0)),9999)+'1 Inputs'!$B$22+'1 Inputs'!$B$23+'1 Inputs'!$B$24+'1 Inputs'!$B$25),'4 The queue'!$T$5:$T$40,1)+IF(INDEX('4 The queue'!$T$5:$T$40,MATCH((IFERROR(INDEX('4 The queue'!$U$5:$U$212,MATCH(IF($A7&lt;=1,0,INDEX('4 The queue'!$W$5:$W$212,$A7-1))+10+1,'4 The queue'!$W$5:$W$212,0)),9999)+'1 Inputs'!$B$22+'1 Inputs'!$B$23+'1 Inputs'!$B$24+'1 Inputs'!$B$25),'4 The queue'!$T$5:$T$40,1))=(IFERROR(INDEX('4 The queue'!$U$5:$U$212,MATCH(IF($A7&lt;=1,0,INDEX('4 The queue'!$W$5:$W$212,$A7-1))+10+1,'4 The queue'!$W$5:$W$212,0)),9999)+'1 Inputs'!$B$22+'1 Inputs'!$B$23+'1 Inputs'!$B$24+'1 Inputs'!$B$25),0,1)),9999)+'1 Inputs'!$B$26</f>
        <v>71</v>
      </c>
      <c r="U7" s="19" t="n">
        <f aca="false">IFERROR(INDEX('4 The queue'!$T$5:$T$40,MATCH((IFERROR(INDEX('4 The queue'!$U$5:$U$212,MATCH(IF($A7&lt;=1,0,INDEX('4 The queue'!$W$5:$W$212,$A7-1))+11+1,'4 The queue'!$W$5:$W$212,0)),9999)+'1 Inputs'!$B$22+'1 Inputs'!$B$23+'1 Inputs'!$B$24+'1 Inputs'!$B$25),'4 The queue'!$T$5:$T$40,1)+IF(INDEX('4 The queue'!$T$5:$T$40,MATCH((IFERROR(INDEX('4 The queue'!$U$5:$U$212,MATCH(IF($A7&lt;=1,0,INDEX('4 The queue'!$W$5:$W$212,$A7-1))+11+1,'4 The queue'!$W$5:$W$212,0)),9999)+'1 Inputs'!$B$22+'1 Inputs'!$B$23+'1 Inputs'!$B$24+'1 Inputs'!$B$25),'4 The queue'!$T$5:$T$40,1))=(IFERROR(INDEX('4 The queue'!$U$5:$U$212,MATCH(IF($A7&lt;=1,0,INDEX('4 The queue'!$W$5:$W$212,$A7-1))+11+1,'4 The queue'!$W$5:$W$212,0)),9999)+'1 Inputs'!$B$22+'1 Inputs'!$B$23+'1 Inputs'!$B$24+'1 Inputs'!$B$25),0,1)),9999)+'1 Inputs'!$B$26</f>
        <v>71</v>
      </c>
      <c r="V7" s="19" t="n">
        <f aca="false">IFERROR(INDEX('4 The queue'!$T$5:$T$40,MATCH((IFERROR(INDEX('4 The queue'!$U$5:$U$212,MATCH(IF($A7&lt;=1,0,INDEX('4 The queue'!$W$5:$W$212,$A7-1))+12+1,'4 The queue'!$W$5:$W$212,0)),9999)+'1 Inputs'!$B$22+'1 Inputs'!$B$23+'1 Inputs'!$B$24+'1 Inputs'!$B$25),'4 The queue'!$T$5:$T$40,1)+IF(INDEX('4 The queue'!$T$5:$T$40,MATCH((IFERROR(INDEX('4 The queue'!$U$5:$U$212,MATCH(IF($A7&lt;=1,0,INDEX('4 The queue'!$W$5:$W$212,$A7-1))+12+1,'4 The queue'!$W$5:$W$212,0)),9999)+'1 Inputs'!$B$22+'1 Inputs'!$B$23+'1 Inputs'!$B$24+'1 Inputs'!$B$25),'4 The queue'!$T$5:$T$40,1))=(IFERROR(INDEX('4 The queue'!$U$5:$U$212,MATCH(IF($A7&lt;=1,0,INDEX('4 The queue'!$W$5:$W$212,$A7-1))+12+1,'4 The queue'!$W$5:$W$212,0)),9999)+'1 Inputs'!$B$22+'1 Inputs'!$B$23+'1 Inputs'!$B$24+'1 Inputs'!$B$25),0,1)),9999)+'1 Inputs'!$B$26</f>
        <v>71</v>
      </c>
      <c r="W7" s="19" t="n">
        <f aca="false">IFERROR(INDEX('4 The queue'!$T$5:$T$40,MATCH((IFERROR(INDEX('4 The queue'!$U$5:$U$212,MATCH(IF($A7&lt;=1,0,INDEX('4 The queue'!$W$5:$W$212,$A7-1))+13+1,'4 The queue'!$W$5:$W$212,0)),9999)+'1 Inputs'!$B$22+'1 Inputs'!$B$23+'1 Inputs'!$B$24+'1 Inputs'!$B$25),'4 The queue'!$T$5:$T$40,1)+IF(INDEX('4 The queue'!$T$5:$T$40,MATCH((IFERROR(INDEX('4 The queue'!$U$5:$U$212,MATCH(IF($A7&lt;=1,0,INDEX('4 The queue'!$W$5:$W$212,$A7-1))+13+1,'4 The queue'!$W$5:$W$212,0)),9999)+'1 Inputs'!$B$22+'1 Inputs'!$B$23+'1 Inputs'!$B$24+'1 Inputs'!$B$25),'4 The queue'!$T$5:$T$40,1))=(IFERROR(INDEX('4 The queue'!$U$5:$U$212,MATCH(IF($A7&lt;=1,0,INDEX('4 The queue'!$W$5:$W$212,$A7-1))+13+1,'4 The queue'!$W$5:$W$212,0)),9999)+'1 Inputs'!$B$22+'1 Inputs'!$B$23+'1 Inputs'!$B$24+'1 Inputs'!$B$25),0,1)),9999)+'1 Inputs'!$B$26</f>
        <v>71</v>
      </c>
      <c r="X7" s="19" t="n">
        <f aca="false">IFERROR(INDEX('4 The queue'!$T$5:$T$40,MATCH((IFERROR(INDEX('4 The queue'!$U$5:$U$212,MATCH(IF($A7&lt;=1,0,INDEX('4 The queue'!$W$5:$W$212,$A7-1))+14+1,'4 The queue'!$W$5:$W$212,0)),9999)+'1 Inputs'!$B$22+'1 Inputs'!$B$23+'1 Inputs'!$B$24+'1 Inputs'!$B$25),'4 The queue'!$T$5:$T$40,1)+IF(INDEX('4 The queue'!$T$5:$T$40,MATCH((IFERROR(INDEX('4 The queue'!$U$5:$U$212,MATCH(IF($A7&lt;=1,0,INDEX('4 The queue'!$W$5:$W$212,$A7-1))+14+1,'4 The queue'!$W$5:$W$212,0)),9999)+'1 Inputs'!$B$22+'1 Inputs'!$B$23+'1 Inputs'!$B$24+'1 Inputs'!$B$25),'4 The queue'!$T$5:$T$40,1))=(IFERROR(INDEX('4 The queue'!$U$5:$U$212,MATCH(IF($A7&lt;=1,0,INDEX('4 The queue'!$W$5:$W$212,$A7-1))+14+1,'4 The queue'!$W$5:$W$212,0)),9999)+'1 Inputs'!$B$22+'1 Inputs'!$B$23+'1 Inputs'!$B$24+'1 Inputs'!$B$25),0,1)),9999)+'1 Inputs'!$B$26</f>
        <v>71</v>
      </c>
      <c r="Y7" s="19" t="n">
        <f aca="false">IFERROR(INDEX('4 The queue'!$T$5:$T$40,MATCH((IFERROR(INDEX('4 The queue'!$U$5:$U$212,MATCH(IF($A7&lt;=1,0,INDEX('4 The queue'!$W$5:$W$212,$A7-1))+15+1,'4 The queue'!$W$5:$W$212,0)),9999)+'1 Inputs'!$B$22+'1 Inputs'!$B$23+'1 Inputs'!$B$24+'1 Inputs'!$B$25),'4 The queue'!$T$5:$T$40,1)+IF(INDEX('4 The queue'!$T$5:$T$40,MATCH((IFERROR(INDEX('4 The queue'!$U$5:$U$212,MATCH(IF($A7&lt;=1,0,INDEX('4 The queue'!$W$5:$W$212,$A7-1))+15+1,'4 The queue'!$W$5:$W$212,0)),9999)+'1 Inputs'!$B$22+'1 Inputs'!$B$23+'1 Inputs'!$B$24+'1 Inputs'!$B$25),'4 The queue'!$T$5:$T$40,1))=(IFERROR(INDEX('4 The queue'!$U$5:$U$212,MATCH(IF($A7&lt;=1,0,INDEX('4 The queue'!$W$5:$W$212,$A7-1))+15+1,'4 The queue'!$W$5:$W$212,0)),9999)+'1 Inputs'!$B$22+'1 Inputs'!$B$23+'1 Inputs'!$B$24+'1 Inputs'!$B$25),0,1)),9999)+'1 Inputs'!$B$26</f>
        <v>71</v>
      </c>
      <c r="Z7" s="19" t="n">
        <f aca="false">IFERROR(INDEX('4 The queue'!$T$5:$T$40,MATCH((IFERROR(INDEX('4 The queue'!$U$5:$U$212,MATCH(IF($A7&lt;=1,0,INDEX('4 The queue'!$W$5:$W$212,$A7-1))+16+1,'4 The queue'!$W$5:$W$212,0)),9999)+'1 Inputs'!$B$22+'1 Inputs'!$B$23+'1 Inputs'!$B$24+'1 Inputs'!$B$25),'4 The queue'!$T$5:$T$40,1)+IF(INDEX('4 The queue'!$T$5:$T$40,MATCH((IFERROR(INDEX('4 The queue'!$U$5:$U$212,MATCH(IF($A7&lt;=1,0,INDEX('4 The queue'!$W$5:$W$212,$A7-1))+16+1,'4 The queue'!$W$5:$W$212,0)),9999)+'1 Inputs'!$B$22+'1 Inputs'!$B$23+'1 Inputs'!$B$24+'1 Inputs'!$B$25),'4 The queue'!$T$5:$T$40,1))=(IFERROR(INDEX('4 The queue'!$U$5:$U$212,MATCH(IF($A7&lt;=1,0,INDEX('4 The queue'!$W$5:$W$212,$A7-1))+16+1,'4 The queue'!$W$5:$W$212,0)),9999)+'1 Inputs'!$B$22+'1 Inputs'!$B$23+'1 Inputs'!$B$24+'1 Inputs'!$B$25),0,1)),9999)+'1 Inputs'!$B$26</f>
        <v>71</v>
      </c>
      <c r="AA7" s="19" t="n">
        <f aca="false">IFERROR(INDEX('4 The queue'!$T$5:$T$40,MATCH((IFERROR(INDEX('4 The queue'!$U$5:$U$212,MATCH(IF($A7&lt;=1,0,INDEX('4 The queue'!$W$5:$W$212,$A7-1))+17+1,'4 The queue'!$W$5:$W$212,0)),9999)+'1 Inputs'!$B$22+'1 Inputs'!$B$23+'1 Inputs'!$B$24+'1 Inputs'!$B$25),'4 The queue'!$T$5:$T$40,1)+IF(INDEX('4 The queue'!$T$5:$T$40,MATCH((IFERROR(INDEX('4 The queue'!$U$5:$U$212,MATCH(IF($A7&lt;=1,0,INDEX('4 The queue'!$W$5:$W$212,$A7-1))+17+1,'4 The queue'!$W$5:$W$212,0)),9999)+'1 Inputs'!$B$22+'1 Inputs'!$B$23+'1 Inputs'!$B$24+'1 Inputs'!$B$25),'4 The queue'!$T$5:$T$40,1))=(IFERROR(INDEX('4 The queue'!$U$5:$U$212,MATCH(IF($A7&lt;=1,0,INDEX('4 The queue'!$W$5:$W$212,$A7-1))+17+1,'4 The queue'!$W$5:$W$212,0)),9999)+'1 Inputs'!$B$22+'1 Inputs'!$B$23+'1 Inputs'!$B$24+'1 Inputs'!$B$25),0,1)),9999)+'1 Inputs'!$B$26</f>
        <v>71</v>
      </c>
      <c r="AB7" s="19" t="n">
        <f aca="false">IFERROR(INDEX('4 The queue'!$T$5:$T$40,MATCH((IFERROR(INDEX('4 The queue'!$U$5:$U$212,MATCH(IF($A7&lt;=1,0,INDEX('4 The queue'!$W$5:$W$212,$A7-1))+18+1,'4 The queue'!$W$5:$W$212,0)),9999)+'1 Inputs'!$B$22+'1 Inputs'!$B$23+'1 Inputs'!$B$24+'1 Inputs'!$B$25),'4 The queue'!$T$5:$T$40,1)+IF(INDEX('4 The queue'!$T$5:$T$40,MATCH((IFERROR(INDEX('4 The queue'!$U$5:$U$212,MATCH(IF($A7&lt;=1,0,INDEX('4 The queue'!$W$5:$W$212,$A7-1))+18+1,'4 The queue'!$W$5:$W$212,0)),9999)+'1 Inputs'!$B$22+'1 Inputs'!$B$23+'1 Inputs'!$B$24+'1 Inputs'!$B$25),'4 The queue'!$T$5:$T$40,1))=(IFERROR(INDEX('4 The queue'!$U$5:$U$212,MATCH(IF($A7&lt;=1,0,INDEX('4 The queue'!$W$5:$W$212,$A7-1))+18+1,'4 The queue'!$W$5:$W$212,0)),9999)+'1 Inputs'!$B$22+'1 Inputs'!$B$23+'1 Inputs'!$B$24+'1 Inputs'!$B$25),0,1)),9999)+'1 Inputs'!$B$26</f>
        <v>71</v>
      </c>
      <c r="AC7" s="19" t="n">
        <f aca="false">IFERROR(INDEX('4 The queue'!$T$5:$T$40,MATCH((IFERROR(INDEX('4 The queue'!$U$5:$U$212,MATCH(IF($A7&lt;=1,0,INDEX('4 The queue'!$W$5:$W$212,$A7-1))+19+1,'4 The queue'!$W$5:$W$212,0)),9999)+'1 Inputs'!$B$22+'1 Inputs'!$B$23+'1 Inputs'!$B$24+'1 Inputs'!$B$25),'4 The queue'!$T$5:$T$40,1)+IF(INDEX('4 The queue'!$T$5:$T$40,MATCH((IFERROR(INDEX('4 The queue'!$U$5:$U$212,MATCH(IF($A7&lt;=1,0,INDEX('4 The queue'!$W$5:$W$212,$A7-1))+19+1,'4 The queue'!$W$5:$W$212,0)),9999)+'1 Inputs'!$B$22+'1 Inputs'!$B$23+'1 Inputs'!$B$24+'1 Inputs'!$B$25),'4 The queue'!$T$5:$T$40,1))=(IFERROR(INDEX('4 The queue'!$U$5:$U$212,MATCH(IF($A7&lt;=1,0,INDEX('4 The queue'!$W$5:$W$212,$A7-1))+19+1,'4 The queue'!$W$5:$W$212,0)),9999)+'1 Inputs'!$B$22+'1 Inputs'!$B$23+'1 Inputs'!$B$24+'1 Inputs'!$B$25),0,1)),9999)+'1 Inputs'!$B$26</f>
        <v>71</v>
      </c>
      <c r="AD7" s="19" t="n">
        <f aca="false">IFERROR(INDEX('4 The queue'!$T$5:$T$40,MATCH((IFERROR(INDEX('4 The queue'!$U$5:$U$212,MATCH(IF($A7&lt;=1,0,INDEX('4 The queue'!$W$5:$W$212,$A7-1))+20+1,'4 The queue'!$W$5:$W$212,0)),9999)+'1 Inputs'!$B$22+'1 Inputs'!$B$23+'1 Inputs'!$B$24+'1 Inputs'!$B$25),'4 The queue'!$T$5:$T$40,1)+IF(INDEX('4 The queue'!$T$5:$T$40,MATCH((IFERROR(INDEX('4 The queue'!$U$5:$U$212,MATCH(IF($A7&lt;=1,0,INDEX('4 The queue'!$W$5:$W$212,$A7-1))+20+1,'4 The queue'!$W$5:$W$212,0)),9999)+'1 Inputs'!$B$22+'1 Inputs'!$B$23+'1 Inputs'!$B$24+'1 Inputs'!$B$25),'4 The queue'!$T$5:$T$40,1))=(IFERROR(INDEX('4 The queue'!$U$5:$U$212,MATCH(IF($A7&lt;=1,0,INDEX('4 The queue'!$W$5:$W$212,$A7-1))+20+1,'4 The queue'!$W$5:$W$212,0)),9999)+'1 Inputs'!$B$22+'1 Inputs'!$B$23+'1 Inputs'!$B$24+'1 Inputs'!$B$25),0,1)),9999)+'1 Inputs'!$B$26</f>
        <v>84</v>
      </c>
      <c r="AE7" s="19" t="n">
        <f aca="false">IFERROR(INDEX('4 The queue'!$T$5:$T$40,MATCH((IFERROR(INDEX('4 The queue'!$U$5:$U$212,MATCH(IF($A7&lt;=1,0,INDEX('4 The queue'!$W$5:$W$212,$A7-1))+21+1,'4 The queue'!$W$5:$W$212,0)),9999)+'1 Inputs'!$B$22+'1 Inputs'!$B$23+'1 Inputs'!$B$24+'1 Inputs'!$B$25),'4 The queue'!$T$5:$T$40,1)+IF(INDEX('4 The queue'!$T$5:$T$40,MATCH((IFERROR(INDEX('4 The queue'!$U$5:$U$212,MATCH(IF($A7&lt;=1,0,INDEX('4 The queue'!$W$5:$W$212,$A7-1))+21+1,'4 The queue'!$W$5:$W$212,0)),9999)+'1 Inputs'!$B$22+'1 Inputs'!$B$23+'1 Inputs'!$B$24+'1 Inputs'!$B$25),'4 The queue'!$T$5:$T$40,1))=(IFERROR(INDEX('4 The queue'!$U$5:$U$212,MATCH(IF($A7&lt;=1,0,INDEX('4 The queue'!$W$5:$W$212,$A7-1))+21+1,'4 The queue'!$W$5:$W$212,0)),9999)+'1 Inputs'!$B$22+'1 Inputs'!$B$23+'1 Inputs'!$B$24+'1 Inputs'!$B$25),0,1)),9999)+'1 Inputs'!$B$26</f>
        <v>84</v>
      </c>
      <c r="AF7" s="19" t="n">
        <f aca="false">IFERROR(INDEX('4 The queue'!$T$5:$T$40,MATCH((IFERROR(INDEX('4 The queue'!$U$5:$U$212,MATCH(IF($A7&lt;=1,0,INDEX('4 The queue'!$W$5:$W$212,$A7-1))+22+1,'4 The queue'!$W$5:$W$212,0)),9999)+'1 Inputs'!$B$22+'1 Inputs'!$B$23+'1 Inputs'!$B$24+'1 Inputs'!$B$25),'4 The queue'!$T$5:$T$40,1)+IF(INDEX('4 The queue'!$T$5:$T$40,MATCH((IFERROR(INDEX('4 The queue'!$U$5:$U$212,MATCH(IF($A7&lt;=1,0,INDEX('4 The queue'!$W$5:$W$212,$A7-1))+22+1,'4 The queue'!$W$5:$W$212,0)),9999)+'1 Inputs'!$B$22+'1 Inputs'!$B$23+'1 Inputs'!$B$24+'1 Inputs'!$B$25),'4 The queue'!$T$5:$T$40,1))=(IFERROR(INDEX('4 The queue'!$U$5:$U$212,MATCH(IF($A7&lt;=1,0,INDEX('4 The queue'!$W$5:$W$212,$A7-1))+22+1,'4 The queue'!$W$5:$W$212,0)),9999)+'1 Inputs'!$B$22+'1 Inputs'!$B$23+'1 Inputs'!$B$24+'1 Inputs'!$B$25),0,1)),9999)+'1 Inputs'!$B$26</f>
        <v>84</v>
      </c>
      <c r="AG7" s="19" t="n">
        <f aca="false">IFERROR(INDEX('4 The queue'!$T$5:$T$40,MATCH((IFERROR(INDEX('4 The queue'!$U$5:$U$212,MATCH(IF($A7&lt;=1,0,INDEX('4 The queue'!$W$5:$W$212,$A7-1))+23+1,'4 The queue'!$W$5:$W$212,0)),9999)+'1 Inputs'!$B$22+'1 Inputs'!$B$23+'1 Inputs'!$B$24+'1 Inputs'!$B$25),'4 The queue'!$T$5:$T$40,1)+IF(INDEX('4 The queue'!$T$5:$T$40,MATCH((IFERROR(INDEX('4 The queue'!$U$5:$U$212,MATCH(IF($A7&lt;=1,0,INDEX('4 The queue'!$W$5:$W$212,$A7-1))+23+1,'4 The queue'!$W$5:$W$212,0)),9999)+'1 Inputs'!$B$22+'1 Inputs'!$B$23+'1 Inputs'!$B$24+'1 Inputs'!$B$25),'4 The queue'!$T$5:$T$40,1))=(IFERROR(INDEX('4 The queue'!$U$5:$U$212,MATCH(IF($A7&lt;=1,0,INDEX('4 The queue'!$W$5:$W$212,$A7-1))+23+1,'4 The queue'!$W$5:$W$212,0)),9999)+'1 Inputs'!$B$22+'1 Inputs'!$B$23+'1 Inputs'!$B$24+'1 Inputs'!$B$25),0,1)),9999)+'1 Inputs'!$B$26</f>
        <v>84</v>
      </c>
      <c r="AH7" s="19" t="n">
        <f aca="false">IFERROR(INDEX('4 The queue'!$T$5:$T$40,MATCH((IFERROR(INDEX('4 The queue'!$U$5:$U$212,MATCH(IF($A7&lt;=1,0,INDEX('4 The queue'!$W$5:$W$212,$A7-1))+24+1,'4 The queue'!$W$5:$W$212,0)),9999)+'1 Inputs'!$B$22+'1 Inputs'!$B$23+'1 Inputs'!$B$24+'1 Inputs'!$B$25),'4 The queue'!$T$5:$T$40,1)+IF(INDEX('4 The queue'!$T$5:$T$40,MATCH((IFERROR(INDEX('4 The queue'!$U$5:$U$212,MATCH(IF($A7&lt;=1,0,INDEX('4 The queue'!$W$5:$W$212,$A7-1))+24+1,'4 The queue'!$W$5:$W$212,0)),9999)+'1 Inputs'!$B$22+'1 Inputs'!$B$23+'1 Inputs'!$B$24+'1 Inputs'!$B$25),'4 The queue'!$T$5:$T$40,1))=(IFERROR(INDEX('4 The queue'!$U$5:$U$212,MATCH(IF($A7&lt;=1,0,INDEX('4 The queue'!$W$5:$W$212,$A7-1))+24+1,'4 The queue'!$W$5:$W$212,0)),9999)+'1 Inputs'!$B$22+'1 Inputs'!$B$23+'1 Inputs'!$B$24+'1 Inputs'!$B$25),0,1)),9999)+'1 Inputs'!$B$26</f>
        <v>84</v>
      </c>
      <c r="AI7" s="19" t="n">
        <f aca="false">IFERROR(INDEX('4 The queue'!$T$5:$T$40,MATCH((IFERROR(INDEX('4 The queue'!$U$5:$U$212,MATCH(IF($A7&lt;=1,0,INDEX('4 The queue'!$W$5:$W$212,$A7-1))+25+1,'4 The queue'!$W$5:$W$212,0)),9999)+'1 Inputs'!$B$22+'1 Inputs'!$B$23+'1 Inputs'!$B$24+'1 Inputs'!$B$25),'4 The queue'!$T$5:$T$40,1)+IF(INDEX('4 The queue'!$T$5:$T$40,MATCH((IFERROR(INDEX('4 The queue'!$U$5:$U$212,MATCH(IF($A7&lt;=1,0,INDEX('4 The queue'!$W$5:$W$212,$A7-1))+25+1,'4 The queue'!$W$5:$W$212,0)),9999)+'1 Inputs'!$B$22+'1 Inputs'!$B$23+'1 Inputs'!$B$24+'1 Inputs'!$B$25),'4 The queue'!$T$5:$T$40,1))=(IFERROR(INDEX('4 The queue'!$U$5:$U$212,MATCH(IF($A7&lt;=1,0,INDEX('4 The queue'!$W$5:$W$212,$A7-1))+25+1,'4 The queue'!$W$5:$W$212,0)),9999)+'1 Inputs'!$B$22+'1 Inputs'!$B$23+'1 Inputs'!$B$24+'1 Inputs'!$B$25),0,1)),9999)+'1 Inputs'!$B$26</f>
        <v>84</v>
      </c>
      <c r="AJ7" s="19" t="n">
        <f aca="false">IFERROR(INDEX('4 The queue'!$T$5:$T$40,MATCH((IFERROR(INDEX('4 The queue'!$U$5:$U$212,MATCH(IF($A7&lt;=1,0,INDEX('4 The queue'!$W$5:$W$212,$A7-1))+26+1,'4 The queue'!$W$5:$W$212,0)),9999)+'1 Inputs'!$B$22+'1 Inputs'!$B$23+'1 Inputs'!$B$24+'1 Inputs'!$B$25),'4 The queue'!$T$5:$T$40,1)+IF(INDEX('4 The queue'!$T$5:$T$40,MATCH((IFERROR(INDEX('4 The queue'!$U$5:$U$212,MATCH(IF($A7&lt;=1,0,INDEX('4 The queue'!$W$5:$W$212,$A7-1))+26+1,'4 The queue'!$W$5:$W$212,0)),9999)+'1 Inputs'!$B$22+'1 Inputs'!$B$23+'1 Inputs'!$B$24+'1 Inputs'!$B$25),'4 The queue'!$T$5:$T$40,1))=(IFERROR(INDEX('4 The queue'!$U$5:$U$212,MATCH(IF($A7&lt;=1,0,INDEX('4 The queue'!$W$5:$W$212,$A7-1))+26+1,'4 The queue'!$W$5:$W$212,0)),9999)+'1 Inputs'!$B$22+'1 Inputs'!$B$23+'1 Inputs'!$B$24+'1 Inputs'!$B$25),0,1)),9999)+'1 Inputs'!$B$26</f>
        <v>84</v>
      </c>
      <c r="AK7" s="19" t="n">
        <f aca="false">IFERROR(INDEX('4 The queue'!$T$5:$T$40,MATCH((IFERROR(INDEX('4 The queue'!$U$5:$U$212,MATCH(IF($A7&lt;=1,0,INDEX('4 The queue'!$W$5:$W$212,$A7-1))+27+1,'4 The queue'!$W$5:$W$212,0)),9999)+'1 Inputs'!$B$22+'1 Inputs'!$B$23+'1 Inputs'!$B$24+'1 Inputs'!$B$25),'4 The queue'!$T$5:$T$40,1)+IF(INDEX('4 The queue'!$T$5:$T$40,MATCH((IFERROR(INDEX('4 The queue'!$U$5:$U$212,MATCH(IF($A7&lt;=1,0,INDEX('4 The queue'!$W$5:$W$212,$A7-1))+27+1,'4 The queue'!$W$5:$W$212,0)),9999)+'1 Inputs'!$B$22+'1 Inputs'!$B$23+'1 Inputs'!$B$24+'1 Inputs'!$B$25),'4 The queue'!$T$5:$T$40,1))=(IFERROR(INDEX('4 The queue'!$U$5:$U$212,MATCH(IF($A7&lt;=1,0,INDEX('4 The queue'!$W$5:$W$212,$A7-1))+27+1,'4 The queue'!$W$5:$W$212,0)),9999)+'1 Inputs'!$B$22+'1 Inputs'!$B$23+'1 Inputs'!$B$24+'1 Inputs'!$B$25),0,1)),9999)+'1 Inputs'!$B$26</f>
        <v>84</v>
      </c>
      <c r="AL7" s="19" t="n">
        <f aca="false">IFERROR(INDEX('4 The queue'!$T$5:$T$40,MATCH((IFERROR(INDEX('4 The queue'!$U$5:$U$212,MATCH(IF($A7&lt;=1,0,INDEX('4 The queue'!$W$5:$W$212,$A7-1))+28+1,'4 The queue'!$W$5:$W$212,0)),9999)+'1 Inputs'!$B$22+'1 Inputs'!$B$23+'1 Inputs'!$B$24+'1 Inputs'!$B$25),'4 The queue'!$T$5:$T$40,1)+IF(INDEX('4 The queue'!$T$5:$T$40,MATCH((IFERROR(INDEX('4 The queue'!$U$5:$U$212,MATCH(IF($A7&lt;=1,0,INDEX('4 The queue'!$W$5:$W$212,$A7-1))+28+1,'4 The queue'!$W$5:$W$212,0)),9999)+'1 Inputs'!$B$22+'1 Inputs'!$B$23+'1 Inputs'!$B$24+'1 Inputs'!$B$25),'4 The queue'!$T$5:$T$40,1))=(IFERROR(INDEX('4 The queue'!$U$5:$U$212,MATCH(IF($A7&lt;=1,0,INDEX('4 The queue'!$W$5:$W$212,$A7-1))+28+1,'4 The queue'!$W$5:$W$212,0)),9999)+'1 Inputs'!$B$22+'1 Inputs'!$B$23+'1 Inputs'!$B$24+'1 Inputs'!$B$25),0,1)),9999)+'1 Inputs'!$B$26</f>
        <v>84</v>
      </c>
      <c r="AM7" s="19" t="n">
        <f aca="false">IFERROR(INDEX('4 The queue'!$T$5:$T$40,MATCH((IFERROR(INDEX('4 The queue'!$U$5:$U$212,MATCH(IF($A7&lt;=1,0,INDEX('4 The queue'!$W$5:$W$212,$A7-1))+29+1,'4 The queue'!$W$5:$W$212,0)),9999)+'1 Inputs'!$B$22+'1 Inputs'!$B$23+'1 Inputs'!$B$24+'1 Inputs'!$B$25),'4 The queue'!$T$5:$T$40,1)+IF(INDEX('4 The queue'!$T$5:$T$40,MATCH((IFERROR(INDEX('4 The queue'!$U$5:$U$212,MATCH(IF($A7&lt;=1,0,INDEX('4 The queue'!$W$5:$W$212,$A7-1))+29+1,'4 The queue'!$W$5:$W$212,0)),9999)+'1 Inputs'!$B$22+'1 Inputs'!$B$23+'1 Inputs'!$B$24+'1 Inputs'!$B$25),'4 The queue'!$T$5:$T$40,1))=(IFERROR(INDEX('4 The queue'!$U$5:$U$212,MATCH(IF($A7&lt;=1,0,INDEX('4 The queue'!$W$5:$W$212,$A7-1))+29+1,'4 The queue'!$W$5:$W$212,0)),9999)+'1 Inputs'!$B$22+'1 Inputs'!$B$23+'1 Inputs'!$B$24+'1 Inputs'!$B$25),0,1)),9999)+'1 Inputs'!$B$26</f>
        <v>84</v>
      </c>
      <c r="AN7" s="19" t="n">
        <f aca="false">IFERROR(INDEX('4 The queue'!$T$5:$T$40,MATCH((IFERROR(INDEX('4 The queue'!$U$5:$U$212,MATCH(IF($A7&lt;=1,0,INDEX('4 The queue'!$W$5:$W$212,$A7-1))+30+1,'4 The queue'!$W$5:$W$212,0)),9999)+'1 Inputs'!$B$22+'1 Inputs'!$B$23+'1 Inputs'!$B$24+'1 Inputs'!$B$25),'4 The queue'!$T$5:$T$40,1)+IF(INDEX('4 The queue'!$T$5:$T$40,MATCH((IFERROR(INDEX('4 The queue'!$U$5:$U$212,MATCH(IF($A7&lt;=1,0,INDEX('4 The queue'!$W$5:$W$212,$A7-1))+30+1,'4 The queue'!$W$5:$W$212,0)),9999)+'1 Inputs'!$B$22+'1 Inputs'!$B$23+'1 Inputs'!$B$24+'1 Inputs'!$B$25),'4 The queue'!$T$5:$T$40,1))=(IFERROR(INDEX('4 The queue'!$U$5:$U$212,MATCH(IF($A7&lt;=1,0,INDEX('4 The queue'!$W$5:$W$212,$A7-1))+30+1,'4 The queue'!$W$5:$W$212,0)),9999)+'1 Inputs'!$B$22+'1 Inputs'!$B$23+'1 Inputs'!$B$24+'1 Inputs'!$B$25),0,1)),9999)+'1 Inputs'!$B$26</f>
        <v>97</v>
      </c>
      <c r="AO7" s="19" t="n">
        <f aca="false">IFERROR(INDEX('4 The queue'!$T$5:$T$40,MATCH((IFERROR(INDEX('4 The queue'!$U$5:$U$212,MATCH(IF($A7&lt;=1,0,INDEX('4 The queue'!$W$5:$W$212,$A7-1))+31+1,'4 The queue'!$W$5:$W$212,0)),9999)+'1 Inputs'!$B$22+'1 Inputs'!$B$23+'1 Inputs'!$B$24+'1 Inputs'!$B$25),'4 The queue'!$T$5:$T$40,1)+IF(INDEX('4 The queue'!$T$5:$T$40,MATCH((IFERROR(INDEX('4 The queue'!$U$5:$U$212,MATCH(IF($A7&lt;=1,0,INDEX('4 The queue'!$W$5:$W$212,$A7-1))+31+1,'4 The queue'!$W$5:$W$212,0)),9999)+'1 Inputs'!$B$22+'1 Inputs'!$B$23+'1 Inputs'!$B$24+'1 Inputs'!$B$25),'4 The queue'!$T$5:$T$40,1))=(IFERROR(INDEX('4 The queue'!$U$5:$U$212,MATCH(IF($A7&lt;=1,0,INDEX('4 The queue'!$W$5:$W$212,$A7-1))+31+1,'4 The queue'!$W$5:$W$212,0)),9999)+'1 Inputs'!$B$22+'1 Inputs'!$B$23+'1 Inputs'!$B$24+'1 Inputs'!$B$25),0,1)),9999)+'1 Inputs'!$B$26</f>
        <v>97</v>
      </c>
      <c r="AP7" s="19" t="n">
        <f aca="false">IFERROR(INDEX('4 The queue'!$T$5:$T$40,MATCH((IFERROR(INDEX('4 The queue'!$U$5:$U$212,MATCH(IF($A7&lt;=1,0,INDEX('4 The queue'!$W$5:$W$212,$A7-1))+32+1,'4 The queue'!$W$5:$W$212,0)),9999)+'1 Inputs'!$B$22+'1 Inputs'!$B$23+'1 Inputs'!$B$24+'1 Inputs'!$B$25),'4 The queue'!$T$5:$T$40,1)+IF(INDEX('4 The queue'!$T$5:$T$40,MATCH((IFERROR(INDEX('4 The queue'!$U$5:$U$212,MATCH(IF($A7&lt;=1,0,INDEX('4 The queue'!$W$5:$W$212,$A7-1))+32+1,'4 The queue'!$W$5:$W$212,0)),9999)+'1 Inputs'!$B$22+'1 Inputs'!$B$23+'1 Inputs'!$B$24+'1 Inputs'!$B$25),'4 The queue'!$T$5:$T$40,1))=(IFERROR(INDEX('4 The queue'!$U$5:$U$212,MATCH(IF($A7&lt;=1,0,INDEX('4 The queue'!$W$5:$W$212,$A7-1))+32+1,'4 The queue'!$W$5:$W$212,0)),9999)+'1 Inputs'!$B$22+'1 Inputs'!$B$23+'1 Inputs'!$B$24+'1 Inputs'!$B$25),0,1)),9999)+'1 Inputs'!$B$26</f>
        <v>97</v>
      </c>
      <c r="AQ7" s="19" t="n">
        <f aca="false">IFERROR(INDEX('4 The queue'!$T$5:$T$40,MATCH((IFERROR(INDEX('4 The queue'!$U$5:$U$212,MATCH(IF($A7&lt;=1,0,INDEX('4 The queue'!$W$5:$W$212,$A7-1))+33+1,'4 The queue'!$W$5:$W$212,0)),9999)+'1 Inputs'!$B$22+'1 Inputs'!$B$23+'1 Inputs'!$B$24+'1 Inputs'!$B$25),'4 The queue'!$T$5:$T$40,1)+IF(INDEX('4 The queue'!$T$5:$T$40,MATCH((IFERROR(INDEX('4 The queue'!$U$5:$U$212,MATCH(IF($A7&lt;=1,0,INDEX('4 The queue'!$W$5:$W$212,$A7-1))+33+1,'4 The queue'!$W$5:$W$212,0)),9999)+'1 Inputs'!$B$22+'1 Inputs'!$B$23+'1 Inputs'!$B$24+'1 Inputs'!$B$25),'4 The queue'!$T$5:$T$40,1))=(IFERROR(INDEX('4 The queue'!$U$5:$U$212,MATCH(IF($A7&lt;=1,0,INDEX('4 The queue'!$W$5:$W$212,$A7-1))+33+1,'4 The queue'!$W$5:$W$212,0)),9999)+'1 Inputs'!$B$22+'1 Inputs'!$B$23+'1 Inputs'!$B$24+'1 Inputs'!$B$25),0,1)),9999)+'1 Inputs'!$B$26</f>
        <v>97</v>
      </c>
      <c r="AR7" s="19" t="n">
        <f aca="false">IFERROR(INDEX('4 The queue'!$T$5:$T$40,MATCH((IFERROR(INDEX('4 The queue'!$U$5:$U$212,MATCH(IF($A7&lt;=1,0,INDEX('4 The queue'!$W$5:$W$212,$A7-1))+34+1,'4 The queue'!$W$5:$W$212,0)),9999)+'1 Inputs'!$B$22+'1 Inputs'!$B$23+'1 Inputs'!$B$24+'1 Inputs'!$B$25),'4 The queue'!$T$5:$T$40,1)+IF(INDEX('4 The queue'!$T$5:$T$40,MATCH((IFERROR(INDEX('4 The queue'!$U$5:$U$212,MATCH(IF($A7&lt;=1,0,INDEX('4 The queue'!$W$5:$W$212,$A7-1))+34+1,'4 The queue'!$W$5:$W$212,0)),9999)+'1 Inputs'!$B$22+'1 Inputs'!$B$23+'1 Inputs'!$B$24+'1 Inputs'!$B$25),'4 The queue'!$T$5:$T$40,1))=(IFERROR(INDEX('4 The queue'!$U$5:$U$212,MATCH(IF($A7&lt;=1,0,INDEX('4 The queue'!$W$5:$W$212,$A7-1))+34+1,'4 The queue'!$W$5:$W$212,0)),9999)+'1 Inputs'!$B$22+'1 Inputs'!$B$23+'1 Inputs'!$B$24+'1 Inputs'!$B$25),0,1)),9999)+'1 Inputs'!$B$26</f>
        <v>97</v>
      </c>
      <c r="AS7" s="19" t="n">
        <f aca="false">IFERROR(INDEX('4 The queue'!$T$5:$T$40,MATCH((IFERROR(INDEX('4 The queue'!$U$5:$U$212,MATCH(IF($A7&lt;=1,0,INDEX('4 The queue'!$W$5:$W$212,$A7-1))+35+1,'4 The queue'!$W$5:$W$212,0)),9999)+'1 Inputs'!$B$22+'1 Inputs'!$B$23+'1 Inputs'!$B$24+'1 Inputs'!$B$25),'4 The queue'!$T$5:$T$40,1)+IF(INDEX('4 The queue'!$T$5:$T$40,MATCH((IFERROR(INDEX('4 The queue'!$U$5:$U$212,MATCH(IF($A7&lt;=1,0,INDEX('4 The queue'!$W$5:$W$212,$A7-1))+35+1,'4 The queue'!$W$5:$W$212,0)),9999)+'1 Inputs'!$B$22+'1 Inputs'!$B$23+'1 Inputs'!$B$24+'1 Inputs'!$B$25),'4 The queue'!$T$5:$T$40,1))=(IFERROR(INDEX('4 The queue'!$U$5:$U$212,MATCH(IF($A7&lt;=1,0,INDEX('4 The queue'!$W$5:$W$212,$A7-1))+35+1,'4 The queue'!$W$5:$W$212,0)),9999)+'1 Inputs'!$B$22+'1 Inputs'!$B$23+'1 Inputs'!$B$24+'1 Inputs'!$B$25),0,1)),9999)+'1 Inputs'!$B$26</f>
        <v>97</v>
      </c>
      <c r="AT7" s="19" t="n">
        <f aca="false">IFERROR(INDEX('4 The queue'!$T$5:$T$40,MATCH((IFERROR(INDEX('4 The queue'!$U$5:$U$212,MATCH(IF($A7&lt;=1,0,INDEX('4 The queue'!$W$5:$W$212,$A7-1))+36+1,'4 The queue'!$W$5:$W$212,0)),9999)+'1 Inputs'!$B$22+'1 Inputs'!$B$23+'1 Inputs'!$B$24+'1 Inputs'!$B$25),'4 The queue'!$T$5:$T$40,1)+IF(INDEX('4 The queue'!$T$5:$T$40,MATCH((IFERROR(INDEX('4 The queue'!$U$5:$U$212,MATCH(IF($A7&lt;=1,0,INDEX('4 The queue'!$W$5:$W$212,$A7-1))+36+1,'4 The queue'!$W$5:$W$212,0)),9999)+'1 Inputs'!$B$22+'1 Inputs'!$B$23+'1 Inputs'!$B$24+'1 Inputs'!$B$25),'4 The queue'!$T$5:$T$40,1))=(IFERROR(INDEX('4 The queue'!$U$5:$U$212,MATCH(IF($A7&lt;=1,0,INDEX('4 The queue'!$W$5:$W$212,$A7-1))+36+1,'4 The queue'!$W$5:$W$212,0)),9999)+'1 Inputs'!$B$22+'1 Inputs'!$B$23+'1 Inputs'!$B$24+'1 Inputs'!$B$25),0,1)),9999)+'1 Inputs'!$B$26</f>
        <v>97</v>
      </c>
      <c r="AU7" s="19" t="n">
        <f aca="false">IFERROR(INDEX('4 The queue'!$T$5:$T$40,MATCH((IFERROR(INDEX('4 The queue'!$U$5:$U$212,MATCH(IF($A7&lt;=1,0,INDEX('4 The queue'!$W$5:$W$212,$A7-1))+37+1,'4 The queue'!$W$5:$W$212,0)),9999)+'1 Inputs'!$B$22+'1 Inputs'!$B$23+'1 Inputs'!$B$24+'1 Inputs'!$B$25),'4 The queue'!$T$5:$T$40,1)+IF(INDEX('4 The queue'!$T$5:$T$40,MATCH((IFERROR(INDEX('4 The queue'!$U$5:$U$212,MATCH(IF($A7&lt;=1,0,INDEX('4 The queue'!$W$5:$W$212,$A7-1))+37+1,'4 The queue'!$W$5:$W$212,0)),9999)+'1 Inputs'!$B$22+'1 Inputs'!$B$23+'1 Inputs'!$B$24+'1 Inputs'!$B$25),'4 The queue'!$T$5:$T$40,1))=(IFERROR(INDEX('4 The queue'!$U$5:$U$212,MATCH(IF($A7&lt;=1,0,INDEX('4 The queue'!$W$5:$W$212,$A7-1))+37+1,'4 The queue'!$W$5:$W$212,0)),9999)+'1 Inputs'!$B$22+'1 Inputs'!$B$23+'1 Inputs'!$B$24+'1 Inputs'!$B$25),0,1)),9999)+'1 Inputs'!$B$26</f>
        <v>97</v>
      </c>
      <c r="AV7" s="19" t="n">
        <f aca="false">IFERROR(INDEX('4 The queue'!$T$5:$T$40,MATCH((IFERROR(INDEX('4 The queue'!$U$5:$U$212,MATCH(IF($A7&lt;=1,0,INDEX('4 The queue'!$W$5:$W$212,$A7-1))+38+1,'4 The queue'!$W$5:$W$212,0)),9999)+'1 Inputs'!$B$22+'1 Inputs'!$B$23+'1 Inputs'!$B$24+'1 Inputs'!$B$25),'4 The queue'!$T$5:$T$40,1)+IF(INDEX('4 The queue'!$T$5:$T$40,MATCH((IFERROR(INDEX('4 The queue'!$U$5:$U$212,MATCH(IF($A7&lt;=1,0,INDEX('4 The queue'!$W$5:$W$212,$A7-1))+38+1,'4 The queue'!$W$5:$W$212,0)),9999)+'1 Inputs'!$B$22+'1 Inputs'!$B$23+'1 Inputs'!$B$24+'1 Inputs'!$B$25),'4 The queue'!$T$5:$T$40,1))=(IFERROR(INDEX('4 The queue'!$U$5:$U$212,MATCH(IF($A7&lt;=1,0,INDEX('4 The queue'!$W$5:$W$212,$A7-1))+38+1,'4 The queue'!$W$5:$W$212,0)),9999)+'1 Inputs'!$B$22+'1 Inputs'!$B$23+'1 Inputs'!$B$24+'1 Inputs'!$B$25),0,1)),9999)+'1 Inputs'!$B$26</f>
        <v>97</v>
      </c>
      <c r="AW7" s="19" t="n">
        <f aca="false">IFERROR(INDEX('4 The queue'!$T$5:$T$40,MATCH((IFERROR(INDEX('4 The queue'!$U$5:$U$212,MATCH(IF($A7&lt;=1,0,INDEX('4 The queue'!$W$5:$W$212,$A7-1))+39+1,'4 The queue'!$W$5:$W$212,0)),9999)+'1 Inputs'!$B$22+'1 Inputs'!$B$23+'1 Inputs'!$B$24+'1 Inputs'!$B$25),'4 The queue'!$T$5:$T$40,1)+IF(INDEX('4 The queue'!$T$5:$T$40,MATCH((IFERROR(INDEX('4 The queue'!$U$5:$U$212,MATCH(IF($A7&lt;=1,0,INDEX('4 The queue'!$W$5:$W$212,$A7-1))+39+1,'4 The queue'!$W$5:$W$212,0)),9999)+'1 Inputs'!$B$22+'1 Inputs'!$B$23+'1 Inputs'!$B$24+'1 Inputs'!$B$25),'4 The queue'!$T$5:$T$40,1))=(IFERROR(INDEX('4 The queue'!$U$5:$U$212,MATCH(IF($A7&lt;=1,0,INDEX('4 The queue'!$W$5:$W$212,$A7-1))+39+1,'4 The queue'!$W$5:$W$212,0)),9999)+'1 Inputs'!$B$22+'1 Inputs'!$B$23+'1 Inputs'!$B$24+'1 Inputs'!$B$25),0,1)),9999)+'1 Inputs'!$B$26</f>
        <v>97</v>
      </c>
      <c r="AX7" s="19" t="n">
        <f aca="false">MAX(0,MIN('1 Inputs'!$B$15,'1 Inputs'!$B$5*'1 Inputs'!$B$6-0*'1 Inputs'!$B$15))*'1 Inputs'!$B$7*'1 Inputs'!$B$8*'1 Inputs'!$B$9*'1 Inputs'!$B$10*'1 Inputs'!$B$11</f>
        <v>6250000</v>
      </c>
      <c r="AY7" s="19" t="n">
        <f aca="false">MAX(0,MIN('1 Inputs'!$B$15,'1 Inputs'!$B$5*'1 Inputs'!$B$6-1*'1 Inputs'!$B$15))*'1 Inputs'!$B$7*'1 Inputs'!$B$8*'1 Inputs'!$B$9*'1 Inputs'!$B$10*'1 Inputs'!$B$11</f>
        <v>6250000</v>
      </c>
      <c r="AZ7" s="19" t="n">
        <f aca="false">MAX(0,MIN('1 Inputs'!$B$15,'1 Inputs'!$B$5*'1 Inputs'!$B$6-2*'1 Inputs'!$B$15))*'1 Inputs'!$B$7*'1 Inputs'!$B$8*'1 Inputs'!$B$9*'1 Inputs'!$B$10*'1 Inputs'!$B$11</f>
        <v>6250000</v>
      </c>
      <c r="BA7" s="19" t="n">
        <f aca="false">MAX(0,MIN('1 Inputs'!$B$15,'1 Inputs'!$B$5*'1 Inputs'!$B$6-3*'1 Inputs'!$B$15))*'1 Inputs'!$B$7*'1 Inputs'!$B$8*'1 Inputs'!$B$9*'1 Inputs'!$B$10*'1 Inputs'!$B$11</f>
        <v>6250000</v>
      </c>
      <c r="BB7" s="19" t="n">
        <f aca="false">MAX(0,MIN('1 Inputs'!$B$15,'1 Inputs'!$B$5*'1 Inputs'!$B$6-4*'1 Inputs'!$B$15))*'1 Inputs'!$B$7*'1 Inputs'!$B$8*'1 Inputs'!$B$9*'1 Inputs'!$B$10*'1 Inputs'!$B$11</f>
        <v>6250000</v>
      </c>
      <c r="BC7" s="19" t="n">
        <f aca="false">MAX(0,MIN('1 Inputs'!$B$15,'1 Inputs'!$B$5*'1 Inputs'!$B$6-5*'1 Inputs'!$B$15))*'1 Inputs'!$B$7*'1 Inputs'!$B$8*'1 Inputs'!$B$9*'1 Inputs'!$B$10*'1 Inputs'!$B$11</f>
        <v>6250000</v>
      </c>
      <c r="BD7" s="19" t="n">
        <f aca="false">MAX(0,MIN('1 Inputs'!$B$15,'1 Inputs'!$B$5*'1 Inputs'!$B$6-6*'1 Inputs'!$B$15))*'1 Inputs'!$B$7*'1 Inputs'!$B$8*'1 Inputs'!$B$9*'1 Inputs'!$B$10*'1 Inputs'!$B$11</f>
        <v>6250000</v>
      </c>
      <c r="BE7" s="19" t="n">
        <f aca="false">MAX(0,MIN('1 Inputs'!$B$15,'1 Inputs'!$B$5*'1 Inputs'!$B$6-7*'1 Inputs'!$B$15))*'1 Inputs'!$B$7*'1 Inputs'!$B$8*'1 Inputs'!$B$9*'1 Inputs'!$B$10*'1 Inputs'!$B$11</f>
        <v>6250000</v>
      </c>
      <c r="BF7" s="19" t="n">
        <f aca="false">MAX(0,MIN('1 Inputs'!$B$15,'1 Inputs'!$B$5*'1 Inputs'!$B$6-8*'1 Inputs'!$B$15))*'1 Inputs'!$B$7*'1 Inputs'!$B$8*'1 Inputs'!$B$9*'1 Inputs'!$B$10*'1 Inputs'!$B$11</f>
        <v>6250000</v>
      </c>
      <c r="BG7" s="19" t="n">
        <f aca="false">MAX(0,MIN('1 Inputs'!$B$15,'1 Inputs'!$B$5*'1 Inputs'!$B$6-9*'1 Inputs'!$B$15))*'1 Inputs'!$B$7*'1 Inputs'!$B$8*'1 Inputs'!$B$9*'1 Inputs'!$B$10*'1 Inputs'!$B$11</f>
        <v>6250000</v>
      </c>
      <c r="BH7" s="19" t="n">
        <f aca="false">MAX(0,MIN('1 Inputs'!$B$15,'1 Inputs'!$B$5*'1 Inputs'!$B$6-10*'1 Inputs'!$B$15))*'1 Inputs'!$B$7*'1 Inputs'!$B$8*'1 Inputs'!$B$9*'1 Inputs'!$B$10*'1 Inputs'!$B$11</f>
        <v>6250000</v>
      </c>
      <c r="BI7" s="19" t="n">
        <f aca="false">MAX(0,MIN('1 Inputs'!$B$15,'1 Inputs'!$B$5*'1 Inputs'!$B$6-11*'1 Inputs'!$B$15))*'1 Inputs'!$B$7*'1 Inputs'!$B$8*'1 Inputs'!$B$9*'1 Inputs'!$B$10*'1 Inputs'!$B$11</f>
        <v>6250000</v>
      </c>
      <c r="BJ7" s="19" t="n">
        <f aca="false">MAX(0,MIN('1 Inputs'!$B$15,'1 Inputs'!$B$5*'1 Inputs'!$B$6-12*'1 Inputs'!$B$15))*'1 Inputs'!$B$7*'1 Inputs'!$B$8*'1 Inputs'!$B$9*'1 Inputs'!$B$10*'1 Inputs'!$B$11</f>
        <v>6250000</v>
      </c>
      <c r="BK7" s="19" t="n">
        <f aca="false">MAX(0,MIN('1 Inputs'!$B$15,'1 Inputs'!$B$5*'1 Inputs'!$B$6-13*'1 Inputs'!$B$15))*'1 Inputs'!$B$7*'1 Inputs'!$B$8*'1 Inputs'!$B$9*'1 Inputs'!$B$10*'1 Inputs'!$B$11</f>
        <v>6250000</v>
      </c>
      <c r="BL7" s="19" t="n">
        <f aca="false">MAX(0,MIN('1 Inputs'!$B$15,'1 Inputs'!$B$5*'1 Inputs'!$B$6-14*'1 Inputs'!$B$15))*'1 Inputs'!$B$7*'1 Inputs'!$B$8*'1 Inputs'!$B$9*'1 Inputs'!$B$10*'1 Inputs'!$B$11</f>
        <v>6250000</v>
      </c>
      <c r="BM7" s="19" t="n">
        <f aca="false">MAX(0,MIN('1 Inputs'!$B$15,'1 Inputs'!$B$5*'1 Inputs'!$B$6-15*'1 Inputs'!$B$15))*'1 Inputs'!$B$7*'1 Inputs'!$B$8*'1 Inputs'!$B$9*'1 Inputs'!$B$10*'1 Inputs'!$B$11</f>
        <v>0</v>
      </c>
      <c r="BN7" s="19" t="n">
        <f aca="false">MAX(0,MIN('1 Inputs'!$B$15,'1 Inputs'!$B$5*'1 Inputs'!$B$6-16*'1 Inputs'!$B$15))*'1 Inputs'!$B$7*'1 Inputs'!$B$8*'1 Inputs'!$B$9*'1 Inputs'!$B$10*'1 Inputs'!$B$11</f>
        <v>0</v>
      </c>
      <c r="BO7" s="19" t="n">
        <f aca="false">MAX(0,MIN('1 Inputs'!$B$15,'1 Inputs'!$B$5*'1 Inputs'!$B$6-17*'1 Inputs'!$B$15))*'1 Inputs'!$B$7*'1 Inputs'!$B$8*'1 Inputs'!$B$9*'1 Inputs'!$B$10*'1 Inputs'!$B$11</f>
        <v>0</v>
      </c>
      <c r="BP7" s="19" t="n">
        <f aca="false">MAX(0,MIN('1 Inputs'!$B$15,'1 Inputs'!$B$5*'1 Inputs'!$B$6-18*'1 Inputs'!$B$15))*'1 Inputs'!$B$7*'1 Inputs'!$B$8*'1 Inputs'!$B$9*'1 Inputs'!$B$10*'1 Inputs'!$B$11</f>
        <v>0</v>
      </c>
      <c r="BQ7" s="19" t="n">
        <f aca="false">MAX(0,MIN('1 Inputs'!$B$15,'1 Inputs'!$B$5*'1 Inputs'!$B$6-19*'1 Inputs'!$B$15))*'1 Inputs'!$B$7*'1 Inputs'!$B$8*'1 Inputs'!$B$9*'1 Inputs'!$B$10*'1 Inputs'!$B$11</f>
        <v>0</v>
      </c>
      <c r="BR7" s="19" t="n">
        <f aca="false">MAX(0,MIN('1 Inputs'!$B$15,'1 Inputs'!$B$5*'1 Inputs'!$B$6-20*'1 Inputs'!$B$15))*'1 Inputs'!$B$7*'1 Inputs'!$B$8*'1 Inputs'!$B$9*'1 Inputs'!$B$10*'1 Inputs'!$B$11</f>
        <v>0</v>
      </c>
      <c r="BS7" s="19" t="n">
        <f aca="false">MAX(0,MIN('1 Inputs'!$B$15,'1 Inputs'!$B$5*'1 Inputs'!$B$6-21*'1 Inputs'!$B$15))*'1 Inputs'!$B$7*'1 Inputs'!$B$8*'1 Inputs'!$B$9*'1 Inputs'!$B$10*'1 Inputs'!$B$11</f>
        <v>0</v>
      </c>
      <c r="BT7" s="19" t="n">
        <f aca="false">MAX(0,MIN('1 Inputs'!$B$15,'1 Inputs'!$B$5*'1 Inputs'!$B$6-22*'1 Inputs'!$B$15))*'1 Inputs'!$B$7*'1 Inputs'!$B$8*'1 Inputs'!$B$9*'1 Inputs'!$B$10*'1 Inputs'!$B$11</f>
        <v>0</v>
      </c>
      <c r="BU7" s="19" t="n">
        <f aca="false">MAX(0,MIN('1 Inputs'!$B$15,'1 Inputs'!$B$5*'1 Inputs'!$B$6-23*'1 Inputs'!$B$15))*'1 Inputs'!$B$7*'1 Inputs'!$B$8*'1 Inputs'!$B$9*'1 Inputs'!$B$10*'1 Inputs'!$B$11</f>
        <v>0</v>
      </c>
      <c r="BV7" s="19" t="n">
        <f aca="false">MAX(0,MIN('1 Inputs'!$B$15,'1 Inputs'!$B$5*'1 Inputs'!$B$6-24*'1 Inputs'!$B$15))*'1 Inputs'!$B$7*'1 Inputs'!$B$8*'1 Inputs'!$B$9*'1 Inputs'!$B$10*'1 Inputs'!$B$11</f>
        <v>0</v>
      </c>
      <c r="BW7" s="19" t="n">
        <f aca="false">MAX(0,MIN('1 Inputs'!$B$15,'1 Inputs'!$B$5*'1 Inputs'!$B$6-25*'1 Inputs'!$B$15))*'1 Inputs'!$B$7*'1 Inputs'!$B$8*'1 Inputs'!$B$9*'1 Inputs'!$B$10*'1 Inputs'!$B$11</f>
        <v>0</v>
      </c>
      <c r="BX7" s="19" t="n">
        <f aca="false">MAX(0,MIN('1 Inputs'!$B$15,'1 Inputs'!$B$5*'1 Inputs'!$B$6-26*'1 Inputs'!$B$15))*'1 Inputs'!$B$7*'1 Inputs'!$B$8*'1 Inputs'!$B$9*'1 Inputs'!$B$10*'1 Inputs'!$B$11</f>
        <v>0</v>
      </c>
      <c r="BY7" s="19" t="n">
        <f aca="false">MAX(0,MIN('1 Inputs'!$B$15,'1 Inputs'!$B$5*'1 Inputs'!$B$6-27*'1 Inputs'!$B$15))*'1 Inputs'!$B$7*'1 Inputs'!$B$8*'1 Inputs'!$B$9*'1 Inputs'!$B$10*'1 Inputs'!$B$11</f>
        <v>0</v>
      </c>
      <c r="BZ7" s="19" t="n">
        <f aca="false">MAX(0,MIN('1 Inputs'!$B$15,'1 Inputs'!$B$5*'1 Inputs'!$B$6-28*'1 Inputs'!$B$15))*'1 Inputs'!$B$7*'1 Inputs'!$B$8*'1 Inputs'!$B$9*'1 Inputs'!$B$10*'1 Inputs'!$B$11</f>
        <v>0</v>
      </c>
      <c r="CA7" s="19" t="n">
        <f aca="false">MAX(0,MIN('1 Inputs'!$B$15,'1 Inputs'!$B$5*'1 Inputs'!$B$6-29*'1 Inputs'!$B$15))*'1 Inputs'!$B$7*'1 Inputs'!$B$8*'1 Inputs'!$B$9*'1 Inputs'!$B$10*'1 Inputs'!$B$11</f>
        <v>0</v>
      </c>
      <c r="CB7" s="19" t="n">
        <f aca="false">MAX(0,MIN('1 Inputs'!$B$15,'1 Inputs'!$B$5*'1 Inputs'!$B$6-30*'1 Inputs'!$B$15))*'1 Inputs'!$B$7*'1 Inputs'!$B$8*'1 Inputs'!$B$9*'1 Inputs'!$B$10*'1 Inputs'!$B$11</f>
        <v>0</v>
      </c>
      <c r="CC7" s="19" t="n">
        <f aca="false">MAX(0,MIN('1 Inputs'!$B$15,'1 Inputs'!$B$5*'1 Inputs'!$B$6-31*'1 Inputs'!$B$15))*'1 Inputs'!$B$7*'1 Inputs'!$B$8*'1 Inputs'!$B$9*'1 Inputs'!$B$10*'1 Inputs'!$B$11</f>
        <v>0</v>
      </c>
      <c r="CD7" s="19" t="n">
        <f aca="false">MAX(0,MIN('1 Inputs'!$B$15,'1 Inputs'!$B$5*'1 Inputs'!$B$6-32*'1 Inputs'!$B$15))*'1 Inputs'!$B$7*'1 Inputs'!$B$8*'1 Inputs'!$B$9*'1 Inputs'!$B$10*'1 Inputs'!$B$11</f>
        <v>0</v>
      </c>
      <c r="CE7" s="19" t="n">
        <f aca="false">MAX(0,MIN('1 Inputs'!$B$15,'1 Inputs'!$B$5*'1 Inputs'!$B$6-33*'1 Inputs'!$B$15))*'1 Inputs'!$B$7*'1 Inputs'!$B$8*'1 Inputs'!$B$9*'1 Inputs'!$B$10*'1 Inputs'!$B$11</f>
        <v>0</v>
      </c>
      <c r="CF7" s="19" t="n">
        <f aca="false">MAX(0,MIN('1 Inputs'!$B$15,'1 Inputs'!$B$5*'1 Inputs'!$B$6-34*'1 Inputs'!$B$15))*'1 Inputs'!$B$7*'1 Inputs'!$B$8*'1 Inputs'!$B$9*'1 Inputs'!$B$10*'1 Inputs'!$B$11</f>
        <v>0</v>
      </c>
      <c r="CG7" s="19" t="n">
        <f aca="false">MAX(0,MIN('1 Inputs'!$B$15,'1 Inputs'!$B$5*'1 Inputs'!$B$6-35*'1 Inputs'!$B$15))*'1 Inputs'!$B$7*'1 Inputs'!$B$8*'1 Inputs'!$B$9*'1 Inputs'!$B$10*'1 Inputs'!$B$11</f>
        <v>0</v>
      </c>
      <c r="CH7" s="19" t="n">
        <f aca="false">MAX(0,MIN('1 Inputs'!$B$15,'1 Inputs'!$B$5*'1 Inputs'!$B$6-36*'1 Inputs'!$B$15))*'1 Inputs'!$B$7*'1 Inputs'!$B$8*'1 Inputs'!$B$9*'1 Inputs'!$B$10*'1 Inputs'!$B$11</f>
        <v>0</v>
      </c>
      <c r="CI7" s="19" t="n">
        <f aca="false">MAX(0,MIN('1 Inputs'!$B$15,'1 Inputs'!$B$5*'1 Inputs'!$B$6-37*'1 Inputs'!$B$15))*'1 Inputs'!$B$7*'1 Inputs'!$B$8*'1 Inputs'!$B$9*'1 Inputs'!$B$10*'1 Inputs'!$B$11</f>
        <v>0</v>
      </c>
      <c r="CJ7" s="19" t="n">
        <f aca="false">MAX(0,MIN('1 Inputs'!$B$15,'1 Inputs'!$B$5*'1 Inputs'!$B$6-38*'1 Inputs'!$B$15))*'1 Inputs'!$B$7*'1 Inputs'!$B$8*'1 Inputs'!$B$9*'1 Inputs'!$B$10*'1 Inputs'!$B$11</f>
        <v>0</v>
      </c>
      <c r="CK7" s="19" t="n">
        <f aca="false">MAX(0,MIN('1 Inputs'!$B$15,'1 Inputs'!$B$5*'1 Inputs'!$B$6-39*'1 Inputs'!$B$15))*'1 Inputs'!$B$7*'1 Inputs'!$B$8*'1 Inputs'!$B$9*'1 Inputs'!$B$10*'1 Inputs'!$B$11</f>
        <v>0</v>
      </c>
    </row>
    <row r="8" customFormat="false" ht="15" hidden="false" customHeight="false" outlineLevel="0" collapsed="false">
      <c r="A8" s="0" t="n">
        <v>21</v>
      </c>
      <c r="B8" s="12" t="n">
        <f aca="false">SUMIF(J8:AW8,"&lt;="&amp;($A8+52),AX8:CK8)</f>
        <v>93750000</v>
      </c>
      <c r="C8" s="12" t="n">
        <f aca="false">SUM(AX8:CK8)</f>
        <v>93750000</v>
      </c>
      <c r="D8" s="15" t="n">
        <f aca="false">(MIN(J8:AW8)-$A8)/52*12</f>
        <v>7.84615384615385</v>
      </c>
      <c r="J8" s="19" t="n">
        <f aca="false">IFERROR(INDEX('4 The queue'!$T$5:$T$40,MATCH((IFERROR(INDEX('4 The queue'!$U$5:$U$212,MATCH(IF($A8&lt;=1,0,INDEX('4 The queue'!$W$5:$W$212,$A8-1))+0+1,'4 The queue'!$W$5:$W$212,0)),9999)+'1 Inputs'!$B$22+'1 Inputs'!$B$23+'1 Inputs'!$B$24+'1 Inputs'!$B$25),'4 The queue'!$T$5:$T$40,1)+IF(INDEX('4 The queue'!$T$5:$T$40,MATCH((IFERROR(INDEX('4 The queue'!$U$5:$U$212,MATCH(IF($A8&lt;=1,0,INDEX('4 The queue'!$W$5:$W$212,$A8-1))+0+1,'4 The queue'!$W$5:$W$212,0)),9999)+'1 Inputs'!$B$22+'1 Inputs'!$B$23+'1 Inputs'!$B$24+'1 Inputs'!$B$25),'4 The queue'!$T$5:$T$40,1))=(IFERROR(INDEX('4 The queue'!$U$5:$U$212,MATCH(IF($A8&lt;=1,0,INDEX('4 The queue'!$W$5:$W$212,$A8-1))+0+1,'4 The queue'!$W$5:$W$212,0)),9999)+'1 Inputs'!$B$22+'1 Inputs'!$B$23+'1 Inputs'!$B$24+'1 Inputs'!$B$25),0,1)),9999)+'1 Inputs'!$B$26</f>
        <v>55</v>
      </c>
      <c r="K8" s="19" t="n">
        <f aca="false">IFERROR(INDEX('4 The queue'!$T$5:$T$40,MATCH((IFERROR(INDEX('4 The queue'!$U$5:$U$212,MATCH(IF($A8&lt;=1,0,INDEX('4 The queue'!$W$5:$W$212,$A8-1))+1+1,'4 The queue'!$W$5:$W$212,0)),9999)+'1 Inputs'!$B$22+'1 Inputs'!$B$23+'1 Inputs'!$B$24+'1 Inputs'!$B$25),'4 The queue'!$T$5:$T$40,1)+IF(INDEX('4 The queue'!$T$5:$T$40,MATCH((IFERROR(INDEX('4 The queue'!$U$5:$U$212,MATCH(IF($A8&lt;=1,0,INDEX('4 The queue'!$W$5:$W$212,$A8-1))+1+1,'4 The queue'!$W$5:$W$212,0)),9999)+'1 Inputs'!$B$22+'1 Inputs'!$B$23+'1 Inputs'!$B$24+'1 Inputs'!$B$25),'4 The queue'!$T$5:$T$40,1))=(IFERROR(INDEX('4 The queue'!$U$5:$U$212,MATCH(IF($A8&lt;=1,0,INDEX('4 The queue'!$W$5:$W$212,$A8-1))+1+1,'4 The queue'!$W$5:$W$212,0)),9999)+'1 Inputs'!$B$22+'1 Inputs'!$B$23+'1 Inputs'!$B$24+'1 Inputs'!$B$25),0,1)),9999)+'1 Inputs'!$B$26</f>
        <v>55</v>
      </c>
      <c r="L8" s="19" t="n">
        <f aca="false">IFERROR(INDEX('4 The queue'!$T$5:$T$40,MATCH((IFERROR(INDEX('4 The queue'!$U$5:$U$212,MATCH(IF($A8&lt;=1,0,INDEX('4 The queue'!$W$5:$W$212,$A8-1))+2+1,'4 The queue'!$W$5:$W$212,0)),9999)+'1 Inputs'!$B$22+'1 Inputs'!$B$23+'1 Inputs'!$B$24+'1 Inputs'!$B$25),'4 The queue'!$T$5:$T$40,1)+IF(INDEX('4 The queue'!$T$5:$T$40,MATCH((IFERROR(INDEX('4 The queue'!$U$5:$U$212,MATCH(IF($A8&lt;=1,0,INDEX('4 The queue'!$W$5:$W$212,$A8-1))+2+1,'4 The queue'!$W$5:$W$212,0)),9999)+'1 Inputs'!$B$22+'1 Inputs'!$B$23+'1 Inputs'!$B$24+'1 Inputs'!$B$25),'4 The queue'!$T$5:$T$40,1))=(IFERROR(INDEX('4 The queue'!$U$5:$U$212,MATCH(IF($A8&lt;=1,0,INDEX('4 The queue'!$W$5:$W$212,$A8-1))+2+1,'4 The queue'!$W$5:$W$212,0)),9999)+'1 Inputs'!$B$22+'1 Inputs'!$B$23+'1 Inputs'!$B$24+'1 Inputs'!$B$25),0,1)),9999)+'1 Inputs'!$B$26</f>
        <v>55</v>
      </c>
      <c r="M8" s="19" t="n">
        <f aca="false">IFERROR(INDEX('4 The queue'!$T$5:$T$40,MATCH((IFERROR(INDEX('4 The queue'!$U$5:$U$212,MATCH(IF($A8&lt;=1,0,INDEX('4 The queue'!$W$5:$W$212,$A8-1))+3+1,'4 The queue'!$W$5:$W$212,0)),9999)+'1 Inputs'!$B$22+'1 Inputs'!$B$23+'1 Inputs'!$B$24+'1 Inputs'!$B$25),'4 The queue'!$T$5:$T$40,1)+IF(INDEX('4 The queue'!$T$5:$T$40,MATCH((IFERROR(INDEX('4 The queue'!$U$5:$U$212,MATCH(IF($A8&lt;=1,0,INDEX('4 The queue'!$W$5:$W$212,$A8-1))+3+1,'4 The queue'!$W$5:$W$212,0)),9999)+'1 Inputs'!$B$22+'1 Inputs'!$B$23+'1 Inputs'!$B$24+'1 Inputs'!$B$25),'4 The queue'!$T$5:$T$40,1))=(IFERROR(INDEX('4 The queue'!$U$5:$U$212,MATCH(IF($A8&lt;=1,0,INDEX('4 The queue'!$W$5:$W$212,$A8-1))+3+1,'4 The queue'!$W$5:$W$212,0)),9999)+'1 Inputs'!$B$22+'1 Inputs'!$B$23+'1 Inputs'!$B$24+'1 Inputs'!$B$25),0,1)),9999)+'1 Inputs'!$B$26</f>
        <v>55</v>
      </c>
      <c r="N8" s="19" t="n">
        <f aca="false">IFERROR(INDEX('4 The queue'!$T$5:$T$40,MATCH((IFERROR(INDEX('4 The queue'!$U$5:$U$212,MATCH(IF($A8&lt;=1,0,INDEX('4 The queue'!$W$5:$W$212,$A8-1))+4+1,'4 The queue'!$W$5:$W$212,0)),9999)+'1 Inputs'!$B$22+'1 Inputs'!$B$23+'1 Inputs'!$B$24+'1 Inputs'!$B$25),'4 The queue'!$T$5:$T$40,1)+IF(INDEX('4 The queue'!$T$5:$T$40,MATCH((IFERROR(INDEX('4 The queue'!$U$5:$U$212,MATCH(IF($A8&lt;=1,0,INDEX('4 The queue'!$W$5:$W$212,$A8-1))+4+1,'4 The queue'!$W$5:$W$212,0)),9999)+'1 Inputs'!$B$22+'1 Inputs'!$B$23+'1 Inputs'!$B$24+'1 Inputs'!$B$25),'4 The queue'!$T$5:$T$40,1))=(IFERROR(INDEX('4 The queue'!$U$5:$U$212,MATCH(IF($A8&lt;=1,0,INDEX('4 The queue'!$W$5:$W$212,$A8-1))+4+1,'4 The queue'!$W$5:$W$212,0)),9999)+'1 Inputs'!$B$22+'1 Inputs'!$B$23+'1 Inputs'!$B$24+'1 Inputs'!$B$25),0,1)),9999)+'1 Inputs'!$B$26</f>
        <v>55</v>
      </c>
      <c r="O8" s="19" t="n">
        <f aca="false">IFERROR(INDEX('4 The queue'!$T$5:$T$40,MATCH((IFERROR(INDEX('4 The queue'!$U$5:$U$212,MATCH(IF($A8&lt;=1,0,INDEX('4 The queue'!$W$5:$W$212,$A8-1))+5+1,'4 The queue'!$W$5:$W$212,0)),9999)+'1 Inputs'!$B$22+'1 Inputs'!$B$23+'1 Inputs'!$B$24+'1 Inputs'!$B$25),'4 The queue'!$T$5:$T$40,1)+IF(INDEX('4 The queue'!$T$5:$T$40,MATCH((IFERROR(INDEX('4 The queue'!$U$5:$U$212,MATCH(IF($A8&lt;=1,0,INDEX('4 The queue'!$W$5:$W$212,$A8-1))+5+1,'4 The queue'!$W$5:$W$212,0)),9999)+'1 Inputs'!$B$22+'1 Inputs'!$B$23+'1 Inputs'!$B$24+'1 Inputs'!$B$25),'4 The queue'!$T$5:$T$40,1))=(IFERROR(INDEX('4 The queue'!$U$5:$U$212,MATCH(IF($A8&lt;=1,0,INDEX('4 The queue'!$W$5:$W$212,$A8-1))+5+1,'4 The queue'!$W$5:$W$212,0)),9999)+'1 Inputs'!$B$22+'1 Inputs'!$B$23+'1 Inputs'!$B$24+'1 Inputs'!$B$25),0,1)),9999)+'1 Inputs'!$B$26</f>
        <v>55</v>
      </c>
      <c r="P8" s="19" t="n">
        <f aca="false">IFERROR(INDEX('4 The queue'!$T$5:$T$40,MATCH((IFERROR(INDEX('4 The queue'!$U$5:$U$212,MATCH(IF($A8&lt;=1,0,INDEX('4 The queue'!$W$5:$W$212,$A8-1))+6+1,'4 The queue'!$W$5:$W$212,0)),9999)+'1 Inputs'!$B$22+'1 Inputs'!$B$23+'1 Inputs'!$B$24+'1 Inputs'!$B$25),'4 The queue'!$T$5:$T$40,1)+IF(INDEX('4 The queue'!$T$5:$T$40,MATCH((IFERROR(INDEX('4 The queue'!$U$5:$U$212,MATCH(IF($A8&lt;=1,0,INDEX('4 The queue'!$W$5:$W$212,$A8-1))+6+1,'4 The queue'!$W$5:$W$212,0)),9999)+'1 Inputs'!$B$22+'1 Inputs'!$B$23+'1 Inputs'!$B$24+'1 Inputs'!$B$25),'4 The queue'!$T$5:$T$40,1))=(IFERROR(INDEX('4 The queue'!$U$5:$U$212,MATCH(IF($A8&lt;=1,0,INDEX('4 The queue'!$W$5:$W$212,$A8-1))+6+1,'4 The queue'!$W$5:$W$212,0)),9999)+'1 Inputs'!$B$22+'1 Inputs'!$B$23+'1 Inputs'!$B$24+'1 Inputs'!$B$25),0,1)),9999)+'1 Inputs'!$B$26</f>
        <v>55</v>
      </c>
      <c r="Q8" s="19" t="n">
        <f aca="false">IFERROR(INDEX('4 The queue'!$T$5:$T$40,MATCH((IFERROR(INDEX('4 The queue'!$U$5:$U$212,MATCH(IF($A8&lt;=1,0,INDEX('4 The queue'!$W$5:$W$212,$A8-1))+7+1,'4 The queue'!$W$5:$W$212,0)),9999)+'1 Inputs'!$B$22+'1 Inputs'!$B$23+'1 Inputs'!$B$24+'1 Inputs'!$B$25),'4 The queue'!$T$5:$T$40,1)+IF(INDEX('4 The queue'!$T$5:$T$40,MATCH((IFERROR(INDEX('4 The queue'!$U$5:$U$212,MATCH(IF($A8&lt;=1,0,INDEX('4 The queue'!$W$5:$W$212,$A8-1))+7+1,'4 The queue'!$W$5:$W$212,0)),9999)+'1 Inputs'!$B$22+'1 Inputs'!$B$23+'1 Inputs'!$B$24+'1 Inputs'!$B$25),'4 The queue'!$T$5:$T$40,1))=(IFERROR(INDEX('4 The queue'!$U$5:$U$212,MATCH(IF($A8&lt;=1,0,INDEX('4 The queue'!$W$5:$W$212,$A8-1))+7+1,'4 The queue'!$W$5:$W$212,0)),9999)+'1 Inputs'!$B$22+'1 Inputs'!$B$23+'1 Inputs'!$B$24+'1 Inputs'!$B$25),0,1)),9999)+'1 Inputs'!$B$26</f>
        <v>71</v>
      </c>
      <c r="R8" s="19" t="n">
        <f aca="false">IFERROR(INDEX('4 The queue'!$T$5:$T$40,MATCH((IFERROR(INDEX('4 The queue'!$U$5:$U$212,MATCH(IF($A8&lt;=1,0,INDEX('4 The queue'!$W$5:$W$212,$A8-1))+8+1,'4 The queue'!$W$5:$W$212,0)),9999)+'1 Inputs'!$B$22+'1 Inputs'!$B$23+'1 Inputs'!$B$24+'1 Inputs'!$B$25),'4 The queue'!$T$5:$T$40,1)+IF(INDEX('4 The queue'!$T$5:$T$40,MATCH((IFERROR(INDEX('4 The queue'!$U$5:$U$212,MATCH(IF($A8&lt;=1,0,INDEX('4 The queue'!$W$5:$W$212,$A8-1))+8+1,'4 The queue'!$W$5:$W$212,0)),9999)+'1 Inputs'!$B$22+'1 Inputs'!$B$23+'1 Inputs'!$B$24+'1 Inputs'!$B$25),'4 The queue'!$T$5:$T$40,1))=(IFERROR(INDEX('4 The queue'!$U$5:$U$212,MATCH(IF($A8&lt;=1,0,INDEX('4 The queue'!$W$5:$W$212,$A8-1))+8+1,'4 The queue'!$W$5:$W$212,0)),9999)+'1 Inputs'!$B$22+'1 Inputs'!$B$23+'1 Inputs'!$B$24+'1 Inputs'!$B$25),0,1)),9999)+'1 Inputs'!$B$26</f>
        <v>71</v>
      </c>
      <c r="S8" s="19" t="n">
        <f aca="false">IFERROR(INDEX('4 The queue'!$T$5:$T$40,MATCH((IFERROR(INDEX('4 The queue'!$U$5:$U$212,MATCH(IF($A8&lt;=1,0,INDEX('4 The queue'!$W$5:$W$212,$A8-1))+9+1,'4 The queue'!$W$5:$W$212,0)),9999)+'1 Inputs'!$B$22+'1 Inputs'!$B$23+'1 Inputs'!$B$24+'1 Inputs'!$B$25),'4 The queue'!$T$5:$T$40,1)+IF(INDEX('4 The queue'!$T$5:$T$40,MATCH((IFERROR(INDEX('4 The queue'!$U$5:$U$212,MATCH(IF($A8&lt;=1,0,INDEX('4 The queue'!$W$5:$W$212,$A8-1))+9+1,'4 The queue'!$W$5:$W$212,0)),9999)+'1 Inputs'!$B$22+'1 Inputs'!$B$23+'1 Inputs'!$B$24+'1 Inputs'!$B$25),'4 The queue'!$T$5:$T$40,1))=(IFERROR(INDEX('4 The queue'!$U$5:$U$212,MATCH(IF($A8&lt;=1,0,INDEX('4 The queue'!$W$5:$W$212,$A8-1))+9+1,'4 The queue'!$W$5:$W$212,0)),9999)+'1 Inputs'!$B$22+'1 Inputs'!$B$23+'1 Inputs'!$B$24+'1 Inputs'!$B$25),0,1)),9999)+'1 Inputs'!$B$26</f>
        <v>71</v>
      </c>
      <c r="T8" s="19" t="n">
        <f aca="false">IFERROR(INDEX('4 The queue'!$T$5:$T$40,MATCH((IFERROR(INDEX('4 The queue'!$U$5:$U$212,MATCH(IF($A8&lt;=1,0,INDEX('4 The queue'!$W$5:$W$212,$A8-1))+10+1,'4 The queue'!$W$5:$W$212,0)),9999)+'1 Inputs'!$B$22+'1 Inputs'!$B$23+'1 Inputs'!$B$24+'1 Inputs'!$B$25),'4 The queue'!$T$5:$T$40,1)+IF(INDEX('4 The queue'!$T$5:$T$40,MATCH((IFERROR(INDEX('4 The queue'!$U$5:$U$212,MATCH(IF($A8&lt;=1,0,INDEX('4 The queue'!$W$5:$W$212,$A8-1))+10+1,'4 The queue'!$W$5:$W$212,0)),9999)+'1 Inputs'!$B$22+'1 Inputs'!$B$23+'1 Inputs'!$B$24+'1 Inputs'!$B$25),'4 The queue'!$T$5:$T$40,1))=(IFERROR(INDEX('4 The queue'!$U$5:$U$212,MATCH(IF($A8&lt;=1,0,INDEX('4 The queue'!$W$5:$W$212,$A8-1))+10+1,'4 The queue'!$W$5:$W$212,0)),9999)+'1 Inputs'!$B$22+'1 Inputs'!$B$23+'1 Inputs'!$B$24+'1 Inputs'!$B$25),0,1)),9999)+'1 Inputs'!$B$26</f>
        <v>71</v>
      </c>
      <c r="U8" s="19" t="n">
        <f aca="false">IFERROR(INDEX('4 The queue'!$T$5:$T$40,MATCH((IFERROR(INDEX('4 The queue'!$U$5:$U$212,MATCH(IF($A8&lt;=1,0,INDEX('4 The queue'!$W$5:$W$212,$A8-1))+11+1,'4 The queue'!$W$5:$W$212,0)),9999)+'1 Inputs'!$B$22+'1 Inputs'!$B$23+'1 Inputs'!$B$24+'1 Inputs'!$B$25),'4 The queue'!$T$5:$T$40,1)+IF(INDEX('4 The queue'!$T$5:$T$40,MATCH((IFERROR(INDEX('4 The queue'!$U$5:$U$212,MATCH(IF($A8&lt;=1,0,INDEX('4 The queue'!$W$5:$W$212,$A8-1))+11+1,'4 The queue'!$W$5:$W$212,0)),9999)+'1 Inputs'!$B$22+'1 Inputs'!$B$23+'1 Inputs'!$B$24+'1 Inputs'!$B$25),'4 The queue'!$T$5:$T$40,1))=(IFERROR(INDEX('4 The queue'!$U$5:$U$212,MATCH(IF($A8&lt;=1,0,INDEX('4 The queue'!$W$5:$W$212,$A8-1))+11+1,'4 The queue'!$W$5:$W$212,0)),9999)+'1 Inputs'!$B$22+'1 Inputs'!$B$23+'1 Inputs'!$B$24+'1 Inputs'!$B$25),0,1)),9999)+'1 Inputs'!$B$26</f>
        <v>71</v>
      </c>
      <c r="V8" s="19" t="n">
        <f aca="false">IFERROR(INDEX('4 The queue'!$T$5:$T$40,MATCH((IFERROR(INDEX('4 The queue'!$U$5:$U$212,MATCH(IF($A8&lt;=1,0,INDEX('4 The queue'!$W$5:$W$212,$A8-1))+12+1,'4 The queue'!$W$5:$W$212,0)),9999)+'1 Inputs'!$B$22+'1 Inputs'!$B$23+'1 Inputs'!$B$24+'1 Inputs'!$B$25),'4 The queue'!$T$5:$T$40,1)+IF(INDEX('4 The queue'!$T$5:$T$40,MATCH((IFERROR(INDEX('4 The queue'!$U$5:$U$212,MATCH(IF($A8&lt;=1,0,INDEX('4 The queue'!$W$5:$W$212,$A8-1))+12+1,'4 The queue'!$W$5:$W$212,0)),9999)+'1 Inputs'!$B$22+'1 Inputs'!$B$23+'1 Inputs'!$B$24+'1 Inputs'!$B$25),'4 The queue'!$T$5:$T$40,1))=(IFERROR(INDEX('4 The queue'!$U$5:$U$212,MATCH(IF($A8&lt;=1,0,INDEX('4 The queue'!$W$5:$W$212,$A8-1))+12+1,'4 The queue'!$W$5:$W$212,0)),9999)+'1 Inputs'!$B$22+'1 Inputs'!$B$23+'1 Inputs'!$B$24+'1 Inputs'!$B$25),0,1)),9999)+'1 Inputs'!$B$26</f>
        <v>71</v>
      </c>
      <c r="W8" s="19" t="n">
        <f aca="false">IFERROR(INDEX('4 The queue'!$T$5:$T$40,MATCH((IFERROR(INDEX('4 The queue'!$U$5:$U$212,MATCH(IF($A8&lt;=1,0,INDEX('4 The queue'!$W$5:$W$212,$A8-1))+13+1,'4 The queue'!$W$5:$W$212,0)),9999)+'1 Inputs'!$B$22+'1 Inputs'!$B$23+'1 Inputs'!$B$24+'1 Inputs'!$B$25),'4 The queue'!$T$5:$T$40,1)+IF(INDEX('4 The queue'!$T$5:$T$40,MATCH((IFERROR(INDEX('4 The queue'!$U$5:$U$212,MATCH(IF($A8&lt;=1,0,INDEX('4 The queue'!$W$5:$W$212,$A8-1))+13+1,'4 The queue'!$W$5:$W$212,0)),9999)+'1 Inputs'!$B$22+'1 Inputs'!$B$23+'1 Inputs'!$B$24+'1 Inputs'!$B$25),'4 The queue'!$T$5:$T$40,1))=(IFERROR(INDEX('4 The queue'!$U$5:$U$212,MATCH(IF($A8&lt;=1,0,INDEX('4 The queue'!$W$5:$W$212,$A8-1))+13+1,'4 The queue'!$W$5:$W$212,0)),9999)+'1 Inputs'!$B$22+'1 Inputs'!$B$23+'1 Inputs'!$B$24+'1 Inputs'!$B$25),0,1)),9999)+'1 Inputs'!$B$26</f>
        <v>71</v>
      </c>
      <c r="X8" s="19" t="n">
        <f aca="false">IFERROR(INDEX('4 The queue'!$T$5:$T$40,MATCH((IFERROR(INDEX('4 The queue'!$U$5:$U$212,MATCH(IF($A8&lt;=1,0,INDEX('4 The queue'!$W$5:$W$212,$A8-1))+14+1,'4 The queue'!$W$5:$W$212,0)),9999)+'1 Inputs'!$B$22+'1 Inputs'!$B$23+'1 Inputs'!$B$24+'1 Inputs'!$B$25),'4 The queue'!$T$5:$T$40,1)+IF(INDEX('4 The queue'!$T$5:$T$40,MATCH((IFERROR(INDEX('4 The queue'!$U$5:$U$212,MATCH(IF($A8&lt;=1,0,INDEX('4 The queue'!$W$5:$W$212,$A8-1))+14+1,'4 The queue'!$W$5:$W$212,0)),9999)+'1 Inputs'!$B$22+'1 Inputs'!$B$23+'1 Inputs'!$B$24+'1 Inputs'!$B$25),'4 The queue'!$T$5:$T$40,1))=(IFERROR(INDEX('4 The queue'!$U$5:$U$212,MATCH(IF($A8&lt;=1,0,INDEX('4 The queue'!$W$5:$W$212,$A8-1))+14+1,'4 The queue'!$W$5:$W$212,0)),9999)+'1 Inputs'!$B$22+'1 Inputs'!$B$23+'1 Inputs'!$B$24+'1 Inputs'!$B$25),0,1)),9999)+'1 Inputs'!$B$26</f>
        <v>71</v>
      </c>
      <c r="Y8" s="19" t="n">
        <f aca="false">IFERROR(INDEX('4 The queue'!$T$5:$T$40,MATCH((IFERROR(INDEX('4 The queue'!$U$5:$U$212,MATCH(IF($A8&lt;=1,0,INDEX('4 The queue'!$W$5:$W$212,$A8-1))+15+1,'4 The queue'!$W$5:$W$212,0)),9999)+'1 Inputs'!$B$22+'1 Inputs'!$B$23+'1 Inputs'!$B$24+'1 Inputs'!$B$25),'4 The queue'!$T$5:$T$40,1)+IF(INDEX('4 The queue'!$T$5:$T$40,MATCH((IFERROR(INDEX('4 The queue'!$U$5:$U$212,MATCH(IF($A8&lt;=1,0,INDEX('4 The queue'!$W$5:$W$212,$A8-1))+15+1,'4 The queue'!$W$5:$W$212,0)),9999)+'1 Inputs'!$B$22+'1 Inputs'!$B$23+'1 Inputs'!$B$24+'1 Inputs'!$B$25),'4 The queue'!$T$5:$T$40,1))=(IFERROR(INDEX('4 The queue'!$U$5:$U$212,MATCH(IF($A8&lt;=1,0,INDEX('4 The queue'!$W$5:$W$212,$A8-1))+15+1,'4 The queue'!$W$5:$W$212,0)),9999)+'1 Inputs'!$B$22+'1 Inputs'!$B$23+'1 Inputs'!$B$24+'1 Inputs'!$B$25),0,1)),9999)+'1 Inputs'!$B$26</f>
        <v>71</v>
      </c>
      <c r="Z8" s="19" t="n">
        <f aca="false">IFERROR(INDEX('4 The queue'!$T$5:$T$40,MATCH((IFERROR(INDEX('4 The queue'!$U$5:$U$212,MATCH(IF($A8&lt;=1,0,INDEX('4 The queue'!$W$5:$W$212,$A8-1))+16+1,'4 The queue'!$W$5:$W$212,0)),9999)+'1 Inputs'!$B$22+'1 Inputs'!$B$23+'1 Inputs'!$B$24+'1 Inputs'!$B$25),'4 The queue'!$T$5:$T$40,1)+IF(INDEX('4 The queue'!$T$5:$T$40,MATCH((IFERROR(INDEX('4 The queue'!$U$5:$U$212,MATCH(IF($A8&lt;=1,0,INDEX('4 The queue'!$W$5:$W$212,$A8-1))+16+1,'4 The queue'!$W$5:$W$212,0)),9999)+'1 Inputs'!$B$22+'1 Inputs'!$B$23+'1 Inputs'!$B$24+'1 Inputs'!$B$25),'4 The queue'!$T$5:$T$40,1))=(IFERROR(INDEX('4 The queue'!$U$5:$U$212,MATCH(IF($A8&lt;=1,0,INDEX('4 The queue'!$W$5:$W$212,$A8-1))+16+1,'4 The queue'!$W$5:$W$212,0)),9999)+'1 Inputs'!$B$22+'1 Inputs'!$B$23+'1 Inputs'!$B$24+'1 Inputs'!$B$25),0,1)),9999)+'1 Inputs'!$B$26</f>
        <v>71</v>
      </c>
      <c r="AA8" s="19" t="n">
        <f aca="false">IFERROR(INDEX('4 The queue'!$T$5:$T$40,MATCH((IFERROR(INDEX('4 The queue'!$U$5:$U$212,MATCH(IF($A8&lt;=1,0,INDEX('4 The queue'!$W$5:$W$212,$A8-1))+17+1,'4 The queue'!$W$5:$W$212,0)),9999)+'1 Inputs'!$B$22+'1 Inputs'!$B$23+'1 Inputs'!$B$24+'1 Inputs'!$B$25),'4 The queue'!$T$5:$T$40,1)+IF(INDEX('4 The queue'!$T$5:$T$40,MATCH((IFERROR(INDEX('4 The queue'!$U$5:$U$212,MATCH(IF($A8&lt;=1,0,INDEX('4 The queue'!$W$5:$W$212,$A8-1))+17+1,'4 The queue'!$W$5:$W$212,0)),9999)+'1 Inputs'!$B$22+'1 Inputs'!$B$23+'1 Inputs'!$B$24+'1 Inputs'!$B$25),'4 The queue'!$T$5:$T$40,1))=(IFERROR(INDEX('4 The queue'!$U$5:$U$212,MATCH(IF($A8&lt;=1,0,INDEX('4 The queue'!$W$5:$W$212,$A8-1))+17+1,'4 The queue'!$W$5:$W$212,0)),9999)+'1 Inputs'!$B$22+'1 Inputs'!$B$23+'1 Inputs'!$B$24+'1 Inputs'!$B$25),0,1)),9999)+'1 Inputs'!$B$26</f>
        <v>71</v>
      </c>
      <c r="AB8" s="19" t="n">
        <f aca="false">IFERROR(INDEX('4 The queue'!$T$5:$T$40,MATCH((IFERROR(INDEX('4 The queue'!$U$5:$U$212,MATCH(IF($A8&lt;=1,0,INDEX('4 The queue'!$W$5:$W$212,$A8-1))+18+1,'4 The queue'!$W$5:$W$212,0)),9999)+'1 Inputs'!$B$22+'1 Inputs'!$B$23+'1 Inputs'!$B$24+'1 Inputs'!$B$25),'4 The queue'!$T$5:$T$40,1)+IF(INDEX('4 The queue'!$T$5:$T$40,MATCH((IFERROR(INDEX('4 The queue'!$U$5:$U$212,MATCH(IF($A8&lt;=1,0,INDEX('4 The queue'!$W$5:$W$212,$A8-1))+18+1,'4 The queue'!$W$5:$W$212,0)),9999)+'1 Inputs'!$B$22+'1 Inputs'!$B$23+'1 Inputs'!$B$24+'1 Inputs'!$B$25),'4 The queue'!$T$5:$T$40,1))=(IFERROR(INDEX('4 The queue'!$U$5:$U$212,MATCH(IF($A8&lt;=1,0,INDEX('4 The queue'!$W$5:$W$212,$A8-1))+18+1,'4 The queue'!$W$5:$W$212,0)),9999)+'1 Inputs'!$B$22+'1 Inputs'!$B$23+'1 Inputs'!$B$24+'1 Inputs'!$B$25),0,1)),9999)+'1 Inputs'!$B$26</f>
        <v>71</v>
      </c>
      <c r="AC8" s="19" t="n">
        <f aca="false">IFERROR(INDEX('4 The queue'!$T$5:$T$40,MATCH((IFERROR(INDEX('4 The queue'!$U$5:$U$212,MATCH(IF($A8&lt;=1,0,INDEX('4 The queue'!$W$5:$W$212,$A8-1))+19+1,'4 The queue'!$W$5:$W$212,0)),9999)+'1 Inputs'!$B$22+'1 Inputs'!$B$23+'1 Inputs'!$B$24+'1 Inputs'!$B$25),'4 The queue'!$T$5:$T$40,1)+IF(INDEX('4 The queue'!$T$5:$T$40,MATCH((IFERROR(INDEX('4 The queue'!$U$5:$U$212,MATCH(IF($A8&lt;=1,0,INDEX('4 The queue'!$W$5:$W$212,$A8-1))+19+1,'4 The queue'!$W$5:$W$212,0)),9999)+'1 Inputs'!$B$22+'1 Inputs'!$B$23+'1 Inputs'!$B$24+'1 Inputs'!$B$25),'4 The queue'!$T$5:$T$40,1))=(IFERROR(INDEX('4 The queue'!$U$5:$U$212,MATCH(IF($A8&lt;=1,0,INDEX('4 The queue'!$W$5:$W$212,$A8-1))+19+1,'4 The queue'!$W$5:$W$212,0)),9999)+'1 Inputs'!$B$22+'1 Inputs'!$B$23+'1 Inputs'!$B$24+'1 Inputs'!$B$25),0,1)),9999)+'1 Inputs'!$B$26</f>
        <v>84</v>
      </c>
      <c r="AD8" s="19" t="n">
        <f aca="false">IFERROR(INDEX('4 The queue'!$T$5:$T$40,MATCH((IFERROR(INDEX('4 The queue'!$U$5:$U$212,MATCH(IF($A8&lt;=1,0,INDEX('4 The queue'!$W$5:$W$212,$A8-1))+20+1,'4 The queue'!$W$5:$W$212,0)),9999)+'1 Inputs'!$B$22+'1 Inputs'!$B$23+'1 Inputs'!$B$24+'1 Inputs'!$B$25),'4 The queue'!$T$5:$T$40,1)+IF(INDEX('4 The queue'!$T$5:$T$40,MATCH((IFERROR(INDEX('4 The queue'!$U$5:$U$212,MATCH(IF($A8&lt;=1,0,INDEX('4 The queue'!$W$5:$W$212,$A8-1))+20+1,'4 The queue'!$W$5:$W$212,0)),9999)+'1 Inputs'!$B$22+'1 Inputs'!$B$23+'1 Inputs'!$B$24+'1 Inputs'!$B$25),'4 The queue'!$T$5:$T$40,1))=(IFERROR(INDEX('4 The queue'!$U$5:$U$212,MATCH(IF($A8&lt;=1,0,INDEX('4 The queue'!$W$5:$W$212,$A8-1))+20+1,'4 The queue'!$W$5:$W$212,0)),9999)+'1 Inputs'!$B$22+'1 Inputs'!$B$23+'1 Inputs'!$B$24+'1 Inputs'!$B$25),0,1)),9999)+'1 Inputs'!$B$26</f>
        <v>84</v>
      </c>
      <c r="AE8" s="19" t="n">
        <f aca="false">IFERROR(INDEX('4 The queue'!$T$5:$T$40,MATCH((IFERROR(INDEX('4 The queue'!$U$5:$U$212,MATCH(IF($A8&lt;=1,0,INDEX('4 The queue'!$W$5:$W$212,$A8-1))+21+1,'4 The queue'!$W$5:$W$212,0)),9999)+'1 Inputs'!$B$22+'1 Inputs'!$B$23+'1 Inputs'!$B$24+'1 Inputs'!$B$25),'4 The queue'!$T$5:$T$40,1)+IF(INDEX('4 The queue'!$T$5:$T$40,MATCH((IFERROR(INDEX('4 The queue'!$U$5:$U$212,MATCH(IF($A8&lt;=1,0,INDEX('4 The queue'!$W$5:$W$212,$A8-1))+21+1,'4 The queue'!$W$5:$W$212,0)),9999)+'1 Inputs'!$B$22+'1 Inputs'!$B$23+'1 Inputs'!$B$24+'1 Inputs'!$B$25),'4 The queue'!$T$5:$T$40,1))=(IFERROR(INDEX('4 The queue'!$U$5:$U$212,MATCH(IF($A8&lt;=1,0,INDEX('4 The queue'!$W$5:$W$212,$A8-1))+21+1,'4 The queue'!$W$5:$W$212,0)),9999)+'1 Inputs'!$B$22+'1 Inputs'!$B$23+'1 Inputs'!$B$24+'1 Inputs'!$B$25),0,1)),9999)+'1 Inputs'!$B$26</f>
        <v>84</v>
      </c>
      <c r="AF8" s="19" t="n">
        <f aca="false">IFERROR(INDEX('4 The queue'!$T$5:$T$40,MATCH((IFERROR(INDEX('4 The queue'!$U$5:$U$212,MATCH(IF($A8&lt;=1,0,INDEX('4 The queue'!$W$5:$W$212,$A8-1))+22+1,'4 The queue'!$W$5:$W$212,0)),9999)+'1 Inputs'!$B$22+'1 Inputs'!$B$23+'1 Inputs'!$B$24+'1 Inputs'!$B$25),'4 The queue'!$T$5:$T$40,1)+IF(INDEX('4 The queue'!$T$5:$T$40,MATCH((IFERROR(INDEX('4 The queue'!$U$5:$U$212,MATCH(IF($A8&lt;=1,0,INDEX('4 The queue'!$W$5:$W$212,$A8-1))+22+1,'4 The queue'!$W$5:$W$212,0)),9999)+'1 Inputs'!$B$22+'1 Inputs'!$B$23+'1 Inputs'!$B$24+'1 Inputs'!$B$25),'4 The queue'!$T$5:$T$40,1))=(IFERROR(INDEX('4 The queue'!$U$5:$U$212,MATCH(IF($A8&lt;=1,0,INDEX('4 The queue'!$W$5:$W$212,$A8-1))+22+1,'4 The queue'!$W$5:$W$212,0)),9999)+'1 Inputs'!$B$22+'1 Inputs'!$B$23+'1 Inputs'!$B$24+'1 Inputs'!$B$25),0,1)),9999)+'1 Inputs'!$B$26</f>
        <v>84</v>
      </c>
      <c r="AG8" s="19" t="n">
        <f aca="false">IFERROR(INDEX('4 The queue'!$T$5:$T$40,MATCH((IFERROR(INDEX('4 The queue'!$U$5:$U$212,MATCH(IF($A8&lt;=1,0,INDEX('4 The queue'!$W$5:$W$212,$A8-1))+23+1,'4 The queue'!$W$5:$W$212,0)),9999)+'1 Inputs'!$B$22+'1 Inputs'!$B$23+'1 Inputs'!$B$24+'1 Inputs'!$B$25),'4 The queue'!$T$5:$T$40,1)+IF(INDEX('4 The queue'!$T$5:$T$40,MATCH((IFERROR(INDEX('4 The queue'!$U$5:$U$212,MATCH(IF($A8&lt;=1,0,INDEX('4 The queue'!$W$5:$W$212,$A8-1))+23+1,'4 The queue'!$W$5:$W$212,0)),9999)+'1 Inputs'!$B$22+'1 Inputs'!$B$23+'1 Inputs'!$B$24+'1 Inputs'!$B$25),'4 The queue'!$T$5:$T$40,1))=(IFERROR(INDEX('4 The queue'!$U$5:$U$212,MATCH(IF($A8&lt;=1,0,INDEX('4 The queue'!$W$5:$W$212,$A8-1))+23+1,'4 The queue'!$W$5:$W$212,0)),9999)+'1 Inputs'!$B$22+'1 Inputs'!$B$23+'1 Inputs'!$B$24+'1 Inputs'!$B$25),0,1)),9999)+'1 Inputs'!$B$26</f>
        <v>84</v>
      </c>
      <c r="AH8" s="19" t="n">
        <f aca="false">IFERROR(INDEX('4 The queue'!$T$5:$T$40,MATCH((IFERROR(INDEX('4 The queue'!$U$5:$U$212,MATCH(IF($A8&lt;=1,0,INDEX('4 The queue'!$W$5:$W$212,$A8-1))+24+1,'4 The queue'!$W$5:$W$212,0)),9999)+'1 Inputs'!$B$22+'1 Inputs'!$B$23+'1 Inputs'!$B$24+'1 Inputs'!$B$25),'4 The queue'!$T$5:$T$40,1)+IF(INDEX('4 The queue'!$T$5:$T$40,MATCH((IFERROR(INDEX('4 The queue'!$U$5:$U$212,MATCH(IF($A8&lt;=1,0,INDEX('4 The queue'!$W$5:$W$212,$A8-1))+24+1,'4 The queue'!$W$5:$W$212,0)),9999)+'1 Inputs'!$B$22+'1 Inputs'!$B$23+'1 Inputs'!$B$24+'1 Inputs'!$B$25),'4 The queue'!$T$5:$T$40,1))=(IFERROR(INDEX('4 The queue'!$U$5:$U$212,MATCH(IF($A8&lt;=1,0,INDEX('4 The queue'!$W$5:$W$212,$A8-1))+24+1,'4 The queue'!$W$5:$W$212,0)),9999)+'1 Inputs'!$B$22+'1 Inputs'!$B$23+'1 Inputs'!$B$24+'1 Inputs'!$B$25),0,1)),9999)+'1 Inputs'!$B$26</f>
        <v>84</v>
      </c>
      <c r="AI8" s="19" t="n">
        <f aca="false">IFERROR(INDEX('4 The queue'!$T$5:$T$40,MATCH((IFERROR(INDEX('4 The queue'!$U$5:$U$212,MATCH(IF($A8&lt;=1,0,INDEX('4 The queue'!$W$5:$W$212,$A8-1))+25+1,'4 The queue'!$W$5:$W$212,0)),9999)+'1 Inputs'!$B$22+'1 Inputs'!$B$23+'1 Inputs'!$B$24+'1 Inputs'!$B$25),'4 The queue'!$T$5:$T$40,1)+IF(INDEX('4 The queue'!$T$5:$T$40,MATCH((IFERROR(INDEX('4 The queue'!$U$5:$U$212,MATCH(IF($A8&lt;=1,0,INDEX('4 The queue'!$W$5:$W$212,$A8-1))+25+1,'4 The queue'!$W$5:$W$212,0)),9999)+'1 Inputs'!$B$22+'1 Inputs'!$B$23+'1 Inputs'!$B$24+'1 Inputs'!$B$25),'4 The queue'!$T$5:$T$40,1))=(IFERROR(INDEX('4 The queue'!$U$5:$U$212,MATCH(IF($A8&lt;=1,0,INDEX('4 The queue'!$W$5:$W$212,$A8-1))+25+1,'4 The queue'!$W$5:$W$212,0)),9999)+'1 Inputs'!$B$22+'1 Inputs'!$B$23+'1 Inputs'!$B$24+'1 Inputs'!$B$25),0,1)),9999)+'1 Inputs'!$B$26</f>
        <v>84</v>
      </c>
      <c r="AJ8" s="19" t="n">
        <f aca="false">IFERROR(INDEX('4 The queue'!$T$5:$T$40,MATCH((IFERROR(INDEX('4 The queue'!$U$5:$U$212,MATCH(IF($A8&lt;=1,0,INDEX('4 The queue'!$W$5:$W$212,$A8-1))+26+1,'4 The queue'!$W$5:$W$212,0)),9999)+'1 Inputs'!$B$22+'1 Inputs'!$B$23+'1 Inputs'!$B$24+'1 Inputs'!$B$25),'4 The queue'!$T$5:$T$40,1)+IF(INDEX('4 The queue'!$T$5:$T$40,MATCH((IFERROR(INDEX('4 The queue'!$U$5:$U$212,MATCH(IF($A8&lt;=1,0,INDEX('4 The queue'!$W$5:$W$212,$A8-1))+26+1,'4 The queue'!$W$5:$W$212,0)),9999)+'1 Inputs'!$B$22+'1 Inputs'!$B$23+'1 Inputs'!$B$24+'1 Inputs'!$B$25),'4 The queue'!$T$5:$T$40,1))=(IFERROR(INDEX('4 The queue'!$U$5:$U$212,MATCH(IF($A8&lt;=1,0,INDEX('4 The queue'!$W$5:$W$212,$A8-1))+26+1,'4 The queue'!$W$5:$W$212,0)),9999)+'1 Inputs'!$B$22+'1 Inputs'!$B$23+'1 Inputs'!$B$24+'1 Inputs'!$B$25),0,1)),9999)+'1 Inputs'!$B$26</f>
        <v>84</v>
      </c>
      <c r="AK8" s="19" t="n">
        <f aca="false">IFERROR(INDEX('4 The queue'!$T$5:$T$40,MATCH((IFERROR(INDEX('4 The queue'!$U$5:$U$212,MATCH(IF($A8&lt;=1,0,INDEX('4 The queue'!$W$5:$W$212,$A8-1))+27+1,'4 The queue'!$W$5:$W$212,0)),9999)+'1 Inputs'!$B$22+'1 Inputs'!$B$23+'1 Inputs'!$B$24+'1 Inputs'!$B$25),'4 The queue'!$T$5:$T$40,1)+IF(INDEX('4 The queue'!$T$5:$T$40,MATCH((IFERROR(INDEX('4 The queue'!$U$5:$U$212,MATCH(IF($A8&lt;=1,0,INDEX('4 The queue'!$W$5:$W$212,$A8-1))+27+1,'4 The queue'!$W$5:$W$212,0)),9999)+'1 Inputs'!$B$22+'1 Inputs'!$B$23+'1 Inputs'!$B$24+'1 Inputs'!$B$25),'4 The queue'!$T$5:$T$40,1))=(IFERROR(INDEX('4 The queue'!$U$5:$U$212,MATCH(IF($A8&lt;=1,0,INDEX('4 The queue'!$W$5:$W$212,$A8-1))+27+1,'4 The queue'!$W$5:$W$212,0)),9999)+'1 Inputs'!$B$22+'1 Inputs'!$B$23+'1 Inputs'!$B$24+'1 Inputs'!$B$25),0,1)),9999)+'1 Inputs'!$B$26</f>
        <v>84</v>
      </c>
      <c r="AL8" s="19" t="n">
        <f aca="false">IFERROR(INDEX('4 The queue'!$T$5:$T$40,MATCH((IFERROR(INDEX('4 The queue'!$U$5:$U$212,MATCH(IF($A8&lt;=1,0,INDEX('4 The queue'!$W$5:$W$212,$A8-1))+28+1,'4 The queue'!$W$5:$W$212,0)),9999)+'1 Inputs'!$B$22+'1 Inputs'!$B$23+'1 Inputs'!$B$24+'1 Inputs'!$B$25),'4 The queue'!$T$5:$T$40,1)+IF(INDEX('4 The queue'!$T$5:$T$40,MATCH((IFERROR(INDEX('4 The queue'!$U$5:$U$212,MATCH(IF($A8&lt;=1,0,INDEX('4 The queue'!$W$5:$W$212,$A8-1))+28+1,'4 The queue'!$W$5:$W$212,0)),9999)+'1 Inputs'!$B$22+'1 Inputs'!$B$23+'1 Inputs'!$B$24+'1 Inputs'!$B$25),'4 The queue'!$T$5:$T$40,1))=(IFERROR(INDEX('4 The queue'!$U$5:$U$212,MATCH(IF($A8&lt;=1,0,INDEX('4 The queue'!$W$5:$W$212,$A8-1))+28+1,'4 The queue'!$W$5:$W$212,0)),9999)+'1 Inputs'!$B$22+'1 Inputs'!$B$23+'1 Inputs'!$B$24+'1 Inputs'!$B$25),0,1)),9999)+'1 Inputs'!$B$26</f>
        <v>84</v>
      </c>
      <c r="AM8" s="19" t="n">
        <f aca="false">IFERROR(INDEX('4 The queue'!$T$5:$T$40,MATCH((IFERROR(INDEX('4 The queue'!$U$5:$U$212,MATCH(IF($A8&lt;=1,0,INDEX('4 The queue'!$W$5:$W$212,$A8-1))+29+1,'4 The queue'!$W$5:$W$212,0)),9999)+'1 Inputs'!$B$22+'1 Inputs'!$B$23+'1 Inputs'!$B$24+'1 Inputs'!$B$25),'4 The queue'!$T$5:$T$40,1)+IF(INDEX('4 The queue'!$T$5:$T$40,MATCH((IFERROR(INDEX('4 The queue'!$U$5:$U$212,MATCH(IF($A8&lt;=1,0,INDEX('4 The queue'!$W$5:$W$212,$A8-1))+29+1,'4 The queue'!$W$5:$W$212,0)),9999)+'1 Inputs'!$B$22+'1 Inputs'!$B$23+'1 Inputs'!$B$24+'1 Inputs'!$B$25),'4 The queue'!$T$5:$T$40,1))=(IFERROR(INDEX('4 The queue'!$U$5:$U$212,MATCH(IF($A8&lt;=1,0,INDEX('4 The queue'!$W$5:$W$212,$A8-1))+29+1,'4 The queue'!$W$5:$W$212,0)),9999)+'1 Inputs'!$B$22+'1 Inputs'!$B$23+'1 Inputs'!$B$24+'1 Inputs'!$B$25),0,1)),9999)+'1 Inputs'!$B$26</f>
        <v>97</v>
      </c>
      <c r="AN8" s="19" t="n">
        <f aca="false">IFERROR(INDEX('4 The queue'!$T$5:$T$40,MATCH((IFERROR(INDEX('4 The queue'!$U$5:$U$212,MATCH(IF($A8&lt;=1,0,INDEX('4 The queue'!$W$5:$W$212,$A8-1))+30+1,'4 The queue'!$W$5:$W$212,0)),9999)+'1 Inputs'!$B$22+'1 Inputs'!$B$23+'1 Inputs'!$B$24+'1 Inputs'!$B$25),'4 The queue'!$T$5:$T$40,1)+IF(INDEX('4 The queue'!$T$5:$T$40,MATCH((IFERROR(INDEX('4 The queue'!$U$5:$U$212,MATCH(IF($A8&lt;=1,0,INDEX('4 The queue'!$W$5:$W$212,$A8-1))+30+1,'4 The queue'!$W$5:$W$212,0)),9999)+'1 Inputs'!$B$22+'1 Inputs'!$B$23+'1 Inputs'!$B$24+'1 Inputs'!$B$25),'4 The queue'!$T$5:$T$40,1))=(IFERROR(INDEX('4 The queue'!$U$5:$U$212,MATCH(IF($A8&lt;=1,0,INDEX('4 The queue'!$W$5:$W$212,$A8-1))+30+1,'4 The queue'!$W$5:$W$212,0)),9999)+'1 Inputs'!$B$22+'1 Inputs'!$B$23+'1 Inputs'!$B$24+'1 Inputs'!$B$25),0,1)),9999)+'1 Inputs'!$B$26</f>
        <v>97</v>
      </c>
      <c r="AO8" s="19" t="n">
        <f aca="false">IFERROR(INDEX('4 The queue'!$T$5:$T$40,MATCH((IFERROR(INDEX('4 The queue'!$U$5:$U$212,MATCH(IF($A8&lt;=1,0,INDEX('4 The queue'!$W$5:$W$212,$A8-1))+31+1,'4 The queue'!$W$5:$W$212,0)),9999)+'1 Inputs'!$B$22+'1 Inputs'!$B$23+'1 Inputs'!$B$24+'1 Inputs'!$B$25),'4 The queue'!$T$5:$T$40,1)+IF(INDEX('4 The queue'!$T$5:$T$40,MATCH((IFERROR(INDEX('4 The queue'!$U$5:$U$212,MATCH(IF($A8&lt;=1,0,INDEX('4 The queue'!$W$5:$W$212,$A8-1))+31+1,'4 The queue'!$W$5:$W$212,0)),9999)+'1 Inputs'!$B$22+'1 Inputs'!$B$23+'1 Inputs'!$B$24+'1 Inputs'!$B$25),'4 The queue'!$T$5:$T$40,1))=(IFERROR(INDEX('4 The queue'!$U$5:$U$212,MATCH(IF($A8&lt;=1,0,INDEX('4 The queue'!$W$5:$W$212,$A8-1))+31+1,'4 The queue'!$W$5:$W$212,0)),9999)+'1 Inputs'!$B$22+'1 Inputs'!$B$23+'1 Inputs'!$B$24+'1 Inputs'!$B$25),0,1)),9999)+'1 Inputs'!$B$26</f>
        <v>97</v>
      </c>
      <c r="AP8" s="19" t="n">
        <f aca="false">IFERROR(INDEX('4 The queue'!$T$5:$T$40,MATCH((IFERROR(INDEX('4 The queue'!$U$5:$U$212,MATCH(IF($A8&lt;=1,0,INDEX('4 The queue'!$W$5:$W$212,$A8-1))+32+1,'4 The queue'!$W$5:$W$212,0)),9999)+'1 Inputs'!$B$22+'1 Inputs'!$B$23+'1 Inputs'!$B$24+'1 Inputs'!$B$25),'4 The queue'!$T$5:$T$40,1)+IF(INDEX('4 The queue'!$T$5:$T$40,MATCH((IFERROR(INDEX('4 The queue'!$U$5:$U$212,MATCH(IF($A8&lt;=1,0,INDEX('4 The queue'!$W$5:$W$212,$A8-1))+32+1,'4 The queue'!$W$5:$W$212,0)),9999)+'1 Inputs'!$B$22+'1 Inputs'!$B$23+'1 Inputs'!$B$24+'1 Inputs'!$B$25),'4 The queue'!$T$5:$T$40,1))=(IFERROR(INDEX('4 The queue'!$U$5:$U$212,MATCH(IF($A8&lt;=1,0,INDEX('4 The queue'!$W$5:$W$212,$A8-1))+32+1,'4 The queue'!$W$5:$W$212,0)),9999)+'1 Inputs'!$B$22+'1 Inputs'!$B$23+'1 Inputs'!$B$24+'1 Inputs'!$B$25),0,1)),9999)+'1 Inputs'!$B$26</f>
        <v>97</v>
      </c>
      <c r="AQ8" s="19" t="n">
        <f aca="false">IFERROR(INDEX('4 The queue'!$T$5:$T$40,MATCH((IFERROR(INDEX('4 The queue'!$U$5:$U$212,MATCH(IF($A8&lt;=1,0,INDEX('4 The queue'!$W$5:$W$212,$A8-1))+33+1,'4 The queue'!$W$5:$W$212,0)),9999)+'1 Inputs'!$B$22+'1 Inputs'!$B$23+'1 Inputs'!$B$24+'1 Inputs'!$B$25),'4 The queue'!$T$5:$T$40,1)+IF(INDEX('4 The queue'!$T$5:$T$40,MATCH((IFERROR(INDEX('4 The queue'!$U$5:$U$212,MATCH(IF($A8&lt;=1,0,INDEX('4 The queue'!$W$5:$W$212,$A8-1))+33+1,'4 The queue'!$W$5:$W$212,0)),9999)+'1 Inputs'!$B$22+'1 Inputs'!$B$23+'1 Inputs'!$B$24+'1 Inputs'!$B$25),'4 The queue'!$T$5:$T$40,1))=(IFERROR(INDEX('4 The queue'!$U$5:$U$212,MATCH(IF($A8&lt;=1,0,INDEX('4 The queue'!$W$5:$W$212,$A8-1))+33+1,'4 The queue'!$W$5:$W$212,0)),9999)+'1 Inputs'!$B$22+'1 Inputs'!$B$23+'1 Inputs'!$B$24+'1 Inputs'!$B$25),0,1)),9999)+'1 Inputs'!$B$26</f>
        <v>97</v>
      </c>
      <c r="AR8" s="19" t="n">
        <f aca="false">IFERROR(INDEX('4 The queue'!$T$5:$T$40,MATCH((IFERROR(INDEX('4 The queue'!$U$5:$U$212,MATCH(IF($A8&lt;=1,0,INDEX('4 The queue'!$W$5:$W$212,$A8-1))+34+1,'4 The queue'!$W$5:$W$212,0)),9999)+'1 Inputs'!$B$22+'1 Inputs'!$B$23+'1 Inputs'!$B$24+'1 Inputs'!$B$25),'4 The queue'!$T$5:$T$40,1)+IF(INDEX('4 The queue'!$T$5:$T$40,MATCH((IFERROR(INDEX('4 The queue'!$U$5:$U$212,MATCH(IF($A8&lt;=1,0,INDEX('4 The queue'!$W$5:$W$212,$A8-1))+34+1,'4 The queue'!$W$5:$W$212,0)),9999)+'1 Inputs'!$B$22+'1 Inputs'!$B$23+'1 Inputs'!$B$24+'1 Inputs'!$B$25),'4 The queue'!$T$5:$T$40,1))=(IFERROR(INDEX('4 The queue'!$U$5:$U$212,MATCH(IF($A8&lt;=1,0,INDEX('4 The queue'!$W$5:$W$212,$A8-1))+34+1,'4 The queue'!$W$5:$W$212,0)),9999)+'1 Inputs'!$B$22+'1 Inputs'!$B$23+'1 Inputs'!$B$24+'1 Inputs'!$B$25),0,1)),9999)+'1 Inputs'!$B$26</f>
        <v>97</v>
      </c>
      <c r="AS8" s="19" t="n">
        <f aca="false">IFERROR(INDEX('4 The queue'!$T$5:$T$40,MATCH((IFERROR(INDEX('4 The queue'!$U$5:$U$212,MATCH(IF($A8&lt;=1,0,INDEX('4 The queue'!$W$5:$W$212,$A8-1))+35+1,'4 The queue'!$W$5:$W$212,0)),9999)+'1 Inputs'!$B$22+'1 Inputs'!$B$23+'1 Inputs'!$B$24+'1 Inputs'!$B$25),'4 The queue'!$T$5:$T$40,1)+IF(INDEX('4 The queue'!$T$5:$T$40,MATCH((IFERROR(INDEX('4 The queue'!$U$5:$U$212,MATCH(IF($A8&lt;=1,0,INDEX('4 The queue'!$W$5:$W$212,$A8-1))+35+1,'4 The queue'!$W$5:$W$212,0)),9999)+'1 Inputs'!$B$22+'1 Inputs'!$B$23+'1 Inputs'!$B$24+'1 Inputs'!$B$25),'4 The queue'!$T$5:$T$40,1))=(IFERROR(INDEX('4 The queue'!$U$5:$U$212,MATCH(IF($A8&lt;=1,0,INDEX('4 The queue'!$W$5:$W$212,$A8-1))+35+1,'4 The queue'!$W$5:$W$212,0)),9999)+'1 Inputs'!$B$22+'1 Inputs'!$B$23+'1 Inputs'!$B$24+'1 Inputs'!$B$25),0,1)),9999)+'1 Inputs'!$B$26</f>
        <v>97</v>
      </c>
      <c r="AT8" s="19" t="n">
        <f aca="false">IFERROR(INDEX('4 The queue'!$T$5:$T$40,MATCH((IFERROR(INDEX('4 The queue'!$U$5:$U$212,MATCH(IF($A8&lt;=1,0,INDEX('4 The queue'!$W$5:$W$212,$A8-1))+36+1,'4 The queue'!$W$5:$W$212,0)),9999)+'1 Inputs'!$B$22+'1 Inputs'!$B$23+'1 Inputs'!$B$24+'1 Inputs'!$B$25),'4 The queue'!$T$5:$T$40,1)+IF(INDEX('4 The queue'!$T$5:$T$40,MATCH((IFERROR(INDEX('4 The queue'!$U$5:$U$212,MATCH(IF($A8&lt;=1,0,INDEX('4 The queue'!$W$5:$W$212,$A8-1))+36+1,'4 The queue'!$W$5:$W$212,0)),9999)+'1 Inputs'!$B$22+'1 Inputs'!$B$23+'1 Inputs'!$B$24+'1 Inputs'!$B$25),'4 The queue'!$T$5:$T$40,1))=(IFERROR(INDEX('4 The queue'!$U$5:$U$212,MATCH(IF($A8&lt;=1,0,INDEX('4 The queue'!$W$5:$W$212,$A8-1))+36+1,'4 The queue'!$W$5:$W$212,0)),9999)+'1 Inputs'!$B$22+'1 Inputs'!$B$23+'1 Inputs'!$B$24+'1 Inputs'!$B$25),0,1)),9999)+'1 Inputs'!$B$26</f>
        <v>97</v>
      </c>
      <c r="AU8" s="19" t="n">
        <f aca="false">IFERROR(INDEX('4 The queue'!$T$5:$T$40,MATCH((IFERROR(INDEX('4 The queue'!$U$5:$U$212,MATCH(IF($A8&lt;=1,0,INDEX('4 The queue'!$W$5:$W$212,$A8-1))+37+1,'4 The queue'!$W$5:$W$212,0)),9999)+'1 Inputs'!$B$22+'1 Inputs'!$B$23+'1 Inputs'!$B$24+'1 Inputs'!$B$25),'4 The queue'!$T$5:$T$40,1)+IF(INDEX('4 The queue'!$T$5:$T$40,MATCH((IFERROR(INDEX('4 The queue'!$U$5:$U$212,MATCH(IF($A8&lt;=1,0,INDEX('4 The queue'!$W$5:$W$212,$A8-1))+37+1,'4 The queue'!$W$5:$W$212,0)),9999)+'1 Inputs'!$B$22+'1 Inputs'!$B$23+'1 Inputs'!$B$24+'1 Inputs'!$B$25),'4 The queue'!$T$5:$T$40,1))=(IFERROR(INDEX('4 The queue'!$U$5:$U$212,MATCH(IF($A8&lt;=1,0,INDEX('4 The queue'!$W$5:$W$212,$A8-1))+37+1,'4 The queue'!$W$5:$W$212,0)),9999)+'1 Inputs'!$B$22+'1 Inputs'!$B$23+'1 Inputs'!$B$24+'1 Inputs'!$B$25),0,1)),9999)+'1 Inputs'!$B$26</f>
        <v>97</v>
      </c>
      <c r="AV8" s="19" t="n">
        <f aca="false">IFERROR(INDEX('4 The queue'!$T$5:$T$40,MATCH((IFERROR(INDEX('4 The queue'!$U$5:$U$212,MATCH(IF($A8&lt;=1,0,INDEX('4 The queue'!$W$5:$W$212,$A8-1))+38+1,'4 The queue'!$W$5:$W$212,0)),9999)+'1 Inputs'!$B$22+'1 Inputs'!$B$23+'1 Inputs'!$B$24+'1 Inputs'!$B$25),'4 The queue'!$T$5:$T$40,1)+IF(INDEX('4 The queue'!$T$5:$T$40,MATCH((IFERROR(INDEX('4 The queue'!$U$5:$U$212,MATCH(IF($A8&lt;=1,0,INDEX('4 The queue'!$W$5:$W$212,$A8-1))+38+1,'4 The queue'!$W$5:$W$212,0)),9999)+'1 Inputs'!$B$22+'1 Inputs'!$B$23+'1 Inputs'!$B$24+'1 Inputs'!$B$25),'4 The queue'!$T$5:$T$40,1))=(IFERROR(INDEX('4 The queue'!$U$5:$U$212,MATCH(IF($A8&lt;=1,0,INDEX('4 The queue'!$W$5:$W$212,$A8-1))+38+1,'4 The queue'!$W$5:$W$212,0)),9999)+'1 Inputs'!$B$22+'1 Inputs'!$B$23+'1 Inputs'!$B$24+'1 Inputs'!$B$25),0,1)),9999)+'1 Inputs'!$B$26</f>
        <v>97</v>
      </c>
      <c r="AW8" s="19" t="n">
        <f aca="false">IFERROR(INDEX('4 The queue'!$T$5:$T$40,MATCH((IFERROR(INDEX('4 The queue'!$U$5:$U$212,MATCH(IF($A8&lt;=1,0,INDEX('4 The queue'!$W$5:$W$212,$A8-1))+39+1,'4 The queue'!$W$5:$W$212,0)),9999)+'1 Inputs'!$B$22+'1 Inputs'!$B$23+'1 Inputs'!$B$24+'1 Inputs'!$B$25),'4 The queue'!$T$5:$T$40,1)+IF(INDEX('4 The queue'!$T$5:$T$40,MATCH((IFERROR(INDEX('4 The queue'!$U$5:$U$212,MATCH(IF($A8&lt;=1,0,INDEX('4 The queue'!$W$5:$W$212,$A8-1))+39+1,'4 The queue'!$W$5:$W$212,0)),9999)+'1 Inputs'!$B$22+'1 Inputs'!$B$23+'1 Inputs'!$B$24+'1 Inputs'!$B$25),'4 The queue'!$T$5:$T$40,1))=(IFERROR(INDEX('4 The queue'!$U$5:$U$212,MATCH(IF($A8&lt;=1,0,INDEX('4 The queue'!$W$5:$W$212,$A8-1))+39+1,'4 The queue'!$W$5:$W$212,0)),9999)+'1 Inputs'!$B$22+'1 Inputs'!$B$23+'1 Inputs'!$B$24+'1 Inputs'!$B$25),0,1)),9999)+'1 Inputs'!$B$26</f>
        <v>97</v>
      </c>
      <c r="AX8" s="19" t="n">
        <f aca="false">MAX(0,MIN('1 Inputs'!$B$15,'1 Inputs'!$B$5*'1 Inputs'!$B$6-0*'1 Inputs'!$B$15))*'1 Inputs'!$B$7*'1 Inputs'!$B$8*'1 Inputs'!$B$9*'1 Inputs'!$B$10*'1 Inputs'!$B$11</f>
        <v>6250000</v>
      </c>
      <c r="AY8" s="19" t="n">
        <f aca="false">MAX(0,MIN('1 Inputs'!$B$15,'1 Inputs'!$B$5*'1 Inputs'!$B$6-1*'1 Inputs'!$B$15))*'1 Inputs'!$B$7*'1 Inputs'!$B$8*'1 Inputs'!$B$9*'1 Inputs'!$B$10*'1 Inputs'!$B$11</f>
        <v>6250000</v>
      </c>
      <c r="AZ8" s="19" t="n">
        <f aca="false">MAX(0,MIN('1 Inputs'!$B$15,'1 Inputs'!$B$5*'1 Inputs'!$B$6-2*'1 Inputs'!$B$15))*'1 Inputs'!$B$7*'1 Inputs'!$B$8*'1 Inputs'!$B$9*'1 Inputs'!$B$10*'1 Inputs'!$B$11</f>
        <v>6250000</v>
      </c>
      <c r="BA8" s="19" t="n">
        <f aca="false">MAX(0,MIN('1 Inputs'!$B$15,'1 Inputs'!$B$5*'1 Inputs'!$B$6-3*'1 Inputs'!$B$15))*'1 Inputs'!$B$7*'1 Inputs'!$B$8*'1 Inputs'!$B$9*'1 Inputs'!$B$10*'1 Inputs'!$B$11</f>
        <v>6250000</v>
      </c>
      <c r="BB8" s="19" t="n">
        <f aca="false">MAX(0,MIN('1 Inputs'!$B$15,'1 Inputs'!$B$5*'1 Inputs'!$B$6-4*'1 Inputs'!$B$15))*'1 Inputs'!$B$7*'1 Inputs'!$B$8*'1 Inputs'!$B$9*'1 Inputs'!$B$10*'1 Inputs'!$B$11</f>
        <v>6250000</v>
      </c>
      <c r="BC8" s="19" t="n">
        <f aca="false">MAX(0,MIN('1 Inputs'!$B$15,'1 Inputs'!$B$5*'1 Inputs'!$B$6-5*'1 Inputs'!$B$15))*'1 Inputs'!$B$7*'1 Inputs'!$B$8*'1 Inputs'!$B$9*'1 Inputs'!$B$10*'1 Inputs'!$B$11</f>
        <v>6250000</v>
      </c>
      <c r="BD8" s="19" t="n">
        <f aca="false">MAX(0,MIN('1 Inputs'!$B$15,'1 Inputs'!$B$5*'1 Inputs'!$B$6-6*'1 Inputs'!$B$15))*'1 Inputs'!$B$7*'1 Inputs'!$B$8*'1 Inputs'!$B$9*'1 Inputs'!$B$10*'1 Inputs'!$B$11</f>
        <v>6250000</v>
      </c>
      <c r="BE8" s="19" t="n">
        <f aca="false">MAX(0,MIN('1 Inputs'!$B$15,'1 Inputs'!$B$5*'1 Inputs'!$B$6-7*'1 Inputs'!$B$15))*'1 Inputs'!$B$7*'1 Inputs'!$B$8*'1 Inputs'!$B$9*'1 Inputs'!$B$10*'1 Inputs'!$B$11</f>
        <v>6250000</v>
      </c>
      <c r="BF8" s="19" t="n">
        <f aca="false">MAX(0,MIN('1 Inputs'!$B$15,'1 Inputs'!$B$5*'1 Inputs'!$B$6-8*'1 Inputs'!$B$15))*'1 Inputs'!$B$7*'1 Inputs'!$B$8*'1 Inputs'!$B$9*'1 Inputs'!$B$10*'1 Inputs'!$B$11</f>
        <v>6250000</v>
      </c>
      <c r="BG8" s="19" t="n">
        <f aca="false">MAX(0,MIN('1 Inputs'!$B$15,'1 Inputs'!$B$5*'1 Inputs'!$B$6-9*'1 Inputs'!$B$15))*'1 Inputs'!$B$7*'1 Inputs'!$B$8*'1 Inputs'!$B$9*'1 Inputs'!$B$10*'1 Inputs'!$B$11</f>
        <v>6250000</v>
      </c>
      <c r="BH8" s="19" t="n">
        <f aca="false">MAX(0,MIN('1 Inputs'!$B$15,'1 Inputs'!$B$5*'1 Inputs'!$B$6-10*'1 Inputs'!$B$15))*'1 Inputs'!$B$7*'1 Inputs'!$B$8*'1 Inputs'!$B$9*'1 Inputs'!$B$10*'1 Inputs'!$B$11</f>
        <v>6250000</v>
      </c>
      <c r="BI8" s="19" t="n">
        <f aca="false">MAX(0,MIN('1 Inputs'!$B$15,'1 Inputs'!$B$5*'1 Inputs'!$B$6-11*'1 Inputs'!$B$15))*'1 Inputs'!$B$7*'1 Inputs'!$B$8*'1 Inputs'!$B$9*'1 Inputs'!$B$10*'1 Inputs'!$B$11</f>
        <v>6250000</v>
      </c>
      <c r="BJ8" s="19" t="n">
        <f aca="false">MAX(0,MIN('1 Inputs'!$B$15,'1 Inputs'!$B$5*'1 Inputs'!$B$6-12*'1 Inputs'!$B$15))*'1 Inputs'!$B$7*'1 Inputs'!$B$8*'1 Inputs'!$B$9*'1 Inputs'!$B$10*'1 Inputs'!$B$11</f>
        <v>6250000</v>
      </c>
      <c r="BK8" s="19" t="n">
        <f aca="false">MAX(0,MIN('1 Inputs'!$B$15,'1 Inputs'!$B$5*'1 Inputs'!$B$6-13*'1 Inputs'!$B$15))*'1 Inputs'!$B$7*'1 Inputs'!$B$8*'1 Inputs'!$B$9*'1 Inputs'!$B$10*'1 Inputs'!$B$11</f>
        <v>6250000</v>
      </c>
      <c r="BL8" s="19" t="n">
        <f aca="false">MAX(0,MIN('1 Inputs'!$B$15,'1 Inputs'!$B$5*'1 Inputs'!$B$6-14*'1 Inputs'!$B$15))*'1 Inputs'!$B$7*'1 Inputs'!$B$8*'1 Inputs'!$B$9*'1 Inputs'!$B$10*'1 Inputs'!$B$11</f>
        <v>6250000</v>
      </c>
      <c r="BM8" s="19" t="n">
        <f aca="false">MAX(0,MIN('1 Inputs'!$B$15,'1 Inputs'!$B$5*'1 Inputs'!$B$6-15*'1 Inputs'!$B$15))*'1 Inputs'!$B$7*'1 Inputs'!$B$8*'1 Inputs'!$B$9*'1 Inputs'!$B$10*'1 Inputs'!$B$11</f>
        <v>0</v>
      </c>
      <c r="BN8" s="19" t="n">
        <f aca="false">MAX(0,MIN('1 Inputs'!$B$15,'1 Inputs'!$B$5*'1 Inputs'!$B$6-16*'1 Inputs'!$B$15))*'1 Inputs'!$B$7*'1 Inputs'!$B$8*'1 Inputs'!$B$9*'1 Inputs'!$B$10*'1 Inputs'!$B$11</f>
        <v>0</v>
      </c>
      <c r="BO8" s="19" t="n">
        <f aca="false">MAX(0,MIN('1 Inputs'!$B$15,'1 Inputs'!$B$5*'1 Inputs'!$B$6-17*'1 Inputs'!$B$15))*'1 Inputs'!$B$7*'1 Inputs'!$B$8*'1 Inputs'!$B$9*'1 Inputs'!$B$10*'1 Inputs'!$B$11</f>
        <v>0</v>
      </c>
      <c r="BP8" s="19" t="n">
        <f aca="false">MAX(0,MIN('1 Inputs'!$B$15,'1 Inputs'!$B$5*'1 Inputs'!$B$6-18*'1 Inputs'!$B$15))*'1 Inputs'!$B$7*'1 Inputs'!$B$8*'1 Inputs'!$B$9*'1 Inputs'!$B$10*'1 Inputs'!$B$11</f>
        <v>0</v>
      </c>
      <c r="BQ8" s="19" t="n">
        <f aca="false">MAX(0,MIN('1 Inputs'!$B$15,'1 Inputs'!$B$5*'1 Inputs'!$B$6-19*'1 Inputs'!$B$15))*'1 Inputs'!$B$7*'1 Inputs'!$B$8*'1 Inputs'!$B$9*'1 Inputs'!$B$10*'1 Inputs'!$B$11</f>
        <v>0</v>
      </c>
      <c r="BR8" s="19" t="n">
        <f aca="false">MAX(0,MIN('1 Inputs'!$B$15,'1 Inputs'!$B$5*'1 Inputs'!$B$6-20*'1 Inputs'!$B$15))*'1 Inputs'!$B$7*'1 Inputs'!$B$8*'1 Inputs'!$B$9*'1 Inputs'!$B$10*'1 Inputs'!$B$11</f>
        <v>0</v>
      </c>
      <c r="BS8" s="19" t="n">
        <f aca="false">MAX(0,MIN('1 Inputs'!$B$15,'1 Inputs'!$B$5*'1 Inputs'!$B$6-21*'1 Inputs'!$B$15))*'1 Inputs'!$B$7*'1 Inputs'!$B$8*'1 Inputs'!$B$9*'1 Inputs'!$B$10*'1 Inputs'!$B$11</f>
        <v>0</v>
      </c>
      <c r="BT8" s="19" t="n">
        <f aca="false">MAX(0,MIN('1 Inputs'!$B$15,'1 Inputs'!$B$5*'1 Inputs'!$B$6-22*'1 Inputs'!$B$15))*'1 Inputs'!$B$7*'1 Inputs'!$B$8*'1 Inputs'!$B$9*'1 Inputs'!$B$10*'1 Inputs'!$B$11</f>
        <v>0</v>
      </c>
      <c r="BU8" s="19" t="n">
        <f aca="false">MAX(0,MIN('1 Inputs'!$B$15,'1 Inputs'!$B$5*'1 Inputs'!$B$6-23*'1 Inputs'!$B$15))*'1 Inputs'!$B$7*'1 Inputs'!$B$8*'1 Inputs'!$B$9*'1 Inputs'!$B$10*'1 Inputs'!$B$11</f>
        <v>0</v>
      </c>
      <c r="BV8" s="19" t="n">
        <f aca="false">MAX(0,MIN('1 Inputs'!$B$15,'1 Inputs'!$B$5*'1 Inputs'!$B$6-24*'1 Inputs'!$B$15))*'1 Inputs'!$B$7*'1 Inputs'!$B$8*'1 Inputs'!$B$9*'1 Inputs'!$B$10*'1 Inputs'!$B$11</f>
        <v>0</v>
      </c>
      <c r="BW8" s="19" t="n">
        <f aca="false">MAX(0,MIN('1 Inputs'!$B$15,'1 Inputs'!$B$5*'1 Inputs'!$B$6-25*'1 Inputs'!$B$15))*'1 Inputs'!$B$7*'1 Inputs'!$B$8*'1 Inputs'!$B$9*'1 Inputs'!$B$10*'1 Inputs'!$B$11</f>
        <v>0</v>
      </c>
      <c r="BX8" s="19" t="n">
        <f aca="false">MAX(0,MIN('1 Inputs'!$B$15,'1 Inputs'!$B$5*'1 Inputs'!$B$6-26*'1 Inputs'!$B$15))*'1 Inputs'!$B$7*'1 Inputs'!$B$8*'1 Inputs'!$B$9*'1 Inputs'!$B$10*'1 Inputs'!$B$11</f>
        <v>0</v>
      </c>
      <c r="BY8" s="19" t="n">
        <f aca="false">MAX(0,MIN('1 Inputs'!$B$15,'1 Inputs'!$B$5*'1 Inputs'!$B$6-27*'1 Inputs'!$B$15))*'1 Inputs'!$B$7*'1 Inputs'!$B$8*'1 Inputs'!$B$9*'1 Inputs'!$B$10*'1 Inputs'!$B$11</f>
        <v>0</v>
      </c>
      <c r="BZ8" s="19" t="n">
        <f aca="false">MAX(0,MIN('1 Inputs'!$B$15,'1 Inputs'!$B$5*'1 Inputs'!$B$6-28*'1 Inputs'!$B$15))*'1 Inputs'!$B$7*'1 Inputs'!$B$8*'1 Inputs'!$B$9*'1 Inputs'!$B$10*'1 Inputs'!$B$11</f>
        <v>0</v>
      </c>
      <c r="CA8" s="19" t="n">
        <f aca="false">MAX(0,MIN('1 Inputs'!$B$15,'1 Inputs'!$B$5*'1 Inputs'!$B$6-29*'1 Inputs'!$B$15))*'1 Inputs'!$B$7*'1 Inputs'!$B$8*'1 Inputs'!$B$9*'1 Inputs'!$B$10*'1 Inputs'!$B$11</f>
        <v>0</v>
      </c>
      <c r="CB8" s="19" t="n">
        <f aca="false">MAX(0,MIN('1 Inputs'!$B$15,'1 Inputs'!$B$5*'1 Inputs'!$B$6-30*'1 Inputs'!$B$15))*'1 Inputs'!$B$7*'1 Inputs'!$B$8*'1 Inputs'!$B$9*'1 Inputs'!$B$10*'1 Inputs'!$B$11</f>
        <v>0</v>
      </c>
      <c r="CC8" s="19" t="n">
        <f aca="false">MAX(0,MIN('1 Inputs'!$B$15,'1 Inputs'!$B$5*'1 Inputs'!$B$6-31*'1 Inputs'!$B$15))*'1 Inputs'!$B$7*'1 Inputs'!$B$8*'1 Inputs'!$B$9*'1 Inputs'!$B$10*'1 Inputs'!$B$11</f>
        <v>0</v>
      </c>
      <c r="CD8" s="19" t="n">
        <f aca="false">MAX(0,MIN('1 Inputs'!$B$15,'1 Inputs'!$B$5*'1 Inputs'!$B$6-32*'1 Inputs'!$B$15))*'1 Inputs'!$B$7*'1 Inputs'!$B$8*'1 Inputs'!$B$9*'1 Inputs'!$B$10*'1 Inputs'!$B$11</f>
        <v>0</v>
      </c>
      <c r="CE8" s="19" t="n">
        <f aca="false">MAX(0,MIN('1 Inputs'!$B$15,'1 Inputs'!$B$5*'1 Inputs'!$B$6-33*'1 Inputs'!$B$15))*'1 Inputs'!$B$7*'1 Inputs'!$B$8*'1 Inputs'!$B$9*'1 Inputs'!$B$10*'1 Inputs'!$B$11</f>
        <v>0</v>
      </c>
      <c r="CF8" s="19" t="n">
        <f aca="false">MAX(0,MIN('1 Inputs'!$B$15,'1 Inputs'!$B$5*'1 Inputs'!$B$6-34*'1 Inputs'!$B$15))*'1 Inputs'!$B$7*'1 Inputs'!$B$8*'1 Inputs'!$B$9*'1 Inputs'!$B$10*'1 Inputs'!$B$11</f>
        <v>0</v>
      </c>
      <c r="CG8" s="19" t="n">
        <f aca="false">MAX(0,MIN('1 Inputs'!$B$15,'1 Inputs'!$B$5*'1 Inputs'!$B$6-35*'1 Inputs'!$B$15))*'1 Inputs'!$B$7*'1 Inputs'!$B$8*'1 Inputs'!$B$9*'1 Inputs'!$B$10*'1 Inputs'!$B$11</f>
        <v>0</v>
      </c>
      <c r="CH8" s="19" t="n">
        <f aca="false">MAX(0,MIN('1 Inputs'!$B$15,'1 Inputs'!$B$5*'1 Inputs'!$B$6-36*'1 Inputs'!$B$15))*'1 Inputs'!$B$7*'1 Inputs'!$B$8*'1 Inputs'!$B$9*'1 Inputs'!$B$10*'1 Inputs'!$B$11</f>
        <v>0</v>
      </c>
      <c r="CI8" s="19" t="n">
        <f aca="false">MAX(0,MIN('1 Inputs'!$B$15,'1 Inputs'!$B$5*'1 Inputs'!$B$6-37*'1 Inputs'!$B$15))*'1 Inputs'!$B$7*'1 Inputs'!$B$8*'1 Inputs'!$B$9*'1 Inputs'!$B$10*'1 Inputs'!$B$11</f>
        <v>0</v>
      </c>
      <c r="CJ8" s="19" t="n">
        <f aca="false">MAX(0,MIN('1 Inputs'!$B$15,'1 Inputs'!$B$5*'1 Inputs'!$B$6-38*'1 Inputs'!$B$15))*'1 Inputs'!$B$7*'1 Inputs'!$B$8*'1 Inputs'!$B$9*'1 Inputs'!$B$10*'1 Inputs'!$B$11</f>
        <v>0</v>
      </c>
      <c r="CK8" s="19" t="n">
        <f aca="false">MAX(0,MIN('1 Inputs'!$B$15,'1 Inputs'!$B$5*'1 Inputs'!$B$6-39*'1 Inputs'!$B$15))*'1 Inputs'!$B$7*'1 Inputs'!$B$8*'1 Inputs'!$B$9*'1 Inputs'!$B$10*'1 Inputs'!$B$11</f>
        <v>0</v>
      </c>
    </row>
    <row r="9" customFormat="false" ht="15" hidden="false" customHeight="false" outlineLevel="0" collapsed="false">
      <c r="A9" s="0" t="n">
        <v>22</v>
      </c>
      <c r="B9" s="12" t="n">
        <f aca="false">SUMIF(J9:AW9,"&lt;="&amp;($A9+52),AX9:CK9)</f>
        <v>93750000</v>
      </c>
      <c r="C9" s="12" t="n">
        <f aca="false">SUM(AX9:CK9)</f>
        <v>93750000</v>
      </c>
      <c r="D9" s="15" t="n">
        <f aca="false">(MIN(J9:AW9)-$A9)/52*12</f>
        <v>7.61538461538462</v>
      </c>
      <c r="J9" s="19" t="n">
        <f aca="false">IFERROR(INDEX('4 The queue'!$T$5:$T$40,MATCH((IFERROR(INDEX('4 The queue'!$U$5:$U$212,MATCH(IF($A9&lt;=1,0,INDEX('4 The queue'!$W$5:$W$212,$A9-1))+0+1,'4 The queue'!$W$5:$W$212,0)),9999)+'1 Inputs'!$B$22+'1 Inputs'!$B$23+'1 Inputs'!$B$24+'1 Inputs'!$B$25),'4 The queue'!$T$5:$T$40,1)+IF(INDEX('4 The queue'!$T$5:$T$40,MATCH((IFERROR(INDEX('4 The queue'!$U$5:$U$212,MATCH(IF($A9&lt;=1,0,INDEX('4 The queue'!$W$5:$W$212,$A9-1))+0+1,'4 The queue'!$W$5:$W$212,0)),9999)+'1 Inputs'!$B$22+'1 Inputs'!$B$23+'1 Inputs'!$B$24+'1 Inputs'!$B$25),'4 The queue'!$T$5:$T$40,1))=(IFERROR(INDEX('4 The queue'!$U$5:$U$212,MATCH(IF($A9&lt;=1,0,INDEX('4 The queue'!$W$5:$W$212,$A9-1))+0+1,'4 The queue'!$W$5:$W$212,0)),9999)+'1 Inputs'!$B$22+'1 Inputs'!$B$23+'1 Inputs'!$B$24+'1 Inputs'!$B$25),0,1)),9999)+'1 Inputs'!$B$26</f>
        <v>55</v>
      </c>
      <c r="K9" s="19" t="n">
        <f aca="false">IFERROR(INDEX('4 The queue'!$T$5:$T$40,MATCH((IFERROR(INDEX('4 The queue'!$U$5:$U$212,MATCH(IF($A9&lt;=1,0,INDEX('4 The queue'!$W$5:$W$212,$A9-1))+1+1,'4 The queue'!$W$5:$W$212,0)),9999)+'1 Inputs'!$B$22+'1 Inputs'!$B$23+'1 Inputs'!$B$24+'1 Inputs'!$B$25),'4 The queue'!$T$5:$T$40,1)+IF(INDEX('4 The queue'!$T$5:$T$40,MATCH((IFERROR(INDEX('4 The queue'!$U$5:$U$212,MATCH(IF($A9&lt;=1,0,INDEX('4 The queue'!$W$5:$W$212,$A9-1))+1+1,'4 The queue'!$W$5:$W$212,0)),9999)+'1 Inputs'!$B$22+'1 Inputs'!$B$23+'1 Inputs'!$B$24+'1 Inputs'!$B$25),'4 The queue'!$T$5:$T$40,1))=(IFERROR(INDEX('4 The queue'!$U$5:$U$212,MATCH(IF($A9&lt;=1,0,INDEX('4 The queue'!$W$5:$W$212,$A9-1))+1+1,'4 The queue'!$W$5:$W$212,0)),9999)+'1 Inputs'!$B$22+'1 Inputs'!$B$23+'1 Inputs'!$B$24+'1 Inputs'!$B$25),0,1)),9999)+'1 Inputs'!$B$26</f>
        <v>55</v>
      </c>
      <c r="L9" s="19" t="n">
        <f aca="false">IFERROR(INDEX('4 The queue'!$T$5:$T$40,MATCH((IFERROR(INDEX('4 The queue'!$U$5:$U$212,MATCH(IF($A9&lt;=1,0,INDEX('4 The queue'!$W$5:$W$212,$A9-1))+2+1,'4 The queue'!$W$5:$W$212,0)),9999)+'1 Inputs'!$B$22+'1 Inputs'!$B$23+'1 Inputs'!$B$24+'1 Inputs'!$B$25),'4 The queue'!$T$5:$T$40,1)+IF(INDEX('4 The queue'!$T$5:$T$40,MATCH((IFERROR(INDEX('4 The queue'!$U$5:$U$212,MATCH(IF($A9&lt;=1,0,INDEX('4 The queue'!$W$5:$W$212,$A9-1))+2+1,'4 The queue'!$W$5:$W$212,0)),9999)+'1 Inputs'!$B$22+'1 Inputs'!$B$23+'1 Inputs'!$B$24+'1 Inputs'!$B$25),'4 The queue'!$T$5:$T$40,1))=(IFERROR(INDEX('4 The queue'!$U$5:$U$212,MATCH(IF($A9&lt;=1,0,INDEX('4 The queue'!$W$5:$W$212,$A9-1))+2+1,'4 The queue'!$W$5:$W$212,0)),9999)+'1 Inputs'!$B$22+'1 Inputs'!$B$23+'1 Inputs'!$B$24+'1 Inputs'!$B$25),0,1)),9999)+'1 Inputs'!$B$26</f>
        <v>55</v>
      </c>
      <c r="M9" s="19" t="n">
        <f aca="false">IFERROR(INDEX('4 The queue'!$T$5:$T$40,MATCH((IFERROR(INDEX('4 The queue'!$U$5:$U$212,MATCH(IF($A9&lt;=1,0,INDEX('4 The queue'!$W$5:$W$212,$A9-1))+3+1,'4 The queue'!$W$5:$W$212,0)),9999)+'1 Inputs'!$B$22+'1 Inputs'!$B$23+'1 Inputs'!$B$24+'1 Inputs'!$B$25),'4 The queue'!$T$5:$T$40,1)+IF(INDEX('4 The queue'!$T$5:$T$40,MATCH((IFERROR(INDEX('4 The queue'!$U$5:$U$212,MATCH(IF($A9&lt;=1,0,INDEX('4 The queue'!$W$5:$W$212,$A9-1))+3+1,'4 The queue'!$W$5:$W$212,0)),9999)+'1 Inputs'!$B$22+'1 Inputs'!$B$23+'1 Inputs'!$B$24+'1 Inputs'!$B$25),'4 The queue'!$T$5:$T$40,1))=(IFERROR(INDEX('4 The queue'!$U$5:$U$212,MATCH(IF($A9&lt;=1,0,INDEX('4 The queue'!$W$5:$W$212,$A9-1))+3+1,'4 The queue'!$W$5:$W$212,0)),9999)+'1 Inputs'!$B$22+'1 Inputs'!$B$23+'1 Inputs'!$B$24+'1 Inputs'!$B$25),0,1)),9999)+'1 Inputs'!$B$26</f>
        <v>55</v>
      </c>
      <c r="N9" s="19" t="n">
        <f aca="false">IFERROR(INDEX('4 The queue'!$T$5:$T$40,MATCH((IFERROR(INDEX('4 The queue'!$U$5:$U$212,MATCH(IF($A9&lt;=1,0,INDEX('4 The queue'!$W$5:$W$212,$A9-1))+4+1,'4 The queue'!$W$5:$W$212,0)),9999)+'1 Inputs'!$B$22+'1 Inputs'!$B$23+'1 Inputs'!$B$24+'1 Inputs'!$B$25),'4 The queue'!$T$5:$T$40,1)+IF(INDEX('4 The queue'!$T$5:$T$40,MATCH((IFERROR(INDEX('4 The queue'!$U$5:$U$212,MATCH(IF($A9&lt;=1,0,INDEX('4 The queue'!$W$5:$W$212,$A9-1))+4+1,'4 The queue'!$W$5:$W$212,0)),9999)+'1 Inputs'!$B$22+'1 Inputs'!$B$23+'1 Inputs'!$B$24+'1 Inputs'!$B$25),'4 The queue'!$T$5:$T$40,1))=(IFERROR(INDEX('4 The queue'!$U$5:$U$212,MATCH(IF($A9&lt;=1,0,INDEX('4 The queue'!$W$5:$W$212,$A9-1))+4+1,'4 The queue'!$W$5:$W$212,0)),9999)+'1 Inputs'!$B$22+'1 Inputs'!$B$23+'1 Inputs'!$B$24+'1 Inputs'!$B$25),0,1)),9999)+'1 Inputs'!$B$26</f>
        <v>55</v>
      </c>
      <c r="O9" s="19" t="n">
        <f aca="false">IFERROR(INDEX('4 The queue'!$T$5:$T$40,MATCH((IFERROR(INDEX('4 The queue'!$U$5:$U$212,MATCH(IF($A9&lt;=1,0,INDEX('4 The queue'!$W$5:$W$212,$A9-1))+5+1,'4 The queue'!$W$5:$W$212,0)),9999)+'1 Inputs'!$B$22+'1 Inputs'!$B$23+'1 Inputs'!$B$24+'1 Inputs'!$B$25),'4 The queue'!$T$5:$T$40,1)+IF(INDEX('4 The queue'!$T$5:$T$40,MATCH((IFERROR(INDEX('4 The queue'!$U$5:$U$212,MATCH(IF($A9&lt;=1,0,INDEX('4 The queue'!$W$5:$W$212,$A9-1))+5+1,'4 The queue'!$W$5:$W$212,0)),9999)+'1 Inputs'!$B$22+'1 Inputs'!$B$23+'1 Inputs'!$B$24+'1 Inputs'!$B$25),'4 The queue'!$T$5:$T$40,1))=(IFERROR(INDEX('4 The queue'!$U$5:$U$212,MATCH(IF($A9&lt;=1,0,INDEX('4 The queue'!$W$5:$W$212,$A9-1))+5+1,'4 The queue'!$W$5:$W$212,0)),9999)+'1 Inputs'!$B$22+'1 Inputs'!$B$23+'1 Inputs'!$B$24+'1 Inputs'!$B$25),0,1)),9999)+'1 Inputs'!$B$26</f>
        <v>55</v>
      </c>
      <c r="P9" s="19" t="n">
        <f aca="false">IFERROR(INDEX('4 The queue'!$T$5:$T$40,MATCH((IFERROR(INDEX('4 The queue'!$U$5:$U$212,MATCH(IF($A9&lt;=1,0,INDEX('4 The queue'!$W$5:$W$212,$A9-1))+6+1,'4 The queue'!$W$5:$W$212,0)),9999)+'1 Inputs'!$B$22+'1 Inputs'!$B$23+'1 Inputs'!$B$24+'1 Inputs'!$B$25),'4 The queue'!$T$5:$T$40,1)+IF(INDEX('4 The queue'!$T$5:$T$40,MATCH((IFERROR(INDEX('4 The queue'!$U$5:$U$212,MATCH(IF($A9&lt;=1,0,INDEX('4 The queue'!$W$5:$W$212,$A9-1))+6+1,'4 The queue'!$W$5:$W$212,0)),9999)+'1 Inputs'!$B$22+'1 Inputs'!$B$23+'1 Inputs'!$B$24+'1 Inputs'!$B$25),'4 The queue'!$T$5:$T$40,1))=(IFERROR(INDEX('4 The queue'!$U$5:$U$212,MATCH(IF($A9&lt;=1,0,INDEX('4 The queue'!$W$5:$W$212,$A9-1))+6+1,'4 The queue'!$W$5:$W$212,0)),9999)+'1 Inputs'!$B$22+'1 Inputs'!$B$23+'1 Inputs'!$B$24+'1 Inputs'!$B$25),0,1)),9999)+'1 Inputs'!$B$26</f>
        <v>71</v>
      </c>
      <c r="Q9" s="19" t="n">
        <f aca="false">IFERROR(INDEX('4 The queue'!$T$5:$T$40,MATCH((IFERROR(INDEX('4 The queue'!$U$5:$U$212,MATCH(IF($A9&lt;=1,0,INDEX('4 The queue'!$W$5:$W$212,$A9-1))+7+1,'4 The queue'!$W$5:$W$212,0)),9999)+'1 Inputs'!$B$22+'1 Inputs'!$B$23+'1 Inputs'!$B$24+'1 Inputs'!$B$25),'4 The queue'!$T$5:$T$40,1)+IF(INDEX('4 The queue'!$T$5:$T$40,MATCH((IFERROR(INDEX('4 The queue'!$U$5:$U$212,MATCH(IF($A9&lt;=1,0,INDEX('4 The queue'!$W$5:$W$212,$A9-1))+7+1,'4 The queue'!$W$5:$W$212,0)),9999)+'1 Inputs'!$B$22+'1 Inputs'!$B$23+'1 Inputs'!$B$24+'1 Inputs'!$B$25),'4 The queue'!$T$5:$T$40,1))=(IFERROR(INDEX('4 The queue'!$U$5:$U$212,MATCH(IF($A9&lt;=1,0,INDEX('4 The queue'!$W$5:$W$212,$A9-1))+7+1,'4 The queue'!$W$5:$W$212,0)),9999)+'1 Inputs'!$B$22+'1 Inputs'!$B$23+'1 Inputs'!$B$24+'1 Inputs'!$B$25),0,1)),9999)+'1 Inputs'!$B$26</f>
        <v>71</v>
      </c>
      <c r="R9" s="19" t="n">
        <f aca="false">IFERROR(INDEX('4 The queue'!$T$5:$T$40,MATCH((IFERROR(INDEX('4 The queue'!$U$5:$U$212,MATCH(IF($A9&lt;=1,0,INDEX('4 The queue'!$W$5:$W$212,$A9-1))+8+1,'4 The queue'!$W$5:$W$212,0)),9999)+'1 Inputs'!$B$22+'1 Inputs'!$B$23+'1 Inputs'!$B$24+'1 Inputs'!$B$25),'4 The queue'!$T$5:$T$40,1)+IF(INDEX('4 The queue'!$T$5:$T$40,MATCH((IFERROR(INDEX('4 The queue'!$U$5:$U$212,MATCH(IF($A9&lt;=1,0,INDEX('4 The queue'!$W$5:$W$212,$A9-1))+8+1,'4 The queue'!$W$5:$W$212,0)),9999)+'1 Inputs'!$B$22+'1 Inputs'!$B$23+'1 Inputs'!$B$24+'1 Inputs'!$B$25),'4 The queue'!$T$5:$T$40,1))=(IFERROR(INDEX('4 The queue'!$U$5:$U$212,MATCH(IF($A9&lt;=1,0,INDEX('4 The queue'!$W$5:$W$212,$A9-1))+8+1,'4 The queue'!$W$5:$W$212,0)),9999)+'1 Inputs'!$B$22+'1 Inputs'!$B$23+'1 Inputs'!$B$24+'1 Inputs'!$B$25),0,1)),9999)+'1 Inputs'!$B$26</f>
        <v>71</v>
      </c>
      <c r="S9" s="19" t="n">
        <f aca="false">IFERROR(INDEX('4 The queue'!$T$5:$T$40,MATCH((IFERROR(INDEX('4 The queue'!$U$5:$U$212,MATCH(IF($A9&lt;=1,0,INDEX('4 The queue'!$W$5:$W$212,$A9-1))+9+1,'4 The queue'!$W$5:$W$212,0)),9999)+'1 Inputs'!$B$22+'1 Inputs'!$B$23+'1 Inputs'!$B$24+'1 Inputs'!$B$25),'4 The queue'!$T$5:$T$40,1)+IF(INDEX('4 The queue'!$T$5:$T$40,MATCH((IFERROR(INDEX('4 The queue'!$U$5:$U$212,MATCH(IF($A9&lt;=1,0,INDEX('4 The queue'!$W$5:$W$212,$A9-1))+9+1,'4 The queue'!$W$5:$W$212,0)),9999)+'1 Inputs'!$B$22+'1 Inputs'!$B$23+'1 Inputs'!$B$24+'1 Inputs'!$B$25),'4 The queue'!$T$5:$T$40,1))=(IFERROR(INDEX('4 The queue'!$U$5:$U$212,MATCH(IF($A9&lt;=1,0,INDEX('4 The queue'!$W$5:$W$212,$A9-1))+9+1,'4 The queue'!$W$5:$W$212,0)),9999)+'1 Inputs'!$B$22+'1 Inputs'!$B$23+'1 Inputs'!$B$24+'1 Inputs'!$B$25),0,1)),9999)+'1 Inputs'!$B$26</f>
        <v>71</v>
      </c>
      <c r="T9" s="19" t="n">
        <f aca="false">IFERROR(INDEX('4 The queue'!$T$5:$T$40,MATCH((IFERROR(INDEX('4 The queue'!$U$5:$U$212,MATCH(IF($A9&lt;=1,0,INDEX('4 The queue'!$W$5:$W$212,$A9-1))+10+1,'4 The queue'!$W$5:$W$212,0)),9999)+'1 Inputs'!$B$22+'1 Inputs'!$B$23+'1 Inputs'!$B$24+'1 Inputs'!$B$25),'4 The queue'!$T$5:$T$40,1)+IF(INDEX('4 The queue'!$T$5:$T$40,MATCH((IFERROR(INDEX('4 The queue'!$U$5:$U$212,MATCH(IF($A9&lt;=1,0,INDEX('4 The queue'!$W$5:$W$212,$A9-1))+10+1,'4 The queue'!$W$5:$W$212,0)),9999)+'1 Inputs'!$B$22+'1 Inputs'!$B$23+'1 Inputs'!$B$24+'1 Inputs'!$B$25),'4 The queue'!$T$5:$T$40,1))=(IFERROR(INDEX('4 The queue'!$U$5:$U$212,MATCH(IF($A9&lt;=1,0,INDEX('4 The queue'!$W$5:$W$212,$A9-1))+10+1,'4 The queue'!$W$5:$W$212,0)),9999)+'1 Inputs'!$B$22+'1 Inputs'!$B$23+'1 Inputs'!$B$24+'1 Inputs'!$B$25),0,1)),9999)+'1 Inputs'!$B$26</f>
        <v>71</v>
      </c>
      <c r="U9" s="19" t="n">
        <f aca="false">IFERROR(INDEX('4 The queue'!$T$5:$T$40,MATCH((IFERROR(INDEX('4 The queue'!$U$5:$U$212,MATCH(IF($A9&lt;=1,0,INDEX('4 The queue'!$W$5:$W$212,$A9-1))+11+1,'4 The queue'!$W$5:$W$212,0)),9999)+'1 Inputs'!$B$22+'1 Inputs'!$B$23+'1 Inputs'!$B$24+'1 Inputs'!$B$25),'4 The queue'!$T$5:$T$40,1)+IF(INDEX('4 The queue'!$T$5:$T$40,MATCH((IFERROR(INDEX('4 The queue'!$U$5:$U$212,MATCH(IF($A9&lt;=1,0,INDEX('4 The queue'!$W$5:$W$212,$A9-1))+11+1,'4 The queue'!$W$5:$W$212,0)),9999)+'1 Inputs'!$B$22+'1 Inputs'!$B$23+'1 Inputs'!$B$24+'1 Inputs'!$B$25),'4 The queue'!$T$5:$T$40,1))=(IFERROR(INDEX('4 The queue'!$U$5:$U$212,MATCH(IF($A9&lt;=1,0,INDEX('4 The queue'!$W$5:$W$212,$A9-1))+11+1,'4 The queue'!$W$5:$W$212,0)),9999)+'1 Inputs'!$B$22+'1 Inputs'!$B$23+'1 Inputs'!$B$24+'1 Inputs'!$B$25),0,1)),9999)+'1 Inputs'!$B$26</f>
        <v>71</v>
      </c>
      <c r="V9" s="19" t="n">
        <f aca="false">IFERROR(INDEX('4 The queue'!$T$5:$T$40,MATCH((IFERROR(INDEX('4 The queue'!$U$5:$U$212,MATCH(IF($A9&lt;=1,0,INDEX('4 The queue'!$W$5:$W$212,$A9-1))+12+1,'4 The queue'!$W$5:$W$212,0)),9999)+'1 Inputs'!$B$22+'1 Inputs'!$B$23+'1 Inputs'!$B$24+'1 Inputs'!$B$25),'4 The queue'!$T$5:$T$40,1)+IF(INDEX('4 The queue'!$T$5:$T$40,MATCH((IFERROR(INDEX('4 The queue'!$U$5:$U$212,MATCH(IF($A9&lt;=1,0,INDEX('4 The queue'!$W$5:$W$212,$A9-1))+12+1,'4 The queue'!$W$5:$W$212,0)),9999)+'1 Inputs'!$B$22+'1 Inputs'!$B$23+'1 Inputs'!$B$24+'1 Inputs'!$B$25),'4 The queue'!$T$5:$T$40,1))=(IFERROR(INDEX('4 The queue'!$U$5:$U$212,MATCH(IF($A9&lt;=1,0,INDEX('4 The queue'!$W$5:$W$212,$A9-1))+12+1,'4 The queue'!$W$5:$W$212,0)),9999)+'1 Inputs'!$B$22+'1 Inputs'!$B$23+'1 Inputs'!$B$24+'1 Inputs'!$B$25),0,1)),9999)+'1 Inputs'!$B$26</f>
        <v>71</v>
      </c>
      <c r="W9" s="19" t="n">
        <f aca="false">IFERROR(INDEX('4 The queue'!$T$5:$T$40,MATCH((IFERROR(INDEX('4 The queue'!$U$5:$U$212,MATCH(IF($A9&lt;=1,0,INDEX('4 The queue'!$W$5:$W$212,$A9-1))+13+1,'4 The queue'!$W$5:$W$212,0)),9999)+'1 Inputs'!$B$22+'1 Inputs'!$B$23+'1 Inputs'!$B$24+'1 Inputs'!$B$25),'4 The queue'!$T$5:$T$40,1)+IF(INDEX('4 The queue'!$T$5:$T$40,MATCH((IFERROR(INDEX('4 The queue'!$U$5:$U$212,MATCH(IF($A9&lt;=1,0,INDEX('4 The queue'!$W$5:$W$212,$A9-1))+13+1,'4 The queue'!$W$5:$W$212,0)),9999)+'1 Inputs'!$B$22+'1 Inputs'!$B$23+'1 Inputs'!$B$24+'1 Inputs'!$B$25),'4 The queue'!$T$5:$T$40,1))=(IFERROR(INDEX('4 The queue'!$U$5:$U$212,MATCH(IF($A9&lt;=1,0,INDEX('4 The queue'!$W$5:$W$212,$A9-1))+13+1,'4 The queue'!$W$5:$W$212,0)),9999)+'1 Inputs'!$B$22+'1 Inputs'!$B$23+'1 Inputs'!$B$24+'1 Inputs'!$B$25),0,1)),9999)+'1 Inputs'!$B$26</f>
        <v>71</v>
      </c>
      <c r="X9" s="19" t="n">
        <f aca="false">IFERROR(INDEX('4 The queue'!$T$5:$T$40,MATCH((IFERROR(INDEX('4 The queue'!$U$5:$U$212,MATCH(IF($A9&lt;=1,0,INDEX('4 The queue'!$W$5:$W$212,$A9-1))+14+1,'4 The queue'!$W$5:$W$212,0)),9999)+'1 Inputs'!$B$22+'1 Inputs'!$B$23+'1 Inputs'!$B$24+'1 Inputs'!$B$25),'4 The queue'!$T$5:$T$40,1)+IF(INDEX('4 The queue'!$T$5:$T$40,MATCH((IFERROR(INDEX('4 The queue'!$U$5:$U$212,MATCH(IF($A9&lt;=1,0,INDEX('4 The queue'!$W$5:$W$212,$A9-1))+14+1,'4 The queue'!$W$5:$W$212,0)),9999)+'1 Inputs'!$B$22+'1 Inputs'!$B$23+'1 Inputs'!$B$24+'1 Inputs'!$B$25),'4 The queue'!$T$5:$T$40,1))=(IFERROR(INDEX('4 The queue'!$U$5:$U$212,MATCH(IF($A9&lt;=1,0,INDEX('4 The queue'!$W$5:$W$212,$A9-1))+14+1,'4 The queue'!$W$5:$W$212,0)),9999)+'1 Inputs'!$B$22+'1 Inputs'!$B$23+'1 Inputs'!$B$24+'1 Inputs'!$B$25),0,1)),9999)+'1 Inputs'!$B$26</f>
        <v>71</v>
      </c>
      <c r="Y9" s="19" t="n">
        <f aca="false">IFERROR(INDEX('4 The queue'!$T$5:$T$40,MATCH((IFERROR(INDEX('4 The queue'!$U$5:$U$212,MATCH(IF($A9&lt;=1,0,INDEX('4 The queue'!$W$5:$W$212,$A9-1))+15+1,'4 The queue'!$W$5:$W$212,0)),9999)+'1 Inputs'!$B$22+'1 Inputs'!$B$23+'1 Inputs'!$B$24+'1 Inputs'!$B$25),'4 The queue'!$T$5:$T$40,1)+IF(INDEX('4 The queue'!$T$5:$T$40,MATCH((IFERROR(INDEX('4 The queue'!$U$5:$U$212,MATCH(IF($A9&lt;=1,0,INDEX('4 The queue'!$W$5:$W$212,$A9-1))+15+1,'4 The queue'!$W$5:$W$212,0)),9999)+'1 Inputs'!$B$22+'1 Inputs'!$B$23+'1 Inputs'!$B$24+'1 Inputs'!$B$25),'4 The queue'!$T$5:$T$40,1))=(IFERROR(INDEX('4 The queue'!$U$5:$U$212,MATCH(IF($A9&lt;=1,0,INDEX('4 The queue'!$W$5:$W$212,$A9-1))+15+1,'4 The queue'!$W$5:$W$212,0)),9999)+'1 Inputs'!$B$22+'1 Inputs'!$B$23+'1 Inputs'!$B$24+'1 Inputs'!$B$25),0,1)),9999)+'1 Inputs'!$B$26</f>
        <v>71</v>
      </c>
      <c r="Z9" s="19" t="n">
        <f aca="false">IFERROR(INDEX('4 The queue'!$T$5:$T$40,MATCH((IFERROR(INDEX('4 The queue'!$U$5:$U$212,MATCH(IF($A9&lt;=1,0,INDEX('4 The queue'!$W$5:$W$212,$A9-1))+16+1,'4 The queue'!$W$5:$W$212,0)),9999)+'1 Inputs'!$B$22+'1 Inputs'!$B$23+'1 Inputs'!$B$24+'1 Inputs'!$B$25),'4 The queue'!$T$5:$T$40,1)+IF(INDEX('4 The queue'!$T$5:$T$40,MATCH((IFERROR(INDEX('4 The queue'!$U$5:$U$212,MATCH(IF($A9&lt;=1,0,INDEX('4 The queue'!$W$5:$W$212,$A9-1))+16+1,'4 The queue'!$W$5:$W$212,0)),9999)+'1 Inputs'!$B$22+'1 Inputs'!$B$23+'1 Inputs'!$B$24+'1 Inputs'!$B$25),'4 The queue'!$T$5:$T$40,1))=(IFERROR(INDEX('4 The queue'!$U$5:$U$212,MATCH(IF($A9&lt;=1,0,INDEX('4 The queue'!$W$5:$W$212,$A9-1))+16+1,'4 The queue'!$W$5:$W$212,0)),9999)+'1 Inputs'!$B$22+'1 Inputs'!$B$23+'1 Inputs'!$B$24+'1 Inputs'!$B$25),0,1)),9999)+'1 Inputs'!$B$26</f>
        <v>71</v>
      </c>
      <c r="AA9" s="19" t="n">
        <f aca="false">IFERROR(INDEX('4 The queue'!$T$5:$T$40,MATCH((IFERROR(INDEX('4 The queue'!$U$5:$U$212,MATCH(IF($A9&lt;=1,0,INDEX('4 The queue'!$W$5:$W$212,$A9-1))+17+1,'4 The queue'!$W$5:$W$212,0)),9999)+'1 Inputs'!$B$22+'1 Inputs'!$B$23+'1 Inputs'!$B$24+'1 Inputs'!$B$25),'4 The queue'!$T$5:$T$40,1)+IF(INDEX('4 The queue'!$T$5:$T$40,MATCH((IFERROR(INDEX('4 The queue'!$U$5:$U$212,MATCH(IF($A9&lt;=1,0,INDEX('4 The queue'!$W$5:$W$212,$A9-1))+17+1,'4 The queue'!$W$5:$W$212,0)),9999)+'1 Inputs'!$B$22+'1 Inputs'!$B$23+'1 Inputs'!$B$24+'1 Inputs'!$B$25),'4 The queue'!$T$5:$T$40,1))=(IFERROR(INDEX('4 The queue'!$U$5:$U$212,MATCH(IF($A9&lt;=1,0,INDEX('4 The queue'!$W$5:$W$212,$A9-1))+17+1,'4 The queue'!$W$5:$W$212,0)),9999)+'1 Inputs'!$B$22+'1 Inputs'!$B$23+'1 Inputs'!$B$24+'1 Inputs'!$B$25),0,1)),9999)+'1 Inputs'!$B$26</f>
        <v>71</v>
      </c>
      <c r="AB9" s="19" t="n">
        <f aca="false">IFERROR(INDEX('4 The queue'!$T$5:$T$40,MATCH((IFERROR(INDEX('4 The queue'!$U$5:$U$212,MATCH(IF($A9&lt;=1,0,INDEX('4 The queue'!$W$5:$W$212,$A9-1))+18+1,'4 The queue'!$W$5:$W$212,0)),9999)+'1 Inputs'!$B$22+'1 Inputs'!$B$23+'1 Inputs'!$B$24+'1 Inputs'!$B$25),'4 The queue'!$T$5:$T$40,1)+IF(INDEX('4 The queue'!$T$5:$T$40,MATCH((IFERROR(INDEX('4 The queue'!$U$5:$U$212,MATCH(IF($A9&lt;=1,0,INDEX('4 The queue'!$W$5:$W$212,$A9-1))+18+1,'4 The queue'!$W$5:$W$212,0)),9999)+'1 Inputs'!$B$22+'1 Inputs'!$B$23+'1 Inputs'!$B$24+'1 Inputs'!$B$25),'4 The queue'!$T$5:$T$40,1))=(IFERROR(INDEX('4 The queue'!$U$5:$U$212,MATCH(IF($A9&lt;=1,0,INDEX('4 The queue'!$W$5:$W$212,$A9-1))+18+1,'4 The queue'!$W$5:$W$212,0)),9999)+'1 Inputs'!$B$22+'1 Inputs'!$B$23+'1 Inputs'!$B$24+'1 Inputs'!$B$25),0,1)),9999)+'1 Inputs'!$B$26</f>
        <v>84</v>
      </c>
      <c r="AC9" s="19" t="n">
        <f aca="false">IFERROR(INDEX('4 The queue'!$T$5:$T$40,MATCH((IFERROR(INDEX('4 The queue'!$U$5:$U$212,MATCH(IF($A9&lt;=1,0,INDEX('4 The queue'!$W$5:$W$212,$A9-1))+19+1,'4 The queue'!$W$5:$W$212,0)),9999)+'1 Inputs'!$B$22+'1 Inputs'!$B$23+'1 Inputs'!$B$24+'1 Inputs'!$B$25),'4 The queue'!$T$5:$T$40,1)+IF(INDEX('4 The queue'!$T$5:$T$40,MATCH((IFERROR(INDEX('4 The queue'!$U$5:$U$212,MATCH(IF($A9&lt;=1,0,INDEX('4 The queue'!$W$5:$W$212,$A9-1))+19+1,'4 The queue'!$W$5:$W$212,0)),9999)+'1 Inputs'!$B$22+'1 Inputs'!$B$23+'1 Inputs'!$B$24+'1 Inputs'!$B$25),'4 The queue'!$T$5:$T$40,1))=(IFERROR(INDEX('4 The queue'!$U$5:$U$212,MATCH(IF($A9&lt;=1,0,INDEX('4 The queue'!$W$5:$W$212,$A9-1))+19+1,'4 The queue'!$W$5:$W$212,0)),9999)+'1 Inputs'!$B$22+'1 Inputs'!$B$23+'1 Inputs'!$B$24+'1 Inputs'!$B$25),0,1)),9999)+'1 Inputs'!$B$26</f>
        <v>84</v>
      </c>
      <c r="AD9" s="19" t="n">
        <f aca="false">IFERROR(INDEX('4 The queue'!$T$5:$T$40,MATCH((IFERROR(INDEX('4 The queue'!$U$5:$U$212,MATCH(IF($A9&lt;=1,0,INDEX('4 The queue'!$W$5:$W$212,$A9-1))+20+1,'4 The queue'!$W$5:$W$212,0)),9999)+'1 Inputs'!$B$22+'1 Inputs'!$B$23+'1 Inputs'!$B$24+'1 Inputs'!$B$25),'4 The queue'!$T$5:$T$40,1)+IF(INDEX('4 The queue'!$T$5:$T$40,MATCH((IFERROR(INDEX('4 The queue'!$U$5:$U$212,MATCH(IF($A9&lt;=1,0,INDEX('4 The queue'!$W$5:$W$212,$A9-1))+20+1,'4 The queue'!$W$5:$W$212,0)),9999)+'1 Inputs'!$B$22+'1 Inputs'!$B$23+'1 Inputs'!$B$24+'1 Inputs'!$B$25),'4 The queue'!$T$5:$T$40,1))=(IFERROR(INDEX('4 The queue'!$U$5:$U$212,MATCH(IF($A9&lt;=1,0,INDEX('4 The queue'!$W$5:$W$212,$A9-1))+20+1,'4 The queue'!$W$5:$W$212,0)),9999)+'1 Inputs'!$B$22+'1 Inputs'!$B$23+'1 Inputs'!$B$24+'1 Inputs'!$B$25),0,1)),9999)+'1 Inputs'!$B$26</f>
        <v>84</v>
      </c>
      <c r="AE9" s="19" t="n">
        <f aca="false">IFERROR(INDEX('4 The queue'!$T$5:$T$40,MATCH((IFERROR(INDEX('4 The queue'!$U$5:$U$212,MATCH(IF($A9&lt;=1,0,INDEX('4 The queue'!$W$5:$W$212,$A9-1))+21+1,'4 The queue'!$W$5:$W$212,0)),9999)+'1 Inputs'!$B$22+'1 Inputs'!$B$23+'1 Inputs'!$B$24+'1 Inputs'!$B$25),'4 The queue'!$T$5:$T$40,1)+IF(INDEX('4 The queue'!$T$5:$T$40,MATCH((IFERROR(INDEX('4 The queue'!$U$5:$U$212,MATCH(IF($A9&lt;=1,0,INDEX('4 The queue'!$W$5:$W$212,$A9-1))+21+1,'4 The queue'!$W$5:$W$212,0)),9999)+'1 Inputs'!$B$22+'1 Inputs'!$B$23+'1 Inputs'!$B$24+'1 Inputs'!$B$25),'4 The queue'!$T$5:$T$40,1))=(IFERROR(INDEX('4 The queue'!$U$5:$U$212,MATCH(IF($A9&lt;=1,0,INDEX('4 The queue'!$W$5:$W$212,$A9-1))+21+1,'4 The queue'!$W$5:$W$212,0)),9999)+'1 Inputs'!$B$22+'1 Inputs'!$B$23+'1 Inputs'!$B$24+'1 Inputs'!$B$25),0,1)),9999)+'1 Inputs'!$B$26</f>
        <v>84</v>
      </c>
      <c r="AF9" s="19" t="n">
        <f aca="false">IFERROR(INDEX('4 The queue'!$T$5:$T$40,MATCH((IFERROR(INDEX('4 The queue'!$U$5:$U$212,MATCH(IF($A9&lt;=1,0,INDEX('4 The queue'!$W$5:$W$212,$A9-1))+22+1,'4 The queue'!$W$5:$W$212,0)),9999)+'1 Inputs'!$B$22+'1 Inputs'!$B$23+'1 Inputs'!$B$24+'1 Inputs'!$B$25),'4 The queue'!$T$5:$T$40,1)+IF(INDEX('4 The queue'!$T$5:$T$40,MATCH((IFERROR(INDEX('4 The queue'!$U$5:$U$212,MATCH(IF($A9&lt;=1,0,INDEX('4 The queue'!$W$5:$W$212,$A9-1))+22+1,'4 The queue'!$W$5:$W$212,0)),9999)+'1 Inputs'!$B$22+'1 Inputs'!$B$23+'1 Inputs'!$B$24+'1 Inputs'!$B$25),'4 The queue'!$T$5:$T$40,1))=(IFERROR(INDEX('4 The queue'!$U$5:$U$212,MATCH(IF($A9&lt;=1,0,INDEX('4 The queue'!$W$5:$W$212,$A9-1))+22+1,'4 The queue'!$W$5:$W$212,0)),9999)+'1 Inputs'!$B$22+'1 Inputs'!$B$23+'1 Inputs'!$B$24+'1 Inputs'!$B$25),0,1)),9999)+'1 Inputs'!$B$26</f>
        <v>84</v>
      </c>
      <c r="AG9" s="19" t="n">
        <f aca="false">IFERROR(INDEX('4 The queue'!$T$5:$T$40,MATCH((IFERROR(INDEX('4 The queue'!$U$5:$U$212,MATCH(IF($A9&lt;=1,0,INDEX('4 The queue'!$W$5:$W$212,$A9-1))+23+1,'4 The queue'!$W$5:$W$212,0)),9999)+'1 Inputs'!$B$22+'1 Inputs'!$B$23+'1 Inputs'!$B$24+'1 Inputs'!$B$25),'4 The queue'!$T$5:$T$40,1)+IF(INDEX('4 The queue'!$T$5:$T$40,MATCH((IFERROR(INDEX('4 The queue'!$U$5:$U$212,MATCH(IF($A9&lt;=1,0,INDEX('4 The queue'!$W$5:$W$212,$A9-1))+23+1,'4 The queue'!$W$5:$W$212,0)),9999)+'1 Inputs'!$B$22+'1 Inputs'!$B$23+'1 Inputs'!$B$24+'1 Inputs'!$B$25),'4 The queue'!$T$5:$T$40,1))=(IFERROR(INDEX('4 The queue'!$U$5:$U$212,MATCH(IF($A9&lt;=1,0,INDEX('4 The queue'!$W$5:$W$212,$A9-1))+23+1,'4 The queue'!$W$5:$W$212,0)),9999)+'1 Inputs'!$B$22+'1 Inputs'!$B$23+'1 Inputs'!$B$24+'1 Inputs'!$B$25),0,1)),9999)+'1 Inputs'!$B$26</f>
        <v>84</v>
      </c>
      <c r="AH9" s="19" t="n">
        <f aca="false">IFERROR(INDEX('4 The queue'!$T$5:$T$40,MATCH((IFERROR(INDEX('4 The queue'!$U$5:$U$212,MATCH(IF($A9&lt;=1,0,INDEX('4 The queue'!$W$5:$W$212,$A9-1))+24+1,'4 The queue'!$W$5:$W$212,0)),9999)+'1 Inputs'!$B$22+'1 Inputs'!$B$23+'1 Inputs'!$B$24+'1 Inputs'!$B$25),'4 The queue'!$T$5:$T$40,1)+IF(INDEX('4 The queue'!$T$5:$T$40,MATCH((IFERROR(INDEX('4 The queue'!$U$5:$U$212,MATCH(IF($A9&lt;=1,0,INDEX('4 The queue'!$W$5:$W$212,$A9-1))+24+1,'4 The queue'!$W$5:$W$212,0)),9999)+'1 Inputs'!$B$22+'1 Inputs'!$B$23+'1 Inputs'!$B$24+'1 Inputs'!$B$25),'4 The queue'!$T$5:$T$40,1))=(IFERROR(INDEX('4 The queue'!$U$5:$U$212,MATCH(IF($A9&lt;=1,0,INDEX('4 The queue'!$W$5:$W$212,$A9-1))+24+1,'4 The queue'!$W$5:$W$212,0)),9999)+'1 Inputs'!$B$22+'1 Inputs'!$B$23+'1 Inputs'!$B$24+'1 Inputs'!$B$25),0,1)),9999)+'1 Inputs'!$B$26</f>
        <v>84</v>
      </c>
      <c r="AI9" s="19" t="n">
        <f aca="false">IFERROR(INDEX('4 The queue'!$T$5:$T$40,MATCH((IFERROR(INDEX('4 The queue'!$U$5:$U$212,MATCH(IF($A9&lt;=1,0,INDEX('4 The queue'!$W$5:$W$212,$A9-1))+25+1,'4 The queue'!$W$5:$W$212,0)),9999)+'1 Inputs'!$B$22+'1 Inputs'!$B$23+'1 Inputs'!$B$24+'1 Inputs'!$B$25),'4 The queue'!$T$5:$T$40,1)+IF(INDEX('4 The queue'!$T$5:$T$40,MATCH((IFERROR(INDEX('4 The queue'!$U$5:$U$212,MATCH(IF($A9&lt;=1,0,INDEX('4 The queue'!$W$5:$W$212,$A9-1))+25+1,'4 The queue'!$W$5:$W$212,0)),9999)+'1 Inputs'!$B$22+'1 Inputs'!$B$23+'1 Inputs'!$B$24+'1 Inputs'!$B$25),'4 The queue'!$T$5:$T$40,1))=(IFERROR(INDEX('4 The queue'!$U$5:$U$212,MATCH(IF($A9&lt;=1,0,INDEX('4 The queue'!$W$5:$W$212,$A9-1))+25+1,'4 The queue'!$W$5:$W$212,0)),9999)+'1 Inputs'!$B$22+'1 Inputs'!$B$23+'1 Inputs'!$B$24+'1 Inputs'!$B$25),0,1)),9999)+'1 Inputs'!$B$26</f>
        <v>84</v>
      </c>
      <c r="AJ9" s="19" t="n">
        <f aca="false">IFERROR(INDEX('4 The queue'!$T$5:$T$40,MATCH((IFERROR(INDEX('4 The queue'!$U$5:$U$212,MATCH(IF($A9&lt;=1,0,INDEX('4 The queue'!$W$5:$W$212,$A9-1))+26+1,'4 The queue'!$W$5:$W$212,0)),9999)+'1 Inputs'!$B$22+'1 Inputs'!$B$23+'1 Inputs'!$B$24+'1 Inputs'!$B$25),'4 The queue'!$T$5:$T$40,1)+IF(INDEX('4 The queue'!$T$5:$T$40,MATCH((IFERROR(INDEX('4 The queue'!$U$5:$U$212,MATCH(IF($A9&lt;=1,0,INDEX('4 The queue'!$W$5:$W$212,$A9-1))+26+1,'4 The queue'!$W$5:$W$212,0)),9999)+'1 Inputs'!$B$22+'1 Inputs'!$B$23+'1 Inputs'!$B$24+'1 Inputs'!$B$25),'4 The queue'!$T$5:$T$40,1))=(IFERROR(INDEX('4 The queue'!$U$5:$U$212,MATCH(IF($A9&lt;=1,0,INDEX('4 The queue'!$W$5:$W$212,$A9-1))+26+1,'4 The queue'!$W$5:$W$212,0)),9999)+'1 Inputs'!$B$22+'1 Inputs'!$B$23+'1 Inputs'!$B$24+'1 Inputs'!$B$25),0,1)),9999)+'1 Inputs'!$B$26</f>
        <v>84</v>
      </c>
      <c r="AK9" s="19" t="n">
        <f aca="false">IFERROR(INDEX('4 The queue'!$T$5:$T$40,MATCH((IFERROR(INDEX('4 The queue'!$U$5:$U$212,MATCH(IF($A9&lt;=1,0,INDEX('4 The queue'!$W$5:$W$212,$A9-1))+27+1,'4 The queue'!$W$5:$W$212,0)),9999)+'1 Inputs'!$B$22+'1 Inputs'!$B$23+'1 Inputs'!$B$24+'1 Inputs'!$B$25),'4 The queue'!$T$5:$T$40,1)+IF(INDEX('4 The queue'!$T$5:$T$40,MATCH((IFERROR(INDEX('4 The queue'!$U$5:$U$212,MATCH(IF($A9&lt;=1,0,INDEX('4 The queue'!$W$5:$W$212,$A9-1))+27+1,'4 The queue'!$W$5:$W$212,0)),9999)+'1 Inputs'!$B$22+'1 Inputs'!$B$23+'1 Inputs'!$B$24+'1 Inputs'!$B$25),'4 The queue'!$T$5:$T$40,1))=(IFERROR(INDEX('4 The queue'!$U$5:$U$212,MATCH(IF($A9&lt;=1,0,INDEX('4 The queue'!$W$5:$W$212,$A9-1))+27+1,'4 The queue'!$W$5:$W$212,0)),9999)+'1 Inputs'!$B$22+'1 Inputs'!$B$23+'1 Inputs'!$B$24+'1 Inputs'!$B$25),0,1)),9999)+'1 Inputs'!$B$26</f>
        <v>84</v>
      </c>
      <c r="AL9" s="19" t="n">
        <f aca="false">IFERROR(INDEX('4 The queue'!$T$5:$T$40,MATCH((IFERROR(INDEX('4 The queue'!$U$5:$U$212,MATCH(IF($A9&lt;=1,0,INDEX('4 The queue'!$W$5:$W$212,$A9-1))+28+1,'4 The queue'!$W$5:$W$212,0)),9999)+'1 Inputs'!$B$22+'1 Inputs'!$B$23+'1 Inputs'!$B$24+'1 Inputs'!$B$25),'4 The queue'!$T$5:$T$40,1)+IF(INDEX('4 The queue'!$T$5:$T$40,MATCH((IFERROR(INDEX('4 The queue'!$U$5:$U$212,MATCH(IF($A9&lt;=1,0,INDEX('4 The queue'!$W$5:$W$212,$A9-1))+28+1,'4 The queue'!$W$5:$W$212,0)),9999)+'1 Inputs'!$B$22+'1 Inputs'!$B$23+'1 Inputs'!$B$24+'1 Inputs'!$B$25),'4 The queue'!$T$5:$T$40,1))=(IFERROR(INDEX('4 The queue'!$U$5:$U$212,MATCH(IF($A9&lt;=1,0,INDEX('4 The queue'!$W$5:$W$212,$A9-1))+28+1,'4 The queue'!$W$5:$W$212,0)),9999)+'1 Inputs'!$B$22+'1 Inputs'!$B$23+'1 Inputs'!$B$24+'1 Inputs'!$B$25),0,1)),9999)+'1 Inputs'!$B$26</f>
        <v>97</v>
      </c>
      <c r="AM9" s="19" t="n">
        <f aca="false">IFERROR(INDEX('4 The queue'!$T$5:$T$40,MATCH((IFERROR(INDEX('4 The queue'!$U$5:$U$212,MATCH(IF($A9&lt;=1,0,INDEX('4 The queue'!$W$5:$W$212,$A9-1))+29+1,'4 The queue'!$W$5:$W$212,0)),9999)+'1 Inputs'!$B$22+'1 Inputs'!$B$23+'1 Inputs'!$B$24+'1 Inputs'!$B$25),'4 The queue'!$T$5:$T$40,1)+IF(INDEX('4 The queue'!$T$5:$T$40,MATCH((IFERROR(INDEX('4 The queue'!$U$5:$U$212,MATCH(IF($A9&lt;=1,0,INDEX('4 The queue'!$W$5:$W$212,$A9-1))+29+1,'4 The queue'!$W$5:$W$212,0)),9999)+'1 Inputs'!$B$22+'1 Inputs'!$B$23+'1 Inputs'!$B$24+'1 Inputs'!$B$25),'4 The queue'!$T$5:$T$40,1))=(IFERROR(INDEX('4 The queue'!$U$5:$U$212,MATCH(IF($A9&lt;=1,0,INDEX('4 The queue'!$W$5:$W$212,$A9-1))+29+1,'4 The queue'!$W$5:$W$212,0)),9999)+'1 Inputs'!$B$22+'1 Inputs'!$B$23+'1 Inputs'!$B$24+'1 Inputs'!$B$25),0,1)),9999)+'1 Inputs'!$B$26</f>
        <v>97</v>
      </c>
      <c r="AN9" s="19" t="n">
        <f aca="false">IFERROR(INDEX('4 The queue'!$T$5:$T$40,MATCH((IFERROR(INDEX('4 The queue'!$U$5:$U$212,MATCH(IF($A9&lt;=1,0,INDEX('4 The queue'!$W$5:$W$212,$A9-1))+30+1,'4 The queue'!$W$5:$W$212,0)),9999)+'1 Inputs'!$B$22+'1 Inputs'!$B$23+'1 Inputs'!$B$24+'1 Inputs'!$B$25),'4 The queue'!$T$5:$T$40,1)+IF(INDEX('4 The queue'!$T$5:$T$40,MATCH((IFERROR(INDEX('4 The queue'!$U$5:$U$212,MATCH(IF($A9&lt;=1,0,INDEX('4 The queue'!$W$5:$W$212,$A9-1))+30+1,'4 The queue'!$W$5:$W$212,0)),9999)+'1 Inputs'!$B$22+'1 Inputs'!$B$23+'1 Inputs'!$B$24+'1 Inputs'!$B$25),'4 The queue'!$T$5:$T$40,1))=(IFERROR(INDEX('4 The queue'!$U$5:$U$212,MATCH(IF($A9&lt;=1,0,INDEX('4 The queue'!$W$5:$W$212,$A9-1))+30+1,'4 The queue'!$W$5:$W$212,0)),9999)+'1 Inputs'!$B$22+'1 Inputs'!$B$23+'1 Inputs'!$B$24+'1 Inputs'!$B$25),0,1)),9999)+'1 Inputs'!$B$26</f>
        <v>97</v>
      </c>
      <c r="AO9" s="19" t="n">
        <f aca="false">IFERROR(INDEX('4 The queue'!$T$5:$T$40,MATCH((IFERROR(INDEX('4 The queue'!$U$5:$U$212,MATCH(IF($A9&lt;=1,0,INDEX('4 The queue'!$W$5:$W$212,$A9-1))+31+1,'4 The queue'!$W$5:$W$212,0)),9999)+'1 Inputs'!$B$22+'1 Inputs'!$B$23+'1 Inputs'!$B$24+'1 Inputs'!$B$25),'4 The queue'!$T$5:$T$40,1)+IF(INDEX('4 The queue'!$T$5:$T$40,MATCH((IFERROR(INDEX('4 The queue'!$U$5:$U$212,MATCH(IF($A9&lt;=1,0,INDEX('4 The queue'!$W$5:$W$212,$A9-1))+31+1,'4 The queue'!$W$5:$W$212,0)),9999)+'1 Inputs'!$B$22+'1 Inputs'!$B$23+'1 Inputs'!$B$24+'1 Inputs'!$B$25),'4 The queue'!$T$5:$T$40,1))=(IFERROR(INDEX('4 The queue'!$U$5:$U$212,MATCH(IF($A9&lt;=1,0,INDEX('4 The queue'!$W$5:$W$212,$A9-1))+31+1,'4 The queue'!$W$5:$W$212,0)),9999)+'1 Inputs'!$B$22+'1 Inputs'!$B$23+'1 Inputs'!$B$24+'1 Inputs'!$B$25),0,1)),9999)+'1 Inputs'!$B$26</f>
        <v>97</v>
      </c>
      <c r="AP9" s="19" t="n">
        <f aca="false">IFERROR(INDEX('4 The queue'!$T$5:$T$40,MATCH((IFERROR(INDEX('4 The queue'!$U$5:$U$212,MATCH(IF($A9&lt;=1,0,INDEX('4 The queue'!$W$5:$W$212,$A9-1))+32+1,'4 The queue'!$W$5:$W$212,0)),9999)+'1 Inputs'!$B$22+'1 Inputs'!$B$23+'1 Inputs'!$B$24+'1 Inputs'!$B$25),'4 The queue'!$T$5:$T$40,1)+IF(INDEX('4 The queue'!$T$5:$T$40,MATCH((IFERROR(INDEX('4 The queue'!$U$5:$U$212,MATCH(IF($A9&lt;=1,0,INDEX('4 The queue'!$W$5:$W$212,$A9-1))+32+1,'4 The queue'!$W$5:$W$212,0)),9999)+'1 Inputs'!$B$22+'1 Inputs'!$B$23+'1 Inputs'!$B$24+'1 Inputs'!$B$25),'4 The queue'!$T$5:$T$40,1))=(IFERROR(INDEX('4 The queue'!$U$5:$U$212,MATCH(IF($A9&lt;=1,0,INDEX('4 The queue'!$W$5:$W$212,$A9-1))+32+1,'4 The queue'!$W$5:$W$212,0)),9999)+'1 Inputs'!$B$22+'1 Inputs'!$B$23+'1 Inputs'!$B$24+'1 Inputs'!$B$25),0,1)),9999)+'1 Inputs'!$B$26</f>
        <v>97</v>
      </c>
      <c r="AQ9" s="19" t="n">
        <f aca="false">IFERROR(INDEX('4 The queue'!$T$5:$T$40,MATCH((IFERROR(INDEX('4 The queue'!$U$5:$U$212,MATCH(IF($A9&lt;=1,0,INDEX('4 The queue'!$W$5:$W$212,$A9-1))+33+1,'4 The queue'!$W$5:$W$212,0)),9999)+'1 Inputs'!$B$22+'1 Inputs'!$B$23+'1 Inputs'!$B$24+'1 Inputs'!$B$25),'4 The queue'!$T$5:$T$40,1)+IF(INDEX('4 The queue'!$T$5:$T$40,MATCH((IFERROR(INDEX('4 The queue'!$U$5:$U$212,MATCH(IF($A9&lt;=1,0,INDEX('4 The queue'!$W$5:$W$212,$A9-1))+33+1,'4 The queue'!$W$5:$W$212,0)),9999)+'1 Inputs'!$B$22+'1 Inputs'!$B$23+'1 Inputs'!$B$24+'1 Inputs'!$B$25),'4 The queue'!$T$5:$T$40,1))=(IFERROR(INDEX('4 The queue'!$U$5:$U$212,MATCH(IF($A9&lt;=1,0,INDEX('4 The queue'!$W$5:$W$212,$A9-1))+33+1,'4 The queue'!$W$5:$W$212,0)),9999)+'1 Inputs'!$B$22+'1 Inputs'!$B$23+'1 Inputs'!$B$24+'1 Inputs'!$B$25),0,1)),9999)+'1 Inputs'!$B$26</f>
        <v>97</v>
      </c>
      <c r="AR9" s="19" t="n">
        <f aca="false">IFERROR(INDEX('4 The queue'!$T$5:$T$40,MATCH((IFERROR(INDEX('4 The queue'!$U$5:$U$212,MATCH(IF($A9&lt;=1,0,INDEX('4 The queue'!$W$5:$W$212,$A9-1))+34+1,'4 The queue'!$W$5:$W$212,0)),9999)+'1 Inputs'!$B$22+'1 Inputs'!$B$23+'1 Inputs'!$B$24+'1 Inputs'!$B$25),'4 The queue'!$T$5:$T$40,1)+IF(INDEX('4 The queue'!$T$5:$T$40,MATCH((IFERROR(INDEX('4 The queue'!$U$5:$U$212,MATCH(IF($A9&lt;=1,0,INDEX('4 The queue'!$W$5:$W$212,$A9-1))+34+1,'4 The queue'!$W$5:$W$212,0)),9999)+'1 Inputs'!$B$22+'1 Inputs'!$B$23+'1 Inputs'!$B$24+'1 Inputs'!$B$25),'4 The queue'!$T$5:$T$40,1))=(IFERROR(INDEX('4 The queue'!$U$5:$U$212,MATCH(IF($A9&lt;=1,0,INDEX('4 The queue'!$W$5:$W$212,$A9-1))+34+1,'4 The queue'!$W$5:$W$212,0)),9999)+'1 Inputs'!$B$22+'1 Inputs'!$B$23+'1 Inputs'!$B$24+'1 Inputs'!$B$25),0,1)),9999)+'1 Inputs'!$B$26</f>
        <v>97</v>
      </c>
      <c r="AS9" s="19" t="n">
        <f aca="false">IFERROR(INDEX('4 The queue'!$T$5:$T$40,MATCH((IFERROR(INDEX('4 The queue'!$U$5:$U$212,MATCH(IF($A9&lt;=1,0,INDEX('4 The queue'!$W$5:$W$212,$A9-1))+35+1,'4 The queue'!$W$5:$W$212,0)),9999)+'1 Inputs'!$B$22+'1 Inputs'!$B$23+'1 Inputs'!$B$24+'1 Inputs'!$B$25),'4 The queue'!$T$5:$T$40,1)+IF(INDEX('4 The queue'!$T$5:$T$40,MATCH((IFERROR(INDEX('4 The queue'!$U$5:$U$212,MATCH(IF($A9&lt;=1,0,INDEX('4 The queue'!$W$5:$W$212,$A9-1))+35+1,'4 The queue'!$W$5:$W$212,0)),9999)+'1 Inputs'!$B$22+'1 Inputs'!$B$23+'1 Inputs'!$B$24+'1 Inputs'!$B$25),'4 The queue'!$T$5:$T$40,1))=(IFERROR(INDEX('4 The queue'!$U$5:$U$212,MATCH(IF($A9&lt;=1,0,INDEX('4 The queue'!$W$5:$W$212,$A9-1))+35+1,'4 The queue'!$W$5:$W$212,0)),9999)+'1 Inputs'!$B$22+'1 Inputs'!$B$23+'1 Inputs'!$B$24+'1 Inputs'!$B$25),0,1)),9999)+'1 Inputs'!$B$26</f>
        <v>97</v>
      </c>
      <c r="AT9" s="19" t="n">
        <f aca="false">IFERROR(INDEX('4 The queue'!$T$5:$T$40,MATCH((IFERROR(INDEX('4 The queue'!$U$5:$U$212,MATCH(IF($A9&lt;=1,0,INDEX('4 The queue'!$W$5:$W$212,$A9-1))+36+1,'4 The queue'!$W$5:$W$212,0)),9999)+'1 Inputs'!$B$22+'1 Inputs'!$B$23+'1 Inputs'!$B$24+'1 Inputs'!$B$25),'4 The queue'!$T$5:$T$40,1)+IF(INDEX('4 The queue'!$T$5:$T$40,MATCH((IFERROR(INDEX('4 The queue'!$U$5:$U$212,MATCH(IF($A9&lt;=1,0,INDEX('4 The queue'!$W$5:$W$212,$A9-1))+36+1,'4 The queue'!$W$5:$W$212,0)),9999)+'1 Inputs'!$B$22+'1 Inputs'!$B$23+'1 Inputs'!$B$24+'1 Inputs'!$B$25),'4 The queue'!$T$5:$T$40,1))=(IFERROR(INDEX('4 The queue'!$U$5:$U$212,MATCH(IF($A9&lt;=1,0,INDEX('4 The queue'!$W$5:$W$212,$A9-1))+36+1,'4 The queue'!$W$5:$W$212,0)),9999)+'1 Inputs'!$B$22+'1 Inputs'!$B$23+'1 Inputs'!$B$24+'1 Inputs'!$B$25),0,1)),9999)+'1 Inputs'!$B$26</f>
        <v>97</v>
      </c>
      <c r="AU9" s="19" t="n">
        <f aca="false">IFERROR(INDEX('4 The queue'!$T$5:$T$40,MATCH((IFERROR(INDEX('4 The queue'!$U$5:$U$212,MATCH(IF($A9&lt;=1,0,INDEX('4 The queue'!$W$5:$W$212,$A9-1))+37+1,'4 The queue'!$W$5:$W$212,0)),9999)+'1 Inputs'!$B$22+'1 Inputs'!$B$23+'1 Inputs'!$B$24+'1 Inputs'!$B$25),'4 The queue'!$T$5:$T$40,1)+IF(INDEX('4 The queue'!$T$5:$T$40,MATCH((IFERROR(INDEX('4 The queue'!$U$5:$U$212,MATCH(IF($A9&lt;=1,0,INDEX('4 The queue'!$W$5:$W$212,$A9-1))+37+1,'4 The queue'!$W$5:$W$212,0)),9999)+'1 Inputs'!$B$22+'1 Inputs'!$B$23+'1 Inputs'!$B$24+'1 Inputs'!$B$25),'4 The queue'!$T$5:$T$40,1))=(IFERROR(INDEX('4 The queue'!$U$5:$U$212,MATCH(IF($A9&lt;=1,0,INDEX('4 The queue'!$W$5:$W$212,$A9-1))+37+1,'4 The queue'!$W$5:$W$212,0)),9999)+'1 Inputs'!$B$22+'1 Inputs'!$B$23+'1 Inputs'!$B$24+'1 Inputs'!$B$25),0,1)),9999)+'1 Inputs'!$B$26</f>
        <v>97</v>
      </c>
      <c r="AV9" s="19" t="n">
        <f aca="false">IFERROR(INDEX('4 The queue'!$T$5:$T$40,MATCH((IFERROR(INDEX('4 The queue'!$U$5:$U$212,MATCH(IF($A9&lt;=1,0,INDEX('4 The queue'!$W$5:$W$212,$A9-1))+38+1,'4 The queue'!$W$5:$W$212,0)),9999)+'1 Inputs'!$B$22+'1 Inputs'!$B$23+'1 Inputs'!$B$24+'1 Inputs'!$B$25),'4 The queue'!$T$5:$T$40,1)+IF(INDEX('4 The queue'!$T$5:$T$40,MATCH((IFERROR(INDEX('4 The queue'!$U$5:$U$212,MATCH(IF($A9&lt;=1,0,INDEX('4 The queue'!$W$5:$W$212,$A9-1))+38+1,'4 The queue'!$W$5:$W$212,0)),9999)+'1 Inputs'!$B$22+'1 Inputs'!$B$23+'1 Inputs'!$B$24+'1 Inputs'!$B$25),'4 The queue'!$T$5:$T$40,1))=(IFERROR(INDEX('4 The queue'!$U$5:$U$212,MATCH(IF($A9&lt;=1,0,INDEX('4 The queue'!$W$5:$W$212,$A9-1))+38+1,'4 The queue'!$W$5:$W$212,0)),9999)+'1 Inputs'!$B$22+'1 Inputs'!$B$23+'1 Inputs'!$B$24+'1 Inputs'!$B$25),0,1)),9999)+'1 Inputs'!$B$26</f>
        <v>97</v>
      </c>
      <c r="AW9" s="19" t="n">
        <f aca="false">IFERROR(INDEX('4 The queue'!$T$5:$T$40,MATCH((IFERROR(INDEX('4 The queue'!$U$5:$U$212,MATCH(IF($A9&lt;=1,0,INDEX('4 The queue'!$W$5:$W$212,$A9-1))+39+1,'4 The queue'!$W$5:$W$212,0)),9999)+'1 Inputs'!$B$22+'1 Inputs'!$B$23+'1 Inputs'!$B$24+'1 Inputs'!$B$25),'4 The queue'!$T$5:$T$40,1)+IF(INDEX('4 The queue'!$T$5:$T$40,MATCH((IFERROR(INDEX('4 The queue'!$U$5:$U$212,MATCH(IF($A9&lt;=1,0,INDEX('4 The queue'!$W$5:$W$212,$A9-1))+39+1,'4 The queue'!$W$5:$W$212,0)),9999)+'1 Inputs'!$B$22+'1 Inputs'!$B$23+'1 Inputs'!$B$24+'1 Inputs'!$B$25),'4 The queue'!$T$5:$T$40,1))=(IFERROR(INDEX('4 The queue'!$U$5:$U$212,MATCH(IF($A9&lt;=1,0,INDEX('4 The queue'!$W$5:$W$212,$A9-1))+39+1,'4 The queue'!$W$5:$W$212,0)),9999)+'1 Inputs'!$B$22+'1 Inputs'!$B$23+'1 Inputs'!$B$24+'1 Inputs'!$B$25),0,1)),9999)+'1 Inputs'!$B$26</f>
        <v>97</v>
      </c>
      <c r="AX9" s="19" t="n">
        <f aca="false">MAX(0,MIN('1 Inputs'!$B$15,'1 Inputs'!$B$5*'1 Inputs'!$B$6-0*'1 Inputs'!$B$15))*'1 Inputs'!$B$7*'1 Inputs'!$B$8*'1 Inputs'!$B$9*'1 Inputs'!$B$10*'1 Inputs'!$B$11</f>
        <v>6250000</v>
      </c>
      <c r="AY9" s="19" t="n">
        <f aca="false">MAX(0,MIN('1 Inputs'!$B$15,'1 Inputs'!$B$5*'1 Inputs'!$B$6-1*'1 Inputs'!$B$15))*'1 Inputs'!$B$7*'1 Inputs'!$B$8*'1 Inputs'!$B$9*'1 Inputs'!$B$10*'1 Inputs'!$B$11</f>
        <v>6250000</v>
      </c>
      <c r="AZ9" s="19" t="n">
        <f aca="false">MAX(0,MIN('1 Inputs'!$B$15,'1 Inputs'!$B$5*'1 Inputs'!$B$6-2*'1 Inputs'!$B$15))*'1 Inputs'!$B$7*'1 Inputs'!$B$8*'1 Inputs'!$B$9*'1 Inputs'!$B$10*'1 Inputs'!$B$11</f>
        <v>6250000</v>
      </c>
      <c r="BA9" s="19" t="n">
        <f aca="false">MAX(0,MIN('1 Inputs'!$B$15,'1 Inputs'!$B$5*'1 Inputs'!$B$6-3*'1 Inputs'!$B$15))*'1 Inputs'!$B$7*'1 Inputs'!$B$8*'1 Inputs'!$B$9*'1 Inputs'!$B$10*'1 Inputs'!$B$11</f>
        <v>6250000</v>
      </c>
      <c r="BB9" s="19" t="n">
        <f aca="false">MAX(0,MIN('1 Inputs'!$B$15,'1 Inputs'!$B$5*'1 Inputs'!$B$6-4*'1 Inputs'!$B$15))*'1 Inputs'!$B$7*'1 Inputs'!$B$8*'1 Inputs'!$B$9*'1 Inputs'!$B$10*'1 Inputs'!$B$11</f>
        <v>6250000</v>
      </c>
      <c r="BC9" s="19" t="n">
        <f aca="false">MAX(0,MIN('1 Inputs'!$B$15,'1 Inputs'!$B$5*'1 Inputs'!$B$6-5*'1 Inputs'!$B$15))*'1 Inputs'!$B$7*'1 Inputs'!$B$8*'1 Inputs'!$B$9*'1 Inputs'!$B$10*'1 Inputs'!$B$11</f>
        <v>6250000</v>
      </c>
      <c r="BD9" s="19" t="n">
        <f aca="false">MAX(0,MIN('1 Inputs'!$B$15,'1 Inputs'!$B$5*'1 Inputs'!$B$6-6*'1 Inputs'!$B$15))*'1 Inputs'!$B$7*'1 Inputs'!$B$8*'1 Inputs'!$B$9*'1 Inputs'!$B$10*'1 Inputs'!$B$11</f>
        <v>6250000</v>
      </c>
      <c r="BE9" s="19" t="n">
        <f aca="false">MAX(0,MIN('1 Inputs'!$B$15,'1 Inputs'!$B$5*'1 Inputs'!$B$6-7*'1 Inputs'!$B$15))*'1 Inputs'!$B$7*'1 Inputs'!$B$8*'1 Inputs'!$B$9*'1 Inputs'!$B$10*'1 Inputs'!$B$11</f>
        <v>6250000</v>
      </c>
      <c r="BF9" s="19" t="n">
        <f aca="false">MAX(0,MIN('1 Inputs'!$B$15,'1 Inputs'!$B$5*'1 Inputs'!$B$6-8*'1 Inputs'!$B$15))*'1 Inputs'!$B$7*'1 Inputs'!$B$8*'1 Inputs'!$B$9*'1 Inputs'!$B$10*'1 Inputs'!$B$11</f>
        <v>6250000</v>
      </c>
      <c r="BG9" s="19" t="n">
        <f aca="false">MAX(0,MIN('1 Inputs'!$B$15,'1 Inputs'!$B$5*'1 Inputs'!$B$6-9*'1 Inputs'!$B$15))*'1 Inputs'!$B$7*'1 Inputs'!$B$8*'1 Inputs'!$B$9*'1 Inputs'!$B$10*'1 Inputs'!$B$11</f>
        <v>6250000</v>
      </c>
      <c r="BH9" s="19" t="n">
        <f aca="false">MAX(0,MIN('1 Inputs'!$B$15,'1 Inputs'!$B$5*'1 Inputs'!$B$6-10*'1 Inputs'!$B$15))*'1 Inputs'!$B$7*'1 Inputs'!$B$8*'1 Inputs'!$B$9*'1 Inputs'!$B$10*'1 Inputs'!$B$11</f>
        <v>6250000</v>
      </c>
      <c r="BI9" s="19" t="n">
        <f aca="false">MAX(0,MIN('1 Inputs'!$B$15,'1 Inputs'!$B$5*'1 Inputs'!$B$6-11*'1 Inputs'!$B$15))*'1 Inputs'!$B$7*'1 Inputs'!$B$8*'1 Inputs'!$B$9*'1 Inputs'!$B$10*'1 Inputs'!$B$11</f>
        <v>6250000</v>
      </c>
      <c r="BJ9" s="19" t="n">
        <f aca="false">MAX(0,MIN('1 Inputs'!$B$15,'1 Inputs'!$B$5*'1 Inputs'!$B$6-12*'1 Inputs'!$B$15))*'1 Inputs'!$B$7*'1 Inputs'!$B$8*'1 Inputs'!$B$9*'1 Inputs'!$B$10*'1 Inputs'!$B$11</f>
        <v>6250000</v>
      </c>
      <c r="BK9" s="19" t="n">
        <f aca="false">MAX(0,MIN('1 Inputs'!$B$15,'1 Inputs'!$B$5*'1 Inputs'!$B$6-13*'1 Inputs'!$B$15))*'1 Inputs'!$B$7*'1 Inputs'!$B$8*'1 Inputs'!$B$9*'1 Inputs'!$B$10*'1 Inputs'!$B$11</f>
        <v>6250000</v>
      </c>
      <c r="BL9" s="19" t="n">
        <f aca="false">MAX(0,MIN('1 Inputs'!$B$15,'1 Inputs'!$B$5*'1 Inputs'!$B$6-14*'1 Inputs'!$B$15))*'1 Inputs'!$B$7*'1 Inputs'!$B$8*'1 Inputs'!$B$9*'1 Inputs'!$B$10*'1 Inputs'!$B$11</f>
        <v>6250000</v>
      </c>
      <c r="BM9" s="19" t="n">
        <f aca="false">MAX(0,MIN('1 Inputs'!$B$15,'1 Inputs'!$B$5*'1 Inputs'!$B$6-15*'1 Inputs'!$B$15))*'1 Inputs'!$B$7*'1 Inputs'!$B$8*'1 Inputs'!$B$9*'1 Inputs'!$B$10*'1 Inputs'!$B$11</f>
        <v>0</v>
      </c>
      <c r="BN9" s="19" t="n">
        <f aca="false">MAX(0,MIN('1 Inputs'!$B$15,'1 Inputs'!$B$5*'1 Inputs'!$B$6-16*'1 Inputs'!$B$15))*'1 Inputs'!$B$7*'1 Inputs'!$B$8*'1 Inputs'!$B$9*'1 Inputs'!$B$10*'1 Inputs'!$B$11</f>
        <v>0</v>
      </c>
      <c r="BO9" s="19" t="n">
        <f aca="false">MAX(0,MIN('1 Inputs'!$B$15,'1 Inputs'!$B$5*'1 Inputs'!$B$6-17*'1 Inputs'!$B$15))*'1 Inputs'!$B$7*'1 Inputs'!$B$8*'1 Inputs'!$B$9*'1 Inputs'!$B$10*'1 Inputs'!$B$11</f>
        <v>0</v>
      </c>
      <c r="BP9" s="19" t="n">
        <f aca="false">MAX(0,MIN('1 Inputs'!$B$15,'1 Inputs'!$B$5*'1 Inputs'!$B$6-18*'1 Inputs'!$B$15))*'1 Inputs'!$B$7*'1 Inputs'!$B$8*'1 Inputs'!$B$9*'1 Inputs'!$B$10*'1 Inputs'!$B$11</f>
        <v>0</v>
      </c>
      <c r="BQ9" s="19" t="n">
        <f aca="false">MAX(0,MIN('1 Inputs'!$B$15,'1 Inputs'!$B$5*'1 Inputs'!$B$6-19*'1 Inputs'!$B$15))*'1 Inputs'!$B$7*'1 Inputs'!$B$8*'1 Inputs'!$B$9*'1 Inputs'!$B$10*'1 Inputs'!$B$11</f>
        <v>0</v>
      </c>
      <c r="BR9" s="19" t="n">
        <f aca="false">MAX(0,MIN('1 Inputs'!$B$15,'1 Inputs'!$B$5*'1 Inputs'!$B$6-20*'1 Inputs'!$B$15))*'1 Inputs'!$B$7*'1 Inputs'!$B$8*'1 Inputs'!$B$9*'1 Inputs'!$B$10*'1 Inputs'!$B$11</f>
        <v>0</v>
      </c>
      <c r="BS9" s="19" t="n">
        <f aca="false">MAX(0,MIN('1 Inputs'!$B$15,'1 Inputs'!$B$5*'1 Inputs'!$B$6-21*'1 Inputs'!$B$15))*'1 Inputs'!$B$7*'1 Inputs'!$B$8*'1 Inputs'!$B$9*'1 Inputs'!$B$10*'1 Inputs'!$B$11</f>
        <v>0</v>
      </c>
      <c r="BT9" s="19" t="n">
        <f aca="false">MAX(0,MIN('1 Inputs'!$B$15,'1 Inputs'!$B$5*'1 Inputs'!$B$6-22*'1 Inputs'!$B$15))*'1 Inputs'!$B$7*'1 Inputs'!$B$8*'1 Inputs'!$B$9*'1 Inputs'!$B$10*'1 Inputs'!$B$11</f>
        <v>0</v>
      </c>
      <c r="BU9" s="19" t="n">
        <f aca="false">MAX(0,MIN('1 Inputs'!$B$15,'1 Inputs'!$B$5*'1 Inputs'!$B$6-23*'1 Inputs'!$B$15))*'1 Inputs'!$B$7*'1 Inputs'!$B$8*'1 Inputs'!$B$9*'1 Inputs'!$B$10*'1 Inputs'!$B$11</f>
        <v>0</v>
      </c>
      <c r="BV9" s="19" t="n">
        <f aca="false">MAX(0,MIN('1 Inputs'!$B$15,'1 Inputs'!$B$5*'1 Inputs'!$B$6-24*'1 Inputs'!$B$15))*'1 Inputs'!$B$7*'1 Inputs'!$B$8*'1 Inputs'!$B$9*'1 Inputs'!$B$10*'1 Inputs'!$B$11</f>
        <v>0</v>
      </c>
      <c r="BW9" s="19" t="n">
        <f aca="false">MAX(0,MIN('1 Inputs'!$B$15,'1 Inputs'!$B$5*'1 Inputs'!$B$6-25*'1 Inputs'!$B$15))*'1 Inputs'!$B$7*'1 Inputs'!$B$8*'1 Inputs'!$B$9*'1 Inputs'!$B$10*'1 Inputs'!$B$11</f>
        <v>0</v>
      </c>
      <c r="BX9" s="19" t="n">
        <f aca="false">MAX(0,MIN('1 Inputs'!$B$15,'1 Inputs'!$B$5*'1 Inputs'!$B$6-26*'1 Inputs'!$B$15))*'1 Inputs'!$B$7*'1 Inputs'!$B$8*'1 Inputs'!$B$9*'1 Inputs'!$B$10*'1 Inputs'!$B$11</f>
        <v>0</v>
      </c>
      <c r="BY9" s="19" t="n">
        <f aca="false">MAX(0,MIN('1 Inputs'!$B$15,'1 Inputs'!$B$5*'1 Inputs'!$B$6-27*'1 Inputs'!$B$15))*'1 Inputs'!$B$7*'1 Inputs'!$B$8*'1 Inputs'!$B$9*'1 Inputs'!$B$10*'1 Inputs'!$B$11</f>
        <v>0</v>
      </c>
      <c r="BZ9" s="19" t="n">
        <f aca="false">MAX(0,MIN('1 Inputs'!$B$15,'1 Inputs'!$B$5*'1 Inputs'!$B$6-28*'1 Inputs'!$B$15))*'1 Inputs'!$B$7*'1 Inputs'!$B$8*'1 Inputs'!$B$9*'1 Inputs'!$B$10*'1 Inputs'!$B$11</f>
        <v>0</v>
      </c>
      <c r="CA9" s="19" t="n">
        <f aca="false">MAX(0,MIN('1 Inputs'!$B$15,'1 Inputs'!$B$5*'1 Inputs'!$B$6-29*'1 Inputs'!$B$15))*'1 Inputs'!$B$7*'1 Inputs'!$B$8*'1 Inputs'!$B$9*'1 Inputs'!$B$10*'1 Inputs'!$B$11</f>
        <v>0</v>
      </c>
      <c r="CB9" s="19" t="n">
        <f aca="false">MAX(0,MIN('1 Inputs'!$B$15,'1 Inputs'!$B$5*'1 Inputs'!$B$6-30*'1 Inputs'!$B$15))*'1 Inputs'!$B$7*'1 Inputs'!$B$8*'1 Inputs'!$B$9*'1 Inputs'!$B$10*'1 Inputs'!$B$11</f>
        <v>0</v>
      </c>
      <c r="CC9" s="19" t="n">
        <f aca="false">MAX(0,MIN('1 Inputs'!$B$15,'1 Inputs'!$B$5*'1 Inputs'!$B$6-31*'1 Inputs'!$B$15))*'1 Inputs'!$B$7*'1 Inputs'!$B$8*'1 Inputs'!$B$9*'1 Inputs'!$B$10*'1 Inputs'!$B$11</f>
        <v>0</v>
      </c>
      <c r="CD9" s="19" t="n">
        <f aca="false">MAX(0,MIN('1 Inputs'!$B$15,'1 Inputs'!$B$5*'1 Inputs'!$B$6-32*'1 Inputs'!$B$15))*'1 Inputs'!$B$7*'1 Inputs'!$B$8*'1 Inputs'!$B$9*'1 Inputs'!$B$10*'1 Inputs'!$B$11</f>
        <v>0</v>
      </c>
      <c r="CE9" s="19" t="n">
        <f aca="false">MAX(0,MIN('1 Inputs'!$B$15,'1 Inputs'!$B$5*'1 Inputs'!$B$6-33*'1 Inputs'!$B$15))*'1 Inputs'!$B$7*'1 Inputs'!$B$8*'1 Inputs'!$B$9*'1 Inputs'!$B$10*'1 Inputs'!$B$11</f>
        <v>0</v>
      </c>
      <c r="CF9" s="19" t="n">
        <f aca="false">MAX(0,MIN('1 Inputs'!$B$15,'1 Inputs'!$B$5*'1 Inputs'!$B$6-34*'1 Inputs'!$B$15))*'1 Inputs'!$B$7*'1 Inputs'!$B$8*'1 Inputs'!$B$9*'1 Inputs'!$B$10*'1 Inputs'!$B$11</f>
        <v>0</v>
      </c>
      <c r="CG9" s="19" t="n">
        <f aca="false">MAX(0,MIN('1 Inputs'!$B$15,'1 Inputs'!$B$5*'1 Inputs'!$B$6-35*'1 Inputs'!$B$15))*'1 Inputs'!$B$7*'1 Inputs'!$B$8*'1 Inputs'!$B$9*'1 Inputs'!$B$10*'1 Inputs'!$B$11</f>
        <v>0</v>
      </c>
      <c r="CH9" s="19" t="n">
        <f aca="false">MAX(0,MIN('1 Inputs'!$B$15,'1 Inputs'!$B$5*'1 Inputs'!$B$6-36*'1 Inputs'!$B$15))*'1 Inputs'!$B$7*'1 Inputs'!$B$8*'1 Inputs'!$B$9*'1 Inputs'!$B$10*'1 Inputs'!$B$11</f>
        <v>0</v>
      </c>
      <c r="CI9" s="19" t="n">
        <f aca="false">MAX(0,MIN('1 Inputs'!$B$15,'1 Inputs'!$B$5*'1 Inputs'!$B$6-37*'1 Inputs'!$B$15))*'1 Inputs'!$B$7*'1 Inputs'!$B$8*'1 Inputs'!$B$9*'1 Inputs'!$B$10*'1 Inputs'!$B$11</f>
        <v>0</v>
      </c>
      <c r="CJ9" s="19" t="n">
        <f aca="false">MAX(0,MIN('1 Inputs'!$B$15,'1 Inputs'!$B$5*'1 Inputs'!$B$6-38*'1 Inputs'!$B$15))*'1 Inputs'!$B$7*'1 Inputs'!$B$8*'1 Inputs'!$B$9*'1 Inputs'!$B$10*'1 Inputs'!$B$11</f>
        <v>0</v>
      </c>
      <c r="CK9" s="19" t="n">
        <f aca="false">MAX(0,MIN('1 Inputs'!$B$15,'1 Inputs'!$B$5*'1 Inputs'!$B$6-39*'1 Inputs'!$B$15))*'1 Inputs'!$B$7*'1 Inputs'!$B$8*'1 Inputs'!$B$9*'1 Inputs'!$B$10*'1 Inputs'!$B$11</f>
        <v>0</v>
      </c>
    </row>
    <row r="10" customFormat="false" ht="15" hidden="false" customHeight="false" outlineLevel="0" collapsed="false">
      <c r="A10" s="0" t="n">
        <v>23</v>
      </c>
      <c r="B10" s="12" t="n">
        <f aca="false">SUMIF(J10:AW10,"&lt;="&amp;($A10+52),AX10:CK10)</f>
        <v>93750000</v>
      </c>
      <c r="C10" s="12" t="n">
        <f aca="false">SUM(AX10:CK10)</f>
        <v>93750000</v>
      </c>
      <c r="D10" s="15" t="n">
        <f aca="false">(MIN(J10:AW10)-$A10)/52*12</f>
        <v>7.38461538461539</v>
      </c>
      <c r="J10" s="19" t="n">
        <f aca="false">IFERROR(INDEX('4 The queue'!$T$5:$T$40,MATCH((IFERROR(INDEX('4 The queue'!$U$5:$U$212,MATCH(IF($A10&lt;=1,0,INDEX('4 The queue'!$W$5:$W$212,$A10-1))+0+1,'4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queue'!$W$5:$W$212,$A10-1))+0+1,'4 The queue'!$W$5:$W$212,0)),9999)+'1 Inputs'!$B$22+'1 Inputs'!$B$23+'1 Inputs'!$B$24+'1 Inputs'!$B$25),'4 The queue'!$T$5:$T$40,1))=(IFERROR(INDEX('4 The queue'!$U$5:$U$212,MATCH(IF($A10&lt;=1,0,INDEX('4 The queue'!$W$5:$W$212,$A10-1))+0+1,'4 The queue'!$W$5:$W$212,0)),9999)+'1 Inputs'!$B$22+'1 Inputs'!$B$23+'1 Inputs'!$B$24+'1 Inputs'!$B$25),0,1)),9999)+'1 Inputs'!$B$26</f>
        <v>55</v>
      </c>
      <c r="K10" s="19" t="n">
        <f aca="false">IFERROR(INDEX('4 The queue'!$T$5:$T$40,MATCH((IFERROR(INDEX('4 The queue'!$U$5:$U$212,MATCH(IF($A10&lt;=1,0,INDEX('4 The queue'!$W$5:$W$212,$A10-1))+1+1,'4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queue'!$W$5:$W$212,$A10-1))+1+1,'4 The queue'!$W$5:$W$212,0)),9999)+'1 Inputs'!$B$22+'1 Inputs'!$B$23+'1 Inputs'!$B$24+'1 Inputs'!$B$25),'4 The queue'!$T$5:$T$40,1))=(IFERROR(INDEX('4 The queue'!$U$5:$U$212,MATCH(IF($A10&lt;=1,0,INDEX('4 The queue'!$W$5:$W$212,$A10-1))+1+1,'4 The queue'!$W$5:$W$212,0)),9999)+'1 Inputs'!$B$22+'1 Inputs'!$B$23+'1 Inputs'!$B$24+'1 Inputs'!$B$25),0,1)),9999)+'1 Inputs'!$B$26</f>
        <v>55</v>
      </c>
      <c r="L10" s="19" t="n">
        <f aca="false">IFERROR(INDEX('4 The queue'!$T$5:$T$40,MATCH((IFERROR(INDEX('4 The queue'!$U$5:$U$212,MATCH(IF($A10&lt;=1,0,INDEX('4 The queue'!$W$5:$W$212,$A10-1))+2+1,'4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queue'!$W$5:$W$212,$A10-1))+2+1,'4 The queue'!$W$5:$W$212,0)),9999)+'1 Inputs'!$B$22+'1 Inputs'!$B$23+'1 Inputs'!$B$24+'1 Inputs'!$B$25),'4 The queue'!$T$5:$T$40,1))=(IFERROR(INDEX('4 The queue'!$U$5:$U$212,MATCH(IF($A10&lt;=1,0,INDEX('4 The queue'!$W$5:$W$212,$A10-1))+2+1,'4 The queue'!$W$5:$W$212,0)),9999)+'1 Inputs'!$B$22+'1 Inputs'!$B$23+'1 Inputs'!$B$24+'1 Inputs'!$B$25),0,1)),9999)+'1 Inputs'!$B$26</f>
        <v>55</v>
      </c>
      <c r="M10" s="19" t="n">
        <f aca="false">IFERROR(INDEX('4 The queue'!$T$5:$T$40,MATCH((IFERROR(INDEX('4 The queue'!$U$5:$U$212,MATCH(IF($A10&lt;=1,0,INDEX('4 The queue'!$W$5:$W$212,$A10-1))+3+1,'4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queue'!$W$5:$W$212,$A10-1))+3+1,'4 The queue'!$W$5:$W$212,0)),9999)+'1 Inputs'!$B$22+'1 Inputs'!$B$23+'1 Inputs'!$B$24+'1 Inputs'!$B$25),'4 The queue'!$T$5:$T$40,1))=(IFERROR(INDEX('4 The queue'!$U$5:$U$212,MATCH(IF($A10&lt;=1,0,INDEX('4 The queue'!$W$5:$W$212,$A10-1))+3+1,'4 The queue'!$W$5:$W$212,0)),9999)+'1 Inputs'!$B$22+'1 Inputs'!$B$23+'1 Inputs'!$B$24+'1 Inputs'!$B$25),0,1)),9999)+'1 Inputs'!$B$26</f>
        <v>55</v>
      </c>
      <c r="N10" s="19" t="n">
        <f aca="false">IFERROR(INDEX('4 The queue'!$T$5:$T$40,MATCH((IFERROR(INDEX('4 The queue'!$U$5:$U$212,MATCH(IF($A10&lt;=1,0,INDEX('4 The queue'!$W$5:$W$212,$A10-1))+4+1,'4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queue'!$W$5:$W$212,$A10-1))+4+1,'4 The queue'!$W$5:$W$212,0)),9999)+'1 Inputs'!$B$22+'1 Inputs'!$B$23+'1 Inputs'!$B$24+'1 Inputs'!$B$25),'4 The queue'!$T$5:$T$40,1))=(IFERROR(INDEX('4 The queue'!$U$5:$U$212,MATCH(IF($A10&lt;=1,0,INDEX('4 The queue'!$W$5:$W$212,$A10-1))+4+1,'4 The queue'!$W$5:$W$212,0)),9999)+'1 Inputs'!$B$22+'1 Inputs'!$B$23+'1 Inputs'!$B$24+'1 Inputs'!$B$25),0,1)),9999)+'1 Inputs'!$B$26</f>
        <v>55</v>
      </c>
      <c r="O10" s="19" t="n">
        <f aca="false">IFERROR(INDEX('4 The queue'!$T$5:$T$40,MATCH((IFERROR(INDEX('4 The queue'!$U$5:$U$212,MATCH(IF($A10&lt;=1,0,INDEX('4 The queue'!$W$5:$W$212,$A10-1))+5+1,'4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queue'!$W$5:$W$212,$A10-1))+5+1,'4 The queue'!$W$5:$W$212,0)),9999)+'1 Inputs'!$B$22+'1 Inputs'!$B$23+'1 Inputs'!$B$24+'1 Inputs'!$B$25),'4 The queue'!$T$5:$T$40,1))=(IFERROR(INDEX('4 The queue'!$U$5:$U$212,MATCH(IF($A10&lt;=1,0,INDEX('4 The queue'!$W$5:$W$212,$A10-1))+5+1,'4 The queue'!$W$5:$W$212,0)),9999)+'1 Inputs'!$B$22+'1 Inputs'!$B$23+'1 Inputs'!$B$24+'1 Inputs'!$B$25),0,1)),9999)+'1 Inputs'!$B$26</f>
        <v>71</v>
      </c>
      <c r="P10" s="19" t="n">
        <f aca="false">IFERROR(INDEX('4 The queue'!$T$5:$T$40,MATCH((IFERROR(INDEX('4 The queue'!$U$5:$U$212,MATCH(IF($A10&lt;=1,0,INDEX('4 The queue'!$W$5:$W$212,$A10-1))+6+1,'4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queue'!$W$5:$W$212,$A10-1))+6+1,'4 The queue'!$W$5:$W$212,0)),9999)+'1 Inputs'!$B$22+'1 Inputs'!$B$23+'1 Inputs'!$B$24+'1 Inputs'!$B$25),'4 The queue'!$T$5:$T$40,1))=(IFERROR(INDEX('4 The queue'!$U$5:$U$212,MATCH(IF($A10&lt;=1,0,INDEX('4 The queue'!$W$5:$W$212,$A10-1))+6+1,'4 The queue'!$W$5:$W$212,0)),9999)+'1 Inputs'!$B$22+'1 Inputs'!$B$23+'1 Inputs'!$B$24+'1 Inputs'!$B$25),0,1)),9999)+'1 Inputs'!$B$26</f>
        <v>71</v>
      </c>
      <c r="Q10" s="19" t="n">
        <f aca="false">IFERROR(INDEX('4 The queue'!$T$5:$T$40,MATCH((IFERROR(INDEX('4 The queue'!$U$5:$U$212,MATCH(IF($A10&lt;=1,0,INDEX('4 The queue'!$W$5:$W$212,$A10-1))+7+1,'4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queue'!$W$5:$W$212,$A10-1))+7+1,'4 The queue'!$W$5:$W$212,0)),9999)+'1 Inputs'!$B$22+'1 Inputs'!$B$23+'1 Inputs'!$B$24+'1 Inputs'!$B$25),'4 The queue'!$T$5:$T$40,1))=(IFERROR(INDEX('4 The queue'!$U$5:$U$212,MATCH(IF($A10&lt;=1,0,INDEX('4 The queue'!$W$5:$W$212,$A10-1))+7+1,'4 The queue'!$W$5:$W$212,0)),9999)+'1 Inputs'!$B$22+'1 Inputs'!$B$23+'1 Inputs'!$B$24+'1 Inputs'!$B$25),0,1)),9999)+'1 Inputs'!$B$26</f>
        <v>71</v>
      </c>
      <c r="R10" s="19" t="n">
        <f aca="false">IFERROR(INDEX('4 The queue'!$T$5:$T$40,MATCH((IFERROR(INDEX('4 The queue'!$U$5:$U$212,MATCH(IF($A10&lt;=1,0,INDEX('4 The queue'!$W$5:$W$212,$A10-1))+8+1,'4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queue'!$W$5:$W$212,$A10-1))+8+1,'4 The queue'!$W$5:$W$212,0)),9999)+'1 Inputs'!$B$22+'1 Inputs'!$B$23+'1 Inputs'!$B$24+'1 Inputs'!$B$25),'4 The queue'!$T$5:$T$40,1))=(IFERROR(INDEX('4 The queue'!$U$5:$U$212,MATCH(IF($A10&lt;=1,0,INDEX('4 The queue'!$W$5:$W$212,$A10-1))+8+1,'4 The queue'!$W$5:$W$212,0)),9999)+'1 Inputs'!$B$22+'1 Inputs'!$B$23+'1 Inputs'!$B$24+'1 Inputs'!$B$25),0,1)),9999)+'1 Inputs'!$B$26</f>
        <v>71</v>
      </c>
      <c r="S10" s="19" t="n">
        <f aca="false">IFERROR(INDEX('4 The queue'!$T$5:$T$40,MATCH((IFERROR(INDEX('4 The queue'!$U$5:$U$212,MATCH(IF($A10&lt;=1,0,INDEX('4 The queue'!$W$5:$W$212,$A10-1))+9+1,'4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queue'!$W$5:$W$212,$A10-1))+9+1,'4 The queue'!$W$5:$W$212,0)),9999)+'1 Inputs'!$B$22+'1 Inputs'!$B$23+'1 Inputs'!$B$24+'1 Inputs'!$B$25),'4 The queue'!$T$5:$T$40,1))=(IFERROR(INDEX('4 The queue'!$U$5:$U$212,MATCH(IF($A10&lt;=1,0,INDEX('4 The queue'!$W$5:$W$212,$A10-1))+9+1,'4 The queue'!$W$5:$W$212,0)),9999)+'1 Inputs'!$B$22+'1 Inputs'!$B$23+'1 Inputs'!$B$24+'1 Inputs'!$B$25),0,1)),9999)+'1 Inputs'!$B$26</f>
        <v>71</v>
      </c>
      <c r="T10" s="19" t="n">
        <f aca="false">IFERROR(INDEX('4 The queue'!$T$5:$T$40,MATCH((IFERROR(INDEX('4 The queue'!$U$5:$U$212,MATCH(IF($A10&lt;=1,0,INDEX('4 The queue'!$W$5:$W$212,$A10-1))+10+1,'4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queue'!$W$5:$W$212,$A10-1))+10+1,'4 The queue'!$W$5:$W$212,0)),9999)+'1 Inputs'!$B$22+'1 Inputs'!$B$23+'1 Inputs'!$B$24+'1 Inputs'!$B$25),'4 The queue'!$T$5:$T$40,1))=(IFERROR(INDEX('4 The queue'!$U$5:$U$212,MATCH(IF($A10&lt;=1,0,INDEX('4 The queue'!$W$5:$W$212,$A10-1))+10+1,'4 The queue'!$W$5:$W$212,0)),9999)+'1 Inputs'!$B$22+'1 Inputs'!$B$23+'1 Inputs'!$B$24+'1 Inputs'!$B$25),0,1)),9999)+'1 Inputs'!$B$26</f>
        <v>71</v>
      </c>
      <c r="U10" s="19" t="n">
        <f aca="false">IFERROR(INDEX('4 The queue'!$T$5:$T$40,MATCH((IFERROR(INDEX('4 The queue'!$U$5:$U$212,MATCH(IF($A10&lt;=1,0,INDEX('4 The queue'!$W$5:$W$212,$A10-1))+11+1,'4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queue'!$W$5:$W$212,$A10-1))+11+1,'4 The queue'!$W$5:$W$212,0)),9999)+'1 Inputs'!$B$22+'1 Inputs'!$B$23+'1 Inputs'!$B$24+'1 Inputs'!$B$25),'4 The queue'!$T$5:$T$40,1))=(IFERROR(INDEX('4 The queue'!$U$5:$U$212,MATCH(IF($A10&lt;=1,0,INDEX('4 The queue'!$W$5:$W$212,$A10-1))+11+1,'4 The queue'!$W$5:$W$212,0)),9999)+'1 Inputs'!$B$22+'1 Inputs'!$B$23+'1 Inputs'!$B$24+'1 Inputs'!$B$25),0,1)),9999)+'1 Inputs'!$B$26</f>
        <v>71</v>
      </c>
      <c r="V10" s="19" t="n">
        <f aca="false">IFERROR(INDEX('4 The queue'!$T$5:$T$40,MATCH((IFERROR(INDEX('4 The queue'!$U$5:$U$212,MATCH(IF($A10&lt;=1,0,INDEX('4 The queue'!$W$5:$W$212,$A10-1))+12+1,'4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queue'!$W$5:$W$212,$A10-1))+12+1,'4 The queue'!$W$5:$W$212,0)),9999)+'1 Inputs'!$B$22+'1 Inputs'!$B$23+'1 Inputs'!$B$24+'1 Inputs'!$B$25),'4 The queue'!$T$5:$T$40,1))=(IFERROR(INDEX('4 The queue'!$U$5:$U$212,MATCH(IF($A10&lt;=1,0,INDEX('4 The queue'!$W$5:$W$212,$A10-1))+12+1,'4 The queue'!$W$5:$W$212,0)),9999)+'1 Inputs'!$B$22+'1 Inputs'!$B$23+'1 Inputs'!$B$24+'1 Inputs'!$B$25),0,1)),9999)+'1 Inputs'!$B$26</f>
        <v>71</v>
      </c>
      <c r="W10" s="19" t="n">
        <f aca="false">IFERROR(INDEX('4 The queue'!$T$5:$T$40,MATCH((IFERROR(INDEX('4 The queue'!$U$5:$U$212,MATCH(IF($A10&lt;=1,0,INDEX('4 The queue'!$W$5:$W$212,$A10-1))+13+1,'4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queue'!$W$5:$W$212,$A10-1))+13+1,'4 The queue'!$W$5:$W$212,0)),9999)+'1 Inputs'!$B$22+'1 Inputs'!$B$23+'1 Inputs'!$B$24+'1 Inputs'!$B$25),'4 The queue'!$T$5:$T$40,1))=(IFERROR(INDEX('4 The queue'!$U$5:$U$212,MATCH(IF($A10&lt;=1,0,INDEX('4 The queue'!$W$5:$W$212,$A10-1))+13+1,'4 The queue'!$W$5:$W$212,0)),9999)+'1 Inputs'!$B$22+'1 Inputs'!$B$23+'1 Inputs'!$B$24+'1 Inputs'!$B$25),0,1)),9999)+'1 Inputs'!$B$26</f>
        <v>71</v>
      </c>
      <c r="X10" s="19" t="n">
        <f aca="false">IFERROR(INDEX('4 The queue'!$T$5:$T$40,MATCH((IFERROR(INDEX('4 The queue'!$U$5:$U$212,MATCH(IF($A10&lt;=1,0,INDEX('4 The queue'!$W$5:$W$212,$A10-1))+14+1,'4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queue'!$W$5:$W$212,$A10-1))+14+1,'4 The queue'!$W$5:$W$212,0)),9999)+'1 Inputs'!$B$22+'1 Inputs'!$B$23+'1 Inputs'!$B$24+'1 Inputs'!$B$25),'4 The queue'!$T$5:$T$40,1))=(IFERROR(INDEX('4 The queue'!$U$5:$U$212,MATCH(IF($A10&lt;=1,0,INDEX('4 The queue'!$W$5:$W$212,$A10-1))+14+1,'4 The queue'!$W$5:$W$212,0)),9999)+'1 Inputs'!$B$22+'1 Inputs'!$B$23+'1 Inputs'!$B$24+'1 Inputs'!$B$25),0,1)),9999)+'1 Inputs'!$B$26</f>
        <v>71</v>
      </c>
      <c r="Y10" s="19" t="n">
        <f aca="false">IFERROR(INDEX('4 The queue'!$T$5:$T$40,MATCH((IFERROR(INDEX('4 The queue'!$U$5:$U$212,MATCH(IF($A10&lt;=1,0,INDEX('4 The queue'!$W$5:$W$212,$A10-1))+15+1,'4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queue'!$W$5:$W$212,$A10-1))+15+1,'4 The queue'!$W$5:$W$212,0)),9999)+'1 Inputs'!$B$22+'1 Inputs'!$B$23+'1 Inputs'!$B$24+'1 Inputs'!$B$25),'4 The queue'!$T$5:$T$40,1))=(IFERROR(INDEX('4 The queue'!$U$5:$U$212,MATCH(IF($A10&lt;=1,0,INDEX('4 The queue'!$W$5:$W$212,$A10-1))+15+1,'4 The queue'!$W$5:$W$212,0)),9999)+'1 Inputs'!$B$22+'1 Inputs'!$B$23+'1 Inputs'!$B$24+'1 Inputs'!$B$25),0,1)),9999)+'1 Inputs'!$B$26</f>
        <v>71</v>
      </c>
      <c r="Z10" s="19" t="n">
        <f aca="false">IFERROR(INDEX('4 The queue'!$T$5:$T$40,MATCH((IFERROR(INDEX('4 The queue'!$U$5:$U$212,MATCH(IF($A10&lt;=1,0,INDEX('4 The queue'!$W$5:$W$212,$A10-1))+16+1,'4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queue'!$W$5:$W$212,$A10-1))+16+1,'4 The queue'!$W$5:$W$212,0)),9999)+'1 Inputs'!$B$22+'1 Inputs'!$B$23+'1 Inputs'!$B$24+'1 Inputs'!$B$25),'4 The queue'!$T$5:$T$40,1))=(IFERROR(INDEX('4 The queue'!$U$5:$U$212,MATCH(IF($A10&lt;=1,0,INDEX('4 The queue'!$W$5:$W$212,$A10-1))+16+1,'4 The queue'!$W$5:$W$212,0)),9999)+'1 Inputs'!$B$22+'1 Inputs'!$B$23+'1 Inputs'!$B$24+'1 Inputs'!$B$25),0,1)),9999)+'1 Inputs'!$B$26</f>
        <v>71</v>
      </c>
      <c r="AA10" s="19" t="n">
        <f aca="false">IFERROR(INDEX('4 The queue'!$T$5:$T$40,MATCH((IFERROR(INDEX('4 The queue'!$U$5:$U$212,MATCH(IF($A10&lt;=1,0,INDEX('4 The queue'!$W$5:$W$212,$A10-1))+17+1,'4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queue'!$W$5:$W$212,$A10-1))+17+1,'4 The queue'!$W$5:$W$212,0)),9999)+'1 Inputs'!$B$22+'1 Inputs'!$B$23+'1 Inputs'!$B$24+'1 Inputs'!$B$25),'4 The queue'!$T$5:$T$40,1))=(IFERROR(INDEX('4 The queue'!$U$5:$U$212,MATCH(IF($A10&lt;=1,0,INDEX('4 The queue'!$W$5:$W$212,$A10-1))+17+1,'4 The queue'!$W$5:$W$212,0)),9999)+'1 Inputs'!$B$22+'1 Inputs'!$B$23+'1 Inputs'!$B$24+'1 Inputs'!$B$25),0,1)),9999)+'1 Inputs'!$B$26</f>
        <v>84</v>
      </c>
      <c r="AB10" s="19" t="n">
        <f aca="false">IFERROR(INDEX('4 The queue'!$T$5:$T$40,MATCH((IFERROR(INDEX('4 The queue'!$U$5:$U$212,MATCH(IF($A10&lt;=1,0,INDEX('4 The queue'!$W$5:$W$212,$A10-1))+18+1,'4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queue'!$W$5:$W$212,$A10-1))+18+1,'4 The queue'!$W$5:$W$212,0)),9999)+'1 Inputs'!$B$22+'1 Inputs'!$B$23+'1 Inputs'!$B$24+'1 Inputs'!$B$25),'4 The queue'!$T$5:$T$40,1))=(IFERROR(INDEX('4 The queue'!$U$5:$U$212,MATCH(IF($A10&lt;=1,0,INDEX('4 The queue'!$W$5:$W$212,$A10-1))+18+1,'4 The queue'!$W$5:$W$212,0)),9999)+'1 Inputs'!$B$22+'1 Inputs'!$B$23+'1 Inputs'!$B$24+'1 Inputs'!$B$25),0,1)),9999)+'1 Inputs'!$B$26</f>
        <v>84</v>
      </c>
      <c r="AC10" s="19" t="n">
        <f aca="false">IFERROR(INDEX('4 The queue'!$T$5:$T$40,MATCH((IFERROR(INDEX('4 The queue'!$U$5:$U$212,MATCH(IF($A10&lt;=1,0,INDEX('4 The queue'!$W$5:$W$212,$A10-1))+19+1,'4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queue'!$W$5:$W$212,$A10-1))+19+1,'4 The queue'!$W$5:$W$212,0)),9999)+'1 Inputs'!$B$22+'1 Inputs'!$B$23+'1 Inputs'!$B$24+'1 Inputs'!$B$25),'4 The queue'!$T$5:$T$40,1))=(IFERROR(INDEX('4 The queue'!$U$5:$U$212,MATCH(IF($A10&lt;=1,0,INDEX('4 The queue'!$W$5:$W$212,$A10-1))+19+1,'4 The queue'!$W$5:$W$212,0)),9999)+'1 Inputs'!$B$22+'1 Inputs'!$B$23+'1 Inputs'!$B$24+'1 Inputs'!$B$25),0,1)),9999)+'1 Inputs'!$B$26</f>
        <v>84</v>
      </c>
      <c r="AD10" s="19" t="n">
        <f aca="false">IFERROR(INDEX('4 The queue'!$T$5:$T$40,MATCH((IFERROR(INDEX('4 The queue'!$U$5:$U$212,MATCH(IF($A10&lt;=1,0,INDEX('4 The queue'!$W$5:$W$212,$A10-1))+20+1,'4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queue'!$W$5:$W$212,$A10-1))+20+1,'4 The queue'!$W$5:$W$212,0)),9999)+'1 Inputs'!$B$22+'1 Inputs'!$B$23+'1 Inputs'!$B$24+'1 Inputs'!$B$25),'4 The queue'!$T$5:$T$40,1))=(IFERROR(INDEX('4 The queue'!$U$5:$U$212,MATCH(IF($A10&lt;=1,0,INDEX('4 The queue'!$W$5:$W$212,$A10-1))+20+1,'4 The queue'!$W$5:$W$212,0)),9999)+'1 Inputs'!$B$22+'1 Inputs'!$B$23+'1 Inputs'!$B$24+'1 Inputs'!$B$25),0,1)),9999)+'1 Inputs'!$B$26</f>
        <v>84</v>
      </c>
      <c r="AE10" s="19" t="n">
        <f aca="false">IFERROR(INDEX('4 The queue'!$T$5:$T$40,MATCH((IFERROR(INDEX('4 The queue'!$U$5:$U$212,MATCH(IF($A10&lt;=1,0,INDEX('4 The queue'!$W$5:$W$212,$A10-1))+21+1,'4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queue'!$W$5:$W$212,$A10-1))+21+1,'4 The queue'!$W$5:$W$212,0)),9999)+'1 Inputs'!$B$22+'1 Inputs'!$B$23+'1 Inputs'!$B$24+'1 Inputs'!$B$25),'4 The queue'!$T$5:$T$40,1))=(IFERROR(INDEX('4 The queue'!$U$5:$U$212,MATCH(IF($A10&lt;=1,0,INDEX('4 The queue'!$W$5:$W$212,$A10-1))+21+1,'4 The queue'!$W$5:$W$212,0)),9999)+'1 Inputs'!$B$22+'1 Inputs'!$B$23+'1 Inputs'!$B$24+'1 Inputs'!$B$25),0,1)),9999)+'1 Inputs'!$B$26</f>
        <v>84</v>
      </c>
      <c r="AF10" s="19" t="n">
        <f aca="false">IFERROR(INDEX('4 The queue'!$T$5:$T$40,MATCH((IFERROR(INDEX('4 The queue'!$U$5:$U$212,MATCH(IF($A10&lt;=1,0,INDEX('4 The queue'!$W$5:$W$212,$A10-1))+22+1,'4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queue'!$W$5:$W$212,$A10-1))+22+1,'4 The queue'!$W$5:$W$212,0)),9999)+'1 Inputs'!$B$22+'1 Inputs'!$B$23+'1 Inputs'!$B$24+'1 Inputs'!$B$25),'4 The queue'!$T$5:$T$40,1))=(IFERROR(INDEX('4 The queue'!$U$5:$U$212,MATCH(IF($A10&lt;=1,0,INDEX('4 The queue'!$W$5:$W$212,$A10-1))+22+1,'4 The queue'!$W$5:$W$212,0)),9999)+'1 Inputs'!$B$22+'1 Inputs'!$B$23+'1 Inputs'!$B$24+'1 Inputs'!$B$25),0,1)),9999)+'1 Inputs'!$B$26</f>
        <v>84</v>
      </c>
      <c r="AG10" s="19" t="n">
        <f aca="false">IFERROR(INDEX('4 The queue'!$T$5:$T$40,MATCH((IFERROR(INDEX('4 The queue'!$U$5:$U$212,MATCH(IF($A10&lt;=1,0,INDEX('4 The queue'!$W$5:$W$212,$A10-1))+23+1,'4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queue'!$W$5:$W$212,$A10-1))+23+1,'4 The queue'!$W$5:$W$212,0)),9999)+'1 Inputs'!$B$22+'1 Inputs'!$B$23+'1 Inputs'!$B$24+'1 Inputs'!$B$25),'4 The queue'!$T$5:$T$40,1))=(IFERROR(INDEX('4 The queue'!$U$5:$U$212,MATCH(IF($A10&lt;=1,0,INDEX('4 The queue'!$W$5:$W$212,$A10-1))+23+1,'4 The queue'!$W$5:$W$212,0)),9999)+'1 Inputs'!$B$22+'1 Inputs'!$B$23+'1 Inputs'!$B$24+'1 Inputs'!$B$25),0,1)),9999)+'1 Inputs'!$B$26</f>
        <v>84</v>
      </c>
      <c r="AH10" s="19" t="n">
        <f aca="false">IFERROR(INDEX('4 The queue'!$T$5:$T$40,MATCH((IFERROR(INDEX('4 The queue'!$U$5:$U$212,MATCH(IF($A10&lt;=1,0,INDEX('4 The queue'!$W$5:$W$212,$A10-1))+24+1,'4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queue'!$W$5:$W$212,$A10-1))+24+1,'4 The queue'!$W$5:$W$212,0)),9999)+'1 Inputs'!$B$22+'1 Inputs'!$B$23+'1 Inputs'!$B$24+'1 Inputs'!$B$25),'4 The queue'!$T$5:$T$40,1))=(IFERROR(INDEX('4 The queue'!$U$5:$U$212,MATCH(IF($A10&lt;=1,0,INDEX('4 The queue'!$W$5:$W$212,$A10-1))+24+1,'4 The queue'!$W$5:$W$212,0)),9999)+'1 Inputs'!$B$22+'1 Inputs'!$B$23+'1 Inputs'!$B$24+'1 Inputs'!$B$25),0,1)),9999)+'1 Inputs'!$B$26</f>
        <v>84</v>
      </c>
      <c r="AI10" s="19" t="n">
        <f aca="false">IFERROR(INDEX('4 The queue'!$T$5:$T$40,MATCH((IFERROR(INDEX('4 The queue'!$U$5:$U$212,MATCH(IF($A10&lt;=1,0,INDEX('4 The queue'!$W$5:$W$212,$A10-1))+25+1,'4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queue'!$W$5:$W$212,$A10-1))+25+1,'4 The queue'!$W$5:$W$212,0)),9999)+'1 Inputs'!$B$22+'1 Inputs'!$B$23+'1 Inputs'!$B$24+'1 Inputs'!$B$25),'4 The queue'!$T$5:$T$40,1))=(IFERROR(INDEX('4 The queue'!$U$5:$U$212,MATCH(IF($A10&lt;=1,0,INDEX('4 The queue'!$W$5:$W$212,$A10-1))+25+1,'4 The queue'!$W$5:$W$212,0)),9999)+'1 Inputs'!$B$22+'1 Inputs'!$B$23+'1 Inputs'!$B$24+'1 Inputs'!$B$25),0,1)),9999)+'1 Inputs'!$B$26</f>
        <v>84</v>
      </c>
      <c r="AJ10" s="19" t="n">
        <f aca="false">IFERROR(INDEX('4 The queue'!$T$5:$T$40,MATCH((IFERROR(INDEX('4 The queue'!$U$5:$U$212,MATCH(IF($A10&lt;=1,0,INDEX('4 The queue'!$W$5:$W$212,$A10-1))+26+1,'4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queue'!$W$5:$W$212,$A10-1))+26+1,'4 The queue'!$W$5:$W$212,0)),9999)+'1 Inputs'!$B$22+'1 Inputs'!$B$23+'1 Inputs'!$B$24+'1 Inputs'!$B$25),'4 The queue'!$T$5:$T$40,1))=(IFERROR(INDEX('4 The queue'!$U$5:$U$212,MATCH(IF($A10&lt;=1,0,INDEX('4 The queue'!$W$5:$W$212,$A10-1))+26+1,'4 The queue'!$W$5:$W$212,0)),9999)+'1 Inputs'!$B$22+'1 Inputs'!$B$23+'1 Inputs'!$B$24+'1 Inputs'!$B$25),0,1)),9999)+'1 Inputs'!$B$26</f>
        <v>84</v>
      </c>
      <c r="AK10" s="19" t="n">
        <f aca="false">IFERROR(INDEX('4 The queue'!$T$5:$T$40,MATCH((IFERROR(INDEX('4 The queue'!$U$5:$U$212,MATCH(IF($A10&lt;=1,0,INDEX('4 The queue'!$W$5:$W$212,$A10-1))+27+1,'4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queue'!$W$5:$W$212,$A10-1))+27+1,'4 The queue'!$W$5:$W$212,0)),9999)+'1 Inputs'!$B$22+'1 Inputs'!$B$23+'1 Inputs'!$B$24+'1 Inputs'!$B$25),'4 The queue'!$T$5:$T$40,1))=(IFERROR(INDEX('4 The queue'!$U$5:$U$212,MATCH(IF($A10&lt;=1,0,INDEX('4 The queue'!$W$5:$W$212,$A10-1))+27+1,'4 The queue'!$W$5:$W$212,0)),9999)+'1 Inputs'!$B$22+'1 Inputs'!$B$23+'1 Inputs'!$B$24+'1 Inputs'!$B$25),0,1)),9999)+'1 Inputs'!$B$26</f>
        <v>97</v>
      </c>
      <c r="AL10" s="19" t="n">
        <f aca="false">IFERROR(INDEX('4 The queue'!$T$5:$T$40,MATCH((IFERROR(INDEX('4 The queue'!$U$5:$U$212,MATCH(IF($A10&lt;=1,0,INDEX('4 The queue'!$W$5:$W$212,$A10-1))+28+1,'4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queue'!$W$5:$W$212,$A10-1))+28+1,'4 The queue'!$W$5:$W$212,0)),9999)+'1 Inputs'!$B$22+'1 Inputs'!$B$23+'1 Inputs'!$B$24+'1 Inputs'!$B$25),'4 The queue'!$T$5:$T$40,1))=(IFERROR(INDEX('4 The queue'!$U$5:$U$212,MATCH(IF($A10&lt;=1,0,INDEX('4 The queue'!$W$5:$W$212,$A10-1))+28+1,'4 The queue'!$W$5:$W$212,0)),9999)+'1 Inputs'!$B$22+'1 Inputs'!$B$23+'1 Inputs'!$B$24+'1 Inputs'!$B$25),0,1)),9999)+'1 Inputs'!$B$26</f>
        <v>97</v>
      </c>
      <c r="AM10" s="19" t="n">
        <f aca="false">IFERROR(INDEX('4 The queue'!$T$5:$T$40,MATCH((IFERROR(INDEX('4 The queue'!$U$5:$U$212,MATCH(IF($A10&lt;=1,0,INDEX('4 The queue'!$W$5:$W$212,$A10-1))+29+1,'4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queue'!$W$5:$W$212,$A10-1))+29+1,'4 The queue'!$W$5:$W$212,0)),9999)+'1 Inputs'!$B$22+'1 Inputs'!$B$23+'1 Inputs'!$B$24+'1 Inputs'!$B$25),'4 The queue'!$T$5:$T$40,1))=(IFERROR(INDEX('4 The queue'!$U$5:$U$212,MATCH(IF($A10&lt;=1,0,INDEX('4 The queue'!$W$5:$W$212,$A10-1))+29+1,'4 The queue'!$W$5:$W$212,0)),9999)+'1 Inputs'!$B$22+'1 Inputs'!$B$23+'1 Inputs'!$B$24+'1 Inputs'!$B$25),0,1)),9999)+'1 Inputs'!$B$26</f>
        <v>97</v>
      </c>
      <c r="AN10" s="19" t="n">
        <f aca="false">IFERROR(INDEX('4 The queue'!$T$5:$T$40,MATCH((IFERROR(INDEX('4 The queue'!$U$5:$U$212,MATCH(IF($A10&lt;=1,0,INDEX('4 The queue'!$W$5:$W$212,$A10-1))+30+1,'4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queue'!$W$5:$W$212,$A10-1))+30+1,'4 The queue'!$W$5:$W$212,0)),9999)+'1 Inputs'!$B$22+'1 Inputs'!$B$23+'1 Inputs'!$B$24+'1 Inputs'!$B$25),'4 The queue'!$T$5:$T$40,1))=(IFERROR(INDEX('4 The queue'!$U$5:$U$212,MATCH(IF($A10&lt;=1,0,INDEX('4 The queue'!$W$5:$W$212,$A10-1))+30+1,'4 The queue'!$W$5:$W$212,0)),9999)+'1 Inputs'!$B$22+'1 Inputs'!$B$23+'1 Inputs'!$B$24+'1 Inputs'!$B$25),0,1)),9999)+'1 Inputs'!$B$26</f>
        <v>97</v>
      </c>
      <c r="AO10" s="19" t="n">
        <f aca="false">IFERROR(INDEX('4 The queue'!$T$5:$T$40,MATCH((IFERROR(INDEX('4 The queue'!$U$5:$U$212,MATCH(IF($A10&lt;=1,0,INDEX('4 The queue'!$W$5:$W$212,$A10-1))+31+1,'4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queue'!$W$5:$W$212,$A10-1))+31+1,'4 The queue'!$W$5:$W$212,0)),9999)+'1 Inputs'!$B$22+'1 Inputs'!$B$23+'1 Inputs'!$B$24+'1 Inputs'!$B$25),'4 The queue'!$T$5:$T$40,1))=(IFERROR(INDEX('4 The queue'!$U$5:$U$212,MATCH(IF($A10&lt;=1,0,INDEX('4 The queue'!$W$5:$W$212,$A10-1))+31+1,'4 The queue'!$W$5:$W$212,0)),9999)+'1 Inputs'!$B$22+'1 Inputs'!$B$23+'1 Inputs'!$B$24+'1 Inputs'!$B$25),0,1)),9999)+'1 Inputs'!$B$26</f>
        <v>97</v>
      </c>
      <c r="AP10" s="19" t="n">
        <f aca="false">IFERROR(INDEX('4 The queue'!$T$5:$T$40,MATCH((IFERROR(INDEX('4 The queue'!$U$5:$U$212,MATCH(IF($A10&lt;=1,0,INDEX('4 The queue'!$W$5:$W$212,$A10-1))+32+1,'4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queue'!$W$5:$W$212,$A10-1))+32+1,'4 The queue'!$W$5:$W$212,0)),9999)+'1 Inputs'!$B$22+'1 Inputs'!$B$23+'1 Inputs'!$B$24+'1 Inputs'!$B$25),'4 The queue'!$T$5:$T$40,1))=(IFERROR(INDEX('4 The queue'!$U$5:$U$212,MATCH(IF($A10&lt;=1,0,INDEX('4 The queue'!$W$5:$W$212,$A10-1))+32+1,'4 The queue'!$W$5:$W$212,0)),9999)+'1 Inputs'!$B$22+'1 Inputs'!$B$23+'1 Inputs'!$B$24+'1 Inputs'!$B$25),0,1)),9999)+'1 Inputs'!$B$26</f>
        <v>97</v>
      </c>
      <c r="AQ10" s="19" t="n">
        <f aca="false">IFERROR(INDEX('4 The queue'!$T$5:$T$40,MATCH((IFERROR(INDEX('4 The queue'!$U$5:$U$212,MATCH(IF($A10&lt;=1,0,INDEX('4 The queue'!$W$5:$W$212,$A10-1))+33+1,'4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queue'!$W$5:$W$212,$A10-1))+33+1,'4 The queue'!$W$5:$W$212,0)),9999)+'1 Inputs'!$B$22+'1 Inputs'!$B$23+'1 Inputs'!$B$24+'1 Inputs'!$B$25),'4 The queue'!$T$5:$T$40,1))=(IFERROR(INDEX('4 The queue'!$U$5:$U$212,MATCH(IF($A10&lt;=1,0,INDEX('4 The queue'!$W$5:$W$212,$A10-1))+33+1,'4 The queue'!$W$5:$W$212,0)),9999)+'1 Inputs'!$B$22+'1 Inputs'!$B$23+'1 Inputs'!$B$24+'1 Inputs'!$B$25),0,1)),9999)+'1 Inputs'!$B$26</f>
        <v>97</v>
      </c>
      <c r="AR10" s="19" t="n">
        <f aca="false">IFERROR(INDEX('4 The queue'!$T$5:$T$40,MATCH((IFERROR(INDEX('4 The queue'!$U$5:$U$212,MATCH(IF($A10&lt;=1,0,INDEX('4 The queue'!$W$5:$W$212,$A10-1))+34+1,'4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queue'!$W$5:$W$212,$A10-1))+34+1,'4 The queue'!$W$5:$W$212,0)),9999)+'1 Inputs'!$B$22+'1 Inputs'!$B$23+'1 Inputs'!$B$24+'1 Inputs'!$B$25),'4 The queue'!$T$5:$T$40,1))=(IFERROR(INDEX('4 The queue'!$U$5:$U$212,MATCH(IF($A10&lt;=1,0,INDEX('4 The queue'!$W$5:$W$212,$A10-1))+34+1,'4 The queue'!$W$5:$W$212,0)),9999)+'1 Inputs'!$B$22+'1 Inputs'!$B$23+'1 Inputs'!$B$24+'1 Inputs'!$B$25),0,1)),9999)+'1 Inputs'!$B$26</f>
        <v>97</v>
      </c>
      <c r="AS10" s="19" t="n">
        <f aca="false">IFERROR(INDEX('4 The queue'!$T$5:$T$40,MATCH((IFERROR(INDEX('4 The queue'!$U$5:$U$212,MATCH(IF($A10&lt;=1,0,INDEX('4 The queue'!$W$5:$W$212,$A10-1))+35+1,'4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queue'!$W$5:$W$212,$A10-1))+35+1,'4 The queue'!$W$5:$W$212,0)),9999)+'1 Inputs'!$B$22+'1 Inputs'!$B$23+'1 Inputs'!$B$24+'1 Inputs'!$B$25),'4 The queue'!$T$5:$T$40,1))=(IFERROR(INDEX('4 The queue'!$U$5:$U$212,MATCH(IF($A10&lt;=1,0,INDEX('4 The queue'!$W$5:$W$212,$A10-1))+35+1,'4 The queue'!$W$5:$W$212,0)),9999)+'1 Inputs'!$B$22+'1 Inputs'!$B$23+'1 Inputs'!$B$24+'1 Inputs'!$B$25),0,1)),9999)+'1 Inputs'!$B$26</f>
        <v>97</v>
      </c>
      <c r="AT10" s="19" t="n">
        <f aca="false">IFERROR(INDEX('4 The queue'!$T$5:$T$40,MATCH((IFERROR(INDEX('4 The queue'!$U$5:$U$212,MATCH(IF($A10&lt;=1,0,INDEX('4 The queue'!$W$5:$W$212,$A10-1))+36+1,'4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queue'!$W$5:$W$212,$A10-1))+36+1,'4 The queue'!$W$5:$W$212,0)),9999)+'1 Inputs'!$B$22+'1 Inputs'!$B$23+'1 Inputs'!$B$24+'1 Inputs'!$B$25),'4 The queue'!$T$5:$T$40,1))=(IFERROR(INDEX('4 The queue'!$U$5:$U$212,MATCH(IF($A10&lt;=1,0,INDEX('4 The queue'!$W$5:$W$212,$A10-1))+36+1,'4 The queue'!$W$5:$W$212,0)),9999)+'1 Inputs'!$B$22+'1 Inputs'!$B$23+'1 Inputs'!$B$24+'1 Inputs'!$B$25),0,1)),9999)+'1 Inputs'!$B$26</f>
        <v>97</v>
      </c>
      <c r="AU10" s="19" t="n">
        <f aca="false">IFERROR(INDEX('4 The queue'!$T$5:$T$40,MATCH((IFERROR(INDEX('4 The queue'!$U$5:$U$212,MATCH(IF($A10&lt;=1,0,INDEX('4 The queue'!$W$5:$W$212,$A10-1))+37+1,'4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queue'!$W$5:$W$212,$A10-1))+37+1,'4 The queue'!$W$5:$W$212,0)),9999)+'1 Inputs'!$B$22+'1 Inputs'!$B$23+'1 Inputs'!$B$24+'1 Inputs'!$B$25),'4 The queue'!$T$5:$T$40,1))=(IFERROR(INDEX('4 The queue'!$U$5:$U$212,MATCH(IF($A10&lt;=1,0,INDEX('4 The queue'!$W$5:$W$212,$A10-1))+37+1,'4 The queue'!$W$5:$W$212,0)),9999)+'1 Inputs'!$B$22+'1 Inputs'!$B$23+'1 Inputs'!$B$24+'1 Inputs'!$B$25),0,1)),9999)+'1 Inputs'!$B$26</f>
        <v>97</v>
      </c>
      <c r="AV10" s="19" t="n">
        <f aca="false">IFERROR(INDEX('4 The queue'!$T$5:$T$40,MATCH((IFERROR(INDEX('4 The queue'!$U$5:$U$212,MATCH(IF($A10&lt;=1,0,INDEX('4 The queue'!$W$5:$W$212,$A10-1))+38+1,'4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queue'!$W$5:$W$212,$A10-1))+38+1,'4 The queue'!$W$5:$W$212,0)),9999)+'1 Inputs'!$B$22+'1 Inputs'!$B$23+'1 Inputs'!$B$24+'1 Inputs'!$B$25),'4 The queue'!$T$5:$T$40,1))=(IFERROR(INDEX('4 The queue'!$U$5:$U$212,MATCH(IF($A10&lt;=1,0,INDEX('4 The queue'!$W$5:$W$212,$A10-1))+38+1,'4 The queue'!$W$5:$W$212,0)),9999)+'1 Inputs'!$B$22+'1 Inputs'!$B$23+'1 Inputs'!$B$24+'1 Inputs'!$B$25),0,1)),9999)+'1 Inputs'!$B$26</f>
        <v>97</v>
      </c>
      <c r="AW10" s="19" t="n">
        <f aca="false">IFERROR(INDEX('4 The queue'!$T$5:$T$40,MATCH((IFERROR(INDEX('4 The queue'!$U$5:$U$212,MATCH(IF($A10&lt;=1,0,INDEX('4 The queue'!$W$5:$W$212,$A10-1))+39+1,'4 The queue'!$W$5:$W$212,0)),9999)+'1 Inputs'!$B$22+'1 Inputs'!$B$23+'1 Inputs'!$B$24+'1 Inputs'!$B$25),'4 The queue'!$T$5:$T$40,1)+IF(INDEX('4 The queue'!$T$5:$T$40,MATCH((IFERROR(INDEX('4 The queue'!$U$5:$U$212,MATCH(IF($A10&lt;=1,0,INDEX('4 The queue'!$W$5:$W$212,$A10-1))+39+1,'4 The queue'!$W$5:$W$212,0)),9999)+'1 Inputs'!$B$22+'1 Inputs'!$B$23+'1 Inputs'!$B$24+'1 Inputs'!$B$25),'4 The queue'!$T$5:$T$40,1))=(IFERROR(INDEX('4 The queue'!$U$5:$U$212,MATCH(IF($A10&lt;=1,0,INDEX('4 The queue'!$W$5:$W$212,$A10-1))+39+1,'4 The queue'!$W$5:$W$212,0)),9999)+'1 Inputs'!$B$22+'1 Inputs'!$B$23+'1 Inputs'!$B$24+'1 Inputs'!$B$25),0,1)),9999)+'1 Inputs'!$B$26</f>
        <v>97</v>
      </c>
      <c r="AX10" s="19" t="n">
        <f aca="false">MAX(0,MIN('1 Inputs'!$B$15,'1 Inputs'!$B$5*'1 Inputs'!$B$6-0*'1 Inputs'!$B$15))*'1 Inputs'!$B$7*'1 Inputs'!$B$8*'1 Inputs'!$B$9*'1 Inputs'!$B$10*'1 Inputs'!$B$11</f>
        <v>6250000</v>
      </c>
      <c r="AY10" s="19" t="n">
        <f aca="false">MAX(0,MIN('1 Inputs'!$B$15,'1 Inputs'!$B$5*'1 Inputs'!$B$6-1*'1 Inputs'!$B$15))*'1 Inputs'!$B$7*'1 Inputs'!$B$8*'1 Inputs'!$B$9*'1 Inputs'!$B$10*'1 Inputs'!$B$11</f>
        <v>6250000</v>
      </c>
      <c r="AZ10" s="19" t="n">
        <f aca="false">MAX(0,MIN('1 Inputs'!$B$15,'1 Inputs'!$B$5*'1 Inputs'!$B$6-2*'1 Inputs'!$B$15))*'1 Inputs'!$B$7*'1 Inputs'!$B$8*'1 Inputs'!$B$9*'1 Inputs'!$B$10*'1 Inputs'!$B$11</f>
        <v>6250000</v>
      </c>
      <c r="BA10" s="19" t="n">
        <f aca="false">MAX(0,MIN('1 Inputs'!$B$15,'1 Inputs'!$B$5*'1 Inputs'!$B$6-3*'1 Inputs'!$B$15))*'1 Inputs'!$B$7*'1 Inputs'!$B$8*'1 Inputs'!$B$9*'1 Inputs'!$B$10*'1 Inputs'!$B$11</f>
        <v>6250000</v>
      </c>
      <c r="BB10" s="19" t="n">
        <f aca="false">MAX(0,MIN('1 Inputs'!$B$15,'1 Inputs'!$B$5*'1 Inputs'!$B$6-4*'1 Inputs'!$B$15))*'1 Inputs'!$B$7*'1 Inputs'!$B$8*'1 Inputs'!$B$9*'1 Inputs'!$B$10*'1 Inputs'!$B$11</f>
        <v>6250000</v>
      </c>
      <c r="BC10" s="19" t="n">
        <f aca="false">MAX(0,MIN('1 Inputs'!$B$15,'1 Inputs'!$B$5*'1 Inputs'!$B$6-5*'1 Inputs'!$B$15))*'1 Inputs'!$B$7*'1 Inputs'!$B$8*'1 Inputs'!$B$9*'1 Inputs'!$B$10*'1 Inputs'!$B$11</f>
        <v>6250000</v>
      </c>
      <c r="BD10" s="19" t="n">
        <f aca="false">MAX(0,MIN('1 Inputs'!$B$15,'1 Inputs'!$B$5*'1 Inputs'!$B$6-6*'1 Inputs'!$B$15))*'1 Inputs'!$B$7*'1 Inputs'!$B$8*'1 Inputs'!$B$9*'1 Inputs'!$B$10*'1 Inputs'!$B$11</f>
        <v>6250000</v>
      </c>
      <c r="BE10" s="19" t="n">
        <f aca="false">MAX(0,MIN('1 Inputs'!$B$15,'1 Inputs'!$B$5*'1 Inputs'!$B$6-7*'1 Inputs'!$B$15))*'1 Inputs'!$B$7*'1 Inputs'!$B$8*'1 Inputs'!$B$9*'1 Inputs'!$B$10*'1 Inputs'!$B$11</f>
        <v>6250000</v>
      </c>
      <c r="BF10" s="19" t="n">
        <f aca="false">MAX(0,MIN('1 Inputs'!$B$15,'1 Inputs'!$B$5*'1 Inputs'!$B$6-8*'1 Inputs'!$B$15))*'1 Inputs'!$B$7*'1 Inputs'!$B$8*'1 Inputs'!$B$9*'1 Inputs'!$B$10*'1 Inputs'!$B$11</f>
        <v>6250000</v>
      </c>
      <c r="BG10" s="19" t="n">
        <f aca="false">MAX(0,MIN('1 Inputs'!$B$15,'1 Inputs'!$B$5*'1 Inputs'!$B$6-9*'1 Inputs'!$B$15))*'1 Inputs'!$B$7*'1 Inputs'!$B$8*'1 Inputs'!$B$9*'1 Inputs'!$B$10*'1 Inputs'!$B$11</f>
        <v>6250000</v>
      </c>
      <c r="BH10" s="19" t="n">
        <f aca="false">MAX(0,MIN('1 Inputs'!$B$15,'1 Inputs'!$B$5*'1 Inputs'!$B$6-10*'1 Inputs'!$B$15))*'1 Inputs'!$B$7*'1 Inputs'!$B$8*'1 Inputs'!$B$9*'1 Inputs'!$B$10*'1 Inputs'!$B$11</f>
        <v>6250000</v>
      </c>
      <c r="BI10" s="19" t="n">
        <f aca="false">MAX(0,MIN('1 Inputs'!$B$15,'1 Inputs'!$B$5*'1 Inputs'!$B$6-11*'1 Inputs'!$B$15))*'1 Inputs'!$B$7*'1 Inputs'!$B$8*'1 Inputs'!$B$9*'1 Inputs'!$B$10*'1 Inputs'!$B$11</f>
        <v>6250000</v>
      </c>
      <c r="BJ10" s="19" t="n">
        <f aca="false">MAX(0,MIN('1 Inputs'!$B$15,'1 Inputs'!$B$5*'1 Inputs'!$B$6-12*'1 Inputs'!$B$15))*'1 Inputs'!$B$7*'1 Inputs'!$B$8*'1 Inputs'!$B$9*'1 Inputs'!$B$10*'1 Inputs'!$B$11</f>
        <v>6250000</v>
      </c>
      <c r="BK10" s="19" t="n">
        <f aca="false">MAX(0,MIN('1 Inputs'!$B$15,'1 Inputs'!$B$5*'1 Inputs'!$B$6-13*'1 Inputs'!$B$15))*'1 Inputs'!$B$7*'1 Inputs'!$B$8*'1 Inputs'!$B$9*'1 Inputs'!$B$10*'1 Inputs'!$B$11</f>
        <v>6250000</v>
      </c>
      <c r="BL10" s="19" t="n">
        <f aca="false">MAX(0,MIN('1 Inputs'!$B$15,'1 Inputs'!$B$5*'1 Inputs'!$B$6-14*'1 Inputs'!$B$15))*'1 Inputs'!$B$7*'1 Inputs'!$B$8*'1 Inputs'!$B$9*'1 Inputs'!$B$10*'1 Inputs'!$B$11</f>
        <v>6250000</v>
      </c>
      <c r="BM10" s="19" t="n">
        <f aca="false">MAX(0,MIN('1 Inputs'!$B$15,'1 Inputs'!$B$5*'1 Inputs'!$B$6-15*'1 Inputs'!$B$15))*'1 Inputs'!$B$7*'1 Inputs'!$B$8*'1 Inputs'!$B$9*'1 Inputs'!$B$10*'1 Inputs'!$B$11</f>
        <v>0</v>
      </c>
      <c r="BN10" s="19" t="n">
        <f aca="false">MAX(0,MIN('1 Inputs'!$B$15,'1 Inputs'!$B$5*'1 Inputs'!$B$6-16*'1 Inputs'!$B$15))*'1 Inputs'!$B$7*'1 Inputs'!$B$8*'1 Inputs'!$B$9*'1 Inputs'!$B$10*'1 Inputs'!$B$11</f>
        <v>0</v>
      </c>
      <c r="BO10" s="19" t="n">
        <f aca="false">MAX(0,MIN('1 Inputs'!$B$15,'1 Inputs'!$B$5*'1 Inputs'!$B$6-17*'1 Inputs'!$B$15))*'1 Inputs'!$B$7*'1 Inputs'!$B$8*'1 Inputs'!$B$9*'1 Inputs'!$B$10*'1 Inputs'!$B$11</f>
        <v>0</v>
      </c>
      <c r="BP10" s="19" t="n">
        <f aca="false">MAX(0,MIN('1 Inputs'!$B$15,'1 Inputs'!$B$5*'1 Inputs'!$B$6-18*'1 Inputs'!$B$15))*'1 Inputs'!$B$7*'1 Inputs'!$B$8*'1 Inputs'!$B$9*'1 Inputs'!$B$10*'1 Inputs'!$B$11</f>
        <v>0</v>
      </c>
      <c r="BQ10" s="19" t="n">
        <f aca="false">MAX(0,MIN('1 Inputs'!$B$15,'1 Inputs'!$B$5*'1 Inputs'!$B$6-19*'1 Inputs'!$B$15))*'1 Inputs'!$B$7*'1 Inputs'!$B$8*'1 Inputs'!$B$9*'1 Inputs'!$B$10*'1 Inputs'!$B$11</f>
        <v>0</v>
      </c>
      <c r="BR10" s="19" t="n">
        <f aca="false">MAX(0,MIN('1 Inputs'!$B$15,'1 Inputs'!$B$5*'1 Inputs'!$B$6-20*'1 Inputs'!$B$15))*'1 Inputs'!$B$7*'1 Inputs'!$B$8*'1 Inputs'!$B$9*'1 Inputs'!$B$10*'1 Inputs'!$B$11</f>
        <v>0</v>
      </c>
      <c r="BS10" s="19" t="n">
        <f aca="false">MAX(0,MIN('1 Inputs'!$B$15,'1 Inputs'!$B$5*'1 Inputs'!$B$6-21*'1 Inputs'!$B$15))*'1 Inputs'!$B$7*'1 Inputs'!$B$8*'1 Inputs'!$B$9*'1 Inputs'!$B$10*'1 Inputs'!$B$11</f>
        <v>0</v>
      </c>
      <c r="BT10" s="19" t="n">
        <f aca="false">MAX(0,MIN('1 Inputs'!$B$15,'1 Inputs'!$B$5*'1 Inputs'!$B$6-22*'1 Inputs'!$B$15))*'1 Inputs'!$B$7*'1 Inputs'!$B$8*'1 Inputs'!$B$9*'1 Inputs'!$B$10*'1 Inputs'!$B$11</f>
        <v>0</v>
      </c>
      <c r="BU10" s="19" t="n">
        <f aca="false">MAX(0,MIN('1 Inputs'!$B$15,'1 Inputs'!$B$5*'1 Inputs'!$B$6-23*'1 Inputs'!$B$15))*'1 Inputs'!$B$7*'1 Inputs'!$B$8*'1 Inputs'!$B$9*'1 Inputs'!$B$10*'1 Inputs'!$B$11</f>
        <v>0</v>
      </c>
      <c r="BV10" s="19" t="n">
        <f aca="false">MAX(0,MIN('1 Inputs'!$B$15,'1 Inputs'!$B$5*'1 Inputs'!$B$6-24*'1 Inputs'!$B$15))*'1 Inputs'!$B$7*'1 Inputs'!$B$8*'1 Inputs'!$B$9*'1 Inputs'!$B$10*'1 Inputs'!$B$11</f>
        <v>0</v>
      </c>
      <c r="BW10" s="19" t="n">
        <f aca="false">MAX(0,MIN('1 Inputs'!$B$15,'1 Inputs'!$B$5*'1 Inputs'!$B$6-25*'1 Inputs'!$B$15))*'1 Inputs'!$B$7*'1 Inputs'!$B$8*'1 Inputs'!$B$9*'1 Inputs'!$B$10*'1 Inputs'!$B$11</f>
        <v>0</v>
      </c>
      <c r="BX10" s="19" t="n">
        <f aca="false">MAX(0,MIN('1 Inputs'!$B$15,'1 Inputs'!$B$5*'1 Inputs'!$B$6-26*'1 Inputs'!$B$15))*'1 Inputs'!$B$7*'1 Inputs'!$B$8*'1 Inputs'!$B$9*'1 Inputs'!$B$10*'1 Inputs'!$B$11</f>
        <v>0</v>
      </c>
      <c r="BY10" s="19" t="n">
        <f aca="false">MAX(0,MIN('1 Inputs'!$B$15,'1 Inputs'!$B$5*'1 Inputs'!$B$6-27*'1 Inputs'!$B$15))*'1 Inputs'!$B$7*'1 Inputs'!$B$8*'1 Inputs'!$B$9*'1 Inputs'!$B$10*'1 Inputs'!$B$11</f>
        <v>0</v>
      </c>
      <c r="BZ10" s="19" t="n">
        <f aca="false">MAX(0,MIN('1 Inputs'!$B$15,'1 Inputs'!$B$5*'1 Inputs'!$B$6-28*'1 Inputs'!$B$15))*'1 Inputs'!$B$7*'1 Inputs'!$B$8*'1 Inputs'!$B$9*'1 Inputs'!$B$10*'1 Inputs'!$B$11</f>
        <v>0</v>
      </c>
      <c r="CA10" s="19" t="n">
        <f aca="false">MAX(0,MIN('1 Inputs'!$B$15,'1 Inputs'!$B$5*'1 Inputs'!$B$6-29*'1 Inputs'!$B$15))*'1 Inputs'!$B$7*'1 Inputs'!$B$8*'1 Inputs'!$B$9*'1 Inputs'!$B$10*'1 Inputs'!$B$11</f>
        <v>0</v>
      </c>
      <c r="CB10" s="19" t="n">
        <f aca="false">MAX(0,MIN('1 Inputs'!$B$15,'1 Inputs'!$B$5*'1 Inputs'!$B$6-30*'1 Inputs'!$B$15))*'1 Inputs'!$B$7*'1 Inputs'!$B$8*'1 Inputs'!$B$9*'1 Inputs'!$B$10*'1 Inputs'!$B$11</f>
        <v>0</v>
      </c>
      <c r="CC10" s="19" t="n">
        <f aca="false">MAX(0,MIN('1 Inputs'!$B$15,'1 Inputs'!$B$5*'1 Inputs'!$B$6-31*'1 Inputs'!$B$15))*'1 Inputs'!$B$7*'1 Inputs'!$B$8*'1 Inputs'!$B$9*'1 Inputs'!$B$10*'1 Inputs'!$B$11</f>
        <v>0</v>
      </c>
      <c r="CD10" s="19" t="n">
        <f aca="false">MAX(0,MIN('1 Inputs'!$B$15,'1 Inputs'!$B$5*'1 Inputs'!$B$6-32*'1 Inputs'!$B$15))*'1 Inputs'!$B$7*'1 Inputs'!$B$8*'1 Inputs'!$B$9*'1 Inputs'!$B$10*'1 Inputs'!$B$11</f>
        <v>0</v>
      </c>
      <c r="CE10" s="19" t="n">
        <f aca="false">MAX(0,MIN('1 Inputs'!$B$15,'1 Inputs'!$B$5*'1 Inputs'!$B$6-33*'1 Inputs'!$B$15))*'1 Inputs'!$B$7*'1 Inputs'!$B$8*'1 Inputs'!$B$9*'1 Inputs'!$B$10*'1 Inputs'!$B$11</f>
        <v>0</v>
      </c>
      <c r="CF10" s="19" t="n">
        <f aca="false">MAX(0,MIN('1 Inputs'!$B$15,'1 Inputs'!$B$5*'1 Inputs'!$B$6-34*'1 Inputs'!$B$15))*'1 Inputs'!$B$7*'1 Inputs'!$B$8*'1 Inputs'!$B$9*'1 Inputs'!$B$10*'1 Inputs'!$B$11</f>
        <v>0</v>
      </c>
      <c r="CG10" s="19" t="n">
        <f aca="false">MAX(0,MIN('1 Inputs'!$B$15,'1 Inputs'!$B$5*'1 Inputs'!$B$6-35*'1 Inputs'!$B$15))*'1 Inputs'!$B$7*'1 Inputs'!$B$8*'1 Inputs'!$B$9*'1 Inputs'!$B$10*'1 Inputs'!$B$11</f>
        <v>0</v>
      </c>
      <c r="CH10" s="19" t="n">
        <f aca="false">MAX(0,MIN('1 Inputs'!$B$15,'1 Inputs'!$B$5*'1 Inputs'!$B$6-36*'1 Inputs'!$B$15))*'1 Inputs'!$B$7*'1 Inputs'!$B$8*'1 Inputs'!$B$9*'1 Inputs'!$B$10*'1 Inputs'!$B$11</f>
        <v>0</v>
      </c>
      <c r="CI10" s="19" t="n">
        <f aca="false">MAX(0,MIN('1 Inputs'!$B$15,'1 Inputs'!$B$5*'1 Inputs'!$B$6-37*'1 Inputs'!$B$15))*'1 Inputs'!$B$7*'1 Inputs'!$B$8*'1 Inputs'!$B$9*'1 Inputs'!$B$10*'1 Inputs'!$B$11</f>
        <v>0</v>
      </c>
      <c r="CJ10" s="19" t="n">
        <f aca="false">MAX(0,MIN('1 Inputs'!$B$15,'1 Inputs'!$B$5*'1 Inputs'!$B$6-38*'1 Inputs'!$B$15))*'1 Inputs'!$B$7*'1 Inputs'!$B$8*'1 Inputs'!$B$9*'1 Inputs'!$B$10*'1 Inputs'!$B$11</f>
        <v>0</v>
      </c>
      <c r="CK10" s="19" t="n">
        <f aca="false">MAX(0,MIN('1 Inputs'!$B$15,'1 Inputs'!$B$5*'1 Inputs'!$B$6-39*'1 Inputs'!$B$15))*'1 Inputs'!$B$7*'1 Inputs'!$B$8*'1 Inputs'!$B$9*'1 Inputs'!$B$10*'1 Inputs'!$B$11</f>
        <v>0</v>
      </c>
    </row>
    <row r="11" customFormat="false" ht="15" hidden="false" customHeight="false" outlineLevel="0" collapsed="false">
      <c r="A11" s="0" t="n">
        <v>24</v>
      </c>
      <c r="B11" s="12" t="n">
        <f aca="false">SUMIF(J11:AW11,"&lt;="&amp;($A11+52),AX11:CK11)</f>
        <v>93750000</v>
      </c>
      <c r="C11" s="12" t="n">
        <f aca="false">SUM(AX11:CK11)</f>
        <v>93750000</v>
      </c>
      <c r="D11" s="15" t="n">
        <f aca="false">(MIN(J11:AW11)-$A11)/52*12</f>
        <v>7.15384615384615</v>
      </c>
      <c r="J11" s="19" t="n">
        <f aca="false">IFERROR(INDEX('4 The queue'!$T$5:$T$40,MATCH((IFERROR(INDEX('4 The queue'!$U$5:$U$212,MATCH(IF($A11&lt;=1,0,INDEX('4 The queue'!$W$5:$W$212,$A11-1))+0+1,'4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queue'!$W$5:$W$212,$A11-1))+0+1,'4 The queue'!$W$5:$W$212,0)),9999)+'1 Inputs'!$B$22+'1 Inputs'!$B$23+'1 Inputs'!$B$24+'1 Inputs'!$B$25),'4 The queue'!$T$5:$T$40,1))=(IFERROR(INDEX('4 The queue'!$U$5:$U$212,MATCH(IF($A11&lt;=1,0,INDEX('4 The queue'!$W$5:$W$212,$A11-1))+0+1,'4 The queue'!$W$5:$W$212,0)),9999)+'1 Inputs'!$B$22+'1 Inputs'!$B$23+'1 Inputs'!$B$24+'1 Inputs'!$B$25),0,1)),9999)+'1 Inputs'!$B$26</f>
        <v>55</v>
      </c>
      <c r="K11" s="19" t="n">
        <f aca="false">IFERROR(INDEX('4 The queue'!$T$5:$T$40,MATCH((IFERROR(INDEX('4 The queue'!$U$5:$U$212,MATCH(IF($A11&lt;=1,0,INDEX('4 The queue'!$W$5:$W$212,$A11-1))+1+1,'4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queue'!$W$5:$W$212,$A11-1))+1+1,'4 The queue'!$W$5:$W$212,0)),9999)+'1 Inputs'!$B$22+'1 Inputs'!$B$23+'1 Inputs'!$B$24+'1 Inputs'!$B$25),'4 The queue'!$T$5:$T$40,1))=(IFERROR(INDEX('4 The queue'!$U$5:$U$212,MATCH(IF($A11&lt;=1,0,INDEX('4 The queue'!$W$5:$W$212,$A11-1))+1+1,'4 The queue'!$W$5:$W$212,0)),9999)+'1 Inputs'!$B$22+'1 Inputs'!$B$23+'1 Inputs'!$B$24+'1 Inputs'!$B$25),0,1)),9999)+'1 Inputs'!$B$26</f>
        <v>55</v>
      </c>
      <c r="L11" s="19" t="n">
        <f aca="false">IFERROR(INDEX('4 The queue'!$T$5:$T$40,MATCH((IFERROR(INDEX('4 The queue'!$U$5:$U$212,MATCH(IF($A11&lt;=1,0,INDEX('4 The queue'!$W$5:$W$212,$A11-1))+2+1,'4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queue'!$W$5:$W$212,$A11-1))+2+1,'4 The queue'!$W$5:$W$212,0)),9999)+'1 Inputs'!$B$22+'1 Inputs'!$B$23+'1 Inputs'!$B$24+'1 Inputs'!$B$25),'4 The queue'!$T$5:$T$40,1))=(IFERROR(INDEX('4 The queue'!$U$5:$U$212,MATCH(IF($A11&lt;=1,0,INDEX('4 The queue'!$W$5:$W$212,$A11-1))+2+1,'4 The queue'!$W$5:$W$212,0)),9999)+'1 Inputs'!$B$22+'1 Inputs'!$B$23+'1 Inputs'!$B$24+'1 Inputs'!$B$25),0,1)),9999)+'1 Inputs'!$B$26</f>
        <v>55</v>
      </c>
      <c r="M11" s="19" t="n">
        <f aca="false">IFERROR(INDEX('4 The queue'!$T$5:$T$40,MATCH((IFERROR(INDEX('4 The queue'!$U$5:$U$212,MATCH(IF($A11&lt;=1,0,INDEX('4 The queue'!$W$5:$W$212,$A11-1))+3+1,'4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queue'!$W$5:$W$212,$A11-1))+3+1,'4 The queue'!$W$5:$W$212,0)),9999)+'1 Inputs'!$B$22+'1 Inputs'!$B$23+'1 Inputs'!$B$24+'1 Inputs'!$B$25),'4 The queue'!$T$5:$T$40,1))=(IFERROR(INDEX('4 The queue'!$U$5:$U$212,MATCH(IF($A11&lt;=1,0,INDEX('4 The queue'!$W$5:$W$212,$A11-1))+3+1,'4 The queue'!$W$5:$W$212,0)),9999)+'1 Inputs'!$B$22+'1 Inputs'!$B$23+'1 Inputs'!$B$24+'1 Inputs'!$B$25),0,1)),9999)+'1 Inputs'!$B$26</f>
        <v>55</v>
      </c>
      <c r="N11" s="19" t="n">
        <f aca="false">IFERROR(INDEX('4 The queue'!$T$5:$T$40,MATCH((IFERROR(INDEX('4 The queue'!$U$5:$U$212,MATCH(IF($A11&lt;=1,0,INDEX('4 The queue'!$W$5:$W$212,$A11-1))+4+1,'4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queue'!$W$5:$W$212,$A11-1))+4+1,'4 The queue'!$W$5:$W$212,0)),9999)+'1 Inputs'!$B$22+'1 Inputs'!$B$23+'1 Inputs'!$B$24+'1 Inputs'!$B$25),'4 The queue'!$T$5:$T$40,1))=(IFERROR(INDEX('4 The queue'!$U$5:$U$212,MATCH(IF($A11&lt;=1,0,INDEX('4 The queue'!$W$5:$W$212,$A11-1))+4+1,'4 The queue'!$W$5:$W$212,0)),9999)+'1 Inputs'!$B$22+'1 Inputs'!$B$23+'1 Inputs'!$B$24+'1 Inputs'!$B$25),0,1)),9999)+'1 Inputs'!$B$26</f>
        <v>71</v>
      </c>
      <c r="O11" s="19" t="n">
        <f aca="false">IFERROR(INDEX('4 The queue'!$T$5:$T$40,MATCH((IFERROR(INDEX('4 The queue'!$U$5:$U$212,MATCH(IF($A11&lt;=1,0,INDEX('4 The queue'!$W$5:$W$212,$A11-1))+5+1,'4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queue'!$W$5:$W$212,$A11-1))+5+1,'4 The queue'!$W$5:$W$212,0)),9999)+'1 Inputs'!$B$22+'1 Inputs'!$B$23+'1 Inputs'!$B$24+'1 Inputs'!$B$25),'4 The queue'!$T$5:$T$40,1))=(IFERROR(INDEX('4 The queue'!$U$5:$U$212,MATCH(IF($A11&lt;=1,0,INDEX('4 The queue'!$W$5:$W$212,$A11-1))+5+1,'4 The queue'!$W$5:$W$212,0)),9999)+'1 Inputs'!$B$22+'1 Inputs'!$B$23+'1 Inputs'!$B$24+'1 Inputs'!$B$25),0,1)),9999)+'1 Inputs'!$B$26</f>
        <v>71</v>
      </c>
      <c r="P11" s="19" t="n">
        <f aca="false">IFERROR(INDEX('4 The queue'!$T$5:$T$40,MATCH((IFERROR(INDEX('4 The queue'!$U$5:$U$212,MATCH(IF($A11&lt;=1,0,INDEX('4 The queue'!$W$5:$W$212,$A11-1))+6+1,'4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queue'!$W$5:$W$212,$A11-1))+6+1,'4 The queue'!$W$5:$W$212,0)),9999)+'1 Inputs'!$B$22+'1 Inputs'!$B$23+'1 Inputs'!$B$24+'1 Inputs'!$B$25),'4 The queue'!$T$5:$T$40,1))=(IFERROR(INDEX('4 The queue'!$U$5:$U$212,MATCH(IF($A11&lt;=1,0,INDEX('4 The queue'!$W$5:$W$212,$A11-1))+6+1,'4 The queue'!$W$5:$W$212,0)),9999)+'1 Inputs'!$B$22+'1 Inputs'!$B$23+'1 Inputs'!$B$24+'1 Inputs'!$B$25),0,1)),9999)+'1 Inputs'!$B$26</f>
        <v>71</v>
      </c>
      <c r="Q11" s="19" t="n">
        <f aca="false">IFERROR(INDEX('4 The queue'!$T$5:$T$40,MATCH((IFERROR(INDEX('4 The queue'!$U$5:$U$212,MATCH(IF($A11&lt;=1,0,INDEX('4 The queue'!$W$5:$W$212,$A11-1))+7+1,'4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queue'!$W$5:$W$212,$A11-1))+7+1,'4 The queue'!$W$5:$W$212,0)),9999)+'1 Inputs'!$B$22+'1 Inputs'!$B$23+'1 Inputs'!$B$24+'1 Inputs'!$B$25),'4 The queue'!$T$5:$T$40,1))=(IFERROR(INDEX('4 The queue'!$U$5:$U$212,MATCH(IF($A11&lt;=1,0,INDEX('4 The queue'!$W$5:$W$212,$A11-1))+7+1,'4 The queue'!$W$5:$W$212,0)),9999)+'1 Inputs'!$B$22+'1 Inputs'!$B$23+'1 Inputs'!$B$24+'1 Inputs'!$B$25),0,1)),9999)+'1 Inputs'!$B$26</f>
        <v>71</v>
      </c>
      <c r="R11" s="19" t="n">
        <f aca="false">IFERROR(INDEX('4 The queue'!$T$5:$T$40,MATCH((IFERROR(INDEX('4 The queue'!$U$5:$U$212,MATCH(IF($A11&lt;=1,0,INDEX('4 The queue'!$W$5:$W$212,$A11-1))+8+1,'4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queue'!$W$5:$W$212,$A11-1))+8+1,'4 The queue'!$W$5:$W$212,0)),9999)+'1 Inputs'!$B$22+'1 Inputs'!$B$23+'1 Inputs'!$B$24+'1 Inputs'!$B$25),'4 The queue'!$T$5:$T$40,1))=(IFERROR(INDEX('4 The queue'!$U$5:$U$212,MATCH(IF($A11&lt;=1,0,INDEX('4 The queue'!$W$5:$W$212,$A11-1))+8+1,'4 The queue'!$W$5:$W$212,0)),9999)+'1 Inputs'!$B$22+'1 Inputs'!$B$23+'1 Inputs'!$B$24+'1 Inputs'!$B$25),0,1)),9999)+'1 Inputs'!$B$26</f>
        <v>71</v>
      </c>
      <c r="S11" s="19" t="n">
        <f aca="false">IFERROR(INDEX('4 The queue'!$T$5:$T$40,MATCH((IFERROR(INDEX('4 The queue'!$U$5:$U$212,MATCH(IF($A11&lt;=1,0,INDEX('4 The queue'!$W$5:$W$212,$A11-1))+9+1,'4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queue'!$W$5:$W$212,$A11-1))+9+1,'4 The queue'!$W$5:$W$212,0)),9999)+'1 Inputs'!$B$22+'1 Inputs'!$B$23+'1 Inputs'!$B$24+'1 Inputs'!$B$25),'4 The queue'!$T$5:$T$40,1))=(IFERROR(INDEX('4 The queue'!$U$5:$U$212,MATCH(IF($A11&lt;=1,0,INDEX('4 The queue'!$W$5:$W$212,$A11-1))+9+1,'4 The queue'!$W$5:$W$212,0)),9999)+'1 Inputs'!$B$22+'1 Inputs'!$B$23+'1 Inputs'!$B$24+'1 Inputs'!$B$25),0,1)),9999)+'1 Inputs'!$B$26</f>
        <v>71</v>
      </c>
      <c r="T11" s="19" t="n">
        <f aca="false">IFERROR(INDEX('4 The queue'!$T$5:$T$40,MATCH((IFERROR(INDEX('4 The queue'!$U$5:$U$212,MATCH(IF($A11&lt;=1,0,INDEX('4 The queue'!$W$5:$W$212,$A11-1))+10+1,'4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queue'!$W$5:$W$212,$A11-1))+10+1,'4 The queue'!$W$5:$W$212,0)),9999)+'1 Inputs'!$B$22+'1 Inputs'!$B$23+'1 Inputs'!$B$24+'1 Inputs'!$B$25),'4 The queue'!$T$5:$T$40,1))=(IFERROR(INDEX('4 The queue'!$U$5:$U$212,MATCH(IF($A11&lt;=1,0,INDEX('4 The queue'!$W$5:$W$212,$A11-1))+10+1,'4 The queue'!$W$5:$W$212,0)),9999)+'1 Inputs'!$B$22+'1 Inputs'!$B$23+'1 Inputs'!$B$24+'1 Inputs'!$B$25),0,1)),9999)+'1 Inputs'!$B$26</f>
        <v>71</v>
      </c>
      <c r="U11" s="19" t="n">
        <f aca="false">IFERROR(INDEX('4 The queue'!$T$5:$T$40,MATCH((IFERROR(INDEX('4 The queue'!$U$5:$U$212,MATCH(IF($A11&lt;=1,0,INDEX('4 The queue'!$W$5:$W$212,$A11-1))+11+1,'4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queue'!$W$5:$W$212,$A11-1))+11+1,'4 The queue'!$W$5:$W$212,0)),9999)+'1 Inputs'!$B$22+'1 Inputs'!$B$23+'1 Inputs'!$B$24+'1 Inputs'!$B$25),'4 The queue'!$T$5:$T$40,1))=(IFERROR(INDEX('4 The queue'!$U$5:$U$212,MATCH(IF($A11&lt;=1,0,INDEX('4 The queue'!$W$5:$W$212,$A11-1))+11+1,'4 The queue'!$W$5:$W$212,0)),9999)+'1 Inputs'!$B$22+'1 Inputs'!$B$23+'1 Inputs'!$B$24+'1 Inputs'!$B$25),0,1)),9999)+'1 Inputs'!$B$26</f>
        <v>71</v>
      </c>
      <c r="V11" s="19" t="n">
        <f aca="false">IFERROR(INDEX('4 The queue'!$T$5:$T$40,MATCH((IFERROR(INDEX('4 The queue'!$U$5:$U$212,MATCH(IF($A11&lt;=1,0,INDEX('4 The queue'!$W$5:$W$212,$A11-1))+12+1,'4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queue'!$W$5:$W$212,$A11-1))+12+1,'4 The queue'!$W$5:$W$212,0)),9999)+'1 Inputs'!$B$22+'1 Inputs'!$B$23+'1 Inputs'!$B$24+'1 Inputs'!$B$25),'4 The queue'!$T$5:$T$40,1))=(IFERROR(INDEX('4 The queue'!$U$5:$U$212,MATCH(IF($A11&lt;=1,0,INDEX('4 The queue'!$W$5:$W$212,$A11-1))+12+1,'4 The queue'!$W$5:$W$212,0)),9999)+'1 Inputs'!$B$22+'1 Inputs'!$B$23+'1 Inputs'!$B$24+'1 Inputs'!$B$25),0,1)),9999)+'1 Inputs'!$B$26</f>
        <v>71</v>
      </c>
      <c r="W11" s="19" t="n">
        <f aca="false">IFERROR(INDEX('4 The queue'!$T$5:$T$40,MATCH((IFERROR(INDEX('4 The queue'!$U$5:$U$212,MATCH(IF($A11&lt;=1,0,INDEX('4 The queue'!$W$5:$W$212,$A11-1))+13+1,'4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queue'!$W$5:$W$212,$A11-1))+13+1,'4 The queue'!$W$5:$W$212,0)),9999)+'1 Inputs'!$B$22+'1 Inputs'!$B$23+'1 Inputs'!$B$24+'1 Inputs'!$B$25),'4 The queue'!$T$5:$T$40,1))=(IFERROR(INDEX('4 The queue'!$U$5:$U$212,MATCH(IF($A11&lt;=1,0,INDEX('4 The queue'!$W$5:$W$212,$A11-1))+13+1,'4 The queue'!$W$5:$W$212,0)),9999)+'1 Inputs'!$B$22+'1 Inputs'!$B$23+'1 Inputs'!$B$24+'1 Inputs'!$B$25),0,1)),9999)+'1 Inputs'!$B$26</f>
        <v>71</v>
      </c>
      <c r="X11" s="19" t="n">
        <f aca="false">IFERROR(INDEX('4 The queue'!$T$5:$T$40,MATCH((IFERROR(INDEX('4 The queue'!$U$5:$U$212,MATCH(IF($A11&lt;=1,0,INDEX('4 The queue'!$W$5:$W$212,$A11-1))+14+1,'4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queue'!$W$5:$W$212,$A11-1))+14+1,'4 The queue'!$W$5:$W$212,0)),9999)+'1 Inputs'!$B$22+'1 Inputs'!$B$23+'1 Inputs'!$B$24+'1 Inputs'!$B$25),'4 The queue'!$T$5:$T$40,1))=(IFERROR(INDEX('4 The queue'!$U$5:$U$212,MATCH(IF($A11&lt;=1,0,INDEX('4 The queue'!$W$5:$W$212,$A11-1))+14+1,'4 The queue'!$W$5:$W$212,0)),9999)+'1 Inputs'!$B$22+'1 Inputs'!$B$23+'1 Inputs'!$B$24+'1 Inputs'!$B$25),0,1)),9999)+'1 Inputs'!$B$26</f>
        <v>71</v>
      </c>
      <c r="Y11" s="19" t="n">
        <f aca="false">IFERROR(INDEX('4 The queue'!$T$5:$T$40,MATCH((IFERROR(INDEX('4 The queue'!$U$5:$U$212,MATCH(IF($A11&lt;=1,0,INDEX('4 The queue'!$W$5:$W$212,$A11-1))+15+1,'4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queue'!$W$5:$W$212,$A11-1))+15+1,'4 The queue'!$W$5:$W$212,0)),9999)+'1 Inputs'!$B$22+'1 Inputs'!$B$23+'1 Inputs'!$B$24+'1 Inputs'!$B$25),'4 The queue'!$T$5:$T$40,1))=(IFERROR(INDEX('4 The queue'!$U$5:$U$212,MATCH(IF($A11&lt;=1,0,INDEX('4 The queue'!$W$5:$W$212,$A11-1))+15+1,'4 The queue'!$W$5:$W$212,0)),9999)+'1 Inputs'!$B$22+'1 Inputs'!$B$23+'1 Inputs'!$B$24+'1 Inputs'!$B$25),0,1)),9999)+'1 Inputs'!$B$26</f>
        <v>71</v>
      </c>
      <c r="Z11" s="19" t="n">
        <f aca="false">IFERROR(INDEX('4 The queue'!$T$5:$T$40,MATCH((IFERROR(INDEX('4 The queue'!$U$5:$U$212,MATCH(IF($A11&lt;=1,0,INDEX('4 The queue'!$W$5:$W$212,$A11-1))+16+1,'4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queue'!$W$5:$W$212,$A11-1))+16+1,'4 The queue'!$W$5:$W$212,0)),9999)+'1 Inputs'!$B$22+'1 Inputs'!$B$23+'1 Inputs'!$B$24+'1 Inputs'!$B$25),'4 The queue'!$T$5:$T$40,1))=(IFERROR(INDEX('4 The queue'!$U$5:$U$212,MATCH(IF($A11&lt;=1,0,INDEX('4 The queue'!$W$5:$W$212,$A11-1))+16+1,'4 The queue'!$W$5:$W$212,0)),9999)+'1 Inputs'!$B$22+'1 Inputs'!$B$23+'1 Inputs'!$B$24+'1 Inputs'!$B$25),0,1)),9999)+'1 Inputs'!$B$26</f>
        <v>84</v>
      </c>
      <c r="AA11" s="19" t="n">
        <f aca="false">IFERROR(INDEX('4 The queue'!$T$5:$T$40,MATCH((IFERROR(INDEX('4 The queue'!$U$5:$U$212,MATCH(IF($A11&lt;=1,0,INDEX('4 The queue'!$W$5:$W$212,$A11-1))+17+1,'4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queue'!$W$5:$W$212,$A11-1))+17+1,'4 The queue'!$W$5:$W$212,0)),9999)+'1 Inputs'!$B$22+'1 Inputs'!$B$23+'1 Inputs'!$B$24+'1 Inputs'!$B$25),'4 The queue'!$T$5:$T$40,1))=(IFERROR(INDEX('4 The queue'!$U$5:$U$212,MATCH(IF($A11&lt;=1,0,INDEX('4 The queue'!$W$5:$W$212,$A11-1))+17+1,'4 The queue'!$W$5:$W$212,0)),9999)+'1 Inputs'!$B$22+'1 Inputs'!$B$23+'1 Inputs'!$B$24+'1 Inputs'!$B$25),0,1)),9999)+'1 Inputs'!$B$26</f>
        <v>84</v>
      </c>
      <c r="AB11" s="19" t="n">
        <f aca="false">IFERROR(INDEX('4 The queue'!$T$5:$T$40,MATCH((IFERROR(INDEX('4 The queue'!$U$5:$U$212,MATCH(IF($A11&lt;=1,0,INDEX('4 The queue'!$W$5:$W$212,$A11-1))+18+1,'4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queue'!$W$5:$W$212,$A11-1))+18+1,'4 The queue'!$W$5:$W$212,0)),9999)+'1 Inputs'!$B$22+'1 Inputs'!$B$23+'1 Inputs'!$B$24+'1 Inputs'!$B$25),'4 The queue'!$T$5:$T$40,1))=(IFERROR(INDEX('4 The queue'!$U$5:$U$212,MATCH(IF($A11&lt;=1,0,INDEX('4 The queue'!$W$5:$W$212,$A11-1))+18+1,'4 The queue'!$W$5:$W$212,0)),9999)+'1 Inputs'!$B$22+'1 Inputs'!$B$23+'1 Inputs'!$B$24+'1 Inputs'!$B$25),0,1)),9999)+'1 Inputs'!$B$26</f>
        <v>84</v>
      </c>
      <c r="AC11" s="19" t="n">
        <f aca="false">IFERROR(INDEX('4 The queue'!$T$5:$T$40,MATCH((IFERROR(INDEX('4 The queue'!$U$5:$U$212,MATCH(IF($A11&lt;=1,0,INDEX('4 The queue'!$W$5:$W$212,$A11-1))+19+1,'4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queue'!$W$5:$W$212,$A11-1))+19+1,'4 The queue'!$W$5:$W$212,0)),9999)+'1 Inputs'!$B$22+'1 Inputs'!$B$23+'1 Inputs'!$B$24+'1 Inputs'!$B$25),'4 The queue'!$T$5:$T$40,1))=(IFERROR(INDEX('4 The queue'!$U$5:$U$212,MATCH(IF($A11&lt;=1,0,INDEX('4 The queue'!$W$5:$W$212,$A11-1))+19+1,'4 The queue'!$W$5:$W$212,0)),9999)+'1 Inputs'!$B$22+'1 Inputs'!$B$23+'1 Inputs'!$B$24+'1 Inputs'!$B$25),0,1)),9999)+'1 Inputs'!$B$26</f>
        <v>84</v>
      </c>
      <c r="AD11" s="19" t="n">
        <f aca="false">IFERROR(INDEX('4 The queue'!$T$5:$T$40,MATCH((IFERROR(INDEX('4 The queue'!$U$5:$U$212,MATCH(IF($A11&lt;=1,0,INDEX('4 The queue'!$W$5:$W$212,$A11-1))+20+1,'4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queue'!$W$5:$W$212,$A11-1))+20+1,'4 The queue'!$W$5:$W$212,0)),9999)+'1 Inputs'!$B$22+'1 Inputs'!$B$23+'1 Inputs'!$B$24+'1 Inputs'!$B$25),'4 The queue'!$T$5:$T$40,1))=(IFERROR(INDEX('4 The queue'!$U$5:$U$212,MATCH(IF($A11&lt;=1,0,INDEX('4 The queue'!$W$5:$W$212,$A11-1))+20+1,'4 The queue'!$W$5:$W$212,0)),9999)+'1 Inputs'!$B$22+'1 Inputs'!$B$23+'1 Inputs'!$B$24+'1 Inputs'!$B$25),0,1)),9999)+'1 Inputs'!$B$26</f>
        <v>84</v>
      </c>
      <c r="AE11" s="19" t="n">
        <f aca="false">IFERROR(INDEX('4 The queue'!$T$5:$T$40,MATCH((IFERROR(INDEX('4 The queue'!$U$5:$U$212,MATCH(IF($A11&lt;=1,0,INDEX('4 The queue'!$W$5:$W$212,$A11-1))+21+1,'4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queue'!$W$5:$W$212,$A11-1))+21+1,'4 The queue'!$W$5:$W$212,0)),9999)+'1 Inputs'!$B$22+'1 Inputs'!$B$23+'1 Inputs'!$B$24+'1 Inputs'!$B$25),'4 The queue'!$T$5:$T$40,1))=(IFERROR(INDEX('4 The queue'!$U$5:$U$212,MATCH(IF($A11&lt;=1,0,INDEX('4 The queue'!$W$5:$W$212,$A11-1))+21+1,'4 The queue'!$W$5:$W$212,0)),9999)+'1 Inputs'!$B$22+'1 Inputs'!$B$23+'1 Inputs'!$B$24+'1 Inputs'!$B$25),0,1)),9999)+'1 Inputs'!$B$26</f>
        <v>84</v>
      </c>
      <c r="AF11" s="19" t="n">
        <f aca="false">IFERROR(INDEX('4 The queue'!$T$5:$T$40,MATCH((IFERROR(INDEX('4 The queue'!$U$5:$U$212,MATCH(IF($A11&lt;=1,0,INDEX('4 The queue'!$W$5:$W$212,$A11-1))+22+1,'4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queue'!$W$5:$W$212,$A11-1))+22+1,'4 The queue'!$W$5:$W$212,0)),9999)+'1 Inputs'!$B$22+'1 Inputs'!$B$23+'1 Inputs'!$B$24+'1 Inputs'!$B$25),'4 The queue'!$T$5:$T$40,1))=(IFERROR(INDEX('4 The queue'!$U$5:$U$212,MATCH(IF($A11&lt;=1,0,INDEX('4 The queue'!$W$5:$W$212,$A11-1))+22+1,'4 The queue'!$W$5:$W$212,0)),9999)+'1 Inputs'!$B$22+'1 Inputs'!$B$23+'1 Inputs'!$B$24+'1 Inputs'!$B$25),0,1)),9999)+'1 Inputs'!$B$26</f>
        <v>84</v>
      </c>
      <c r="AG11" s="19" t="n">
        <f aca="false">IFERROR(INDEX('4 The queue'!$T$5:$T$40,MATCH((IFERROR(INDEX('4 The queue'!$U$5:$U$212,MATCH(IF($A11&lt;=1,0,INDEX('4 The queue'!$W$5:$W$212,$A11-1))+23+1,'4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queue'!$W$5:$W$212,$A11-1))+23+1,'4 The queue'!$W$5:$W$212,0)),9999)+'1 Inputs'!$B$22+'1 Inputs'!$B$23+'1 Inputs'!$B$24+'1 Inputs'!$B$25),'4 The queue'!$T$5:$T$40,1))=(IFERROR(INDEX('4 The queue'!$U$5:$U$212,MATCH(IF($A11&lt;=1,0,INDEX('4 The queue'!$W$5:$W$212,$A11-1))+23+1,'4 The queue'!$W$5:$W$212,0)),9999)+'1 Inputs'!$B$22+'1 Inputs'!$B$23+'1 Inputs'!$B$24+'1 Inputs'!$B$25),0,1)),9999)+'1 Inputs'!$B$26</f>
        <v>84</v>
      </c>
      <c r="AH11" s="19" t="n">
        <f aca="false">IFERROR(INDEX('4 The queue'!$T$5:$T$40,MATCH((IFERROR(INDEX('4 The queue'!$U$5:$U$212,MATCH(IF($A11&lt;=1,0,INDEX('4 The queue'!$W$5:$W$212,$A11-1))+24+1,'4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queue'!$W$5:$W$212,$A11-1))+24+1,'4 The queue'!$W$5:$W$212,0)),9999)+'1 Inputs'!$B$22+'1 Inputs'!$B$23+'1 Inputs'!$B$24+'1 Inputs'!$B$25),'4 The queue'!$T$5:$T$40,1))=(IFERROR(INDEX('4 The queue'!$U$5:$U$212,MATCH(IF($A11&lt;=1,0,INDEX('4 The queue'!$W$5:$W$212,$A11-1))+24+1,'4 The queue'!$W$5:$W$212,0)),9999)+'1 Inputs'!$B$22+'1 Inputs'!$B$23+'1 Inputs'!$B$24+'1 Inputs'!$B$25),0,1)),9999)+'1 Inputs'!$B$26</f>
        <v>84</v>
      </c>
      <c r="AI11" s="19" t="n">
        <f aca="false">IFERROR(INDEX('4 The queue'!$T$5:$T$40,MATCH((IFERROR(INDEX('4 The queue'!$U$5:$U$212,MATCH(IF($A11&lt;=1,0,INDEX('4 The queue'!$W$5:$W$212,$A11-1))+25+1,'4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queue'!$W$5:$W$212,$A11-1))+25+1,'4 The queue'!$W$5:$W$212,0)),9999)+'1 Inputs'!$B$22+'1 Inputs'!$B$23+'1 Inputs'!$B$24+'1 Inputs'!$B$25),'4 The queue'!$T$5:$T$40,1))=(IFERROR(INDEX('4 The queue'!$U$5:$U$212,MATCH(IF($A11&lt;=1,0,INDEX('4 The queue'!$W$5:$W$212,$A11-1))+25+1,'4 The queue'!$W$5:$W$212,0)),9999)+'1 Inputs'!$B$22+'1 Inputs'!$B$23+'1 Inputs'!$B$24+'1 Inputs'!$B$25),0,1)),9999)+'1 Inputs'!$B$26</f>
        <v>84</v>
      </c>
      <c r="AJ11" s="19" t="n">
        <f aca="false">IFERROR(INDEX('4 The queue'!$T$5:$T$40,MATCH((IFERROR(INDEX('4 The queue'!$U$5:$U$212,MATCH(IF($A11&lt;=1,0,INDEX('4 The queue'!$W$5:$W$212,$A11-1))+26+1,'4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queue'!$W$5:$W$212,$A11-1))+26+1,'4 The queue'!$W$5:$W$212,0)),9999)+'1 Inputs'!$B$22+'1 Inputs'!$B$23+'1 Inputs'!$B$24+'1 Inputs'!$B$25),'4 The queue'!$T$5:$T$40,1))=(IFERROR(INDEX('4 The queue'!$U$5:$U$212,MATCH(IF($A11&lt;=1,0,INDEX('4 The queue'!$W$5:$W$212,$A11-1))+26+1,'4 The queue'!$W$5:$W$212,0)),9999)+'1 Inputs'!$B$22+'1 Inputs'!$B$23+'1 Inputs'!$B$24+'1 Inputs'!$B$25),0,1)),9999)+'1 Inputs'!$B$26</f>
        <v>97</v>
      </c>
      <c r="AK11" s="19" t="n">
        <f aca="false">IFERROR(INDEX('4 The queue'!$T$5:$T$40,MATCH((IFERROR(INDEX('4 The queue'!$U$5:$U$212,MATCH(IF($A11&lt;=1,0,INDEX('4 The queue'!$W$5:$W$212,$A11-1))+27+1,'4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queue'!$W$5:$W$212,$A11-1))+27+1,'4 The queue'!$W$5:$W$212,0)),9999)+'1 Inputs'!$B$22+'1 Inputs'!$B$23+'1 Inputs'!$B$24+'1 Inputs'!$B$25),'4 The queue'!$T$5:$T$40,1))=(IFERROR(INDEX('4 The queue'!$U$5:$U$212,MATCH(IF($A11&lt;=1,0,INDEX('4 The queue'!$W$5:$W$212,$A11-1))+27+1,'4 The queue'!$W$5:$W$212,0)),9999)+'1 Inputs'!$B$22+'1 Inputs'!$B$23+'1 Inputs'!$B$24+'1 Inputs'!$B$25),0,1)),9999)+'1 Inputs'!$B$26</f>
        <v>97</v>
      </c>
      <c r="AL11" s="19" t="n">
        <f aca="false">IFERROR(INDEX('4 The queue'!$T$5:$T$40,MATCH((IFERROR(INDEX('4 The queue'!$U$5:$U$212,MATCH(IF($A11&lt;=1,0,INDEX('4 The queue'!$W$5:$W$212,$A11-1))+28+1,'4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queue'!$W$5:$W$212,$A11-1))+28+1,'4 The queue'!$W$5:$W$212,0)),9999)+'1 Inputs'!$B$22+'1 Inputs'!$B$23+'1 Inputs'!$B$24+'1 Inputs'!$B$25),'4 The queue'!$T$5:$T$40,1))=(IFERROR(INDEX('4 The queue'!$U$5:$U$212,MATCH(IF($A11&lt;=1,0,INDEX('4 The queue'!$W$5:$W$212,$A11-1))+28+1,'4 The queue'!$W$5:$W$212,0)),9999)+'1 Inputs'!$B$22+'1 Inputs'!$B$23+'1 Inputs'!$B$24+'1 Inputs'!$B$25),0,1)),9999)+'1 Inputs'!$B$26</f>
        <v>97</v>
      </c>
      <c r="AM11" s="19" t="n">
        <f aca="false">IFERROR(INDEX('4 The queue'!$T$5:$T$40,MATCH((IFERROR(INDEX('4 The queue'!$U$5:$U$212,MATCH(IF($A11&lt;=1,0,INDEX('4 The queue'!$W$5:$W$212,$A11-1))+29+1,'4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queue'!$W$5:$W$212,$A11-1))+29+1,'4 The queue'!$W$5:$W$212,0)),9999)+'1 Inputs'!$B$22+'1 Inputs'!$B$23+'1 Inputs'!$B$24+'1 Inputs'!$B$25),'4 The queue'!$T$5:$T$40,1))=(IFERROR(INDEX('4 The queue'!$U$5:$U$212,MATCH(IF($A11&lt;=1,0,INDEX('4 The queue'!$W$5:$W$212,$A11-1))+29+1,'4 The queue'!$W$5:$W$212,0)),9999)+'1 Inputs'!$B$22+'1 Inputs'!$B$23+'1 Inputs'!$B$24+'1 Inputs'!$B$25),0,1)),9999)+'1 Inputs'!$B$26</f>
        <v>97</v>
      </c>
      <c r="AN11" s="19" t="n">
        <f aca="false">IFERROR(INDEX('4 The queue'!$T$5:$T$40,MATCH((IFERROR(INDEX('4 The queue'!$U$5:$U$212,MATCH(IF($A11&lt;=1,0,INDEX('4 The queue'!$W$5:$W$212,$A11-1))+30+1,'4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queue'!$W$5:$W$212,$A11-1))+30+1,'4 The queue'!$W$5:$W$212,0)),9999)+'1 Inputs'!$B$22+'1 Inputs'!$B$23+'1 Inputs'!$B$24+'1 Inputs'!$B$25),'4 The queue'!$T$5:$T$40,1))=(IFERROR(INDEX('4 The queue'!$U$5:$U$212,MATCH(IF($A11&lt;=1,0,INDEX('4 The queue'!$W$5:$W$212,$A11-1))+30+1,'4 The queue'!$W$5:$W$212,0)),9999)+'1 Inputs'!$B$22+'1 Inputs'!$B$23+'1 Inputs'!$B$24+'1 Inputs'!$B$25),0,1)),9999)+'1 Inputs'!$B$26</f>
        <v>97</v>
      </c>
      <c r="AO11" s="19" t="n">
        <f aca="false">IFERROR(INDEX('4 The queue'!$T$5:$T$40,MATCH((IFERROR(INDEX('4 The queue'!$U$5:$U$212,MATCH(IF($A11&lt;=1,0,INDEX('4 The queue'!$W$5:$W$212,$A11-1))+31+1,'4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queue'!$W$5:$W$212,$A11-1))+31+1,'4 The queue'!$W$5:$W$212,0)),9999)+'1 Inputs'!$B$22+'1 Inputs'!$B$23+'1 Inputs'!$B$24+'1 Inputs'!$B$25),'4 The queue'!$T$5:$T$40,1))=(IFERROR(INDEX('4 The queue'!$U$5:$U$212,MATCH(IF($A11&lt;=1,0,INDEX('4 The queue'!$W$5:$W$212,$A11-1))+31+1,'4 The queue'!$W$5:$W$212,0)),9999)+'1 Inputs'!$B$22+'1 Inputs'!$B$23+'1 Inputs'!$B$24+'1 Inputs'!$B$25),0,1)),9999)+'1 Inputs'!$B$26</f>
        <v>97</v>
      </c>
      <c r="AP11" s="19" t="n">
        <f aca="false">IFERROR(INDEX('4 The queue'!$T$5:$T$40,MATCH((IFERROR(INDEX('4 The queue'!$U$5:$U$212,MATCH(IF($A11&lt;=1,0,INDEX('4 The queue'!$W$5:$W$212,$A11-1))+32+1,'4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queue'!$W$5:$W$212,$A11-1))+32+1,'4 The queue'!$W$5:$W$212,0)),9999)+'1 Inputs'!$B$22+'1 Inputs'!$B$23+'1 Inputs'!$B$24+'1 Inputs'!$B$25),'4 The queue'!$T$5:$T$40,1))=(IFERROR(INDEX('4 The queue'!$U$5:$U$212,MATCH(IF($A11&lt;=1,0,INDEX('4 The queue'!$W$5:$W$212,$A11-1))+32+1,'4 The queue'!$W$5:$W$212,0)),9999)+'1 Inputs'!$B$22+'1 Inputs'!$B$23+'1 Inputs'!$B$24+'1 Inputs'!$B$25),0,1)),9999)+'1 Inputs'!$B$26</f>
        <v>97</v>
      </c>
      <c r="AQ11" s="19" t="n">
        <f aca="false">IFERROR(INDEX('4 The queue'!$T$5:$T$40,MATCH((IFERROR(INDEX('4 The queue'!$U$5:$U$212,MATCH(IF($A11&lt;=1,0,INDEX('4 The queue'!$W$5:$W$212,$A11-1))+33+1,'4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queue'!$W$5:$W$212,$A11-1))+33+1,'4 The queue'!$W$5:$W$212,0)),9999)+'1 Inputs'!$B$22+'1 Inputs'!$B$23+'1 Inputs'!$B$24+'1 Inputs'!$B$25),'4 The queue'!$T$5:$T$40,1))=(IFERROR(INDEX('4 The queue'!$U$5:$U$212,MATCH(IF($A11&lt;=1,0,INDEX('4 The queue'!$W$5:$W$212,$A11-1))+33+1,'4 The queue'!$W$5:$W$212,0)),9999)+'1 Inputs'!$B$22+'1 Inputs'!$B$23+'1 Inputs'!$B$24+'1 Inputs'!$B$25),0,1)),9999)+'1 Inputs'!$B$26</f>
        <v>97</v>
      </c>
      <c r="AR11" s="19" t="n">
        <f aca="false">IFERROR(INDEX('4 The queue'!$T$5:$T$40,MATCH((IFERROR(INDEX('4 The queue'!$U$5:$U$212,MATCH(IF($A11&lt;=1,0,INDEX('4 The queue'!$W$5:$W$212,$A11-1))+34+1,'4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queue'!$W$5:$W$212,$A11-1))+34+1,'4 The queue'!$W$5:$W$212,0)),9999)+'1 Inputs'!$B$22+'1 Inputs'!$B$23+'1 Inputs'!$B$24+'1 Inputs'!$B$25),'4 The queue'!$T$5:$T$40,1))=(IFERROR(INDEX('4 The queue'!$U$5:$U$212,MATCH(IF($A11&lt;=1,0,INDEX('4 The queue'!$W$5:$W$212,$A11-1))+34+1,'4 The queue'!$W$5:$W$212,0)),9999)+'1 Inputs'!$B$22+'1 Inputs'!$B$23+'1 Inputs'!$B$24+'1 Inputs'!$B$25),0,1)),9999)+'1 Inputs'!$B$26</f>
        <v>97</v>
      </c>
      <c r="AS11" s="19" t="n">
        <f aca="false">IFERROR(INDEX('4 The queue'!$T$5:$T$40,MATCH((IFERROR(INDEX('4 The queue'!$U$5:$U$212,MATCH(IF($A11&lt;=1,0,INDEX('4 The queue'!$W$5:$W$212,$A11-1))+35+1,'4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queue'!$W$5:$W$212,$A11-1))+35+1,'4 The queue'!$W$5:$W$212,0)),9999)+'1 Inputs'!$B$22+'1 Inputs'!$B$23+'1 Inputs'!$B$24+'1 Inputs'!$B$25),'4 The queue'!$T$5:$T$40,1))=(IFERROR(INDEX('4 The queue'!$U$5:$U$212,MATCH(IF($A11&lt;=1,0,INDEX('4 The queue'!$W$5:$W$212,$A11-1))+35+1,'4 The queue'!$W$5:$W$212,0)),9999)+'1 Inputs'!$B$22+'1 Inputs'!$B$23+'1 Inputs'!$B$24+'1 Inputs'!$B$25),0,1)),9999)+'1 Inputs'!$B$26</f>
        <v>97</v>
      </c>
      <c r="AT11" s="19" t="n">
        <f aca="false">IFERROR(INDEX('4 The queue'!$T$5:$T$40,MATCH((IFERROR(INDEX('4 The queue'!$U$5:$U$212,MATCH(IF($A11&lt;=1,0,INDEX('4 The queue'!$W$5:$W$212,$A11-1))+36+1,'4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queue'!$W$5:$W$212,$A11-1))+36+1,'4 The queue'!$W$5:$W$212,0)),9999)+'1 Inputs'!$B$22+'1 Inputs'!$B$23+'1 Inputs'!$B$24+'1 Inputs'!$B$25),'4 The queue'!$T$5:$T$40,1))=(IFERROR(INDEX('4 The queue'!$U$5:$U$212,MATCH(IF($A11&lt;=1,0,INDEX('4 The queue'!$W$5:$W$212,$A11-1))+36+1,'4 The queue'!$W$5:$W$212,0)),9999)+'1 Inputs'!$B$22+'1 Inputs'!$B$23+'1 Inputs'!$B$24+'1 Inputs'!$B$25),0,1)),9999)+'1 Inputs'!$B$26</f>
        <v>97</v>
      </c>
      <c r="AU11" s="19" t="n">
        <f aca="false">IFERROR(INDEX('4 The queue'!$T$5:$T$40,MATCH((IFERROR(INDEX('4 The queue'!$U$5:$U$212,MATCH(IF($A11&lt;=1,0,INDEX('4 The queue'!$W$5:$W$212,$A11-1))+37+1,'4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queue'!$W$5:$W$212,$A11-1))+37+1,'4 The queue'!$W$5:$W$212,0)),9999)+'1 Inputs'!$B$22+'1 Inputs'!$B$23+'1 Inputs'!$B$24+'1 Inputs'!$B$25),'4 The queue'!$T$5:$T$40,1))=(IFERROR(INDEX('4 The queue'!$U$5:$U$212,MATCH(IF($A11&lt;=1,0,INDEX('4 The queue'!$W$5:$W$212,$A11-1))+37+1,'4 The queue'!$W$5:$W$212,0)),9999)+'1 Inputs'!$B$22+'1 Inputs'!$B$23+'1 Inputs'!$B$24+'1 Inputs'!$B$25),0,1)),9999)+'1 Inputs'!$B$26</f>
        <v>97</v>
      </c>
      <c r="AV11" s="19" t="n">
        <f aca="false">IFERROR(INDEX('4 The queue'!$T$5:$T$40,MATCH((IFERROR(INDEX('4 The queue'!$U$5:$U$212,MATCH(IF($A11&lt;=1,0,INDEX('4 The queue'!$W$5:$W$212,$A11-1))+38+1,'4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queue'!$W$5:$W$212,$A11-1))+38+1,'4 The queue'!$W$5:$W$212,0)),9999)+'1 Inputs'!$B$22+'1 Inputs'!$B$23+'1 Inputs'!$B$24+'1 Inputs'!$B$25),'4 The queue'!$T$5:$T$40,1))=(IFERROR(INDEX('4 The queue'!$U$5:$U$212,MATCH(IF($A11&lt;=1,0,INDEX('4 The queue'!$W$5:$W$212,$A11-1))+38+1,'4 The queue'!$W$5:$W$212,0)),9999)+'1 Inputs'!$B$22+'1 Inputs'!$B$23+'1 Inputs'!$B$24+'1 Inputs'!$B$25),0,1)),9999)+'1 Inputs'!$B$26</f>
        <v>97</v>
      </c>
      <c r="AW11" s="19" t="n">
        <f aca="false">IFERROR(INDEX('4 The queue'!$T$5:$T$40,MATCH((IFERROR(INDEX('4 The queue'!$U$5:$U$212,MATCH(IF($A11&lt;=1,0,INDEX('4 The queue'!$W$5:$W$212,$A11-1))+39+1,'4 The queue'!$W$5:$W$212,0)),9999)+'1 Inputs'!$B$22+'1 Inputs'!$B$23+'1 Inputs'!$B$24+'1 Inputs'!$B$25),'4 The queue'!$T$5:$T$40,1)+IF(INDEX('4 The queue'!$T$5:$T$40,MATCH((IFERROR(INDEX('4 The queue'!$U$5:$U$212,MATCH(IF($A11&lt;=1,0,INDEX('4 The queue'!$W$5:$W$212,$A11-1))+39+1,'4 The queue'!$W$5:$W$212,0)),9999)+'1 Inputs'!$B$22+'1 Inputs'!$B$23+'1 Inputs'!$B$24+'1 Inputs'!$B$25),'4 The queue'!$T$5:$T$40,1))=(IFERROR(INDEX('4 The queue'!$U$5:$U$212,MATCH(IF($A11&lt;=1,0,INDEX('4 The queue'!$W$5:$W$212,$A11-1))+39+1,'4 The queue'!$W$5:$W$212,0)),9999)+'1 Inputs'!$B$22+'1 Inputs'!$B$23+'1 Inputs'!$B$24+'1 Inputs'!$B$25),0,1)),9999)+'1 Inputs'!$B$26</f>
        <v>107</v>
      </c>
      <c r="AX11" s="19" t="n">
        <f aca="false">MAX(0,MIN('1 Inputs'!$B$15,'1 Inputs'!$B$5*'1 Inputs'!$B$6-0*'1 Inputs'!$B$15))*'1 Inputs'!$B$7*'1 Inputs'!$B$8*'1 Inputs'!$B$9*'1 Inputs'!$B$10*'1 Inputs'!$B$11</f>
        <v>6250000</v>
      </c>
      <c r="AY11" s="19" t="n">
        <f aca="false">MAX(0,MIN('1 Inputs'!$B$15,'1 Inputs'!$B$5*'1 Inputs'!$B$6-1*'1 Inputs'!$B$15))*'1 Inputs'!$B$7*'1 Inputs'!$B$8*'1 Inputs'!$B$9*'1 Inputs'!$B$10*'1 Inputs'!$B$11</f>
        <v>6250000</v>
      </c>
      <c r="AZ11" s="19" t="n">
        <f aca="false">MAX(0,MIN('1 Inputs'!$B$15,'1 Inputs'!$B$5*'1 Inputs'!$B$6-2*'1 Inputs'!$B$15))*'1 Inputs'!$B$7*'1 Inputs'!$B$8*'1 Inputs'!$B$9*'1 Inputs'!$B$10*'1 Inputs'!$B$11</f>
        <v>6250000</v>
      </c>
      <c r="BA11" s="19" t="n">
        <f aca="false">MAX(0,MIN('1 Inputs'!$B$15,'1 Inputs'!$B$5*'1 Inputs'!$B$6-3*'1 Inputs'!$B$15))*'1 Inputs'!$B$7*'1 Inputs'!$B$8*'1 Inputs'!$B$9*'1 Inputs'!$B$10*'1 Inputs'!$B$11</f>
        <v>6250000</v>
      </c>
      <c r="BB11" s="19" t="n">
        <f aca="false">MAX(0,MIN('1 Inputs'!$B$15,'1 Inputs'!$B$5*'1 Inputs'!$B$6-4*'1 Inputs'!$B$15))*'1 Inputs'!$B$7*'1 Inputs'!$B$8*'1 Inputs'!$B$9*'1 Inputs'!$B$10*'1 Inputs'!$B$11</f>
        <v>6250000</v>
      </c>
      <c r="BC11" s="19" t="n">
        <f aca="false">MAX(0,MIN('1 Inputs'!$B$15,'1 Inputs'!$B$5*'1 Inputs'!$B$6-5*'1 Inputs'!$B$15))*'1 Inputs'!$B$7*'1 Inputs'!$B$8*'1 Inputs'!$B$9*'1 Inputs'!$B$10*'1 Inputs'!$B$11</f>
        <v>6250000</v>
      </c>
      <c r="BD11" s="19" t="n">
        <f aca="false">MAX(0,MIN('1 Inputs'!$B$15,'1 Inputs'!$B$5*'1 Inputs'!$B$6-6*'1 Inputs'!$B$15))*'1 Inputs'!$B$7*'1 Inputs'!$B$8*'1 Inputs'!$B$9*'1 Inputs'!$B$10*'1 Inputs'!$B$11</f>
        <v>6250000</v>
      </c>
      <c r="BE11" s="19" t="n">
        <f aca="false">MAX(0,MIN('1 Inputs'!$B$15,'1 Inputs'!$B$5*'1 Inputs'!$B$6-7*'1 Inputs'!$B$15))*'1 Inputs'!$B$7*'1 Inputs'!$B$8*'1 Inputs'!$B$9*'1 Inputs'!$B$10*'1 Inputs'!$B$11</f>
        <v>6250000</v>
      </c>
      <c r="BF11" s="19" t="n">
        <f aca="false">MAX(0,MIN('1 Inputs'!$B$15,'1 Inputs'!$B$5*'1 Inputs'!$B$6-8*'1 Inputs'!$B$15))*'1 Inputs'!$B$7*'1 Inputs'!$B$8*'1 Inputs'!$B$9*'1 Inputs'!$B$10*'1 Inputs'!$B$11</f>
        <v>6250000</v>
      </c>
      <c r="BG11" s="19" t="n">
        <f aca="false">MAX(0,MIN('1 Inputs'!$B$15,'1 Inputs'!$B$5*'1 Inputs'!$B$6-9*'1 Inputs'!$B$15))*'1 Inputs'!$B$7*'1 Inputs'!$B$8*'1 Inputs'!$B$9*'1 Inputs'!$B$10*'1 Inputs'!$B$11</f>
        <v>6250000</v>
      </c>
      <c r="BH11" s="19" t="n">
        <f aca="false">MAX(0,MIN('1 Inputs'!$B$15,'1 Inputs'!$B$5*'1 Inputs'!$B$6-10*'1 Inputs'!$B$15))*'1 Inputs'!$B$7*'1 Inputs'!$B$8*'1 Inputs'!$B$9*'1 Inputs'!$B$10*'1 Inputs'!$B$11</f>
        <v>6250000</v>
      </c>
      <c r="BI11" s="19" t="n">
        <f aca="false">MAX(0,MIN('1 Inputs'!$B$15,'1 Inputs'!$B$5*'1 Inputs'!$B$6-11*'1 Inputs'!$B$15))*'1 Inputs'!$B$7*'1 Inputs'!$B$8*'1 Inputs'!$B$9*'1 Inputs'!$B$10*'1 Inputs'!$B$11</f>
        <v>6250000</v>
      </c>
      <c r="BJ11" s="19" t="n">
        <f aca="false">MAX(0,MIN('1 Inputs'!$B$15,'1 Inputs'!$B$5*'1 Inputs'!$B$6-12*'1 Inputs'!$B$15))*'1 Inputs'!$B$7*'1 Inputs'!$B$8*'1 Inputs'!$B$9*'1 Inputs'!$B$10*'1 Inputs'!$B$11</f>
        <v>6250000</v>
      </c>
      <c r="BK11" s="19" t="n">
        <f aca="false">MAX(0,MIN('1 Inputs'!$B$15,'1 Inputs'!$B$5*'1 Inputs'!$B$6-13*'1 Inputs'!$B$15))*'1 Inputs'!$B$7*'1 Inputs'!$B$8*'1 Inputs'!$B$9*'1 Inputs'!$B$10*'1 Inputs'!$B$11</f>
        <v>6250000</v>
      </c>
      <c r="BL11" s="19" t="n">
        <f aca="false">MAX(0,MIN('1 Inputs'!$B$15,'1 Inputs'!$B$5*'1 Inputs'!$B$6-14*'1 Inputs'!$B$15))*'1 Inputs'!$B$7*'1 Inputs'!$B$8*'1 Inputs'!$B$9*'1 Inputs'!$B$10*'1 Inputs'!$B$11</f>
        <v>6250000</v>
      </c>
      <c r="BM11" s="19" t="n">
        <f aca="false">MAX(0,MIN('1 Inputs'!$B$15,'1 Inputs'!$B$5*'1 Inputs'!$B$6-15*'1 Inputs'!$B$15))*'1 Inputs'!$B$7*'1 Inputs'!$B$8*'1 Inputs'!$B$9*'1 Inputs'!$B$10*'1 Inputs'!$B$11</f>
        <v>0</v>
      </c>
      <c r="BN11" s="19" t="n">
        <f aca="false">MAX(0,MIN('1 Inputs'!$B$15,'1 Inputs'!$B$5*'1 Inputs'!$B$6-16*'1 Inputs'!$B$15))*'1 Inputs'!$B$7*'1 Inputs'!$B$8*'1 Inputs'!$B$9*'1 Inputs'!$B$10*'1 Inputs'!$B$11</f>
        <v>0</v>
      </c>
      <c r="BO11" s="19" t="n">
        <f aca="false">MAX(0,MIN('1 Inputs'!$B$15,'1 Inputs'!$B$5*'1 Inputs'!$B$6-17*'1 Inputs'!$B$15))*'1 Inputs'!$B$7*'1 Inputs'!$B$8*'1 Inputs'!$B$9*'1 Inputs'!$B$10*'1 Inputs'!$B$11</f>
        <v>0</v>
      </c>
      <c r="BP11" s="19" t="n">
        <f aca="false">MAX(0,MIN('1 Inputs'!$B$15,'1 Inputs'!$B$5*'1 Inputs'!$B$6-18*'1 Inputs'!$B$15))*'1 Inputs'!$B$7*'1 Inputs'!$B$8*'1 Inputs'!$B$9*'1 Inputs'!$B$10*'1 Inputs'!$B$11</f>
        <v>0</v>
      </c>
      <c r="BQ11" s="19" t="n">
        <f aca="false">MAX(0,MIN('1 Inputs'!$B$15,'1 Inputs'!$B$5*'1 Inputs'!$B$6-19*'1 Inputs'!$B$15))*'1 Inputs'!$B$7*'1 Inputs'!$B$8*'1 Inputs'!$B$9*'1 Inputs'!$B$10*'1 Inputs'!$B$11</f>
        <v>0</v>
      </c>
      <c r="BR11" s="19" t="n">
        <f aca="false">MAX(0,MIN('1 Inputs'!$B$15,'1 Inputs'!$B$5*'1 Inputs'!$B$6-20*'1 Inputs'!$B$15))*'1 Inputs'!$B$7*'1 Inputs'!$B$8*'1 Inputs'!$B$9*'1 Inputs'!$B$10*'1 Inputs'!$B$11</f>
        <v>0</v>
      </c>
      <c r="BS11" s="19" t="n">
        <f aca="false">MAX(0,MIN('1 Inputs'!$B$15,'1 Inputs'!$B$5*'1 Inputs'!$B$6-21*'1 Inputs'!$B$15))*'1 Inputs'!$B$7*'1 Inputs'!$B$8*'1 Inputs'!$B$9*'1 Inputs'!$B$10*'1 Inputs'!$B$11</f>
        <v>0</v>
      </c>
      <c r="BT11" s="19" t="n">
        <f aca="false">MAX(0,MIN('1 Inputs'!$B$15,'1 Inputs'!$B$5*'1 Inputs'!$B$6-22*'1 Inputs'!$B$15))*'1 Inputs'!$B$7*'1 Inputs'!$B$8*'1 Inputs'!$B$9*'1 Inputs'!$B$10*'1 Inputs'!$B$11</f>
        <v>0</v>
      </c>
      <c r="BU11" s="19" t="n">
        <f aca="false">MAX(0,MIN('1 Inputs'!$B$15,'1 Inputs'!$B$5*'1 Inputs'!$B$6-23*'1 Inputs'!$B$15))*'1 Inputs'!$B$7*'1 Inputs'!$B$8*'1 Inputs'!$B$9*'1 Inputs'!$B$10*'1 Inputs'!$B$11</f>
        <v>0</v>
      </c>
      <c r="BV11" s="19" t="n">
        <f aca="false">MAX(0,MIN('1 Inputs'!$B$15,'1 Inputs'!$B$5*'1 Inputs'!$B$6-24*'1 Inputs'!$B$15))*'1 Inputs'!$B$7*'1 Inputs'!$B$8*'1 Inputs'!$B$9*'1 Inputs'!$B$10*'1 Inputs'!$B$11</f>
        <v>0</v>
      </c>
      <c r="BW11" s="19" t="n">
        <f aca="false">MAX(0,MIN('1 Inputs'!$B$15,'1 Inputs'!$B$5*'1 Inputs'!$B$6-25*'1 Inputs'!$B$15))*'1 Inputs'!$B$7*'1 Inputs'!$B$8*'1 Inputs'!$B$9*'1 Inputs'!$B$10*'1 Inputs'!$B$11</f>
        <v>0</v>
      </c>
      <c r="BX11" s="19" t="n">
        <f aca="false">MAX(0,MIN('1 Inputs'!$B$15,'1 Inputs'!$B$5*'1 Inputs'!$B$6-26*'1 Inputs'!$B$15))*'1 Inputs'!$B$7*'1 Inputs'!$B$8*'1 Inputs'!$B$9*'1 Inputs'!$B$10*'1 Inputs'!$B$11</f>
        <v>0</v>
      </c>
      <c r="BY11" s="19" t="n">
        <f aca="false">MAX(0,MIN('1 Inputs'!$B$15,'1 Inputs'!$B$5*'1 Inputs'!$B$6-27*'1 Inputs'!$B$15))*'1 Inputs'!$B$7*'1 Inputs'!$B$8*'1 Inputs'!$B$9*'1 Inputs'!$B$10*'1 Inputs'!$B$11</f>
        <v>0</v>
      </c>
      <c r="BZ11" s="19" t="n">
        <f aca="false">MAX(0,MIN('1 Inputs'!$B$15,'1 Inputs'!$B$5*'1 Inputs'!$B$6-28*'1 Inputs'!$B$15))*'1 Inputs'!$B$7*'1 Inputs'!$B$8*'1 Inputs'!$B$9*'1 Inputs'!$B$10*'1 Inputs'!$B$11</f>
        <v>0</v>
      </c>
      <c r="CA11" s="19" t="n">
        <f aca="false">MAX(0,MIN('1 Inputs'!$B$15,'1 Inputs'!$B$5*'1 Inputs'!$B$6-29*'1 Inputs'!$B$15))*'1 Inputs'!$B$7*'1 Inputs'!$B$8*'1 Inputs'!$B$9*'1 Inputs'!$B$10*'1 Inputs'!$B$11</f>
        <v>0</v>
      </c>
      <c r="CB11" s="19" t="n">
        <f aca="false">MAX(0,MIN('1 Inputs'!$B$15,'1 Inputs'!$B$5*'1 Inputs'!$B$6-30*'1 Inputs'!$B$15))*'1 Inputs'!$B$7*'1 Inputs'!$B$8*'1 Inputs'!$B$9*'1 Inputs'!$B$10*'1 Inputs'!$B$11</f>
        <v>0</v>
      </c>
      <c r="CC11" s="19" t="n">
        <f aca="false">MAX(0,MIN('1 Inputs'!$B$15,'1 Inputs'!$B$5*'1 Inputs'!$B$6-31*'1 Inputs'!$B$15))*'1 Inputs'!$B$7*'1 Inputs'!$B$8*'1 Inputs'!$B$9*'1 Inputs'!$B$10*'1 Inputs'!$B$11</f>
        <v>0</v>
      </c>
      <c r="CD11" s="19" t="n">
        <f aca="false">MAX(0,MIN('1 Inputs'!$B$15,'1 Inputs'!$B$5*'1 Inputs'!$B$6-32*'1 Inputs'!$B$15))*'1 Inputs'!$B$7*'1 Inputs'!$B$8*'1 Inputs'!$B$9*'1 Inputs'!$B$10*'1 Inputs'!$B$11</f>
        <v>0</v>
      </c>
      <c r="CE11" s="19" t="n">
        <f aca="false">MAX(0,MIN('1 Inputs'!$B$15,'1 Inputs'!$B$5*'1 Inputs'!$B$6-33*'1 Inputs'!$B$15))*'1 Inputs'!$B$7*'1 Inputs'!$B$8*'1 Inputs'!$B$9*'1 Inputs'!$B$10*'1 Inputs'!$B$11</f>
        <v>0</v>
      </c>
      <c r="CF11" s="19" t="n">
        <f aca="false">MAX(0,MIN('1 Inputs'!$B$15,'1 Inputs'!$B$5*'1 Inputs'!$B$6-34*'1 Inputs'!$B$15))*'1 Inputs'!$B$7*'1 Inputs'!$B$8*'1 Inputs'!$B$9*'1 Inputs'!$B$10*'1 Inputs'!$B$11</f>
        <v>0</v>
      </c>
      <c r="CG11" s="19" t="n">
        <f aca="false">MAX(0,MIN('1 Inputs'!$B$15,'1 Inputs'!$B$5*'1 Inputs'!$B$6-35*'1 Inputs'!$B$15))*'1 Inputs'!$B$7*'1 Inputs'!$B$8*'1 Inputs'!$B$9*'1 Inputs'!$B$10*'1 Inputs'!$B$11</f>
        <v>0</v>
      </c>
      <c r="CH11" s="19" t="n">
        <f aca="false">MAX(0,MIN('1 Inputs'!$B$15,'1 Inputs'!$B$5*'1 Inputs'!$B$6-36*'1 Inputs'!$B$15))*'1 Inputs'!$B$7*'1 Inputs'!$B$8*'1 Inputs'!$B$9*'1 Inputs'!$B$10*'1 Inputs'!$B$11</f>
        <v>0</v>
      </c>
      <c r="CI11" s="19" t="n">
        <f aca="false">MAX(0,MIN('1 Inputs'!$B$15,'1 Inputs'!$B$5*'1 Inputs'!$B$6-37*'1 Inputs'!$B$15))*'1 Inputs'!$B$7*'1 Inputs'!$B$8*'1 Inputs'!$B$9*'1 Inputs'!$B$10*'1 Inputs'!$B$11</f>
        <v>0</v>
      </c>
      <c r="CJ11" s="19" t="n">
        <f aca="false">MAX(0,MIN('1 Inputs'!$B$15,'1 Inputs'!$B$5*'1 Inputs'!$B$6-38*'1 Inputs'!$B$15))*'1 Inputs'!$B$7*'1 Inputs'!$B$8*'1 Inputs'!$B$9*'1 Inputs'!$B$10*'1 Inputs'!$B$11</f>
        <v>0</v>
      </c>
      <c r="CK11" s="19" t="n">
        <f aca="false">MAX(0,MIN('1 Inputs'!$B$15,'1 Inputs'!$B$5*'1 Inputs'!$B$6-39*'1 Inputs'!$B$15))*'1 Inputs'!$B$7*'1 Inputs'!$B$8*'1 Inputs'!$B$9*'1 Inputs'!$B$10*'1 Inputs'!$B$11</f>
        <v>0</v>
      </c>
    </row>
    <row r="12" customFormat="false" ht="15" hidden="false" customHeight="false" outlineLevel="0" collapsed="false">
      <c r="A12" s="0" t="n">
        <v>25</v>
      </c>
      <c r="B12" s="12" t="n">
        <f aca="false">SUMIF(J12:AW12,"&lt;="&amp;($A12+52),AX12:CK12)</f>
        <v>93750000</v>
      </c>
      <c r="C12" s="12" t="n">
        <f aca="false">SUM(AX12:CK12)</f>
        <v>93750000</v>
      </c>
      <c r="D12" s="15" t="n">
        <f aca="false">(MIN(J12:AW12)-$A12)/52*12</f>
        <v>6.92307692307692</v>
      </c>
      <c r="J12" s="19" t="n">
        <f aca="false">IFERROR(INDEX('4 The queue'!$T$5:$T$40,MATCH((IFERROR(INDEX('4 The queue'!$U$5:$U$212,MATCH(IF($A12&lt;=1,0,INDEX('4 The queue'!$W$5:$W$212,$A12-1))+0+1,'4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queue'!$W$5:$W$212,$A12-1))+0+1,'4 The queue'!$W$5:$W$212,0)),9999)+'1 Inputs'!$B$22+'1 Inputs'!$B$23+'1 Inputs'!$B$24+'1 Inputs'!$B$25),'4 The queue'!$T$5:$T$40,1))=(IFERROR(INDEX('4 The queue'!$U$5:$U$212,MATCH(IF($A12&lt;=1,0,INDEX('4 The queue'!$W$5:$W$212,$A12-1))+0+1,'4 The queue'!$W$5:$W$212,0)),9999)+'1 Inputs'!$B$22+'1 Inputs'!$B$23+'1 Inputs'!$B$24+'1 Inputs'!$B$25),0,1)),9999)+'1 Inputs'!$B$26</f>
        <v>55</v>
      </c>
      <c r="K12" s="19" t="n">
        <f aca="false">IFERROR(INDEX('4 The queue'!$T$5:$T$40,MATCH((IFERROR(INDEX('4 The queue'!$U$5:$U$212,MATCH(IF($A12&lt;=1,0,INDEX('4 The queue'!$W$5:$W$212,$A12-1))+1+1,'4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queue'!$W$5:$W$212,$A12-1))+1+1,'4 The queue'!$W$5:$W$212,0)),9999)+'1 Inputs'!$B$22+'1 Inputs'!$B$23+'1 Inputs'!$B$24+'1 Inputs'!$B$25),'4 The queue'!$T$5:$T$40,1))=(IFERROR(INDEX('4 The queue'!$U$5:$U$212,MATCH(IF($A12&lt;=1,0,INDEX('4 The queue'!$W$5:$W$212,$A12-1))+1+1,'4 The queue'!$W$5:$W$212,0)),9999)+'1 Inputs'!$B$22+'1 Inputs'!$B$23+'1 Inputs'!$B$24+'1 Inputs'!$B$25),0,1)),9999)+'1 Inputs'!$B$26</f>
        <v>55</v>
      </c>
      <c r="L12" s="19" t="n">
        <f aca="false">IFERROR(INDEX('4 The queue'!$T$5:$T$40,MATCH((IFERROR(INDEX('4 The queue'!$U$5:$U$212,MATCH(IF($A12&lt;=1,0,INDEX('4 The queue'!$W$5:$W$212,$A12-1))+2+1,'4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queue'!$W$5:$W$212,$A12-1))+2+1,'4 The queue'!$W$5:$W$212,0)),9999)+'1 Inputs'!$B$22+'1 Inputs'!$B$23+'1 Inputs'!$B$24+'1 Inputs'!$B$25),'4 The queue'!$T$5:$T$40,1))=(IFERROR(INDEX('4 The queue'!$U$5:$U$212,MATCH(IF($A12&lt;=1,0,INDEX('4 The queue'!$W$5:$W$212,$A12-1))+2+1,'4 The queue'!$W$5:$W$212,0)),9999)+'1 Inputs'!$B$22+'1 Inputs'!$B$23+'1 Inputs'!$B$24+'1 Inputs'!$B$25),0,1)),9999)+'1 Inputs'!$B$26</f>
        <v>55</v>
      </c>
      <c r="M12" s="19" t="n">
        <f aca="false">IFERROR(INDEX('4 The queue'!$T$5:$T$40,MATCH((IFERROR(INDEX('4 The queue'!$U$5:$U$212,MATCH(IF($A12&lt;=1,0,INDEX('4 The queue'!$W$5:$W$212,$A12-1))+3+1,'4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queue'!$W$5:$W$212,$A12-1))+3+1,'4 The queue'!$W$5:$W$212,0)),9999)+'1 Inputs'!$B$22+'1 Inputs'!$B$23+'1 Inputs'!$B$24+'1 Inputs'!$B$25),'4 The queue'!$T$5:$T$40,1))=(IFERROR(INDEX('4 The queue'!$U$5:$U$212,MATCH(IF($A12&lt;=1,0,INDEX('4 The queue'!$W$5:$W$212,$A12-1))+3+1,'4 The queue'!$W$5:$W$212,0)),9999)+'1 Inputs'!$B$22+'1 Inputs'!$B$23+'1 Inputs'!$B$24+'1 Inputs'!$B$25),0,1)),9999)+'1 Inputs'!$B$26</f>
        <v>71</v>
      </c>
      <c r="N12" s="19" t="n">
        <f aca="false">IFERROR(INDEX('4 The queue'!$T$5:$T$40,MATCH((IFERROR(INDEX('4 The queue'!$U$5:$U$212,MATCH(IF($A12&lt;=1,0,INDEX('4 The queue'!$W$5:$W$212,$A12-1))+4+1,'4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queue'!$W$5:$W$212,$A12-1))+4+1,'4 The queue'!$W$5:$W$212,0)),9999)+'1 Inputs'!$B$22+'1 Inputs'!$B$23+'1 Inputs'!$B$24+'1 Inputs'!$B$25),'4 The queue'!$T$5:$T$40,1))=(IFERROR(INDEX('4 The queue'!$U$5:$U$212,MATCH(IF($A12&lt;=1,0,INDEX('4 The queue'!$W$5:$W$212,$A12-1))+4+1,'4 The queue'!$W$5:$W$212,0)),9999)+'1 Inputs'!$B$22+'1 Inputs'!$B$23+'1 Inputs'!$B$24+'1 Inputs'!$B$25),0,1)),9999)+'1 Inputs'!$B$26</f>
        <v>71</v>
      </c>
      <c r="O12" s="19" t="n">
        <f aca="false">IFERROR(INDEX('4 The queue'!$T$5:$T$40,MATCH((IFERROR(INDEX('4 The queue'!$U$5:$U$212,MATCH(IF($A12&lt;=1,0,INDEX('4 The queue'!$W$5:$W$212,$A12-1))+5+1,'4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queue'!$W$5:$W$212,$A12-1))+5+1,'4 The queue'!$W$5:$W$212,0)),9999)+'1 Inputs'!$B$22+'1 Inputs'!$B$23+'1 Inputs'!$B$24+'1 Inputs'!$B$25),'4 The queue'!$T$5:$T$40,1))=(IFERROR(INDEX('4 The queue'!$U$5:$U$212,MATCH(IF($A12&lt;=1,0,INDEX('4 The queue'!$W$5:$W$212,$A12-1))+5+1,'4 The queue'!$W$5:$W$212,0)),9999)+'1 Inputs'!$B$22+'1 Inputs'!$B$23+'1 Inputs'!$B$24+'1 Inputs'!$B$25),0,1)),9999)+'1 Inputs'!$B$26</f>
        <v>71</v>
      </c>
      <c r="P12" s="19" t="n">
        <f aca="false">IFERROR(INDEX('4 The queue'!$T$5:$T$40,MATCH((IFERROR(INDEX('4 The queue'!$U$5:$U$212,MATCH(IF($A12&lt;=1,0,INDEX('4 The queue'!$W$5:$W$212,$A12-1))+6+1,'4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queue'!$W$5:$W$212,$A12-1))+6+1,'4 The queue'!$W$5:$W$212,0)),9999)+'1 Inputs'!$B$22+'1 Inputs'!$B$23+'1 Inputs'!$B$24+'1 Inputs'!$B$25),'4 The queue'!$T$5:$T$40,1))=(IFERROR(INDEX('4 The queue'!$U$5:$U$212,MATCH(IF($A12&lt;=1,0,INDEX('4 The queue'!$W$5:$W$212,$A12-1))+6+1,'4 The queue'!$W$5:$W$212,0)),9999)+'1 Inputs'!$B$22+'1 Inputs'!$B$23+'1 Inputs'!$B$24+'1 Inputs'!$B$25),0,1)),9999)+'1 Inputs'!$B$26</f>
        <v>71</v>
      </c>
      <c r="Q12" s="19" t="n">
        <f aca="false">IFERROR(INDEX('4 The queue'!$T$5:$T$40,MATCH((IFERROR(INDEX('4 The queue'!$U$5:$U$212,MATCH(IF($A12&lt;=1,0,INDEX('4 The queue'!$W$5:$W$212,$A12-1))+7+1,'4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queue'!$W$5:$W$212,$A12-1))+7+1,'4 The queue'!$W$5:$W$212,0)),9999)+'1 Inputs'!$B$22+'1 Inputs'!$B$23+'1 Inputs'!$B$24+'1 Inputs'!$B$25),'4 The queue'!$T$5:$T$40,1))=(IFERROR(INDEX('4 The queue'!$U$5:$U$212,MATCH(IF($A12&lt;=1,0,INDEX('4 The queue'!$W$5:$W$212,$A12-1))+7+1,'4 The queue'!$W$5:$W$212,0)),9999)+'1 Inputs'!$B$22+'1 Inputs'!$B$23+'1 Inputs'!$B$24+'1 Inputs'!$B$25),0,1)),9999)+'1 Inputs'!$B$26</f>
        <v>71</v>
      </c>
      <c r="R12" s="19" t="n">
        <f aca="false">IFERROR(INDEX('4 The queue'!$T$5:$T$40,MATCH((IFERROR(INDEX('4 The queue'!$U$5:$U$212,MATCH(IF($A12&lt;=1,0,INDEX('4 The queue'!$W$5:$W$212,$A12-1))+8+1,'4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queue'!$W$5:$W$212,$A12-1))+8+1,'4 The queue'!$W$5:$W$212,0)),9999)+'1 Inputs'!$B$22+'1 Inputs'!$B$23+'1 Inputs'!$B$24+'1 Inputs'!$B$25),'4 The queue'!$T$5:$T$40,1))=(IFERROR(INDEX('4 The queue'!$U$5:$U$212,MATCH(IF($A12&lt;=1,0,INDEX('4 The queue'!$W$5:$W$212,$A12-1))+8+1,'4 The queue'!$W$5:$W$212,0)),9999)+'1 Inputs'!$B$22+'1 Inputs'!$B$23+'1 Inputs'!$B$24+'1 Inputs'!$B$25),0,1)),9999)+'1 Inputs'!$B$26</f>
        <v>71</v>
      </c>
      <c r="S12" s="19" t="n">
        <f aca="false">IFERROR(INDEX('4 The queue'!$T$5:$T$40,MATCH((IFERROR(INDEX('4 The queue'!$U$5:$U$212,MATCH(IF($A12&lt;=1,0,INDEX('4 The queue'!$W$5:$W$212,$A12-1))+9+1,'4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queue'!$W$5:$W$212,$A12-1))+9+1,'4 The queue'!$W$5:$W$212,0)),9999)+'1 Inputs'!$B$22+'1 Inputs'!$B$23+'1 Inputs'!$B$24+'1 Inputs'!$B$25),'4 The queue'!$T$5:$T$40,1))=(IFERROR(INDEX('4 The queue'!$U$5:$U$212,MATCH(IF($A12&lt;=1,0,INDEX('4 The queue'!$W$5:$W$212,$A12-1))+9+1,'4 The queue'!$W$5:$W$212,0)),9999)+'1 Inputs'!$B$22+'1 Inputs'!$B$23+'1 Inputs'!$B$24+'1 Inputs'!$B$25),0,1)),9999)+'1 Inputs'!$B$26</f>
        <v>71</v>
      </c>
      <c r="T12" s="19" t="n">
        <f aca="false">IFERROR(INDEX('4 The queue'!$T$5:$T$40,MATCH((IFERROR(INDEX('4 The queue'!$U$5:$U$212,MATCH(IF($A12&lt;=1,0,INDEX('4 The queue'!$W$5:$W$212,$A12-1))+10+1,'4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queue'!$W$5:$W$212,$A12-1))+10+1,'4 The queue'!$W$5:$W$212,0)),9999)+'1 Inputs'!$B$22+'1 Inputs'!$B$23+'1 Inputs'!$B$24+'1 Inputs'!$B$25),'4 The queue'!$T$5:$T$40,1))=(IFERROR(INDEX('4 The queue'!$U$5:$U$212,MATCH(IF($A12&lt;=1,0,INDEX('4 The queue'!$W$5:$W$212,$A12-1))+10+1,'4 The queue'!$W$5:$W$212,0)),9999)+'1 Inputs'!$B$22+'1 Inputs'!$B$23+'1 Inputs'!$B$24+'1 Inputs'!$B$25),0,1)),9999)+'1 Inputs'!$B$26</f>
        <v>71</v>
      </c>
      <c r="U12" s="19" t="n">
        <f aca="false">IFERROR(INDEX('4 The queue'!$T$5:$T$40,MATCH((IFERROR(INDEX('4 The queue'!$U$5:$U$212,MATCH(IF($A12&lt;=1,0,INDEX('4 The queue'!$W$5:$W$212,$A12-1))+11+1,'4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queue'!$W$5:$W$212,$A12-1))+11+1,'4 The queue'!$W$5:$W$212,0)),9999)+'1 Inputs'!$B$22+'1 Inputs'!$B$23+'1 Inputs'!$B$24+'1 Inputs'!$B$25),'4 The queue'!$T$5:$T$40,1))=(IFERROR(INDEX('4 The queue'!$U$5:$U$212,MATCH(IF($A12&lt;=1,0,INDEX('4 The queue'!$W$5:$W$212,$A12-1))+11+1,'4 The queue'!$W$5:$W$212,0)),9999)+'1 Inputs'!$B$22+'1 Inputs'!$B$23+'1 Inputs'!$B$24+'1 Inputs'!$B$25),0,1)),9999)+'1 Inputs'!$B$26</f>
        <v>71</v>
      </c>
      <c r="V12" s="19" t="n">
        <f aca="false">IFERROR(INDEX('4 The queue'!$T$5:$T$40,MATCH((IFERROR(INDEX('4 The queue'!$U$5:$U$212,MATCH(IF($A12&lt;=1,0,INDEX('4 The queue'!$W$5:$W$212,$A12-1))+12+1,'4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queue'!$W$5:$W$212,$A12-1))+12+1,'4 The queue'!$W$5:$W$212,0)),9999)+'1 Inputs'!$B$22+'1 Inputs'!$B$23+'1 Inputs'!$B$24+'1 Inputs'!$B$25),'4 The queue'!$T$5:$T$40,1))=(IFERROR(INDEX('4 The queue'!$U$5:$U$212,MATCH(IF($A12&lt;=1,0,INDEX('4 The queue'!$W$5:$W$212,$A12-1))+12+1,'4 The queue'!$W$5:$W$212,0)),9999)+'1 Inputs'!$B$22+'1 Inputs'!$B$23+'1 Inputs'!$B$24+'1 Inputs'!$B$25),0,1)),9999)+'1 Inputs'!$B$26</f>
        <v>71</v>
      </c>
      <c r="W12" s="19" t="n">
        <f aca="false">IFERROR(INDEX('4 The queue'!$T$5:$T$40,MATCH((IFERROR(INDEX('4 The queue'!$U$5:$U$212,MATCH(IF($A12&lt;=1,0,INDEX('4 The queue'!$W$5:$W$212,$A12-1))+13+1,'4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queue'!$W$5:$W$212,$A12-1))+13+1,'4 The queue'!$W$5:$W$212,0)),9999)+'1 Inputs'!$B$22+'1 Inputs'!$B$23+'1 Inputs'!$B$24+'1 Inputs'!$B$25),'4 The queue'!$T$5:$T$40,1))=(IFERROR(INDEX('4 The queue'!$U$5:$U$212,MATCH(IF($A12&lt;=1,0,INDEX('4 The queue'!$W$5:$W$212,$A12-1))+13+1,'4 The queue'!$W$5:$W$212,0)),9999)+'1 Inputs'!$B$22+'1 Inputs'!$B$23+'1 Inputs'!$B$24+'1 Inputs'!$B$25),0,1)),9999)+'1 Inputs'!$B$26</f>
        <v>71</v>
      </c>
      <c r="X12" s="19" t="n">
        <f aca="false">IFERROR(INDEX('4 The queue'!$T$5:$T$40,MATCH((IFERROR(INDEX('4 The queue'!$U$5:$U$212,MATCH(IF($A12&lt;=1,0,INDEX('4 The queue'!$W$5:$W$212,$A12-1))+14+1,'4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queue'!$W$5:$W$212,$A12-1))+14+1,'4 The queue'!$W$5:$W$212,0)),9999)+'1 Inputs'!$B$22+'1 Inputs'!$B$23+'1 Inputs'!$B$24+'1 Inputs'!$B$25),'4 The queue'!$T$5:$T$40,1))=(IFERROR(INDEX('4 The queue'!$U$5:$U$212,MATCH(IF($A12&lt;=1,0,INDEX('4 The queue'!$W$5:$W$212,$A12-1))+14+1,'4 The queue'!$W$5:$W$212,0)),9999)+'1 Inputs'!$B$22+'1 Inputs'!$B$23+'1 Inputs'!$B$24+'1 Inputs'!$B$25),0,1)),9999)+'1 Inputs'!$B$26</f>
        <v>71</v>
      </c>
      <c r="Y12" s="19" t="n">
        <f aca="false">IFERROR(INDEX('4 The queue'!$T$5:$T$40,MATCH((IFERROR(INDEX('4 The queue'!$U$5:$U$212,MATCH(IF($A12&lt;=1,0,INDEX('4 The queue'!$W$5:$W$212,$A12-1))+15+1,'4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queue'!$W$5:$W$212,$A12-1))+15+1,'4 The queue'!$W$5:$W$212,0)),9999)+'1 Inputs'!$B$22+'1 Inputs'!$B$23+'1 Inputs'!$B$24+'1 Inputs'!$B$25),'4 The queue'!$T$5:$T$40,1))=(IFERROR(INDEX('4 The queue'!$U$5:$U$212,MATCH(IF($A12&lt;=1,0,INDEX('4 The queue'!$W$5:$W$212,$A12-1))+15+1,'4 The queue'!$W$5:$W$212,0)),9999)+'1 Inputs'!$B$22+'1 Inputs'!$B$23+'1 Inputs'!$B$24+'1 Inputs'!$B$25),0,1)),9999)+'1 Inputs'!$B$26</f>
        <v>84</v>
      </c>
      <c r="Z12" s="19" t="n">
        <f aca="false">IFERROR(INDEX('4 The queue'!$T$5:$T$40,MATCH((IFERROR(INDEX('4 The queue'!$U$5:$U$212,MATCH(IF($A12&lt;=1,0,INDEX('4 The queue'!$W$5:$W$212,$A12-1))+16+1,'4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queue'!$W$5:$W$212,$A12-1))+16+1,'4 The queue'!$W$5:$W$212,0)),9999)+'1 Inputs'!$B$22+'1 Inputs'!$B$23+'1 Inputs'!$B$24+'1 Inputs'!$B$25),'4 The queue'!$T$5:$T$40,1))=(IFERROR(INDEX('4 The queue'!$U$5:$U$212,MATCH(IF($A12&lt;=1,0,INDEX('4 The queue'!$W$5:$W$212,$A12-1))+16+1,'4 The queue'!$W$5:$W$212,0)),9999)+'1 Inputs'!$B$22+'1 Inputs'!$B$23+'1 Inputs'!$B$24+'1 Inputs'!$B$25),0,1)),9999)+'1 Inputs'!$B$26</f>
        <v>84</v>
      </c>
      <c r="AA12" s="19" t="n">
        <f aca="false">IFERROR(INDEX('4 The queue'!$T$5:$T$40,MATCH((IFERROR(INDEX('4 The queue'!$U$5:$U$212,MATCH(IF($A12&lt;=1,0,INDEX('4 The queue'!$W$5:$W$212,$A12-1))+17+1,'4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queue'!$W$5:$W$212,$A12-1))+17+1,'4 The queue'!$W$5:$W$212,0)),9999)+'1 Inputs'!$B$22+'1 Inputs'!$B$23+'1 Inputs'!$B$24+'1 Inputs'!$B$25),'4 The queue'!$T$5:$T$40,1))=(IFERROR(INDEX('4 The queue'!$U$5:$U$212,MATCH(IF($A12&lt;=1,0,INDEX('4 The queue'!$W$5:$W$212,$A12-1))+17+1,'4 The queue'!$W$5:$W$212,0)),9999)+'1 Inputs'!$B$22+'1 Inputs'!$B$23+'1 Inputs'!$B$24+'1 Inputs'!$B$25),0,1)),9999)+'1 Inputs'!$B$26</f>
        <v>84</v>
      </c>
      <c r="AB12" s="19" t="n">
        <f aca="false">IFERROR(INDEX('4 The queue'!$T$5:$T$40,MATCH((IFERROR(INDEX('4 The queue'!$U$5:$U$212,MATCH(IF($A12&lt;=1,0,INDEX('4 The queue'!$W$5:$W$212,$A12-1))+18+1,'4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queue'!$W$5:$W$212,$A12-1))+18+1,'4 The queue'!$W$5:$W$212,0)),9999)+'1 Inputs'!$B$22+'1 Inputs'!$B$23+'1 Inputs'!$B$24+'1 Inputs'!$B$25),'4 The queue'!$T$5:$T$40,1))=(IFERROR(INDEX('4 The queue'!$U$5:$U$212,MATCH(IF($A12&lt;=1,0,INDEX('4 The queue'!$W$5:$W$212,$A12-1))+18+1,'4 The queue'!$W$5:$W$212,0)),9999)+'1 Inputs'!$B$22+'1 Inputs'!$B$23+'1 Inputs'!$B$24+'1 Inputs'!$B$25),0,1)),9999)+'1 Inputs'!$B$26</f>
        <v>84</v>
      </c>
      <c r="AC12" s="19" t="n">
        <f aca="false">IFERROR(INDEX('4 The queue'!$T$5:$T$40,MATCH((IFERROR(INDEX('4 The queue'!$U$5:$U$212,MATCH(IF($A12&lt;=1,0,INDEX('4 The queue'!$W$5:$W$212,$A12-1))+19+1,'4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queue'!$W$5:$W$212,$A12-1))+19+1,'4 The queue'!$W$5:$W$212,0)),9999)+'1 Inputs'!$B$22+'1 Inputs'!$B$23+'1 Inputs'!$B$24+'1 Inputs'!$B$25),'4 The queue'!$T$5:$T$40,1))=(IFERROR(INDEX('4 The queue'!$U$5:$U$212,MATCH(IF($A12&lt;=1,0,INDEX('4 The queue'!$W$5:$W$212,$A12-1))+19+1,'4 The queue'!$W$5:$W$212,0)),9999)+'1 Inputs'!$B$22+'1 Inputs'!$B$23+'1 Inputs'!$B$24+'1 Inputs'!$B$25),0,1)),9999)+'1 Inputs'!$B$26</f>
        <v>84</v>
      </c>
      <c r="AD12" s="19" t="n">
        <f aca="false">IFERROR(INDEX('4 The queue'!$T$5:$T$40,MATCH((IFERROR(INDEX('4 The queue'!$U$5:$U$212,MATCH(IF($A12&lt;=1,0,INDEX('4 The queue'!$W$5:$W$212,$A12-1))+20+1,'4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queue'!$W$5:$W$212,$A12-1))+20+1,'4 The queue'!$W$5:$W$212,0)),9999)+'1 Inputs'!$B$22+'1 Inputs'!$B$23+'1 Inputs'!$B$24+'1 Inputs'!$B$25),'4 The queue'!$T$5:$T$40,1))=(IFERROR(INDEX('4 The queue'!$U$5:$U$212,MATCH(IF($A12&lt;=1,0,INDEX('4 The queue'!$W$5:$W$212,$A12-1))+20+1,'4 The queue'!$W$5:$W$212,0)),9999)+'1 Inputs'!$B$22+'1 Inputs'!$B$23+'1 Inputs'!$B$24+'1 Inputs'!$B$25),0,1)),9999)+'1 Inputs'!$B$26</f>
        <v>84</v>
      </c>
      <c r="AE12" s="19" t="n">
        <f aca="false">IFERROR(INDEX('4 The queue'!$T$5:$T$40,MATCH((IFERROR(INDEX('4 The queue'!$U$5:$U$212,MATCH(IF($A12&lt;=1,0,INDEX('4 The queue'!$W$5:$W$212,$A12-1))+21+1,'4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queue'!$W$5:$W$212,$A12-1))+21+1,'4 The queue'!$W$5:$W$212,0)),9999)+'1 Inputs'!$B$22+'1 Inputs'!$B$23+'1 Inputs'!$B$24+'1 Inputs'!$B$25),'4 The queue'!$T$5:$T$40,1))=(IFERROR(INDEX('4 The queue'!$U$5:$U$212,MATCH(IF($A12&lt;=1,0,INDEX('4 The queue'!$W$5:$W$212,$A12-1))+21+1,'4 The queue'!$W$5:$W$212,0)),9999)+'1 Inputs'!$B$22+'1 Inputs'!$B$23+'1 Inputs'!$B$24+'1 Inputs'!$B$25),0,1)),9999)+'1 Inputs'!$B$26</f>
        <v>84</v>
      </c>
      <c r="AF12" s="19" t="n">
        <f aca="false">IFERROR(INDEX('4 The queue'!$T$5:$T$40,MATCH((IFERROR(INDEX('4 The queue'!$U$5:$U$212,MATCH(IF($A12&lt;=1,0,INDEX('4 The queue'!$W$5:$W$212,$A12-1))+22+1,'4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queue'!$W$5:$W$212,$A12-1))+22+1,'4 The queue'!$W$5:$W$212,0)),9999)+'1 Inputs'!$B$22+'1 Inputs'!$B$23+'1 Inputs'!$B$24+'1 Inputs'!$B$25),'4 The queue'!$T$5:$T$40,1))=(IFERROR(INDEX('4 The queue'!$U$5:$U$212,MATCH(IF($A12&lt;=1,0,INDEX('4 The queue'!$W$5:$W$212,$A12-1))+22+1,'4 The queue'!$W$5:$W$212,0)),9999)+'1 Inputs'!$B$22+'1 Inputs'!$B$23+'1 Inputs'!$B$24+'1 Inputs'!$B$25),0,1)),9999)+'1 Inputs'!$B$26</f>
        <v>84</v>
      </c>
      <c r="AG12" s="19" t="n">
        <f aca="false">IFERROR(INDEX('4 The queue'!$T$5:$T$40,MATCH((IFERROR(INDEX('4 The queue'!$U$5:$U$212,MATCH(IF($A12&lt;=1,0,INDEX('4 The queue'!$W$5:$W$212,$A12-1))+23+1,'4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queue'!$W$5:$W$212,$A12-1))+23+1,'4 The queue'!$W$5:$W$212,0)),9999)+'1 Inputs'!$B$22+'1 Inputs'!$B$23+'1 Inputs'!$B$24+'1 Inputs'!$B$25),'4 The queue'!$T$5:$T$40,1))=(IFERROR(INDEX('4 The queue'!$U$5:$U$212,MATCH(IF($A12&lt;=1,0,INDEX('4 The queue'!$W$5:$W$212,$A12-1))+23+1,'4 The queue'!$W$5:$W$212,0)),9999)+'1 Inputs'!$B$22+'1 Inputs'!$B$23+'1 Inputs'!$B$24+'1 Inputs'!$B$25),0,1)),9999)+'1 Inputs'!$B$26</f>
        <v>84</v>
      </c>
      <c r="AH12" s="19" t="n">
        <f aca="false">IFERROR(INDEX('4 The queue'!$T$5:$T$40,MATCH((IFERROR(INDEX('4 The queue'!$U$5:$U$212,MATCH(IF($A12&lt;=1,0,INDEX('4 The queue'!$W$5:$W$212,$A12-1))+24+1,'4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queue'!$W$5:$W$212,$A12-1))+24+1,'4 The queue'!$W$5:$W$212,0)),9999)+'1 Inputs'!$B$22+'1 Inputs'!$B$23+'1 Inputs'!$B$24+'1 Inputs'!$B$25),'4 The queue'!$T$5:$T$40,1))=(IFERROR(INDEX('4 The queue'!$U$5:$U$212,MATCH(IF($A12&lt;=1,0,INDEX('4 The queue'!$W$5:$W$212,$A12-1))+24+1,'4 The queue'!$W$5:$W$212,0)),9999)+'1 Inputs'!$B$22+'1 Inputs'!$B$23+'1 Inputs'!$B$24+'1 Inputs'!$B$25),0,1)),9999)+'1 Inputs'!$B$26</f>
        <v>84</v>
      </c>
      <c r="AI12" s="19" t="n">
        <f aca="false">IFERROR(INDEX('4 The queue'!$T$5:$T$40,MATCH((IFERROR(INDEX('4 The queue'!$U$5:$U$212,MATCH(IF($A12&lt;=1,0,INDEX('4 The queue'!$W$5:$W$212,$A12-1))+25+1,'4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queue'!$W$5:$W$212,$A12-1))+25+1,'4 The queue'!$W$5:$W$212,0)),9999)+'1 Inputs'!$B$22+'1 Inputs'!$B$23+'1 Inputs'!$B$24+'1 Inputs'!$B$25),'4 The queue'!$T$5:$T$40,1))=(IFERROR(INDEX('4 The queue'!$U$5:$U$212,MATCH(IF($A12&lt;=1,0,INDEX('4 The queue'!$W$5:$W$212,$A12-1))+25+1,'4 The queue'!$W$5:$W$212,0)),9999)+'1 Inputs'!$B$22+'1 Inputs'!$B$23+'1 Inputs'!$B$24+'1 Inputs'!$B$25),0,1)),9999)+'1 Inputs'!$B$26</f>
        <v>97</v>
      </c>
      <c r="AJ12" s="19" t="n">
        <f aca="false">IFERROR(INDEX('4 The queue'!$T$5:$T$40,MATCH((IFERROR(INDEX('4 The queue'!$U$5:$U$212,MATCH(IF($A12&lt;=1,0,INDEX('4 The queue'!$W$5:$W$212,$A12-1))+26+1,'4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queue'!$W$5:$W$212,$A12-1))+26+1,'4 The queue'!$W$5:$W$212,0)),9999)+'1 Inputs'!$B$22+'1 Inputs'!$B$23+'1 Inputs'!$B$24+'1 Inputs'!$B$25),'4 The queue'!$T$5:$T$40,1))=(IFERROR(INDEX('4 The queue'!$U$5:$U$212,MATCH(IF($A12&lt;=1,0,INDEX('4 The queue'!$W$5:$W$212,$A12-1))+26+1,'4 The queue'!$W$5:$W$212,0)),9999)+'1 Inputs'!$B$22+'1 Inputs'!$B$23+'1 Inputs'!$B$24+'1 Inputs'!$B$25),0,1)),9999)+'1 Inputs'!$B$26</f>
        <v>97</v>
      </c>
      <c r="AK12" s="19" t="n">
        <f aca="false">IFERROR(INDEX('4 The queue'!$T$5:$T$40,MATCH((IFERROR(INDEX('4 The queue'!$U$5:$U$212,MATCH(IF($A12&lt;=1,0,INDEX('4 The queue'!$W$5:$W$212,$A12-1))+27+1,'4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queue'!$W$5:$W$212,$A12-1))+27+1,'4 The queue'!$W$5:$W$212,0)),9999)+'1 Inputs'!$B$22+'1 Inputs'!$B$23+'1 Inputs'!$B$24+'1 Inputs'!$B$25),'4 The queue'!$T$5:$T$40,1))=(IFERROR(INDEX('4 The queue'!$U$5:$U$212,MATCH(IF($A12&lt;=1,0,INDEX('4 The queue'!$W$5:$W$212,$A12-1))+27+1,'4 The queue'!$W$5:$W$212,0)),9999)+'1 Inputs'!$B$22+'1 Inputs'!$B$23+'1 Inputs'!$B$24+'1 Inputs'!$B$25),0,1)),9999)+'1 Inputs'!$B$26</f>
        <v>97</v>
      </c>
      <c r="AL12" s="19" t="n">
        <f aca="false">IFERROR(INDEX('4 The queue'!$T$5:$T$40,MATCH((IFERROR(INDEX('4 The queue'!$U$5:$U$212,MATCH(IF($A12&lt;=1,0,INDEX('4 The queue'!$W$5:$W$212,$A12-1))+28+1,'4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queue'!$W$5:$W$212,$A12-1))+28+1,'4 The queue'!$W$5:$W$212,0)),9999)+'1 Inputs'!$B$22+'1 Inputs'!$B$23+'1 Inputs'!$B$24+'1 Inputs'!$B$25),'4 The queue'!$T$5:$T$40,1))=(IFERROR(INDEX('4 The queue'!$U$5:$U$212,MATCH(IF($A12&lt;=1,0,INDEX('4 The queue'!$W$5:$W$212,$A12-1))+28+1,'4 The queue'!$W$5:$W$212,0)),9999)+'1 Inputs'!$B$22+'1 Inputs'!$B$23+'1 Inputs'!$B$24+'1 Inputs'!$B$25),0,1)),9999)+'1 Inputs'!$B$26</f>
        <v>97</v>
      </c>
      <c r="AM12" s="19" t="n">
        <f aca="false">IFERROR(INDEX('4 The queue'!$T$5:$T$40,MATCH((IFERROR(INDEX('4 The queue'!$U$5:$U$212,MATCH(IF($A12&lt;=1,0,INDEX('4 The queue'!$W$5:$W$212,$A12-1))+29+1,'4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queue'!$W$5:$W$212,$A12-1))+29+1,'4 The queue'!$W$5:$W$212,0)),9999)+'1 Inputs'!$B$22+'1 Inputs'!$B$23+'1 Inputs'!$B$24+'1 Inputs'!$B$25),'4 The queue'!$T$5:$T$40,1))=(IFERROR(INDEX('4 The queue'!$U$5:$U$212,MATCH(IF($A12&lt;=1,0,INDEX('4 The queue'!$W$5:$W$212,$A12-1))+29+1,'4 The queue'!$W$5:$W$212,0)),9999)+'1 Inputs'!$B$22+'1 Inputs'!$B$23+'1 Inputs'!$B$24+'1 Inputs'!$B$25),0,1)),9999)+'1 Inputs'!$B$26</f>
        <v>97</v>
      </c>
      <c r="AN12" s="19" t="n">
        <f aca="false">IFERROR(INDEX('4 The queue'!$T$5:$T$40,MATCH((IFERROR(INDEX('4 The queue'!$U$5:$U$212,MATCH(IF($A12&lt;=1,0,INDEX('4 The queue'!$W$5:$W$212,$A12-1))+30+1,'4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queue'!$W$5:$W$212,$A12-1))+30+1,'4 The queue'!$W$5:$W$212,0)),9999)+'1 Inputs'!$B$22+'1 Inputs'!$B$23+'1 Inputs'!$B$24+'1 Inputs'!$B$25),'4 The queue'!$T$5:$T$40,1))=(IFERROR(INDEX('4 The queue'!$U$5:$U$212,MATCH(IF($A12&lt;=1,0,INDEX('4 The queue'!$W$5:$W$212,$A12-1))+30+1,'4 The queue'!$W$5:$W$212,0)),9999)+'1 Inputs'!$B$22+'1 Inputs'!$B$23+'1 Inputs'!$B$24+'1 Inputs'!$B$25),0,1)),9999)+'1 Inputs'!$B$26</f>
        <v>97</v>
      </c>
      <c r="AO12" s="19" t="n">
        <f aca="false">IFERROR(INDEX('4 The queue'!$T$5:$T$40,MATCH((IFERROR(INDEX('4 The queue'!$U$5:$U$212,MATCH(IF($A12&lt;=1,0,INDEX('4 The queue'!$W$5:$W$212,$A12-1))+31+1,'4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queue'!$W$5:$W$212,$A12-1))+31+1,'4 The queue'!$W$5:$W$212,0)),9999)+'1 Inputs'!$B$22+'1 Inputs'!$B$23+'1 Inputs'!$B$24+'1 Inputs'!$B$25),'4 The queue'!$T$5:$T$40,1))=(IFERROR(INDEX('4 The queue'!$U$5:$U$212,MATCH(IF($A12&lt;=1,0,INDEX('4 The queue'!$W$5:$W$212,$A12-1))+31+1,'4 The queue'!$W$5:$W$212,0)),9999)+'1 Inputs'!$B$22+'1 Inputs'!$B$23+'1 Inputs'!$B$24+'1 Inputs'!$B$25),0,1)),9999)+'1 Inputs'!$B$26</f>
        <v>97</v>
      </c>
      <c r="AP12" s="19" t="n">
        <f aca="false">IFERROR(INDEX('4 The queue'!$T$5:$T$40,MATCH((IFERROR(INDEX('4 The queue'!$U$5:$U$212,MATCH(IF($A12&lt;=1,0,INDEX('4 The queue'!$W$5:$W$212,$A12-1))+32+1,'4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queue'!$W$5:$W$212,$A12-1))+32+1,'4 The queue'!$W$5:$W$212,0)),9999)+'1 Inputs'!$B$22+'1 Inputs'!$B$23+'1 Inputs'!$B$24+'1 Inputs'!$B$25),'4 The queue'!$T$5:$T$40,1))=(IFERROR(INDEX('4 The queue'!$U$5:$U$212,MATCH(IF($A12&lt;=1,0,INDEX('4 The queue'!$W$5:$W$212,$A12-1))+32+1,'4 The queue'!$W$5:$W$212,0)),9999)+'1 Inputs'!$B$22+'1 Inputs'!$B$23+'1 Inputs'!$B$24+'1 Inputs'!$B$25),0,1)),9999)+'1 Inputs'!$B$26</f>
        <v>97</v>
      </c>
      <c r="AQ12" s="19" t="n">
        <f aca="false">IFERROR(INDEX('4 The queue'!$T$5:$T$40,MATCH((IFERROR(INDEX('4 The queue'!$U$5:$U$212,MATCH(IF($A12&lt;=1,0,INDEX('4 The queue'!$W$5:$W$212,$A12-1))+33+1,'4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queue'!$W$5:$W$212,$A12-1))+33+1,'4 The queue'!$W$5:$W$212,0)),9999)+'1 Inputs'!$B$22+'1 Inputs'!$B$23+'1 Inputs'!$B$24+'1 Inputs'!$B$25),'4 The queue'!$T$5:$T$40,1))=(IFERROR(INDEX('4 The queue'!$U$5:$U$212,MATCH(IF($A12&lt;=1,0,INDEX('4 The queue'!$W$5:$W$212,$A12-1))+33+1,'4 The queue'!$W$5:$W$212,0)),9999)+'1 Inputs'!$B$22+'1 Inputs'!$B$23+'1 Inputs'!$B$24+'1 Inputs'!$B$25),0,1)),9999)+'1 Inputs'!$B$26</f>
        <v>97</v>
      </c>
      <c r="AR12" s="19" t="n">
        <f aca="false">IFERROR(INDEX('4 The queue'!$T$5:$T$40,MATCH((IFERROR(INDEX('4 The queue'!$U$5:$U$212,MATCH(IF($A12&lt;=1,0,INDEX('4 The queue'!$W$5:$W$212,$A12-1))+34+1,'4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queue'!$W$5:$W$212,$A12-1))+34+1,'4 The queue'!$W$5:$W$212,0)),9999)+'1 Inputs'!$B$22+'1 Inputs'!$B$23+'1 Inputs'!$B$24+'1 Inputs'!$B$25),'4 The queue'!$T$5:$T$40,1))=(IFERROR(INDEX('4 The queue'!$U$5:$U$212,MATCH(IF($A12&lt;=1,0,INDEX('4 The queue'!$W$5:$W$212,$A12-1))+34+1,'4 The queue'!$W$5:$W$212,0)),9999)+'1 Inputs'!$B$22+'1 Inputs'!$B$23+'1 Inputs'!$B$24+'1 Inputs'!$B$25),0,1)),9999)+'1 Inputs'!$B$26</f>
        <v>97</v>
      </c>
      <c r="AS12" s="19" t="n">
        <f aca="false">IFERROR(INDEX('4 The queue'!$T$5:$T$40,MATCH((IFERROR(INDEX('4 The queue'!$U$5:$U$212,MATCH(IF($A12&lt;=1,0,INDEX('4 The queue'!$W$5:$W$212,$A12-1))+35+1,'4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queue'!$W$5:$W$212,$A12-1))+35+1,'4 The queue'!$W$5:$W$212,0)),9999)+'1 Inputs'!$B$22+'1 Inputs'!$B$23+'1 Inputs'!$B$24+'1 Inputs'!$B$25),'4 The queue'!$T$5:$T$40,1))=(IFERROR(INDEX('4 The queue'!$U$5:$U$212,MATCH(IF($A12&lt;=1,0,INDEX('4 The queue'!$W$5:$W$212,$A12-1))+35+1,'4 The queue'!$W$5:$W$212,0)),9999)+'1 Inputs'!$B$22+'1 Inputs'!$B$23+'1 Inputs'!$B$24+'1 Inputs'!$B$25),0,1)),9999)+'1 Inputs'!$B$26</f>
        <v>97</v>
      </c>
      <c r="AT12" s="19" t="n">
        <f aca="false">IFERROR(INDEX('4 The queue'!$T$5:$T$40,MATCH((IFERROR(INDEX('4 The queue'!$U$5:$U$212,MATCH(IF($A12&lt;=1,0,INDEX('4 The queue'!$W$5:$W$212,$A12-1))+36+1,'4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queue'!$W$5:$W$212,$A12-1))+36+1,'4 The queue'!$W$5:$W$212,0)),9999)+'1 Inputs'!$B$22+'1 Inputs'!$B$23+'1 Inputs'!$B$24+'1 Inputs'!$B$25),'4 The queue'!$T$5:$T$40,1))=(IFERROR(INDEX('4 The queue'!$U$5:$U$212,MATCH(IF($A12&lt;=1,0,INDEX('4 The queue'!$W$5:$W$212,$A12-1))+36+1,'4 The queue'!$W$5:$W$212,0)),9999)+'1 Inputs'!$B$22+'1 Inputs'!$B$23+'1 Inputs'!$B$24+'1 Inputs'!$B$25),0,1)),9999)+'1 Inputs'!$B$26</f>
        <v>97</v>
      </c>
      <c r="AU12" s="19" t="n">
        <f aca="false">IFERROR(INDEX('4 The queue'!$T$5:$T$40,MATCH((IFERROR(INDEX('4 The queue'!$U$5:$U$212,MATCH(IF($A12&lt;=1,0,INDEX('4 The queue'!$W$5:$W$212,$A12-1))+37+1,'4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queue'!$W$5:$W$212,$A12-1))+37+1,'4 The queue'!$W$5:$W$212,0)),9999)+'1 Inputs'!$B$22+'1 Inputs'!$B$23+'1 Inputs'!$B$24+'1 Inputs'!$B$25),'4 The queue'!$T$5:$T$40,1))=(IFERROR(INDEX('4 The queue'!$U$5:$U$212,MATCH(IF($A12&lt;=1,0,INDEX('4 The queue'!$W$5:$W$212,$A12-1))+37+1,'4 The queue'!$W$5:$W$212,0)),9999)+'1 Inputs'!$B$22+'1 Inputs'!$B$23+'1 Inputs'!$B$24+'1 Inputs'!$B$25),0,1)),9999)+'1 Inputs'!$B$26</f>
        <v>97</v>
      </c>
      <c r="AV12" s="19" t="n">
        <f aca="false">IFERROR(INDEX('4 The queue'!$T$5:$T$40,MATCH((IFERROR(INDEX('4 The queue'!$U$5:$U$212,MATCH(IF($A12&lt;=1,0,INDEX('4 The queue'!$W$5:$W$212,$A12-1))+38+1,'4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queue'!$W$5:$W$212,$A12-1))+38+1,'4 The queue'!$W$5:$W$212,0)),9999)+'1 Inputs'!$B$22+'1 Inputs'!$B$23+'1 Inputs'!$B$24+'1 Inputs'!$B$25),'4 The queue'!$T$5:$T$40,1))=(IFERROR(INDEX('4 The queue'!$U$5:$U$212,MATCH(IF($A12&lt;=1,0,INDEX('4 The queue'!$W$5:$W$212,$A12-1))+38+1,'4 The queue'!$W$5:$W$212,0)),9999)+'1 Inputs'!$B$22+'1 Inputs'!$B$23+'1 Inputs'!$B$24+'1 Inputs'!$B$25),0,1)),9999)+'1 Inputs'!$B$26</f>
        <v>107</v>
      </c>
      <c r="AW12" s="19" t="n">
        <f aca="false">IFERROR(INDEX('4 The queue'!$T$5:$T$40,MATCH((IFERROR(INDEX('4 The queue'!$U$5:$U$212,MATCH(IF($A12&lt;=1,0,INDEX('4 The queue'!$W$5:$W$212,$A12-1))+39+1,'4 The queue'!$W$5:$W$212,0)),9999)+'1 Inputs'!$B$22+'1 Inputs'!$B$23+'1 Inputs'!$B$24+'1 Inputs'!$B$25),'4 The queue'!$T$5:$T$40,1)+IF(INDEX('4 The queue'!$T$5:$T$40,MATCH((IFERROR(INDEX('4 The queue'!$U$5:$U$212,MATCH(IF($A12&lt;=1,0,INDEX('4 The queue'!$W$5:$W$212,$A12-1))+39+1,'4 The queue'!$W$5:$W$212,0)),9999)+'1 Inputs'!$B$22+'1 Inputs'!$B$23+'1 Inputs'!$B$24+'1 Inputs'!$B$25),'4 The queue'!$T$5:$T$40,1))=(IFERROR(INDEX('4 The queue'!$U$5:$U$212,MATCH(IF($A12&lt;=1,0,INDEX('4 The queue'!$W$5:$W$212,$A12-1))+39+1,'4 The queue'!$W$5:$W$212,0)),9999)+'1 Inputs'!$B$22+'1 Inputs'!$B$23+'1 Inputs'!$B$24+'1 Inputs'!$B$25),0,1)),9999)+'1 Inputs'!$B$26</f>
        <v>107</v>
      </c>
      <c r="AX12" s="19" t="n">
        <f aca="false">MAX(0,MIN('1 Inputs'!$B$15,'1 Inputs'!$B$5*'1 Inputs'!$B$6-0*'1 Inputs'!$B$15))*'1 Inputs'!$B$7*'1 Inputs'!$B$8*'1 Inputs'!$B$9*'1 Inputs'!$B$10*'1 Inputs'!$B$11</f>
        <v>6250000</v>
      </c>
      <c r="AY12" s="19" t="n">
        <f aca="false">MAX(0,MIN('1 Inputs'!$B$15,'1 Inputs'!$B$5*'1 Inputs'!$B$6-1*'1 Inputs'!$B$15))*'1 Inputs'!$B$7*'1 Inputs'!$B$8*'1 Inputs'!$B$9*'1 Inputs'!$B$10*'1 Inputs'!$B$11</f>
        <v>6250000</v>
      </c>
      <c r="AZ12" s="19" t="n">
        <f aca="false">MAX(0,MIN('1 Inputs'!$B$15,'1 Inputs'!$B$5*'1 Inputs'!$B$6-2*'1 Inputs'!$B$15))*'1 Inputs'!$B$7*'1 Inputs'!$B$8*'1 Inputs'!$B$9*'1 Inputs'!$B$10*'1 Inputs'!$B$11</f>
        <v>6250000</v>
      </c>
      <c r="BA12" s="19" t="n">
        <f aca="false">MAX(0,MIN('1 Inputs'!$B$15,'1 Inputs'!$B$5*'1 Inputs'!$B$6-3*'1 Inputs'!$B$15))*'1 Inputs'!$B$7*'1 Inputs'!$B$8*'1 Inputs'!$B$9*'1 Inputs'!$B$10*'1 Inputs'!$B$11</f>
        <v>6250000</v>
      </c>
      <c r="BB12" s="19" t="n">
        <f aca="false">MAX(0,MIN('1 Inputs'!$B$15,'1 Inputs'!$B$5*'1 Inputs'!$B$6-4*'1 Inputs'!$B$15))*'1 Inputs'!$B$7*'1 Inputs'!$B$8*'1 Inputs'!$B$9*'1 Inputs'!$B$10*'1 Inputs'!$B$11</f>
        <v>6250000</v>
      </c>
      <c r="BC12" s="19" t="n">
        <f aca="false">MAX(0,MIN('1 Inputs'!$B$15,'1 Inputs'!$B$5*'1 Inputs'!$B$6-5*'1 Inputs'!$B$15))*'1 Inputs'!$B$7*'1 Inputs'!$B$8*'1 Inputs'!$B$9*'1 Inputs'!$B$10*'1 Inputs'!$B$11</f>
        <v>6250000</v>
      </c>
      <c r="BD12" s="19" t="n">
        <f aca="false">MAX(0,MIN('1 Inputs'!$B$15,'1 Inputs'!$B$5*'1 Inputs'!$B$6-6*'1 Inputs'!$B$15))*'1 Inputs'!$B$7*'1 Inputs'!$B$8*'1 Inputs'!$B$9*'1 Inputs'!$B$10*'1 Inputs'!$B$11</f>
        <v>6250000</v>
      </c>
      <c r="BE12" s="19" t="n">
        <f aca="false">MAX(0,MIN('1 Inputs'!$B$15,'1 Inputs'!$B$5*'1 Inputs'!$B$6-7*'1 Inputs'!$B$15))*'1 Inputs'!$B$7*'1 Inputs'!$B$8*'1 Inputs'!$B$9*'1 Inputs'!$B$10*'1 Inputs'!$B$11</f>
        <v>6250000</v>
      </c>
      <c r="BF12" s="19" t="n">
        <f aca="false">MAX(0,MIN('1 Inputs'!$B$15,'1 Inputs'!$B$5*'1 Inputs'!$B$6-8*'1 Inputs'!$B$15))*'1 Inputs'!$B$7*'1 Inputs'!$B$8*'1 Inputs'!$B$9*'1 Inputs'!$B$10*'1 Inputs'!$B$11</f>
        <v>6250000</v>
      </c>
      <c r="BG12" s="19" t="n">
        <f aca="false">MAX(0,MIN('1 Inputs'!$B$15,'1 Inputs'!$B$5*'1 Inputs'!$B$6-9*'1 Inputs'!$B$15))*'1 Inputs'!$B$7*'1 Inputs'!$B$8*'1 Inputs'!$B$9*'1 Inputs'!$B$10*'1 Inputs'!$B$11</f>
        <v>6250000</v>
      </c>
      <c r="BH12" s="19" t="n">
        <f aca="false">MAX(0,MIN('1 Inputs'!$B$15,'1 Inputs'!$B$5*'1 Inputs'!$B$6-10*'1 Inputs'!$B$15))*'1 Inputs'!$B$7*'1 Inputs'!$B$8*'1 Inputs'!$B$9*'1 Inputs'!$B$10*'1 Inputs'!$B$11</f>
        <v>6250000</v>
      </c>
      <c r="BI12" s="19" t="n">
        <f aca="false">MAX(0,MIN('1 Inputs'!$B$15,'1 Inputs'!$B$5*'1 Inputs'!$B$6-11*'1 Inputs'!$B$15))*'1 Inputs'!$B$7*'1 Inputs'!$B$8*'1 Inputs'!$B$9*'1 Inputs'!$B$10*'1 Inputs'!$B$11</f>
        <v>6250000</v>
      </c>
      <c r="BJ12" s="19" t="n">
        <f aca="false">MAX(0,MIN('1 Inputs'!$B$15,'1 Inputs'!$B$5*'1 Inputs'!$B$6-12*'1 Inputs'!$B$15))*'1 Inputs'!$B$7*'1 Inputs'!$B$8*'1 Inputs'!$B$9*'1 Inputs'!$B$10*'1 Inputs'!$B$11</f>
        <v>6250000</v>
      </c>
      <c r="BK12" s="19" t="n">
        <f aca="false">MAX(0,MIN('1 Inputs'!$B$15,'1 Inputs'!$B$5*'1 Inputs'!$B$6-13*'1 Inputs'!$B$15))*'1 Inputs'!$B$7*'1 Inputs'!$B$8*'1 Inputs'!$B$9*'1 Inputs'!$B$10*'1 Inputs'!$B$11</f>
        <v>6250000</v>
      </c>
      <c r="BL12" s="19" t="n">
        <f aca="false">MAX(0,MIN('1 Inputs'!$B$15,'1 Inputs'!$B$5*'1 Inputs'!$B$6-14*'1 Inputs'!$B$15))*'1 Inputs'!$B$7*'1 Inputs'!$B$8*'1 Inputs'!$B$9*'1 Inputs'!$B$10*'1 Inputs'!$B$11</f>
        <v>6250000</v>
      </c>
      <c r="BM12" s="19" t="n">
        <f aca="false">MAX(0,MIN('1 Inputs'!$B$15,'1 Inputs'!$B$5*'1 Inputs'!$B$6-15*'1 Inputs'!$B$15))*'1 Inputs'!$B$7*'1 Inputs'!$B$8*'1 Inputs'!$B$9*'1 Inputs'!$B$10*'1 Inputs'!$B$11</f>
        <v>0</v>
      </c>
      <c r="BN12" s="19" t="n">
        <f aca="false">MAX(0,MIN('1 Inputs'!$B$15,'1 Inputs'!$B$5*'1 Inputs'!$B$6-16*'1 Inputs'!$B$15))*'1 Inputs'!$B$7*'1 Inputs'!$B$8*'1 Inputs'!$B$9*'1 Inputs'!$B$10*'1 Inputs'!$B$11</f>
        <v>0</v>
      </c>
      <c r="BO12" s="19" t="n">
        <f aca="false">MAX(0,MIN('1 Inputs'!$B$15,'1 Inputs'!$B$5*'1 Inputs'!$B$6-17*'1 Inputs'!$B$15))*'1 Inputs'!$B$7*'1 Inputs'!$B$8*'1 Inputs'!$B$9*'1 Inputs'!$B$10*'1 Inputs'!$B$11</f>
        <v>0</v>
      </c>
      <c r="BP12" s="19" t="n">
        <f aca="false">MAX(0,MIN('1 Inputs'!$B$15,'1 Inputs'!$B$5*'1 Inputs'!$B$6-18*'1 Inputs'!$B$15))*'1 Inputs'!$B$7*'1 Inputs'!$B$8*'1 Inputs'!$B$9*'1 Inputs'!$B$10*'1 Inputs'!$B$11</f>
        <v>0</v>
      </c>
      <c r="BQ12" s="19" t="n">
        <f aca="false">MAX(0,MIN('1 Inputs'!$B$15,'1 Inputs'!$B$5*'1 Inputs'!$B$6-19*'1 Inputs'!$B$15))*'1 Inputs'!$B$7*'1 Inputs'!$B$8*'1 Inputs'!$B$9*'1 Inputs'!$B$10*'1 Inputs'!$B$11</f>
        <v>0</v>
      </c>
      <c r="BR12" s="19" t="n">
        <f aca="false">MAX(0,MIN('1 Inputs'!$B$15,'1 Inputs'!$B$5*'1 Inputs'!$B$6-20*'1 Inputs'!$B$15))*'1 Inputs'!$B$7*'1 Inputs'!$B$8*'1 Inputs'!$B$9*'1 Inputs'!$B$10*'1 Inputs'!$B$11</f>
        <v>0</v>
      </c>
      <c r="BS12" s="19" t="n">
        <f aca="false">MAX(0,MIN('1 Inputs'!$B$15,'1 Inputs'!$B$5*'1 Inputs'!$B$6-21*'1 Inputs'!$B$15))*'1 Inputs'!$B$7*'1 Inputs'!$B$8*'1 Inputs'!$B$9*'1 Inputs'!$B$10*'1 Inputs'!$B$11</f>
        <v>0</v>
      </c>
      <c r="BT12" s="19" t="n">
        <f aca="false">MAX(0,MIN('1 Inputs'!$B$15,'1 Inputs'!$B$5*'1 Inputs'!$B$6-22*'1 Inputs'!$B$15))*'1 Inputs'!$B$7*'1 Inputs'!$B$8*'1 Inputs'!$B$9*'1 Inputs'!$B$10*'1 Inputs'!$B$11</f>
        <v>0</v>
      </c>
      <c r="BU12" s="19" t="n">
        <f aca="false">MAX(0,MIN('1 Inputs'!$B$15,'1 Inputs'!$B$5*'1 Inputs'!$B$6-23*'1 Inputs'!$B$15))*'1 Inputs'!$B$7*'1 Inputs'!$B$8*'1 Inputs'!$B$9*'1 Inputs'!$B$10*'1 Inputs'!$B$11</f>
        <v>0</v>
      </c>
      <c r="BV12" s="19" t="n">
        <f aca="false">MAX(0,MIN('1 Inputs'!$B$15,'1 Inputs'!$B$5*'1 Inputs'!$B$6-24*'1 Inputs'!$B$15))*'1 Inputs'!$B$7*'1 Inputs'!$B$8*'1 Inputs'!$B$9*'1 Inputs'!$B$10*'1 Inputs'!$B$11</f>
        <v>0</v>
      </c>
      <c r="BW12" s="19" t="n">
        <f aca="false">MAX(0,MIN('1 Inputs'!$B$15,'1 Inputs'!$B$5*'1 Inputs'!$B$6-25*'1 Inputs'!$B$15))*'1 Inputs'!$B$7*'1 Inputs'!$B$8*'1 Inputs'!$B$9*'1 Inputs'!$B$10*'1 Inputs'!$B$11</f>
        <v>0</v>
      </c>
      <c r="BX12" s="19" t="n">
        <f aca="false">MAX(0,MIN('1 Inputs'!$B$15,'1 Inputs'!$B$5*'1 Inputs'!$B$6-26*'1 Inputs'!$B$15))*'1 Inputs'!$B$7*'1 Inputs'!$B$8*'1 Inputs'!$B$9*'1 Inputs'!$B$10*'1 Inputs'!$B$11</f>
        <v>0</v>
      </c>
      <c r="BY12" s="19" t="n">
        <f aca="false">MAX(0,MIN('1 Inputs'!$B$15,'1 Inputs'!$B$5*'1 Inputs'!$B$6-27*'1 Inputs'!$B$15))*'1 Inputs'!$B$7*'1 Inputs'!$B$8*'1 Inputs'!$B$9*'1 Inputs'!$B$10*'1 Inputs'!$B$11</f>
        <v>0</v>
      </c>
      <c r="BZ12" s="19" t="n">
        <f aca="false">MAX(0,MIN('1 Inputs'!$B$15,'1 Inputs'!$B$5*'1 Inputs'!$B$6-28*'1 Inputs'!$B$15))*'1 Inputs'!$B$7*'1 Inputs'!$B$8*'1 Inputs'!$B$9*'1 Inputs'!$B$10*'1 Inputs'!$B$11</f>
        <v>0</v>
      </c>
      <c r="CA12" s="19" t="n">
        <f aca="false">MAX(0,MIN('1 Inputs'!$B$15,'1 Inputs'!$B$5*'1 Inputs'!$B$6-29*'1 Inputs'!$B$15))*'1 Inputs'!$B$7*'1 Inputs'!$B$8*'1 Inputs'!$B$9*'1 Inputs'!$B$10*'1 Inputs'!$B$11</f>
        <v>0</v>
      </c>
      <c r="CB12" s="19" t="n">
        <f aca="false">MAX(0,MIN('1 Inputs'!$B$15,'1 Inputs'!$B$5*'1 Inputs'!$B$6-30*'1 Inputs'!$B$15))*'1 Inputs'!$B$7*'1 Inputs'!$B$8*'1 Inputs'!$B$9*'1 Inputs'!$B$10*'1 Inputs'!$B$11</f>
        <v>0</v>
      </c>
      <c r="CC12" s="19" t="n">
        <f aca="false">MAX(0,MIN('1 Inputs'!$B$15,'1 Inputs'!$B$5*'1 Inputs'!$B$6-31*'1 Inputs'!$B$15))*'1 Inputs'!$B$7*'1 Inputs'!$B$8*'1 Inputs'!$B$9*'1 Inputs'!$B$10*'1 Inputs'!$B$11</f>
        <v>0</v>
      </c>
      <c r="CD12" s="19" t="n">
        <f aca="false">MAX(0,MIN('1 Inputs'!$B$15,'1 Inputs'!$B$5*'1 Inputs'!$B$6-32*'1 Inputs'!$B$15))*'1 Inputs'!$B$7*'1 Inputs'!$B$8*'1 Inputs'!$B$9*'1 Inputs'!$B$10*'1 Inputs'!$B$11</f>
        <v>0</v>
      </c>
      <c r="CE12" s="19" t="n">
        <f aca="false">MAX(0,MIN('1 Inputs'!$B$15,'1 Inputs'!$B$5*'1 Inputs'!$B$6-33*'1 Inputs'!$B$15))*'1 Inputs'!$B$7*'1 Inputs'!$B$8*'1 Inputs'!$B$9*'1 Inputs'!$B$10*'1 Inputs'!$B$11</f>
        <v>0</v>
      </c>
      <c r="CF12" s="19" t="n">
        <f aca="false">MAX(0,MIN('1 Inputs'!$B$15,'1 Inputs'!$B$5*'1 Inputs'!$B$6-34*'1 Inputs'!$B$15))*'1 Inputs'!$B$7*'1 Inputs'!$B$8*'1 Inputs'!$B$9*'1 Inputs'!$B$10*'1 Inputs'!$B$11</f>
        <v>0</v>
      </c>
      <c r="CG12" s="19" t="n">
        <f aca="false">MAX(0,MIN('1 Inputs'!$B$15,'1 Inputs'!$B$5*'1 Inputs'!$B$6-35*'1 Inputs'!$B$15))*'1 Inputs'!$B$7*'1 Inputs'!$B$8*'1 Inputs'!$B$9*'1 Inputs'!$B$10*'1 Inputs'!$B$11</f>
        <v>0</v>
      </c>
      <c r="CH12" s="19" t="n">
        <f aca="false">MAX(0,MIN('1 Inputs'!$B$15,'1 Inputs'!$B$5*'1 Inputs'!$B$6-36*'1 Inputs'!$B$15))*'1 Inputs'!$B$7*'1 Inputs'!$B$8*'1 Inputs'!$B$9*'1 Inputs'!$B$10*'1 Inputs'!$B$11</f>
        <v>0</v>
      </c>
      <c r="CI12" s="19" t="n">
        <f aca="false">MAX(0,MIN('1 Inputs'!$B$15,'1 Inputs'!$B$5*'1 Inputs'!$B$6-37*'1 Inputs'!$B$15))*'1 Inputs'!$B$7*'1 Inputs'!$B$8*'1 Inputs'!$B$9*'1 Inputs'!$B$10*'1 Inputs'!$B$11</f>
        <v>0</v>
      </c>
      <c r="CJ12" s="19" t="n">
        <f aca="false">MAX(0,MIN('1 Inputs'!$B$15,'1 Inputs'!$B$5*'1 Inputs'!$B$6-38*'1 Inputs'!$B$15))*'1 Inputs'!$B$7*'1 Inputs'!$B$8*'1 Inputs'!$B$9*'1 Inputs'!$B$10*'1 Inputs'!$B$11</f>
        <v>0</v>
      </c>
      <c r="CK12" s="19" t="n">
        <f aca="false">MAX(0,MIN('1 Inputs'!$B$15,'1 Inputs'!$B$5*'1 Inputs'!$B$6-39*'1 Inputs'!$B$15))*'1 Inputs'!$B$7*'1 Inputs'!$B$8*'1 Inputs'!$B$9*'1 Inputs'!$B$10*'1 Inputs'!$B$11</f>
        <v>0</v>
      </c>
    </row>
    <row r="13" customFormat="false" ht="15" hidden="false" customHeight="false" outlineLevel="0" collapsed="false">
      <c r="A13" s="0" t="n">
        <v>26</v>
      </c>
      <c r="B13" s="12" t="n">
        <f aca="false">SUMIF(J13:AW13,"&lt;="&amp;($A13+52),AX13:CK13)</f>
        <v>87500000</v>
      </c>
      <c r="C13" s="12" t="n">
        <f aca="false">SUM(AX13:CK13)</f>
        <v>93750000</v>
      </c>
      <c r="D13" s="15" t="n">
        <f aca="false">(MIN(J13:AW13)-$A13)/52*12</f>
        <v>6.69230769230769</v>
      </c>
      <c r="J13" s="19" t="n">
        <f aca="false">IFERROR(INDEX('4 The queue'!$T$5:$T$40,MATCH((IFERROR(INDEX('4 The queue'!$U$5:$U$212,MATCH(IF($A13&lt;=1,0,INDEX('4 The queue'!$W$5:$W$212,$A13-1))+0+1,'4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queue'!$W$5:$W$212,$A13-1))+0+1,'4 The queue'!$W$5:$W$212,0)),9999)+'1 Inputs'!$B$22+'1 Inputs'!$B$23+'1 Inputs'!$B$24+'1 Inputs'!$B$25),'4 The queue'!$T$5:$T$40,1))=(IFERROR(INDEX('4 The queue'!$U$5:$U$212,MATCH(IF($A13&lt;=1,0,INDEX('4 The queue'!$W$5:$W$212,$A13-1))+0+1,'4 The queue'!$W$5:$W$212,0)),9999)+'1 Inputs'!$B$22+'1 Inputs'!$B$23+'1 Inputs'!$B$24+'1 Inputs'!$B$25),0,1)),9999)+'1 Inputs'!$B$26</f>
        <v>55</v>
      </c>
      <c r="K13" s="19" t="n">
        <f aca="false">IFERROR(INDEX('4 The queue'!$T$5:$T$40,MATCH((IFERROR(INDEX('4 The queue'!$U$5:$U$212,MATCH(IF($A13&lt;=1,0,INDEX('4 The queue'!$W$5:$W$212,$A13-1))+1+1,'4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queue'!$W$5:$W$212,$A13-1))+1+1,'4 The queue'!$W$5:$W$212,0)),9999)+'1 Inputs'!$B$22+'1 Inputs'!$B$23+'1 Inputs'!$B$24+'1 Inputs'!$B$25),'4 The queue'!$T$5:$T$40,1))=(IFERROR(INDEX('4 The queue'!$U$5:$U$212,MATCH(IF($A13&lt;=1,0,INDEX('4 The queue'!$W$5:$W$212,$A13-1))+1+1,'4 The queue'!$W$5:$W$212,0)),9999)+'1 Inputs'!$B$22+'1 Inputs'!$B$23+'1 Inputs'!$B$24+'1 Inputs'!$B$25),0,1)),9999)+'1 Inputs'!$B$26</f>
        <v>55</v>
      </c>
      <c r="L13" s="19" t="n">
        <f aca="false">IFERROR(INDEX('4 The queue'!$T$5:$T$40,MATCH((IFERROR(INDEX('4 The queue'!$U$5:$U$212,MATCH(IF($A13&lt;=1,0,INDEX('4 The queue'!$W$5:$W$212,$A13-1))+2+1,'4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queue'!$W$5:$W$212,$A13-1))+2+1,'4 The queue'!$W$5:$W$212,0)),9999)+'1 Inputs'!$B$22+'1 Inputs'!$B$23+'1 Inputs'!$B$24+'1 Inputs'!$B$25),'4 The queue'!$T$5:$T$40,1))=(IFERROR(INDEX('4 The queue'!$U$5:$U$212,MATCH(IF($A13&lt;=1,0,INDEX('4 The queue'!$W$5:$W$212,$A13-1))+2+1,'4 The queue'!$W$5:$W$212,0)),9999)+'1 Inputs'!$B$22+'1 Inputs'!$B$23+'1 Inputs'!$B$24+'1 Inputs'!$B$25),0,1)),9999)+'1 Inputs'!$B$26</f>
        <v>71</v>
      </c>
      <c r="M13" s="19" t="n">
        <f aca="false">IFERROR(INDEX('4 The queue'!$T$5:$T$40,MATCH((IFERROR(INDEX('4 The queue'!$U$5:$U$212,MATCH(IF($A13&lt;=1,0,INDEX('4 The queue'!$W$5:$W$212,$A13-1))+3+1,'4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queue'!$W$5:$W$212,$A13-1))+3+1,'4 The queue'!$W$5:$W$212,0)),9999)+'1 Inputs'!$B$22+'1 Inputs'!$B$23+'1 Inputs'!$B$24+'1 Inputs'!$B$25),'4 The queue'!$T$5:$T$40,1))=(IFERROR(INDEX('4 The queue'!$U$5:$U$212,MATCH(IF($A13&lt;=1,0,INDEX('4 The queue'!$W$5:$W$212,$A13-1))+3+1,'4 The queue'!$W$5:$W$212,0)),9999)+'1 Inputs'!$B$22+'1 Inputs'!$B$23+'1 Inputs'!$B$24+'1 Inputs'!$B$25),0,1)),9999)+'1 Inputs'!$B$26</f>
        <v>71</v>
      </c>
      <c r="N13" s="19" t="n">
        <f aca="false">IFERROR(INDEX('4 The queue'!$T$5:$T$40,MATCH((IFERROR(INDEX('4 The queue'!$U$5:$U$212,MATCH(IF($A13&lt;=1,0,INDEX('4 The queue'!$W$5:$W$212,$A13-1))+4+1,'4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queue'!$W$5:$W$212,$A13-1))+4+1,'4 The queue'!$W$5:$W$212,0)),9999)+'1 Inputs'!$B$22+'1 Inputs'!$B$23+'1 Inputs'!$B$24+'1 Inputs'!$B$25),'4 The queue'!$T$5:$T$40,1))=(IFERROR(INDEX('4 The queue'!$U$5:$U$212,MATCH(IF($A13&lt;=1,0,INDEX('4 The queue'!$W$5:$W$212,$A13-1))+4+1,'4 The queue'!$W$5:$W$212,0)),9999)+'1 Inputs'!$B$22+'1 Inputs'!$B$23+'1 Inputs'!$B$24+'1 Inputs'!$B$25),0,1)),9999)+'1 Inputs'!$B$26</f>
        <v>71</v>
      </c>
      <c r="O13" s="19" t="n">
        <f aca="false">IFERROR(INDEX('4 The queue'!$T$5:$T$40,MATCH((IFERROR(INDEX('4 The queue'!$U$5:$U$212,MATCH(IF($A13&lt;=1,0,INDEX('4 The queue'!$W$5:$W$212,$A13-1))+5+1,'4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queue'!$W$5:$W$212,$A13-1))+5+1,'4 The queue'!$W$5:$W$212,0)),9999)+'1 Inputs'!$B$22+'1 Inputs'!$B$23+'1 Inputs'!$B$24+'1 Inputs'!$B$25),'4 The queue'!$T$5:$T$40,1))=(IFERROR(INDEX('4 The queue'!$U$5:$U$212,MATCH(IF($A13&lt;=1,0,INDEX('4 The queue'!$W$5:$W$212,$A13-1))+5+1,'4 The queue'!$W$5:$W$212,0)),9999)+'1 Inputs'!$B$22+'1 Inputs'!$B$23+'1 Inputs'!$B$24+'1 Inputs'!$B$25),0,1)),9999)+'1 Inputs'!$B$26</f>
        <v>71</v>
      </c>
      <c r="P13" s="19" t="n">
        <f aca="false">IFERROR(INDEX('4 The queue'!$T$5:$T$40,MATCH((IFERROR(INDEX('4 The queue'!$U$5:$U$212,MATCH(IF($A13&lt;=1,0,INDEX('4 The queue'!$W$5:$W$212,$A13-1))+6+1,'4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queue'!$W$5:$W$212,$A13-1))+6+1,'4 The queue'!$W$5:$W$212,0)),9999)+'1 Inputs'!$B$22+'1 Inputs'!$B$23+'1 Inputs'!$B$24+'1 Inputs'!$B$25),'4 The queue'!$T$5:$T$40,1))=(IFERROR(INDEX('4 The queue'!$U$5:$U$212,MATCH(IF($A13&lt;=1,0,INDEX('4 The queue'!$W$5:$W$212,$A13-1))+6+1,'4 The queue'!$W$5:$W$212,0)),9999)+'1 Inputs'!$B$22+'1 Inputs'!$B$23+'1 Inputs'!$B$24+'1 Inputs'!$B$25),0,1)),9999)+'1 Inputs'!$B$26</f>
        <v>71</v>
      </c>
      <c r="Q13" s="19" t="n">
        <f aca="false">IFERROR(INDEX('4 The queue'!$T$5:$T$40,MATCH((IFERROR(INDEX('4 The queue'!$U$5:$U$212,MATCH(IF($A13&lt;=1,0,INDEX('4 The queue'!$W$5:$W$212,$A13-1))+7+1,'4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queue'!$W$5:$W$212,$A13-1))+7+1,'4 The queue'!$W$5:$W$212,0)),9999)+'1 Inputs'!$B$22+'1 Inputs'!$B$23+'1 Inputs'!$B$24+'1 Inputs'!$B$25),'4 The queue'!$T$5:$T$40,1))=(IFERROR(INDEX('4 The queue'!$U$5:$U$212,MATCH(IF($A13&lt;=1,0,INDEX('4 The queue'!$W$5:$W$212,$A13-1))+7+1,'4 The queue'!$W$5:$W$212,0)),9999)+'1 Inputs'!$B$22+'1 Inputs'!$B$23+'1 Inputs'!$B$24+'1 Inputs'!$B$25),0,1)),9999)+'1 Inputs'!$B$26</f>
        <v>71</v>
      </c>
      <c r="R13" s="19" t="n">
        <f aca="false">IFERROR(INDEX('4 The queue'!$T$5:$T$40,MATCH((IFERROR(INDEX('4 The queue'!$U$5:$U$212,MATCH(IF($A13&lt;=1,0,INDEX('4 The queue'!$W$5:$W$212,$A13-1))+8+1,'4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queue'!$W$5:$W$212,$A13-1))+8+1,'4 The queue'!$W$5:$W$212,0)),9999)+'1 Inputs'!$B$22+'1 Inputs'!$B$23+'1 Inputs'!$B$24+'1 Inputs'!$B$25),'4 The queue'!$T$5:$T$40,1))=(IFERROR(INDEX('4 The queue'!$U$5:$U$212,MATCH(IF($A13&lt;=1,0,INDEX('4 The queue'!$W$5:$W$212,$A13-1))+8+1,'4 The queue'!$W$5:$W$212,0)),9999)+'1 Inputs'!$B$22+'1 Inputs'!$B$23+'1 Inputs'!$B$24+'1 Inputs'!$B$25),0,1)),9999)+'1 Inputs'!$B$26</f>
        <v>71</v>
      </c>
      <c r="S13" s="19" t="n">
        <f aca="false">IFERROR(INDEX('4 The queue'!$T$5:$T$40,MATCH((IFERROR(INDEX('4 The queue'!$U$5:$U$212,MATCH(IF($A13&lt;=1,0,INDEX('4 The queue'!$W$5:$W$212,$A13-1))+9+1,'4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queue'!$W$5:$W$212,$A13-1))+9+1,'4 The queue'!$W$5:$W$212,0)),9999)+'1 Inputs'!$B$22+'1 Inputs'!$B$23+'1 Inputs'!$B$24+'1 Inputs'!$B$25),'4 The queue'!$T$5:$T$40,1))=(IFERROR(INDEX('4 The queue'!$U$5:$U$212,MATCH(IF($A13&lt;=1,0,INDEX('4 The queue'!$W$5:$W$212,$A13-1))+9+1,'4 The queue'!$W$5:$W$212,0)),9999)+'1 Inputs'!$B$22+'1 Inputs'!$B$23+'1 Inputs'!$B$24+'1 Inputs'!$B$25),0,1)),9999)+'1 Inputs'!$B$26</f>
        <v>71</v>
      </c>
      <c r="T13" s="19" t="n">
        <f aca="false">IFERROR(INDEX('4 The queue'!$T$5:$T$40,MATCH((IFERROR(INDEX('4 The queue'!$U$5:$U$212,MATCH(IF($A13&lt;=1,0,INDEX('4 The queue'!$W$5:$W$212,$A13-1))+10+1,'4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queue'!$W$5:$W$212,$A13-1))+10+1,'4 The queue'!$W$5:$W$212,0)),9999)+'1 Inputs'!$B$22+'1 Inputs'!$B$23+'1 Inputs'!$B$24+'1 Inputs'!$B$25),'4 The queue'!$T$5:$T$40,1))=(IFERROR(INDEX('4 The queue'!$U$5:$U$212,MATCH(IF($A13&lt;=1,0,INDEX('4 The queue'!$W$5:$W$212,$A13-1))+10+1,'4 The queue'!$W$5:$W$212,0)),9999)+'1 Inputs'!$B$22+'1 Inputs'!$B$23+'1 Inputs'!$B$24+'1 Inputs'!$B$25),0,1)),9999)+'1 Inputs'!$B$26</f>
        <v>71</v>
      </c>
      <c r="U13" s="19" t="n">
        <f aca="false">IFERROR(INDEX('4 The queue'!$T$5:$T$40,MATCH((IFERROR(INDEX('4 The queue'!$U$5:$U$212,MATCH(IF($A13&lt;=1,0,INDEX('4 The queue'!$W$5:$W$212,$A13-1))+11+1,'4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queue'!$W$5:$W$212,$A13-1))+11+1,'4 The queue'!$W$5:$W$212,0)),9999)+'1 Inputs'!$B$22+'1 Inputs'!$B$23+'1 Inputs'!$B$24+'1 Inputs'!$B$25),'4 The queue'!$T$5:$T$40,1))=(IFERROR(INDEX('4 The queue'!$U$5:$U$212,MATCH(IF($A13&lt;=1,0,INDEX('4 The queue'!$W$5:$W$212,$A13-1))+11+1,'4 The queue'!$W$5:$W$212,0)),9999)+'1 Inputs'!$B$22+'1 Inputs'!$B$23+'1 Inputs'!$B$24+'1 Inputs'!$B$25),0,1)),9999)+'1 Inputs'!$B$26</f>
        <v>71</v>
      </c>
      <c r="V13" s="19" t="n">
        <f aca="false">IFERROR(INDEX('4 The queue'!$T$5:$T$40,MATCH((IFERROR(INDEX('4 The queue'!$U$5:$U$212,MATCH(IF($A13&lt;=1,0,INDEX('4 The queue'!$W$5:$W$212,$A13-1))+12+1,'4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queue'!$W$5:$W$212,$A13-1))+12+1,'4 The queue'!$W$5:$W$212,0)),9999)+'1 Inputs'!$B$22+'1 Inputs'!$B$23+'1 Inputs'!$B$24+'1 Inputs'!$B$25),'4 The queue'!$T$5:$T$40,1))=(IFERROR(INDEX('4 The queue'!$U$5:$U$212,MATCH(IF($A13&lt;=1,0,INDEX('4 The queue'!$W$5:$W$212,$A13-1))+12+1,'4 The queue'!$W$5:$W$212,0)),9999)+'1 Inputs'!$B$22+'1 Inputs'!$B$23+'1 Inputs'!$B$24+'1 Inputs'!$B$25),0,1)),9999)+'1 Inputs'!$B$26</f>
        <v>71</v>
      </c>
      <c r="W13" s="19" t="n">
        <f aca="false">IFERROR(INDEX('4 The queue'!$T$5:$T$40,MATCH((IFERROR(INDEX('4 The queue'!$U$5:$U$212,MATCH(IF($A13&lt;=1,0,INDEX('4 The queue'!$W$5:$W$212,$A13-1))+13+1,'4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queue'!$W$5:$W$212,$A13-1))+13+1,'4 The queue'!$W$5:$W$212,0)),9999)+'1 Inputs'!$B$22+'1 Inputs'!$B$23+'1 Inputs'!$B$24+'1 Inputs'!$B$25),'4 The queue'!$T$5:$T$40,1))=(IFERROR(INDEX('4 The queue'!$U$5:$U$212,MATCH(IF($A13&lt;=1,0,INDEX('4 The queue'!$W$5:$W$212,$A13-1))+13+1,'4 The queue'!$W$5:$W$212,0)),9999)+'1 Inputs'!$B$22+'1 Inputs'!$B$23+'1 Inputs'!$B$24+'1 Inputs'!$B$25),0,1)),9999)+'1 Inputs'!$B$26</f>
        <v>71</v>
      </c>
      <c r="X13" s="19" t="n">
        <f aca="false">IFERROR(INDEX('4 The queue'!$T$5:$T$40,MATCH((IFERROR(INDEX('4 The queue'!$U$5:$U$212,MATCH(IF($A13&lt;=1,0,INDEX('4 The queue'!$W$5:$W$212,$A13-1))+14+1,'4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queue'!$W$5:$W$212,$A13-1))+14+1,'4 The queue'!$W$5:$W$212,0)),9999)+'1 Inputs'!$B$22+'1 Inputs'!$B$23+'1 Inputs'!$B$24+'1 Inputs'!$B$25),'4 The queue'!$T$5:$T$40,1))=(IFERROR(INDEX('4 The queue'!$U$5:$U$212,MATCH(IF($A13&lt;=1,0,INDEX('4 The queue'!$W$5:$W$212,$A13-1))+14+1,'4 The queue'!$W$5:$W$212,0)),9999)+'1 Inputs'!$B$22+'1 Inputs'!$B$23+'1 Inputs'!$B$24+'1 Inputs'!$B$25),0,1)),9999)+'1 Inputs'!$B$26</f>
        <v>84</v>
      </c>
      <c r="Y13" s="19" t="n">
        <f aca="false">IFERROR(INDEX('4 The queue'!$T$5:$T$40,MATCH((IFERROR(INDEX('4 The queue'!$U$5:$U$212,MATCH(IF($A13&lt;=1,0,INDEX('4 The queue'!$W$5:$W$212,$A13-1))+15+1,'4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queue'!$W$5:$W$212,$A13-1))+15+1,'4 The queue'!$W$5:$W$212,0)),9999)+'1 Inputs'!$B$22+'1 Inputs'!$B$23+'1 Inputs'!$B$24+'1 Inputs'!$B$25),'4 The queue'!$T$5:$T$40,1))=(IFERROR(INDEX('4 The queue'!$U$5:$U$212,MATCH(IF($A13&lt;=1,0,INDEX('4 The queue'!$W$5:$W$212,$A13-1))+15+1,'4 The queue'!$W$5:$W$212,0)),9999)+'1 Inputs'!$B$22+'1 Inputs'!$B$23+'1 Inputs'!$B$24+'1 Inputs'!$B$25),0,1)),9999)+'1 Inputs'!$B$26</f>
        <v>84</v>
      </c>
      <c r="Z13" s="19" t="n">
        <f aca="false">IFERROR(INDEX('4 The queue'!$T$5:$T$40,MATCH((IFERROR(INDEX('4 The queue'!$U$5:$U$212,MATCH(IF($A13&lt;=1,0,INDEX('4 The queue'!$W$5:$W$212,$A13-1))+16+1,'4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queue'!$W$5:$W$212,$A13-1))+16+1,'4 The queue'!$W$5:$W$212,0)),9999)+'1 Inputs'!$B$22+'1 Inputs'!$B$23+'1 Inputs'!$B$24+'1 Inputs'!$B$25),'4 The queue'!$T$5:$T$40,1))=(IFERROR(INDEX('4 The queue'!$U$5:$U$212,MATCH(IF($A13&lt;=1,0,INDEX('4 The queue'!$W$5:$W$212,$A13-1))+16+1,'4 The queue'!$W$5:$W$212,0)),9999)+'1 Inputs'!$B$22+'1 Inputs'!$B$23+'1 Inputs'!$B$24+'1 Inputs'!$B$25),0,1)),9999)+'1 Inputs'!$B$26</f>
        <v>84</v>
      </c>
      <c r="AA13" s="19" t="n">
        <f aca="false">IFERROR(INDEX('4 The queue'!$T$5:$T$40,MATCH((IFERROR(INDEX('4 The queue'!$U$5:$U$212,MATCH(IF($A13&lt;=1,0,INDEX('4 The queue'!$W$5:$W$212,$A13-1))+17+1,'4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queue'!$W$5:$W$212,$A13-1))+17+1,'4 The queue'!$W$5:$W$212,0)),9999)+'1 Inputs'!$B$22+'1 Inputs'!$B$23+'1 Inputs'!$B$24+'1 Inputs'!$B$25),'4 The queue'!$T$5:$T$40,1))=(IFERROR(INDEX('4 The queue'!$U$5:$U$212,MATCH(IF($A13&lt;=1,0,INDEX('4 The queue'!$W$5:$W$212,$A13-1))+17+1,'4 The queue'!$W$5:$W$212,0)),9999)+'1 Inputs'!$B$22+'1 Inputs'!$B$23+'1 Inputs'!$B$24+'1 Inputs'!$B$25),0,1)),9999)+'1 Inputs'!$B$26</f>
        <v>84</v>
      </c>
      <c r="AB13" s="19" t="n">
        <f aca="false">IFERROR(INDEX('4 The queue'!$T$5:$T$40,MATCH((IFERROR(INDEX('4 The queue'!$U$5:$U$212,MATCH(IF($A13&lt;=1,0,INDEX('4 The queue'!$W$5:$W$212,$A13-1))+18+1,'4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queue'!$W$5:$W$212,$A13-1))+18+1,'4 The queue'!$W$5:$W$212,0)),9999)+'1 Inputs'!$B$22+'1 Inputs'!$B$23+'1 Inputs'!$B$24+'1 Inputs'!$B$25),'4 The queue'!$T$5:$T$40,1))=(IFERROR(INDEX('4 The queue'!$U$5:$U$212,MATCH(IF($A13&lt;=1,0,INDEX('4 The queue'!$W$5:$W$212,$A13-1))+18+1,'4 The queue'!$W$5:$W$212,0)),9999)+'1 Inputs'!$B$22+'1 Inputs'!$B$23+'1 Inputs'!$B$24+'1 Inputs'!$B$25),0,1)),9999)+'1 Inputs'!$B$26</f>
        <v>84</v>
      </c>
      <c r="AC13" s="19" t="n">
        <f aca="false">IFERROR(INDEX('4 The queue'!$T$5:$T$40,MATCH((IFERROR(INDEX('4 The queue'!$U$5:$U$212,MATCH(IF($A13&lt;=1,0,INDEX('4 The queue'!$W$5:$W$212,$A13-1))+19+1,'4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queue'!$W$5:$W$212,$A13-1))+19+1,'4 The queue'!$W$5:$W$212,0)),9999)+'1 Inputs'!$B$22+'1 Inputs'!$B$23+'1 Inputs'!$B$24+'1 Inputs'!$B$25),'4 The queue'!$T$5:$T$40,1))=(IFERROR(INDEX('4 The queue'!$U$5:$U$212,MATCH(IF($A13&lt;=1,0,INDEX('4 The queue'!$W$5:$W$212,$A13-1))+19+1,'4 The queue'!$W$5:$W$212,0)),9999)+'1 Inputs'!$B$22+'1 Inputs'!$B$23+'1 Inputs'!$B$24+'1 Inputs'!$B$25),0,1)),9999)+'1 Inputs'!$B$26</f>
        <v>84</v>
      </c>
      <c r="AD13" s="19" t="n">
        <f aca="false">IFERROR(INDEX('4 The queue'!$T$5:$T$40,MATCH((IFERROR(INDEX('4 The queue'!$U$5:$U$212,MATCH(IF($A13&lt;=1,0,INDEX('4 The queue'!$W$5:$W$212,$A13-1))+20+1,'4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queue'!$W$5:$W$212,$A13-1))+20+1,'4 The queue'!$W$5:$W$212,0)),9999)+'1 Inputs'!$B$22+'1 Inputs'!$B$23+'1 Inputs'!$B$24+'1 Inputs'!$B$25),'4 The queue'!$T$5:$T$40,1))=(IFERROR(INDEX('4 The queue'!$U$5:$U$212,MATCH(IF($A13&lt;=1,0,INDEX('4 The queue'!$W$5:$W$212,$A13-1))+20+1,'4 The queue'!$W$5:$W$212,0)),9999)+'1 Inputs'!$B$22+'1 Inputs'!$B$23+'1 Inputs'!$B$24+'1 Inputs'!$B$25),0,1)),9999)+'1 Inputs'!$B$26</f>
        <v>84</v>
      </c>
      <c r="AE13" s="19" t="n">
        <f aca="false">IFERROR(INDEX('4 The queue'!$T$5:$T$40,MATCH((IFERROR(INDEX('4 The queue'!$U$5:$U$212,MATCH(IF($A13&lt;=1,0,INDEX('4 The queue'!$W$5:$W$212,$A13-1))+21+1,'4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queue'!$W$5:$W$212,$A13-1))+21+1,'4 The queue'!$W$5:$W$212,0)),9999)+'1 Inputs'!$B$22+'1 Inputs'!$B$23+'1 Inputs'!$B$24+'1 Inputs'!$B$25),'4 The queue'!$T$5:$T$40,1))=(IFERROR(INDEX('4 The queue'!$U$5:$U$212,MATCH(IF($A13&lt;=1,0,INDEX('4 The queue'!$W$5:$W$212,$A13-1))+21+1,'4 The queue'!$W$5:$W$212,0)),9999)+'1 Inputs'!$B$22+'1 Inputs'!$B$23+'1 Inputs'!$B$24+'1 Inputs'!$B$25),0,1)),9999)+'1 Inputs'!$B$26</f>
        <v>84</v>
      </c>
      <c r="AF13" s="19" t="n">
        <f aca="false">IFERROR(INDEX('4 The queue'!$T$5:$T$40,MATCH((IFERROR(INDEX('4 The queue'!$U$5:$U$212,MATCH(IF($A13&lt;=1,0,INDEX('4 The queue'!$W$5:$W$212,$A13-1))+22+1,'4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queue'!$W$5:$W$212,$A13-1))+22+1,'4 The queue'!$W$5:$W$212,0)),9999)+'1 Inputs'!$B$22+'1 Inputs'!$B$23+'1 Inputs'!$B$24+'1 Inputs'!$B$25),'4 The queue'!$T$5:$T$40,1))=(IFERROR(INDEX('4 The queue'!$U$5:$U$212,MATCH(IF($A13&lt;=1,0,INDEX('4 The queue'!$W$5:$W$212,$A13-1))+22+1,'4 The queue'!$W$5:$W$212,0)),9999)+'1 Inputs'!$B$22+'1 Inputs'!$B$23+'1 Inputs'!$B$24+'1 Inputs'!$B$25),0,1)),9999)+'1 Inputs'!$B$26</f>
        <v>84</v>
      </c>
      <c r="AG13" s="19" t="n">
        <f aca="false">IFERROR(INDEX('4 The queue'!$T$5:$T$40,MATCH((IFERROR(INDEX('4 The queue'!$U$5:$U$212,MATCH(IF($A13&lt;=1,0,INDEX('4 The queue'!$W$5:$W$212,$A13-1))+23+1,'4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queue'!$W$5:$W$212,$A13-1))+23+1,'4 The queue'!$W$5:$W$212,0)),9999)+'1 Inputs'!$B$22+'1 Inputs'!$B$23+'1 Inputs'!$B$24+'1 Inputs'!$B$25),'4 The queue'!$T$5:$T$40,1))=(IFERROR(INDEX('4 The queue'!$U$5:$U$212,MATCH(IF($A13&lt;=1,0,INDEX('4 The queue'!$W$5:$W$212,$A13-1))+23+1,'4 The queue'!$W$5:$W$212,0)),9999)+'1 Inputs'!$B$22+'1 Inputs'!$B$23+'1 Inputs'!$B$24+'1 Inputs'!$B$25),0,1)),9999)+'1 Inputs'!$B$26</f>
        <v>84</v>
      </c>
      <c r="AH13" s="19" t="n">
        <f aca="false">IFERROR(INDEX('4 The queue'!$T$5:$T$40,MATCH((IFERROR(INDEX('4 The queue'!$U$5:$U$212,MATCH(IF($A13&lt;=1,0,INDEX('4 The queue'!$W$5:$W$212,$A13-1))+24+1,'4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queue'!$W$5:$W$212,$A13-1))+24+1,'4 The queue'!$W$5:$W$212,0)),9999)+'1 Inputs'!$B$22+'1 Inputs'!$B$23+'1 Inputs'!$B$24+'1 Inputs'!$B$25),'4 The queue'!$T$5:$T$40,1))=(IFERROR(INDEX('4 The queue'!$U$5:$U$212,MATCH(IF($A13&lt;=1,0,INDEX('4 The queue'!$W$5:$W$212,$A13-1))+24+1,'4 The queue'!$W$5:$W$212,0)),9999)+'1 Inputs'!$B$22+'1 Inputs'!$B$23+'1 Inputs'!$B$24+'1 Inputs'!$B$25),0,1)),9999)+'1 Inputs'!$B$26</f>
        <v>97</v>
      </c>
      <c r="AI13" s="19" t="n">
        <f aca="false">IFERROR(INDEX('4 The queue'!$T$5:$T$40,MATCH((IFERROR(INDEX('4 The queue'!$U$5:$U$212,MATCH(IF($A13&lt;=1,0,INDEX('4 The queue'!$W$5:$W$212,$A13-1))+25+1,'4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queue'!$W$5:$W$212,$A13-1))+25+1,'4 The queue'!$W$5:$W$212,0)),9999)+'1 Inputs'!$B$22+'1 Inputs'!$B$23+'1 Inputs'!$B$24+'1 Inputs'!$B$25),'4 The queue'!$T$5:$T$40,1))=(IFERROR(INDEX('4 The queue'!$U$5:$U$212,MATCH(IF($A13&lt;=1,0,INDEX('4 The queue'!$W$5:$W$212,$A13-1))+25+1,'4 The queue'!$W$5:$W$212,0)),9999)+'1 Inputs'!$B$22+'1 Inputs'!$B$23+'1 Inputs'!$B$24+'1 Inputs'!$B$25),0,1)),9999)+'1 Inputs'!$B$26</f>
        <v>97</v>
      </c>
      <c r="AJ13" s="19" t="n">
        <f aca="false">IFERROR(INDEX('4 The queue'!$T$5:$T$40,MATCH((IFERROR(INDEX('4 The queue'!$U$5:$U$212,MATCH(IF($A13&lt;=1,0,INDEX('4 The queue'!$W$5:$W$212,$A13-1))+26+1,'4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queue'!$W$5:$W$212,$A13-1))+26+1,'4 The queue'!$W$5:$W$212,0)),9999)+'1 Inputs'!$B$22+'1 Inputs'!$B$23+'1 Inputs'!$B$24+'1 Inputs'!$B$25),'4 The queue'!$T$5:$T$40,1))=(IFERROR(INDEX('4 The queue'!$U$5:$U$212,MATCH(IF($A13&lt;=1,0,INDEX('4 The queue'!$W$5:$W$212,$A13-1))+26+1,'4 The queue'!$W$5:$W$212,0)),9999)+'1 Inputs'!$B$22+'1 Inputs'!$B$23+'1 Inputs'!$B$24+'1 Inputs'!$B$25),0,1)),9999)+'1 Inputs'!$B$26</f>
        <v>97</v>
      </c>
      <c r="AK13" s="19" t="n">
        <f aca="false">IFERROR(INDEX('4 The queue'!$T$5:$T$40,MATCH((IFERROR(INDEX('4 The queue'!$U$5:$U$212,MATCH(IF($A13&lt;=1,0,INDEX('4 The queue'!$W$5:$W$212,$A13-1))+27+1,'4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queue'!$W$5:$W$212,$A13-1))+27+1,'4 The queue'!$W$5:$W$212,0)),9999)+'1 Inputs'!$B$22+'1 Inputs'!$B$23+'1 Inputs'!$B$24+'1 Inputs'!$B$25),'4 The queue'!$T$5:$T$40,1))=(IFERROR(INDEX('4 The queue'!$U$5:$U$212,MATCH(IF($A13&lt;=1,0,INDEX('4 The queue'!$W$5:$W$212,$A13-1))+27+1,'4 The queue'!$W$5:$W$212,0)),9999)+'1 Inputs'!$B$22+'1 Inputs'!$B$23+'1 Inputs'!$B$24+'1 Inputs'!$B$25),0,1)),9999)+'1 Inputs'!$B$26</f>
        <v>97</v>
      </c>
      <c r="AL13" s="19" t="n">
        <f aca="false">IFERROR(INDEX('4 The queue'!$T$5:$T$40,MATCH((IFERROR(INDEX('4 The queue'!$U$5:$U$212,MATCH(IF($A13&lt;=1,0,INDEX('4 The queue'!$W$5:$W$212,$A13-1))+28+1,'4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queue'!$W$5:$W$212,$A13-1))+28+1,'4 The queue'!$W$5:$W$212,0)),9999)+'1 Inputs'!$B$22+'1 Inputs'!$B$23+'1 Inputs'!$B$24+'1 Inputs'!$B$25),'4 The queue'!$T$5:$T$40,1))=(IFERROR(INDEX('4 The queue'!$U$5:$U$212,MATCH(IF($A13&lt;=1,0,INDEX('4 The queue'!$W$5:$W$212,$A13-1))+28+1,'4 The queue'!$W$5:$W$212,0)),9999)+'1 Inputs'!$B$22+'1 Inputs'!$B$23+'1 Inputs'!$B$24+'1 Inputs'!$B$25),0,1)),9999)+'1 Inputs'!$B$26</f>
        <v>97</v>
      </c>
      <c r="AM13" s="19" t="n">
        <f aca="false">IFERROR(INDEX('4 The queue'!$T$5:$T$40,MATCH((IFERROR(INDEX('4 The queue'!$U$5:$U$212,MATCH(IF($A13&lt;=1,0,INDEX('4 The queue'!$W$5:$W$212,$A13-1))+29+1,'4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queue'!$W$5:$W$212,$A13-1))+29+1,'4 The queue'!$W$5:$W$212,0)),9999)+'1 Inputs'!$B$22+'1 Inputs'!$B$23+'1 Inputs'!$B$24+'1 Inputs'!$B$25),'4 The queue'!$T$5:$T$40,1))=(IFERROR(INDEX('4 The queue'!$U$5:$U$212,MATCH(IF($A13&lt;=1,0,INDEX('4 The queue'!$W$5:$W$212,$A13-1))+29+1,'4 The queue'!$W$5:$W$212,0)),9999)+'1 Inputs'!$B$22+'1 Inputs'!$B$23+'1 Inputs'!$B$24+'1 Inputs'!$B$25),0,1)),9999)+'1 Inputs'!$B$26</f>
        <v>97</v>
      </c>
      <c r="AN13" s="19" t="n">
        <f aca="false">IFERROR(INDEX('4 The queue'!$T$5:$T$40,MATCH((IFERROR(INDEX('4 The queue'!$U$5:$U$212,MATCH(IF($A13&lt;=1,0,INDEX('4 The queue'!$W$5:$W$212,$A13-1))+30+1,'4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queue'!$W$5:$W$212,$A13-1))+30+1,'4 The queue'!$W$5:$W$212,0)),9999)+'1 Inputs'!$B$22+'1 Inputs'!$B$23+'1 Inputs'!$B$24+'1 Inputs'!$B$25),'4 The queue'!$T$5:$T$40,1))=(IFERROR(INDEX('4 The queue'!$U$5:$U$212,MATCH(IF($A13&lt;=1,0,INDEX('4 The queue'!$W$5:$W$212,$A13-1))+30+1,'4 The queue'!$W$5:$W$212,0)),9999)+'1 Inputs'!$B$22+'1 Inputs'!$B$23+'1 Inputs'!$B$24+'1 Inputs'!$B$25),0,1)),9999)+'1 Inputs'!$B$26</f>
        <v>97</v>
      </c>
      <c r="AO13" s="19" t="n">
        <f aca="false">IFERROR(INDEX('4 The queue'!$T$5:$T$40,MATCH((IFERROR(INDEX('4 The queue'!$U$5:$U$212,MATCH(IF($A13&lt;=1,0,INDEX('4 The queue'!$W$5:$W$212,$A13-1))+31+1,'4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queue'!$W$5:$W$212,$A13-1))+31+1,'4 The queue'!$W$5:$W$212,0)),9999)+'1 Inputs'!$B$22+'1 Inputs'!$B$23+'1 Inputs'!$B$24+'1 Inputs'!$B$25),'4 The queue'!$T$5:$T$40,1))=(IFERROR(INDEX('4 The queue'!$U$5:$U$212,MATCH(IF($A13&lt;=1,0,INDEX('4 The queue'!$W$5:$W$212,$A13-1))+31+1,'4 The queue'!$W$5:$W$212,0)),9999)+'1 Inputs'!$B$22+'1 Inputs'!$B$23+'1 Inputs'!$B$24+'1 Inputs'!$B$25),0,1)),9999)+'1 Inputs'!$B$26</f>
        <v>97</v>
      </c>
      <c r="AP13" s="19" t="n">
        <f aca="false">IFERROR(INDEX('4 The queue'!$T$5:$T$40,MATCH((IFERROR(INDEX('4 The queue'!$U$5:$U$212,MATCH(IF($A13&lt;=1,0,INDEX('4 The queue'!$W$5:$W$212,$A13-1))+32+1,'4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queue'!$W$5:$W$212,$A13-1))+32+1,'4 The queue'!$W$5:$W$212,0)),9999)+'1 Inputs'!$B$22+'1 Inputs'!$B$23+'1 Inputs'!$B$24+'1 Inputs'!$B$25),'4 The queue'!$T$5:$T$40,1))=(IFERROR(INDEX('4 The queue'!$U$5:$U$212,MATCH(IF($A13&lt;=1,0,INDEX('4 The queue'!$W$5:$W$212,$A13-1))+32+1,'4 The queue'!$W$5:$W$212,0)),9999)+'1 Inputs'!$B$22+'1 Inputs'!$B$23+'1 Inputs'!$B$24+'1 Inputs'!$B$25),0,1)),9999)+'1 Inputs'!$B$26</f>
        <v>97</v>
      </c>
      <c r="AQ13" s="19" t="n">
        <f aca="false">IFERROR(INDEX('4 The queue'!$T$5:$T$40,MATCH((IFERROR(INDEX('4 The queue'!$U$5:$U$212,MATCH(IF($A13&lt;=1,0,INDEX('4 The queue'!$W$5:$W$212,$A13-1))+33+1,'4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queue'!$W$5:$W$212,$A13-1))+33+1,'4 The queue'!$W$5:$W$212,0)),9999)+'1 Inputs'!$B$22+'1 Inputs'!$B$23+'1 Inputs'!$B$24+'1 Inputs'!$B$25),'4 The queue'!$T$5:$T$40,1))=(IFERROR(INDEX('4 The queue'!$U$5:$U$212,MATCH(IF($A13&lt;=1,0,INDEX('4 The queue'!$W$5:$W$212,$A13-1))+33+1,'4 The queue'!$W$5:$W$212,0)),9999)+'1 Inputs'!$B$22+'1 Inputs'!$B$23+'1 Inputs'!$B$24+'1 Inputs'!$B$25),0,1)),9999)+'1 Inputs'!$B$26</f>
        <v>97</v>
      </c>
      <c r="AR13" s="19" t="n">
        <f aca="false">IFERROR(INDEX('4 The queue'!$T$5:$T$40,MATCH((IFERROR(INDEX('4 The queue'!$U$5:$U$212,MATCH(IF($A13&lt;=1,0,INDEX('4 The queue'!$W$5:$W$212,$A13-1))+34+1,'4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queue'!$W$5:$W$212,$A13-1))+34+1,'4 The queue'!$W$5:$W$212,0)),9999)+'1 Inputs'!$B$22+'1 Inputs'!$B$23+'1 Inputs'!$B$24+'1 Inputs'!$B$25),'4 The queue'!$T$5:$T$40,1))=(IFERROR(INDEX('4 The queue'!$U$5:$U$212,MATCH(IF($A13&lt;=1,0,INDEX('4 The queue'!$W$5:$W$212,$A13-1))+34+1,'4 The queue'!$W$5:$W$212,0)),9999)+'1 Inputs'!$B$22+'1 Inputs'!$B$23+'1 Inputs'!$B$24+'1 Inputs'!$B$25),0,1)),9999)+'1 Inputs'!$B$26</f>
        <v>97</v>
      </c>
      <c r="AS13" s="19" t="n">
        <f aca="false">IFERROR(INDEX('4 The queue'!$T$5:$T$40,MATCH((IFERROR(INDEX('4 The queue'!$U$5:$U$212,MATCH(IF($A13&lt;=1,0,INDEX('4 The queue'!$W$5:$W$212,$A13-1))+35+1,'4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queue'!$W$5:$W$212,$A13-1))+35+1,'4 The queue'!$W$5:$W$212,0)),9999)+'1 Inputs'!$B$22+'1 Inputs'!$B$23+'1 Inputs'!$B$24+'1 Inputs'!$B$25),'4 The queue'!$T$5:$T$40,1))=(IFERROR(INDEX('4 The queue'!$U$5:$U$212,MATCH(IF($A13&lt;=1,0,INDEX('4 The queue'!$W$5:$W$212,$A13-1))+35+1,'4 The queue'!$W$5:$W$212,0)),9999)+'1 Inputs'!$B$22+'1 Inputs'!$B$23+'1 Inputs'!$B$24+'1 Inputs'!$B$25),0,1)),9999)+'1 Inputs'!$B$26</f>
        <v>97</v>
      </c>
      <c r="AT13" s="19" t="n">
        <f aca="false">IFERROR(INDEX('4 The queue'!$T$5:$T$40,MATCH((IFERROR(INDEX('4 The queue'!$U$5:$U$212,MATCH(IF($A13&lt;=1,0,INDEX('4 The queue'!$W$5:$W$212,$A13-1))+36+1,'4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queue'!$W$5:$W$212,$A13-1))+36+1,'4 The queue'!$W$5:$W$212,0)),9999)+'1 Inputs'!$B$22+'1 Inputs'!$B$23+'1 Inputs'!$B$24+'1 Inputs'!$B$25),'4 The queue'!$T$5:$T$40,1))=(IFERROR(INDEX('4 The queue'!$U$5:$U$212,MATCH(IF($A13&lt;=1,0,INDEX('4 The queue'!$W$5:$W$212,$A13-1))+36+1,'4 The queue'!$W$5:$W$212,0)),9999)+'1 Inputs'!$B$22+'1 Inputs'!$B$23+'1 Inputs'!$B$24+'1 Inputs'!$B$25),0,1)),9999)+'1 Inputs'!$B$26</f>
        <v>97</v>
      </c>
      <c r="AU13" s="19" t="n">
        <f aca="false">IFERROR(INDEX('4 The queue'!$T$5:$T$40,MATCH((IFERROR(INDEX('4 The queue'!$U$5:$U$212,MATCH(IF($A13&lt;=1,0,INDEX('4 The queue'!$W$5:$W$212,$A13-1))+37+1,'4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queue'!$W$5:$W$212,$A13-1))+37+1,'4 The queue'!$W$5:$W$212,0)),9999)+'1 Inputs'!$B$22+'1 Inputs'!$B$23+'1 Inputs'!$B$24+'1 Inputs'!$B$25),'4 The queue'!$T$5:$T$40,1))=(IFERROR(INDEX('4 The queue'!$U$5:$U$212,MATCH(IF($A13&lt;=1,0,INDEX('4 The queue'!$W$5:$W$212,$A13-1))+37+1,'4 The queue'!$W$5:$W$212,0)),9999)+'1 Inputs'!$B$22+'1 Inputs'!$B$23+'1 Inputs'!$B$24+'1 Inputs'!$B$25),0,1)),9999)+'1 Inputs'!$B$26</f>
        <v>107</v>
      </c>
      <c r="AV13" s="19" t="n">
        <f aca="false">IFERROR(INDEX('4 The queue'!$T$5:$T$40,MATCH((IFERROR(INDEX('4 The queue'!$U$5:$U$212,MATCH(IF($A13&lt;=1,0,INDEX('4 The queue'!$W$5:$W$212,$A13-1))+38+1,'4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queue'!$W$5:$W$212,$A13-1))+38+1,'4 The queue'!$W$5:$W$212,0)),9999)+'1 Inputs'!$B$22+'1 Inputs'!$B$23+'1 Inputs'!$B$24+'1 Inputs'!$B$25),'4 The queue'!$T$5:$T$40,1))=(IFERROR(INDEX('4 The queue'!$U$5:$U$212,MATCH(IF($A13&lt;=1,0,INDEX('4 The queue'!$W$5:$W$212,$A13-1))+38+1,'4 The queue'!$W$5:$W$212,0)),9999)+'1 Inputs'!$B$22+'1 Inputs'!$B$23+'1 Inputs'!$B$24+'1 Inputs'!$B$25),0,1)),9999)+'1 Inputs'!$B$26</f>
        <v>107</v>
      </c>
      <c r="AW13" s="19" t="n">
        <f aca="false">IFERROR(INDEX('4 The queue'!$T$5:$T$40,MATCH((IFERROR(INDEX('4 The queue'!$U$5:$U$212,MATCH(IF($A13&lt;=1,0,INDEX('4 The queue'!$W$5:$W$212,$A13-1))+39+1,'4 The queue'!$W$5:$W$212,0)),9999)+'1 Inputs'!$B$22+'1 Inputs'!$B$23+'1 Inputs'!$B$24+'1 Inputs'!$B$25),'4 The queue'!$T$5:$T$40,1)+IF(INDEX('4 The queue'!$T$5:$T$40,MATCH((IFERROR(INDEX('4 The queue'!$U$5:$U$212,MATCH(IF($A13&lt;=1,0,INDEX('4 The queue'!$W$5:$W$212,$A13-1))+39+1,'4 The queue'!$W$5:$W$212,0)),9999)+'1 Inputs'!$B$22+'1 Inputs'!$B$23+'1 Inputs'!$B$24+'1 Inputs'!$B$25),'4 The queue'!$T$5:$T$40,1))=(IFERROR(INDEX('4 The queue'!$U$5:$U$212,MATCH(IF($A13&lt;=1,0,INDEX('4 The queue'!$W$5:$W$212,$A13-1))+39+1,'4 The queue'!$W$5:$W$212,0)),9999)+'1 Inputs'!$B$22+'1 Inputs'!$B$23+'1 Inputs'!$B$24+'1 Inputs'!$B$25),0,1)),9999)+'1 Inputs'!$B$26</f>
        <v>107</v>
      </c>
      <c r="AX13" s="19" t="n">
        <f aca="false">MAX(0,MIN('1 Inputs'!$B$15,'1 Inputs'!$B$5*'1 Inputs'!$B$6-0*'1 Inputs'!$B$15))*'1 Inputs'!$B$7*'1 Inputs'!$B$8*'1 Inputs'!$B$9*'1 Inputs'!$B$10*'1 Inputs'!$B$11</f>
        <v>6250000</v>
      </c>
      <c r="AY13" s="19" t="n">
        <f aca="false">MAX(0,MIN('1 Inputs'!$B$15,'1 Inputs'!$B$5*'1 Inputs'!$B$6-1*'1 Inputs'!$B$15))*'1 Inputs'!$B$7*'1 Inputs'!$B$8*'1 Inputs'!$B$9*'1 Inputs'!$B$10*'1 Inputs'!$B$11</f>
        <v>6250000</v>
      </c>
      <c r="AZ13" s="19" t="n">
        <f aca="false">MAX(0,MIN('1 Inputs'!$B$15,'1 Inputs'!$B$5*'1 Inputs'!$B$6-2*'1 Inputs'!$B$15))*'1 Inputs'!$B$7*'1 Inputs'!$B$8*'1 Inputs'!$B$9*'1 Inputs'!$B$10*'1 Inputs'!$B$11</f>
        <v>6250000</v>
      </c>
      <c r="BA13" s="19" t="n">
        <f aca="false">MAX(0,MIN('1 Inputs'!$B$15,'1 Inputs'!$B$5*'1 Inputs'!$B$6-3*'1 Inputs'!$B$15))*'1 Inputs'!$B$7*'1 Inputs'!$B$8*'1 Inputs'!$B$9*'1 Inputs'!$B$10*'1 Inputs'!$B$11</f>
        <v>6250000</v>
      </c>
      <c r="BB13" s="19" t="n">
        <f aca="false">MAX(0,MIN('1 Inputs'!$B$15,'1 Inputs'!$B$5*'1 Inputs'!$B$6-4*'1 Inputs'!$B$15))*'1 Inputs'!$B$7*'1 Inputs'!$B$8*'1 Inputs'!$B$9*'1 Inputs'!$B$10*'1 Inputs'!$B$11</f>
        <v>6250000</v>
      </c>
      <c r="BC13" s="19" t="n">
        <f aca="false">MAX(0,MIN('1 Inputs'!$B$15,'1 Inputs'!$B$5*'1 Inputs'!$B$6-5*'1 Inputs'!$B$15))*'1 Inputs'!$B$7*'1 Inputs'!$B$8*'1 Inputs'!$B$9*'1 Inputs'!$B$10*'1 Inputs'!$B$11</f>
        <v>6250000</v>
      </c>
      <c r="BD13" s="19" t="n">
        <f aca="false">MAX(0,MIN('1 Inputs'!$B$15,'1 Inputs'!$B$5*'1 Inputs'!$B$6-6*'1 Inputs'!$B$15))*'1 Inputs'!$B$7*'1 Inputs'!$B$8*'1 Inputs'!$B$9*'1 Inputs'!$B$10*'1 Inputs'!$B$11</f>
        <v>6250000</v>
      </c>
      <c r="BE13" s="19" t="n">
        <f aca="false">MAX(0,MIN('1 Inputs'!$B$15,'1 Inputs'!$B$5*'1 Inputs'!$B$6-7*'1 Inputs'!$B$15))*'1 Inputs'!$B$7*'1 Inputs'!$B$8*'1 Inputs'!$B$9*'1 Inputs'!$B$10*'1 Inputs'!$B$11</f>
        <v>6250000</v>
      </c>
      <c r="BF13" s="19" t="n">
        <f aca="false">MAX(0,MIN('1 Inputs'!$B$15,'1 Inputs'!$B$5*'1 Inputs'!$B$6-8*'1 Inputs'!$B$15))*'1 Inputs'!$B$7*'1 Inputs'!$B$8*'1 Inputs'!$B$9*'1 Inputs'!$B$10*'1 Inputs'!$B$11</f>
        <v>6250000</v>
      </c>
      <c r="BG13" s="19" t="n">
        <f aca="false">MAX(0,MIN('1 Inputs'!$B$15,'1 Inputs'!$B$5*'1 Inputs'!$B$6-9*'1 Inputs'!$B$15))*'1 Inputs'!$B$7*'1 Inputs'!$B$8*'1 Inputs'!$B$9*'1 Inputs'!$B$10*'1 Inputs'!$B$11</f>
        <v>6250000</v>
      </c>
      <c r="BH13" s="19" t="n">
        <f aca="false">MAX(0,MIN('1 Inputs'!$B$15,'1 Inputs'!$B$5*'1 Inputs'!$B$6-10*'1 Inputs'!$B$15))*'1 Inputs'!$B$7*'1 Inputs'!$B$8*'1 Inputs'!$B$9*'1 Inputs'!$B$10*'1 Inputs'!$B$11</f>
        <v>6250000</v>
      </c>
      <c r="BI13" s="19" t="n">
        <f aca="false">MAX(0,MIN('1 Inputs'!$B$15,'1 Inputs'!$B$5*'1 Inputs'!$B$6-11*'1 Inputs'!$B$15))*'1 Inputs'!$B$7*'1 Inputs'!$B$8*'1 Inputs'!$B$9*'1 Inputs'!$B$10*'1 Inputs'!$B$11</f>
        <v>6250000</v>
      </c>
      <c r="BJ13" s="19" t="n">
        <f aca="false">MAX(0,MIN('1 Inputs'!$B$15,'1 Inputs'!$B$5*'1 Inputs'!$B$6-12*'1 Inputs'!$B$15))*'1 Inputs'!$B$7*'1 Inputs'!$B$8*'1 Inputs'!$B$9*'1 Inputs'!$B$10*'1 Inputs'!$B$11</f>
        <v>6250000</v>
      </c>
      <c r="BK13" s="19" t="n">
        <f aca="false">MAX(0,MIN('1 Inputs'!$B$15,'1 Inputs'!$B$5*'1 Inputs'!$B$6-13*'1 Inputs'!$B$15))*'1 Inputs'!$B$7*'1 Inputs'!$B$8*'1 Inputs'!$B$9*'1 Inputs'!$B$10*'1 Inputs'!$B$11</f>
        <v>6250000</v>
      </c>
      <c r="BL13" s="19" t="n">
        <f aca="false">MAX(0,MIN('1 Inputs'!$B$15,'1 Inputs'!$B$5*'1 Inputs'!$B$6-14*'1 Inputs'!$B$15))*'1 Inputs'!$B$7*'1 Inputs'!$B$8*'1 Inputs'!$B$9*'1 Inputs'!$B$10*'1 Inputs'!$B$11</f>
        <v>6250000</v>
      </c>
      <c r="BM13" s="19" t="n">
        <f aca="false">MAX(0,MIN('1 Inputs'!$B$15,'1 Inputs'!$B$5*'1 Inputs'!$B$6-15*'1 Inputs'!$B$15))*'1 Inputs'!$B$7*'1 Inputs'!$B$8*'1 Inputs'!$B$9*'1 Inputs'!$B$10*'1 Inputs'!$B$11</f>
        <v>0</v>
      </c>
      <c r="BN13" s="19" t="n">
        <f aca="false">MAX(0,MIN('1 Inputs'!$B$15,'1 Inputs'!$B$5*'1 Inputs'!$B$6-16*'1 Inputs'!$B$15))*'1 Inputs'!$B$7*'1 Inputs'!$B$8*'1 Inputs'!$B$9*'1 Inputs'!$B$10*'1 Inputs'!$B$11</f>
        <v>0</v>
      </c>
      <c r="BO13" s="19" t="n">
        <f aca="false">MAX(0,MIN('1 Inputs'!$B$15,'1 Inputs'!$B$5*'1 Inputs'!$B$6-17*'1 Inputs'!$B$15))*'1 Inputs'!$B$7*'1 Inputs'!$B$8*'1 Inputs'!$B$9*'1 Inputs'!$B$10*'1 Inputs'!$B$11</f>
        <v>0</v>
      </c>
      <c r="BP13" s="19" t="n">
        <f aca="false">MAX(0,MIN('1 Inputs'!$B$15,'1 Inputs'!$B$5*'1 Inputs'!$B$6-18*'1 Inputs'!$B$15))*'1 Inputs'!$B$7*'1 Inputs'!$B$8*'1 Inputs'!$B$9*'1 Inputs'!$B$10*'1 Inputs'!$B$11</f>
        <v>0</v>
      </c>
      <c r="BQ13" s="19" t="n">
        <f aca="false">MAX(0,MIN('1 Inputs'!$B$15,'1 Inputs'!$B$5*'1 Inputs'!$B$6-19*'1 Inputs'!$B$15))*'1 Inputs'!$B$7*'1 Inputs'!$B$8*'1 Inputs'!$B$9*'1 Inputs'!$B$10*'1 Inputs'!$B$11</f>
        <v>0</v>
      </c>
      <c r="BR13" s="19" t="n">
        <f aca="false">MAX(0,MIN('1 Inputs'!$B$15,'1 Inputs'!$B$5*'1 Inputs'!$B$6-20*'1 Inputs'!$B$15))*'1 Inputs'!$B$7*'1 Inputs'!$B$8*'1 Inputs'!$B$9*'1 Inputs'!$B$10*'1 Inputs'!$B$11</f>
        <v>0</v>
      </c>
      <c r="BS13" s="19" t="n">
        <f aca="false">MAX(0,MIN('1 Inputs'!$B$15,'1 Inputs'!$B$5*'1 Inputs'!$B$6-21*'1 Inputs'!$B$15))*'1 Inputs'!$B$7*'1 Inputs'!$B$8*'1 Inputs'!$B$9*'1 Inputs'!$B$10*'1 Inputs'!$B$11</f>
        <v>0</v>
      </c>
      <c r="BT13" s="19" t="n">
        <f aca="false">MAX(0,MIN('1 Inputs'!$B$15,'1 Inputs'!$B$5*'1 Inputs'!$B$6-22*'1 Inputs'!$B$15))*'1 Inputs'!$B$7*'1 Inputs'!$B$8*'1 Inputs'!$B$9*'1 Inputs'!$B$10*'1 Inputs'!$B$11</f>
        <v>0</v>
      </c>
      <c r="BU13" s="19" t="n">
        <f aca="false">MAX(0,MIN('1 Inputs'!$B$15,'1 Inputs'!$B$5*'1 Inputs'!$B$6-23*'1 Inputs'!$B$15))*'1 Inputs'!$B$7*'1 Inputs'!$B$8*'1 Inputs'!$B$9*'1 Inputs'!$B$10*'1 Inputs'!$B$11</f>
        <v>0</v>
      </c>
      <c r="BV13" s="19" t="n">
        <f aca="false">MAX(0,MIN('1 Inputs'!$B$15,'1 Inputs'!$B$5*'1 Inputs'!$B$6-24*'1 Inputs'!$B$15))*'1 Inputs'!$B$7*'1 Inputs'!$B$8*'1 Inputs'!$B$9*'1 Inputs'!$B$10*'1 Inputs'!$B$11</f>
        <v>0</v>
      </c>
      <c r="BW13" s="19" t="n">
        <f aca="false">MAX(0,MIN('1 Inputs'!$B$15,'1 Inputs'!$B$5*'1 Inputs'!$B$6-25*'1 Inputs'!$B$15))*'1 Inputs'!$B$7*'1 Inputs'!$B$8*'1 Inputs'!$B$9*'1 Inputs'!$B$10*'1 Inputs'!$B$11</f>
        <v>0</v>
      </c>
      <c r="BX13" s="19" t="n">
        <f aca="false">MAX(0,MIN('1 Inputs'!$B$15,'1 Inputs'!$B$5*'1 Inputs'!$B$6-26*'1 Inputs'!$B$15))*'1 Inputs'!$B$7*'1 Inputs'!$B$8*'1 Inputs'!$B$9*'1 Inputs'!$B$10*'1 Inputs'!$B$11</f>
        <v>0</v>
      </c>
      <c r="BY13" s="19" t="n">
        <f aca="false">MAX(0,MIN('1 Inputs'!$B$15,'1 Inputs'!$B$5*'1 Inputs'!$B$6-27*'1 Inputs'!$B$15))*'1 Inputs'!$B$7*'1 Inputs'!$B$8*'1 Inputs'!$B$9*'1 Inputs'!$B$10*'1 Inputs'!$B$11</f>
        <v>0</v>
      </c>
      <c r="BZ13" s="19" t="n">
        <f aca="false">MAX(0,MIN('1 Inputs'!$B$15,'1 Inputs'!$B$5*'1 Inputs'!$B$6-28*'1 Inputs'!$B$15))*'1 Inputs'!$B$7*'1 Inputs'!$B$8*'1 Inputs'!$B$9*'1 Inputs'!$B$10*'1 Inputs'!$B$11</f>
        <v>0</v>
      </c>
      <c r="CA13" s="19" t="n">
        <f aca="false">MAX(0,MIN('1 Inputs'!$B$15,'1 Inputs'!$B$5*'1 Inputs'!$B$6-29*'1 Inputs'!$B$15))*'1 Inputs'!$B$7*'1 Inputs'!$B$8*'1 Inputs'!$B$9*'1 Inputs'!$B$10*'1 Inputs'!$B$11</f>
        <v>0</v>
      </c>
      <c r="CB13" s="19" t="n">
        <f aca="false">MAX(0,MIN('1 Inputs'!$B$15,'1 Inputs'!$B$5*'1 Inputs'!$B$6-30*'1 Inputs'!$B$15))*'1 Inputs'!$B$7*'1 Inputs'!$B$8*'1 Inputs'!$B$9*'1 Inputs'!$B$10*'1 Inputs'!$B$11</f>
        <v>0</v>
      </c>
      <c r="CC13" s="19" t="n">
        <f aca="false">MAX(0,MIN('1 Inputs'!$B$15,'1 Inputs'!$B$5*'1 Inputs'!$B$6-31*'1 Inputs'!$B$15))*'1 Inputs'!$B$7*'1 Inputs'!$B$8*'1 Inputs'!$B$9*'1 Inputs'!$B$10*'1 Inputs'!$B$11</f>
        <v>0</v>
      </c>
      <c r="CD13" s="19" t="n">
        <f aca="false">MAX(0,MIN('1 Inputs'!$B$15,'1 Inputs'!$B$5*'1 Inputs'!$B$6-32*'1 Inputs'!$B$15))*'1 Inputs'!$B$7*'1 Inputs'!$B$8*'1 Inputs'!$B$9*'1 Inputs'!$B$10*'1 Inputs'!$B$11</f>
        <v>0</v>
      </c>
      <c r="CE13" s="19" t="n">
        <f aca="false">MAX(0,MIN('1 Inputs'!$B$15,'1 Inputs'!$B$5*'1 Inputs'!$B$6-33*'1 Inputs'!$B$15))*'1 Inputs'!$B$7*'1 Inputs'!$B$8*'1 Inputs'!$B$9*'1 Inputs'!$B$10*'1 Inputs'!$B$11</f>
        <v>0</v>
      </c>
      <c r="CF13" s="19" t="n">
        <f aca="false">MAX(0,MIN('1 Inputs'!$B$15,'1 Inputs'!$B$5*'1 Inputs'!$B$6-34*'1 Inputs'!$B$15))*'1 Inputs'!$B$7*'1 Inputs'!$B$8*'1 Inputs'!$B$9*'1 Inputs'!$B$10*'1 Inputs'!$B$11</f>
        <v>0</v>
      </c>
      <c r="CG13" s="19" t="n">
        <f aca="false">MAX(0,MIN('1 Inputs'!$B$15,'1 Inputs'!$B$5*'1 Inputs'!$B$6-35*'1 Inputs'!$B$15))*'1 Inputs'!$B$7*'1 Inputs'!$B$8*'1 Inputs'!$B$9*'1 Inputs'!$B$10*'1 Inputs'!$B$11</f>
        <v>0</v>
      </c>
      <c r="CH13" s="19" t="n">
        <f aca="false">MAX(0,MIN('1 Inputs'!$B$15,'1 Inputs'!$B$5*'1 Inputs'!$B$6-36*'1 Inputs'!$B$15))*'1 Inputs'!$B$7*'1 Inputs'!$B$8*'1 Inputs'!$B$9*'1 Inputs'!$B$10*'1 Inputs'!$B$11</f>
        <v>0</v>
      </c>
      <c r="CI13" s="19" t="n">
        <f aca="false">MAX(0,MIN('1 Inputs'!$B$15,'1 Inputs'!$B$5*'1 Inputs'!$B$6-37*'1 Inputs'!$B$15))*'1 Inputs'!$B$7*'1 Inputs'!$B$8*'1 Inputs'!$B$9*'1 Inputs'!$B$10*'1 Inputs'!$B$11</f>
        <v>0</v>
      </c>
      <c r="CJ13" s="19" t="n">
        <f aca="false">MAX(0,MIN('1 Inputs'!$B$15,'1 Inputs'!$B$5*'1 Inputs'!$B$6-38*'1 Inputs'!$B$15))*'1 Inputs'!$B$7*'1 Inputs'!$B$8*'1 Inputs'!$B$9*'1 Inputs'!$B$10*'1 Inputs'!$B$11</f>
        <v>0</v>
      </c>
      <c r="CK13" s="19" t="n">
        <f aca="false">MAX(0,MIN('1 Inputs'!$B$15,'1 Inputs'!$B$5*'1 Inputs'!$B$6-39*'1 Inputs'!$B$15))*'1 Inputs'!$B$7*'1 Inputs'!$B$8*'1 Inputs'!$B$9*'1 Inputs'!$B$10*'1 Inputs'!$B$11</f>
        <v>0</v>
      </c>
    </row>
    <row r="14" customFormat="false" ht="15" hidden="false" customHeight="false" outlineLevel="0" collapsed="false">
      <c r="A14" s="0" t="n">
        <v>27</v>
      </c>
      <c r="B14" s="12" t="n">
        <f aca="false">SUMIF(J14:AW14,"&lt;="&amp;($A14+52),AX14:CK14)</f>
        <v>81250000</v>
      </c>
      <c r="C14" s="12" t="n">
        <f aca="false">SUM(AX14:CK14)</f>
        <v>93750000</v>
      </c>
      <c r="D14" s="15" t="n">
        <f aca="false">(MIN(J14:AW14)-$A14)/52*12</f>
        <v>6.46153846153846</v>
      </c>
      <c r="J14" s="19" t="n">
        <f aca="false">IFERROR(INDEX('4 The queue'!$T$5:$T$40,MATCH((IFERROR(INDEX('4 The queue'!$U$5:$U$212,MATCH(IF($A14&lt;=1,0,INDEX('4 The queue'!$W$5:$W$212,$A14-1))+0+1,'4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queue'!$W$5:$W$212,$A14-1))+0+1,'4 The queue'!$W$5:$W$212,0)),9999)+'1 Inputs'!$B$22+'1 Inputs'!$B$23+'1 Inputs'!$B$24+'1 Inputs'!$B$25),'4 The queue'!$T$5:$T$40,1))=(IFERROR(INDEX('4 The queue'!$U$5:$U$212,MATCH(IF($A14&lt;=1,0,INDEX('4 The queue'!$W$5:$W$212,$A14-1))+0+1,'4 The queue'!$W$5:$W$212,0)),9999)+'1 Inputs'!$B$22+'1 Inputs'!$B$23+'1 Inputs'!$B$24+'1 Inputs'!$B$25),0,1)),9999)+'1 Inputs'!$B$26</f>
        <v>55</v>
      </c>
      <c r="K14" s="19" t="n">
        <f aca="false">IFERROR(INDEX('4 The queue'!$T$5:$T$40,MATCH((IFERROR(INDEX('4 The queue'!$U$5:$U$212,MATCH(IF($A14&lt;=1,0,INDEX('4 The queue'!$W$5:$W$212,$A14-1))+1+1,'4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queue'!$W$5:$W$212,$A14-1))+1+1,'4 The queue'!$W$5:$W$212,0)),9999)+'1 Inputs'!$B$22+'1 Inputs'!$B$23+'1 Inputs'!$B$24+'1 Inputs'!$B$25),'4 The queue'!$T$5:$T$40,1))=(IFERROR(INDEX('4 The queue'!$U$5:$U$212,MATCH(IF($A14&lt;=1,0,INDEX('4 The queue'!$W$5:$W$212,$A14-1))+1+1,'4 The queue'!$W$5:$W$212,0)),9999)+'1 Inputs'!$B$22+'1 Inputs'!$B$23+'1 Inputs'!$B$24+'1 Inputs'!$B$25),0,1)),9999)+'1 Inputs'!$B$26</f>
        <v>71</v>
      </c>
      <c r="L14" s="19" t="n">
        <f aca="false">IFERROR(INDEX('4 The queue'!$T$5:$T$40,MATCH((IFERROR(INDEX('4 The queue'!$U$5:$U$212,MATCH(IF($A14&lt;=1,0,INDEX('4 The queue'!$W$5:$W$212,$A14-1))+2+1,'4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queue'!$W$5:$W$212,$A14-1))+2+1,'4 The queue'!$W$5:$W$212,0)),9999)+'1 Inputs'!$B$22+'1 Inputs'!$B$23+'1 Inputs'!$B$24+'1 Inputs'!$B$25),'4 The queue'!$T$5:$T$40,1))=(IFERROR(INDEX('4 The queue'!$U$5:$U$212,MATCH(IF($A14&lt;=1,0,INDEX('4 The queue'!$W$5:$W$212,$A14-1))+2+1,'4 The queue'!$W$5:$W$212,0)),9999)+'1 Inputs'!$B$22+'1 Inputs'!$B$23+'1 Inputs'!$B$24+'1 Inputs'!$B$25),0,1)),9999)+'1 Inputs'!$B$26</f>
        <v>71</v>
      </c>
      <c r="M14" s="19" t="n">
        <f aca="false">IFERROR(INDEX('4 The queue'!$T$5:$T$40,MATCH((IFERROR(INDEX('4 The queue'!$U$5:$U$212,MATCH(IF($A14&lt;=1,0,INDEX('4 The queue'!$W$5:$W$212,$A14-1))+3+1,'4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queue'!$W$5:$W$212,$A14-1))+3+1,'4 The queue'!$W$5:$W$212,0)),9999)+'1 Inputs'!$B$22+'1 Inputs'!$B$23+'1 Inputs'!$B$24+'1 Inputs'!$B$25),'4 The queue'!$T$5:$T$40,1))=(IFERROR(INDEX('4 The queue'!$U$5:$U$212,MATCH(IF($A14&lt;=1,0,INDEX('4 The queue'!$W$5:$W$212,$A14-1))+3+1,'4 The queue'!$W$5:$W$212,0)),9999)+'1 Inputs'!$B$22+'1 Inputs'!$B$23+'1 Inputs'!$B$24+'1 Inputs'!$B$25),0,1)),9999)+'1 Inputs'!$B$26</f>
        <v>71</v>
      </c>
      <c r="N14" s="19" t="n">
        <f aca="false">IFERROR(INDEX('4 The queue'!$T$5:$T$40,MATCH((IFERROR(INDEX('4 The queue'!$U$5:$U$212,MATCH(IF($A14&lt;=1,0,INDEX('4 The queue'!$W$5:$W$212,$A14-1))+4+1,'4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queue'!$W$5:$W$212,$A14-1))+4+1,'4 The queue'!$W$5:$W$212,0)),9999)+'1 Inputs'!$B$22+'1 Inputs'!$B$23+'1 Inputs'!$B$24+'1 Inputs'!$B$25),'4 The queue'!$T$5:$T$40,1))=(IFERROR(INDEX('4 The queue'!$U$5:$U$212,MATCH(IF($A14&lt;=1,0,INDEX('4 The queue'!$W$5:$W$212,$A14-1))+4+1,'4 The queue'!$W$5:$W$212,0)),9999)+'1 Inputs'!$B$22+'1 Inputs'!$B$23+'1 Inputs'!$B$24+'1 Inputs'!$B$25),0,1)),9999)+'1 Inputs'!$B$26</f>
        <v>71</v>
      </c>
      <c r="O14" s="19" t="n">
        <f aca="false">IFERROR(INDEX('4 The queue'!$T$5:$T$40,MATCH((IFERROR(INDEX('4 The queue'!$U$5:$U$212,MATCH(IF($A14&lt;=1,0,INDEX('4 The queue'!$W$5:$W$212,$A14-1))+5+1,'4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queue'!$W$5:$W$212,$A14-1))+5+1,'4 The queue'!$W$5:$W$212,0)),9999)+'1 Inputs'!$B$22+'1 Inputs'!$B$23+'1 Inputs'!$B$24+'1 Inputs'!$B$25),'4 The queue'!$T$5:$T$40,1))=(IFERROR(INDEX('4 The queue'!$U$5:$U$212,MATCH(IF($A14&lt;=1,0,INDEX('4 The queue'!$W$5:$W$212,$A14-1))+5+1,'4 The queue'!$W$5:$W$212,0)),9999)+'1 Inputs'!$B$22+'1 Inputs'!$B$23+'1 Inputs'!$B$24+'1 Inputs'!$B$25),0,1)),9999)+'1 Inputs'!$B$26</f>
        <v>71</v>
      </c>
      <c r="P14" s="19" t="n">
        <f aca="false">IFERROR(INDEX('4 The queue'!$T$5:$T$40,MATCH((IFERROR(INDEX('4 The queue'!$U$5:$U$212,MATCH(IF($A14&lt;=1,0,INDEX('4 The queue'!$W$5:$W$212,$A14-1))+6+1,'4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queue'!$W$5:$W$212,$A14-1))+6+1,'4 The queue'!$W$5:$W$212,0)),9999)+'1 Inputs'!$B$22+'1 Inputs'!$B$23+'1 Inputs'!$B$24+'1 Inputs'!$B$25),'4 The queue'!$T$5:$T$40,1))=(IFERROR(INDEX('4 The queue'!$U$5:$U$212,MATCH(IF($A14&lt;=1,0,INDEX('4 The queue'!$W$5:$W$212,$A14-1))+6+1,'4 The queue'!$W$5:$W$212,0)),9999)+'1 Inputs'!$B$22+'1 Inputs'!$B$23+'1 Inputs'!$B$24+'1 Inputs'!$B$25),0,1)),9999)+'1 Inputs'!$B$26</f>
        <v>71</v>
      </c>
      <c r="Q14" s="19" t="n">
        <f aca="false">IFERROR(INDEX('4 The queue'!$T$5:$T$40,MATCH((IFERROR(INDEX('4 The queue'!$U$5:$U$212,MATCH(IF($A14&lt;=1,0,INDEX('4 The queue'!$W$5:$W$212,$A14-1))+7+1,'4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queue'!$W$5:$W$212,$A14-1))+7+1,'4 The queue'!$W$5:$W$212,0)),9999)+'1 Inputs'!$B$22+'1 Inputs'!$B$23+'1 Inputs'!$B$24+'1 Inputs'!$B$25),'4 The queue'!$T$5:$T$40,1))=(IFERROR(INDEX('4 The queue'!$U$5:$U$212,MATCH(IF($A14&lt;=1,0,INDEX('4 The queue'!$W$5:$W$212,$A14-1))+7+1,'4 The queue'!$W$5:$W$212,0)),9999)+'1 Inputs'!$B$22+'1 Inputs'!$B$23+'1 Inputs'!$B$24+'1 Inputs'!$B$25),0,1)),9999)+'1 Inputs'!$B$26</f>
        <v>71</v>
      </c>
      <c r="R14" s="19" t="n">
        <f aca="false">IFERROR(INDEX('4 The queue'!$T$5:$T$40,MATCH((IFERROR(INDEX('4 The queue'!$U$5:$U$212,MATCH(IF($A14&lt;=1,0,INDEX('4 The queue'!$W$5:$W$212,$A14-1))+8+1,'4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queue'!$W$5:$W$212,$A14-1))+8+1,'4 The queue'!$W$5:$W$212,0)),9999)+'1 Inputs'!$B$22+'1 Inputs'!$B$23+'1 Inputs'!$B$24+'1 Inputs'!$B$25),'4 The queue'!$T$5:$T$40,1))=(IFERROR(INDEX('4 The queue'!$U$5:$U$212,MATCH(IF($A14&lt;=1,0,INDEX('4 The queue'!$W$5:$W$212,$A14-1))+8+1,'4 The queue'!$W$5:$W$212,0)),9999)+'1 Inputs'!$B$22+'1 Inputs'!$B$23+'1 Inputs'!$B$24+'1 Inputs'!$B$25),0,1)),9999)+'1 Inputs'!$B$26</f>
        <v>71</v>
      </c>
      <c r="S14" s="19" t="n">
        <f aca="false">IFERROR(INDEX('4 The queue'!$T$5:$T$40,MATCH((IFERROR(INDEX('4 The queue'!$U$5:$U$212,MATCH(IF($A14&lt;=1,0,INDEX('4 The queue'!$W$5:$W$212,$A14-1))+9+1,'4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queue'!$W$5:$W$212,$A14-1))+9+1,'4 The queue'!$W$5:$W$212,0)),9999)+'1 Inputs'!$B$22+'1 Inputs'!$B$23+'1 Inputs'!$B$24+'1 Inputs'!$B$25),'4 The queue'!$T$5:$T$40,1))=(IFERROR(INDEX('4 The queue'!$U$5:$U$212,MATCH(IF($A14&lt;=1,0,INDEX('4 The queue'!$W$5:$W$212,$A14-1))+9+1,'4 The queue'!$W$5:$W$212,0)),9999)+'1 Inputs'!$B$22+'1 Inputs'!$B$23+'1 Inputs'!$B$24+'1 Inputs'!$B$25),0,1)),9999)+'1 Inputs'!$B$26</f>
        <v>71</v>
      </c>
      <c r="T14" s="19" t="n">
        <f aca="false">IFERROR(INDEX('4 The queue'!$T$5:$T$40,MATCH((IFERROR(INDEX('4 The queue'!$U$5:$U$212,MATCH(IF($A14&lt;=1,0,INDEX('4 The queue'!$W$5:$W$212,$A14-1))+10+1,'4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queue'!$W$5:$W$212,$A14-1))+10+1,'4 The queue'!$W$5:$W$212,0)),9999)+'1 Inputs'!$B$22+'1 Inputs'!$B$23+'1 Inputs'!$B$24+'1 Inputs'!$B$25),'4 The queue'!$T$5:$T$40,1))=(IFERROR(INDEX('4 The queue'!$U$5:$U$212,MATCH(IF($A14&lt;=1,0,INDEX('4 The queue'!$W$5:$W$212,$A14-1))+10+1,'4 The queue'!$W$5:$W$212,0)),9999)+'1 Inputs'!$B$22+'1 Inputs'!$B$23+'1 Inputs'!$B$24+'1 Inputs'!$B$25),0,1)),9999)+'1 Inputs'!$B$26</f>
        <v>71</v>
      </c>
      <c r="U14" s="19" t="n">
        <f aca="false">IFERROR(INDEX('4 The queue'!$T$5:$T$40,MATCH((IFERROR(INDEX('4 The queue'!$U$5:$U$212,MATCH(IF($A14&lt;=1,0,INDEX('4 The queue'!$W$5:$W$212,$A14-1))+11+1,'4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queue'!$W$5:$W$212,$A14-1))+11+1,'4 The queue'!$W$5:$W$212,0)),9999)+'1 Inputs'!$B$22+'1 Inputs'!$B$23+'1 Inputs'!$B$24+'1 Inputs'!$B$25),'4 The queue'!$T$5:$T$40,1))=(IFERROR(INDEX('4 The queue'!$U$5:$U$212,MATCH(IF($A14&lt;=1,0,INDEX('4 The queue'!$W$5:$W$212,$A14-1))+11+1,'4 The queue'!$W$5:$W$212,0)),9999)+'1 Inputs'!$B$22+'1 Inputs'!$B$23+'1 Inputs'!$B$24+'1 Inputs'!$B$25),0,1)),9999)+'1 Inputs'!$B$26</f>
        <v>71</v>
      </c>
      <c r="V14" s="19" t="n">
        <f aca="false">IFERROR(INDEX('4 The queue'!$T$5:$T$40,MATCH((IFERROR(INDEX('4 The queue'!$U$5:$U$212,MATCH(IF($A14&lt;=1,0,INDEX('4 The queue'!$W$5:$W$212,$A14-1))+12+1,'4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queue'!$W$5:$W$212,$A14-1))+12+1,'4 The queue'!$W$5:$W$212,0)),9999)+'1 Inputs'!$B$22+'1 Inputs'!$B$23+'1 Inputs'!$B$24+'1 Inputs'!$B$25),'4 The queue'!$T$5:$T$40,1))=(IFERROR(INDEX('4 The queue'!$U$5:$U$212,MATCH(IF($A14&lt;=1,0,INDEX('4 The queue'!$W$5:$W$212,$A14-1))+12+1,'4 The queue'!$W$5:$W$212,0)),9999)+'1 Inputs'!$B$22+'1 Inputs'!$B$23+'1 Inputs'!$B$24+'1 Inputs'!$B$25),0,1)),9999)+'1 Inputs'!$B$26</f>
        <v>71</v>
      </c>
      <c r="W14" s="19" t="n">
        <f aca="false">IFERROR(INDEX('4 The queue'!$T$5:$T$40,MATCH((IFERROR(INDEX('4 The queue'!$U$5:$U$212,MATCH(IF($A14&lt;=1,0,INDEX('4 The queue'!$W$5:$W$212,$A14-1))+13+1,'4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queue'!$W$5:$W$212,$A14-1))+13+1,'4 The queue'!$W$5:$W$212,0)),9999)+'1 Inputs'!$B$22+'1 Inputs'!$B$23+'1 Inputs'!$B$24+'1 Inputs'!$B$25),'4 The queue'!$T$5:$T$40,1))=(IFERROR(INDEX('4 The queue'!$U$5:$U$212,MATCH(IF($A14&lt;=1,0,INDEX('4 The queue'!$W$5:$W$212,$A14-1))+13+1,'4 The queue'!$W$5:$W$212,0)),9999)+'1 Inputs'!$B$22+'1 Inputs'!$B$23+'1 Inputs'!$B$24+'1 Inputs'!$B$25),0,1)),9999)+'1 Inputs'!$B$26</f>
        <v>84</v>
      </c>
      <c r="X14" s="19" t="n">
        <f aca="false">IFERROR(INDEX('4 The queue'!$T$5:$T$40,MATCH((IFERROR(INDEX('4 The queue'!$U$5:$U$212,MATCH(IF($A14&lt;=1,0,INDEX('4 The queue'!$W$5:$W$212,$A14-1))+14+1,'4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queue'!$W$5:$W$212,$A14-1))+14+1,'4 The queue'!$W$5:$W$212,0)),9999)+'1 Inputs'!$B$22+'1 Inputs'!$B$23+'1 Inputs'!$B$24+'1 Inputs'!$B$25),'4 The queue'!$T$5:$T$40,1))=(IFERROR(INDEX('4 The queue'!$U$5:$U$212,MATCH(IF($A14&lt;=1,0,INDEX('4 The queue'!$W$5:$W$212,$A14-1))+14+1,'4 The queue'!$W$5:$W$212,0)),9999)+'1 Inputs'!$B$22+'1 Inputs'!$B$23+'1 Inputs'!$B$24+'1 Inputs'!$B$25),0,1)),9999)+'1 Inputs'!$B$26</f>
        <v>84</v>
      </c>
      <c r="Y14" s="19" t="n">
        <f aca="false">IFERROR(INDEX('4 The queue'!$T$5:$T$40,MATCH((IFERROR(INDEX('4 The queue'!$U$5:$U$212,MATCH(IF($A14&lt;=1,0,INDEX('4 The queue'!$W$5:$W$212,$A14-1))+15+1,'4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queue'!$W$5:$W$212,$A14-1))+15+1,'4 The queue'!$W$5:$W$212,0)),9999)+'1 Inputs'!$B$22+'1 Inputs'!$B$23+'1 Inputs'!$B$24+'1 Inputs'!$B$25),'4 The queue'!$T$5:$T$40,1))=(IFERROR(INDEX('4 The queue'!$U$5:$U$212,MATCH(IF($A14&lt;=1,0,INDEX('4 The queue'!$W$5:$W$212,$A14-1))+15+1,'4 The queue'!$W$5:$W$212,0)),9999)+'1 Inputs'!$B$22+'1 Inputs'!$B$23+'1 Inputs'!$B$24+'1 Inputs'!$B$25),0,1)),9999)+'1 Inputs'!$B$26</f>
        <v>84</v>
      </c>
      <c r="Z14" s="19" t="n">
        <f aca="false">IFERROR(INDEX('4 The queue'!$T$5:$T$40,MATCH((IFERROR(INDEX('4 The queue'!$U$5:$U$212,MATCH(IF($A14&lt;=1,0,INDEX('4 The queue'!$W$5:$W$212,$A14-1))+16+1,'4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queue'!$W$5:$W$212,$A14-1))+16+1,'4 The queue'!$W$5:$W$212,0)),9999)+'1 Inputs'!$B$22+'1 Inputs'!$B$23+'1 Inputs'!$B$24+'1 Inputs'!$B$25),'4 The queue'!$T$5:$T$40,1))=(IFERROR(INDEX('4 The queue'!$U$5:$U$212,MATCH(IF($A14&lt;=1,0,INDEX('4 The queue'!$W$5:$W$212,$A14-1))+16+1,'4 The queue'!$W$5:$W$212,0)),9999)+'1 Inputs'!$B$22+'1 Inputs'!$B$23+'1 Inputs'!$B$24+'1 Inputs'!$B$25),0,1)),9999)+'1 Inputs'!$B$26</f>
        <v>84</v>
      </c>
      <c r="AA14" s="19" t="n">
        <f aca="false">IFERROR(INDEX('4 The queue'!$T$5:$T$40,MATCH((IFERROR(INDEX('4 The queue'!$U$5:$U$212,MATCH(IF($A14&lt;=1,0,INDEX('4 The queue'!$W$5:$W$212,$A14-1))+17+1,'4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queue'!$W$5:$W$212,$A14-1))+17+1,'4 The queue'!$W$5:$W$212,0)),9999)+'1 Inputs'!$B$22+'1 Inputs'!$B$23+'1 Inputs'!$B$24+'1 Inputs'!$B$25),'4 The queue'!$T$5:$T$40,1))=(IFERROR(INDEX('4 The queue'!$U$5:$U$212,MATCH(IF($A14&lt;=1,0,INDEX('4 The queue'!$W$5:$W$212,$A14-1))+17+1,'4 The queue'!$W$5:$W$212,0)),9999)+'1 Inputs'!$B$22+'1 Inputs'!$B$23+'1 Inputs'!$B$24+'1 Inputs'!$B$25),0,1)),9999)+'1 Inputs'!$B$26</f>
        <v>84</v>
      </c>
      <c r="AB14" s="19" t="n">
        <f aca="false">IFERROR(INDEX('4 The queue'!$T$5:$T$40,MATCH((IFERROR(INDEX('4 The queue'!$U$5:$U$212,MATCH(IF($A14&lt;=1,0,INDEX('4 The queue'!$W$5:$W$212,$A14-1))+18+1,'4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queue'!$W$5:$W$212,$A14-1))+18+1,'4 The queue'!$W$5:$W$212,0)),9999)+'1 Inputs'!$B$22+'1 Inputs'!$B$23+'1 Inputs'!$B$24+'1 Inputs'!$B$25),'4 The queue'!$T$5:$T$40,1))=(IFERROR(INDEX('4 The queue'!$U$5:$U$212,MATCH(IF($A14&lt;=1,0,INDEX('4 The queue'!$W$5:$W$212,$A14-1))+18+1,'4 The queue'!$W$5:$W$212,0)),9999)+'1 Inputs'!$B$22+'1 Inputs'!$B$23+'1 Inputs'!$B$24+'1 Inputs'!$B$25),0,1)),9999)+'1 Inputs'!$B$26</f>
        <v>84</v>
      </c>
      <c r="AC14" s="19" t="n">
        <f aca="false">IFERROR(INDEX('4 The queue'!$T$5:$T$40,MATCH((IFERROR(INDEX('4 The queue'!$U$5:$U$212,MATCH(IF($A14&lt;=1,0,INDEX('4 The queue'!$W$5:$W$212,$A14-1))+19+1,'4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queue'!$W$5:$W$212,$A14-1))+19+1,'4 The queue'!$W$5:$W$212,0)),9999)+'1 Inputs'!$B$22+'1 Inputs'!$B$23+'1 Inputs'!$B$24+'1 Inputs'!$B$25),'4 The queue'!$T$5:$T$40,1))=(IFERROR(INDEX('4 The queue'!$U$5:$U$212,MATCH(IF($A14&lt;=1,0,INDEX('4 The queue'!$W$5:$W$212,$A14-1))+19+1,'4 The queue'!$W$5:$W$212,0)),9999)+'1 Inputs'!$B$22+'1 Inputs'!$B$23+'1 Inputs'!$B$24+'1 Inputs'!$B$25),0,1)),9999)+'1 Inputs'!$B$26</f>
        <v>84</v>
      </c>
      <c r="AD14" s="19" t="n">
        <f aca="false">IFERROR(INDEX('4 The queue'!$T$5:$T$40,MATCH((IFERROR(INDEX('4 The queue'!$U$5:$U$212,MATCH(IF($A14&lt;=1,0,INDEX('4 The queue'!$W$5:$W$212,$A14-1))+20+1,'4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queue'!$W$5:$W$212,$A14-1))+20+1,'4 The queue'!$W$5:$W$212,0)),9999)+'1 Inputs'!$B$22+'1 Inputs'!$B$23+'1 Inputs'!$B$24+'1 Inputs'!$B$25),'4 The queue'!$T$5:$T$40,1))=(IFERROR(INDEX('4 The queue'!$U$5:$U$212,MATCH(IF($A14&lt;=1,0,INDEX('4 The queue'!$W$5:$W$212,$A14-1))+20+1,'4 The queue'!$W$5:$W$212,0)),9999)+'1 Inputs'!$B$22+'1 Inputs'!$B$23+'1 Inputs'!$B$24+'1 Inputs'!$B$25),0,1)),9999)+'1 Inputs'!$B$26</f>
        <v>84</v>
      </c>
      <c r="AE14" s="19" t="n">
        <f aca="false">IFERROR(INDEX('4 The queue'!$T$5:$T$40,MATCH((IFERROR(INDEX('4 The queue'!$U$5:$U$212,MATCH(IF($A14&lt;=1,0,INDEX('4 The queue'!$W$5:$W$212,$A14-1))+21+1,'4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queue'!$W$5:$W$212,$A14-1))+21+1,'4 The queue'!$W$5:$W$212,0)),9999)+'1 Inputs'!$B$22+'1 Inputs'!$B$23+'1 Inputs'!$B$24+'1 Inputs'!$B$25),'4 The queue'!$T$5:$T$40,1))=(IFERROR(INDEX('4 The queue'!$U$5:$U$212,MATCH(IF($A14&lt;=1,0,INDEX('4 The queue'!$W$5:$W$212,$A14-1))+21+1,'4 The queue'!$W$5:$W$212,0)),9999)+'1 Inputs'!$B$22+'1 Inputs'!$B$23+'1 Inputs'!$B$24+'1 Inputs'!$B$25),0,1)),9999)+'1 Inputs'!$B$26</f>
        <v>84</v>
      </c>
      <c r="AF14" s="19" t="n">
        <f aca="false">IFERROR(INDEX('4 The queue'!$T$5:$T$40,MATCH((IFERROR(INDEX('4 The queue'!$U$5:$U$212,MATCH(IF($A14&lt;=1,0,INDEX('4 The queue'!$W$5:$W$212,$A14-1))+22+1,'4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queue'!$W$5:$W$212,$A14-1))+22+1,'4 The queue'!$W$5:$W$212,0)),9999)+'1 Inputs'!$B$22+'1 Inputs'!$B$23+'1 Inputs'!$B$24+'1 Inputs'!$B$25),'4 The queue'!$T$5:$T$40,1))=(IFERROR(INDEX('4 The queue'!$U$5:$U$212,MATCH(IF($A14&lt;=1,0,INDEX('4 The queue'!$W$5:$W$212,$A14-1))+22+1,'4 The queue'!$W$5:$W$212,0)),9999)+'1 Inputs'!$B$22+'1 Inputs'!$B$23+'1 Inputs'!$B$24+'1 Inputs'!$B$25),0,1)),9999)+'1 Inputs'!$B$26</f>
        <v>84</v>
      </c>
      <c r="AG14" s="19" t="n">
        <f aca="false">IFERROR(INDEX('4 The queue'!$T$5:$T$40,MATCH((IFERROR(INDEX('4 The queue'!$U$5:$U$212,MATCH(IF($A14&lt;=1,0,INDEX('4 The queue'!$W$5:$W$212,$A14-1))+23+1,'4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queue'!$W$5:$W$212,$A14-1))+23+1,'4 The queue'!$W$5:$W$212,0)),9999)+'1 Inputs'!$B$22+'1 Inputs'!$B$23+'1 Inputs'!$B$24+'1 Inputs'!$B$25),'4 The queue'!$T$5:$T$40,1))=(IFERROR(INDEX('4 The queue'!$U$5:$U$212,MATCH(IF($A14&lt;=1,0,INDEX('4 The queue'!$W$5:$W$212,$A14-1))+23+1,'4 The queue'!$W$5:$W$212,0)),9999)+'1 Inputs'!$B$22+'1 Inputs'!$B$23+'1 Inputs'!$B$24+'1 Inputs'!$B$25),0,1)),9999)+'1 Inputs'!$B$26</f>
        <v>97</v>
      </c>
      <c r="AH14" s="19" t="n">
        <f aca="false">IFERROR(INDEX('4 The queue'!$T$5:$T$40,MATCH((IFERROR(INDEX('4 The queue'!$U$5:$U$212,MATCH(IF($A14&lt;=1,0,INDEX('4 The queue'!$W$5:$W$212,$A14-1))+24+1,'4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queue'!$W$5:$W$212,$A14-1))+24+1,'4 The queue'!$W$5:$W$212,0)),9999)+'1 Inputs'!$B$22+'1 Inputs'!$B$23+'1 Inputs'!$B$24+'1 Inputs'!$B$25),'4 The queue'!$T$5:$T$40,1))=(IFERROR(INDEX('4 The queue'!$U$5:$U$212,MATCH(IF($A14&lt;=1,0,INDEX('4 The queue'!$W$5:$W$212,$A14-1))+24+1,'4 The queue'!$W$5:$W$212,0)),9999)+'1 Inputs'!$B$22+'1 Inputs'!$B$23+'1 Inputs'!$B$24+'1 Inputs'!$B$25),0,1)),9999)+'1 Inputs'!$B$26</f>
        <v>97</v>
      </c>
      <c r="AI14" s="19" t="n">
        <f aca="false">IFERROR(INDEX('4 The queue'!$T$5:$T$40,MATCH((IFERROR(INDEX('4 The queue'!$U$5:$U$212,MATCH(IF($A14&lt;=1,0,INDEX('4 The queue'!$W$5:$W$212,$A14-1))+25+1,'4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queue'!$W$5:$W$212,$A14-1))+25+1,'4 The queue'!$W$5:$W$212,0)),9999)+'1 Inputs'!$B$22+'1 Inputs'!$B$23+'1 Inputs'!$B$24+'1 Inputs'!$B$25),'4 The queue'!$T$5:$T$40,1))=(IFERROR(INDEX('4 The queue'!$U$5:$U$212,MATCH(IF($A14&lt;=1,0,INDEX('4 The queue'!$W$5:$W$212,$A14-1))+25+1,'4 The queue'!$W$5:$W$212,0)),9999)+'1 Inputs'!$B$22+'1 Inputs'!$B$23+'1 Inputs'!$B$24+'1 Inputs'!$B$25),0,1)),9999)+'1 Inputs'!$B$26</f>
        <v>97</v>
      </c>
      <c r="AJ14" s="19" t="n">
        <f aca="false">IFERROR(INDEX('4 The queue'!$T$5:$T$40,MATCH((IFERROR(INDEX('4 The queue'!$U$5:$U$212,MATCH(IF($A14&lt;=1,0,INDEX('4 The queue'!$W$5:$W$212,$A14-1))+26+1,'4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queue'!$W$5:$W$212,$A14-1))+26+1,'4 The queue'!$W$5:$W$212,0)),9999)+'1 Inputs'!$B$22+'1 Inputs'!$B$23+'1 Inputs'!$B$24+'1 Inputs'!$B$25),'4 The queue'!$T$5:$T$40,1))=(IFERROR(INDEX('4 The queue'!$U$5:$U$212,MATCH(IF($A14&lt;=1,0,INDEX('4 The queue'!$W$5:$W$212,$A14-1))+26+1,'4 The queue'!$W$5:$W$212,0)),9999)+'1 Inputs'!$B$22+'1 Inputs'!$B$23+'1 Inputs'!$B$24+'1 Inputs'!$B$25),0,1)),9999)+'1 Inputs'!$B$26</f>
        <v>97</v>
      </c>
      <c r="AK14" s="19" t="n">
        <f aca="false">IFERROR(INDEX('4 The queue'!$T$5:$T$40,MATCH((IFERROR(INDEX('4 The queue'!$U$5:$U$212,MATCH(IF($A14&lt;=1,0,INDEX('4 The queue'!$W$5:$W$212,$A14-1))+27+1,'4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queue'!$W$5:$W$212,$A14-1))+27+1,'4 The queue'!$W$5:$W$212,0)),9999)+'1 Inputs'!$B$22+'1 Inputs'!$B$23+'1 Inputs'!$B$24+'1 Inputs'!$B$25),'4 The queue'!$T$5:$T$40,1))=(IFERROR(INDEX('4 The queue'!$U$5:$U$212,MATCH(IF($A14&lt;=1,0,INDEX('4 The queue'!$W$5:$W$212,$A14-1))+27+1,'4 The queue'!$W$5:$W$212,0)),9999)+'1 Inputs'!$B$22+'1 Inputs'!$B$23+'1 Inputs'!$B$24+'1 Inputs'!$B$25),0,1)),9999)+'1 Inputs'!$B$26</f>
        <v>97</v>
      </c>
      <c r="AL14" s="19" t="n">
        <f aca="false">IFERROR(INDEX('4 The queue'!$T$5:$T$40,MATCH((IFERROR(INDEX('4 The queue'!$U$5:$U$212,MATCH(IF($A14&lt;=1,0,INDEX('4 The queue'!$W$5:$W$212,$A14-1))+28+1,'4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queue'!$W$5:$W$212,$A14-1))+28+1,'4 The queue'!$W$5:$W$212,0)),9999)+'1 Inputs'!$B$22+'1 Inputs'!$B$23+'1 Inputs'!$B$24+'1 Inputs'!$B$25),'4 The queue'!$T$5:$T$40,1))=(IFERROR(INDEX('4 The queue'!$U$5:$U$212,MATCH(IF($A14&lt;=1,0,INDEX('4 The queue'!$W$5:$W$212,$A14-1))+28+1,'4 The queue'!$W$5:$W$212,0)),9999)+'1 Inputs'!$B$22+'1 Inputs'!$B$23+'1 Inputs'!$B$24+'1 Inputs'!$B$25),0,1)),9999)+'1 Inputs'!$B$26</f>
        <v>97</v>
      </c>
      <c r="AM14" s="19" t="n">
        <f aca="false">IFERROR(INDEX('4 The queue'!$T$5:$T$40,MATCH((IFERROR(INDEX('4 The queue'!$U$5:$U$212,MATCH(IF($A14&lt;=1,0,INDEX('4 The queue'!$W$5:$W$212,$A14-1))+29+1,'4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queue'!$W$5:$W$212,$A14-1))+29+1,'4 The queue'!$W$5:$W$212,0)),9999)+'1 Inputs'!$B$22+'1 Inputs'!$B$23+'1 Inputs'!$B$24+'1 Inputs'!$B$25),'4 The queue'!$T$5:$T$40,1))=(IFERROR(INDEX('4 The queue'!$U$5:$U$212,MATCH(IF($A14&lt;=1,0,INDEX('4 The queue'!$W$5:$W$212,$A14-1))+29+1,'4 The queue'!$W$5:$W$212,0)),9999)+'1 Inputs'!$B$22+'1 Inputs'!$B$23+'1 Inputs'!$B$24+'1 Inputs'!$B$25),0,1)),9999)+'1 Inputs'!$B$26</f>
        <v>97</v>
      </c>
      <c r="AN14" s="19" t="n">
        <f aca="false">IFERROR(INDEX('4 The queue'!$T$5:$T$40,MATCH((IFERROR(INDEX('4 The queue'!$U$5:$U$212,MATCH(IF($A14&lt;=1,0,INDEX('4 The queue'!$W$5:$W$212,$A14-1))+30+1,'4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queue'!$W$5:$W$212,$A14-1))+30+1,'4 The queue'!$W$5:$W$212,0)),9999)+'1 Inputs'!$B$22+'1 Inputs'!$B$23+'1 Inputs'!$B$24+'1 Inputs'!$B$25),'4 The queue'!$T$5:$T$40,1))=(IFERROR(INDEX('4 The queue'!$U$5:$U$212,MATCH(IF($A14&lt;=1,0,INDEX('4 The queue'!$W$5:$W$212,$A14-1))+30+1,'4 The queue'!$W$5:$W$212,0)),9999)+'1 Inputs'!$B$22+'1 Inputs'!$B$23+'1 Inputs'!$B$24+'1 Inputs'!$B$25),0,1)),9999)+'1 Inputs'!$B$26</f>
        <v>97</v>
      </c>
      <c r="AO14" s="19" t="n">
        <f aca="false">IFERROR(INDEX('4 The queue'!$T$5:$T$40,MATCH((IFERROR(INDEX('4 The queue'!$U$5:$U$212,MATCH(IF($A14&lt;=1,0,INDEX('4 The queue'!$W$5:$W$212,$A14-1))+31+1,'4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queue'!$W$5:$W$212,$A14-1))+31+1,'4 The queue'!$W$5:$W$212,0)),9999)+'1 Inputs'!$B$22+'1 Inputs'!$B$23+'1 Inputs'!$B$24+'1 Inputs'!$B$25),'4 The queue'!$T$5:$T$40,1))=(IFERROR(INDEX('4 The queue'!$U$5:$U$212,MATCH(IF($A14&lt;=1,0,INDEX('4 The queue'!$W$5:$W$212,$A14-1))+31+1,'4 The queue'!$W$5:$W$212,0)),9999)+'1 Inputs'!$B$22+'1 Inputs'!$B$23+'1 Inputs'!$B$24+'1 Inputs'!$B$25),0,1)),9999)+'1 Inputs'!$B$26</f>
        <v>97</v>
      </c>
      <c r="AP14" s="19" t="n">
        <f aca="false">IFERROR(INDEX('4 The queue'!$T$5:$T$40,MATCH((IFERROR(INDEX('4 The queue'!$U$5:$U$212,MATCH(IF($A14&lt;=1,0,INDEX('4 The queue'!$W$5:$W$212,$A14-1))+32+1,'4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queue'!$W$5:$W$212,$A14-1))+32+1,'4 The queue'!$W$5:$W$212,0)),9999)+'1 Inputs'!$B$22+'1 Inputs'!$B$23+'1 Inputs'!$B$24+'1 Inputs'!$B$25),'4 The queue'!$T$5:$T$40,1))=(IFERROR(INDEX('4 The queue'!$U$5:$U$212,MATCH(IF($A14&lt;=1,0,INDEX('4 The queue'!$W$5:$W$212,$A14-1))+32+1,'4 The queue'!$W$5:$W$212,0)),9999)+'1 Inputs'!$B$22+'1 Inputs'!$B$23+'1 Inputs'!$B$24+'1 Inputs'!$B$25),0,1)),9999)+'1 Inputs'!$B$26</f>
        <v>97</v>
      </c>
      <c r="AQ14" s="19" t="n">
        <f aca="false">IFERROR(INDEX('4 The queue'!$T$5:$T$40,MATCH((IFERROR(INDEX('4 The queue'!$U$5:$U$212,MATCH(IF($A14&lt;=1,0,INDEX('4 The queue'!$W$5:$W$212,$A14-1))+33+1,'4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queue'!$W$5:$W$212,$A14-1))+33+1,'4 The queue'!$W$5:$W$212,0)),9999)+'1 Inputs'!$B$22+'1 Inputs'!$B$23+'1 Inputs'!$B$24+'1 Inputs'!$B$25),'4 The queue'!$T$5:$T$40,1))=(IFERROR(INDEX('4 The queue'!$U$5:$U$212,MATCH(IF($A14&lt;=1,0,INDEX('4 The queue'!$W$5:$W$212,$A14-1))+33+1,'4 The queue'!$W$5:$W$212,0)),9999)+'1 Inputs'!$B$22+'1 Inputs'!$B$23+'1 Inputs'!$B$24+'1 Inputs'!$B$25),0,1)),9999)+'1 Inputs'!$B$26</f>
        <v>97</v>
      </c>
      <c r="AR14" s="19" t="n">
        <f aca="false">IFERROR(INDEX('4 The queue'!$T$5:$T$40,MATCH((IFERROR(INDEX('4 The queue'!$U$5:$U$212,MATCH(IF($A14&lt;=1,0,INDEX('4 The queue'!$W$5:$W$212,$A14-1))+34+1,'4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queue'!$W$5:$W$212,$A14-1))+34+1,'4 The queue'!$W$5:$W$212,0)),9999)+'1 Inputs'!$B$22+'1 Inputs'!$B$23+'1 Inputs'!$B$24+'1 Inputs'!$B$25),'4 The queue'!$T$5:$T$40,1))=(IFERROR(INDEX('4 The queue'!$U$5:$U$212,MATCH(IF($A14&lt;=1,0,INDEX('4 The queue'!$W$5:$W$212,$A14-1))+34+1,'4 The queue'!$W$5:$W$212,0)),9999)+'1 Inputs'!$B$22+'1 Inputs'!$B$23+'1 Inputs'!$B$24+'1 Inputs'!$B$25),0,1)),9999)+'1 Inputs'!$B$26</f>
        <v>97</v>
      </c>
      <c r="AS14" s="19" t="n">
        <f aca="false">IFERROR(INDEX('4 The queue'!$T$5:$T$40,MATCH((IFERROR(INDEX('4 The queue'!$U$5:$U$212,MATCH(IF($A14&lt;=1,0,INDEX('4 The queue'!$W$5:$W$212,$A14-1))+35+1,'4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queue'!$W$5:$W$212,$A14-1))+35+1,'4 The queue'!$W$5:$W$212,0)),9999)+'1 Inputs'!$B$22+'1 Inputs'!$B$23+'1 Inputs'!$B$24+'1 Inputs'!$B$25),'4 The queue'!$T$5:$T$40,1))=(IFERROR(INDEX('4 The queue'!$U$5:$U$212,MATCH(IF($A14&lt;=1,0,INDEX('4 The queue'!$W$5:$W$212,$A14-1))+35+1,'4 The queue'!$W$5:$W$212,0)),9999)+'1 Inputs'!$B$22+'1 Inputs'!$B$23+'1 Inputs'!$B$24+'1 Inputs'!$B$25),0,1)),9999)+'1 Inputs'!$B$26</f>
        <v>97</v>
      </c>
      <c r="AT14" s="19" t="n">
        <f aca="false">IFERROR(INDEX('4 The queue'!$T$5:$T$40,MATCH((IFERROR(INDEX('4 The queue'!$U$5:$U$212,MATCH(IF($A14&lt;=1,0,INDEX('4 The queue'!$W$5:$W$212,$A14-1))+36+1,'4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queue'!$W$5:$W$212,$A14-1))+36+1,'4 The queue'!$W$5:$W$212,0)),9999)+'1 Inputs'!$B$22+'1 Inputs'!$B$23+'1 Inputs'!$B$24+'1 Inputs'!$B$25),'4 The queue'!$T$5:$T$40,1))=(IFERROR(INDEX('4 The queue'!$U$5:$U$212,MATCH(IF($A14&lt;=1,0,INDEX('4 The queue'!$W$5:$W$212,$A14-1))+36+1,'4 The queue'!$W$5:$W$212,0)),9999)+'1 Inputs'!$B$22+'1 Inputs'!$B$23+'1 Inputs'!$B$24+'1 Inputs'!$B$25),0,1)),9999)+'1 Inputs'!$B$26</f>
        <v>107</v>
      </c>
      <c r="AU14" s="19" t="n">
        <f aca="false">IFERROR(INDEX('4 The queue'!$T$5:$T$40,MATCH((IFERROR(INDEX('4 The queue'!$U$5:$U$212,MATCH(IF($A14&lt;=1,0,INDEX('4 The queue'!$W$5:$W$212,$A14-1))+37+1,'4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queue'!$W$5:$W$212,$A14-1))+37+1,'4 The queue'!$W$5:$W$212,0)),9999)+'1 Inputs'!$B$22+'1 Inputs'!$B$23+'1 Inputs'!$B$24+'1 Inputs'!$B$25),'4 The queue'!$T$5:$T$40,1))=(IFERROR(INDEX('4 The queue'!$U$5:$U$212,MATCH(IF($A14&lt;=1,0,INDEX('4 The queue'!$W$5:$W$212,$A14-1))+37+1,'4 The queue'!$W$5:$W$212,0)),9999)+'1 Inputs'!$B$22+'1 Inputs'!$B$23+'1 Inputs'!$B$24+'1 Inputs'!$B$25),0,1)),9999)+'1 Inputs'!$B$26</f>
        <v>107</v>
      </c>
      <c r="AV14" s="19" t="n">
        <f aca="false">IFERROR(INDEX('4 The queue'!$T$5:$T$40,MATCH((IFERROR(INDEX('4 The queue'!$U$5:$U$212,MATCH(IF($A14&lt;=1,0,INDEX('4 The queue'!$W$5:$W$212,$A14-1))+38+1,'4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queue'!$W$5:$W$212,$A14-1))+38+1,'4 The queue'!$W$5:$W$212,0)),9999)+'1 Inputs'!$B$22+'1 Inputs'!$B$23+'1 Inputs'!$B$24+'1 Inputs'!$B$25),'4 The queue'!$T$5:$T$40,1))=(IFERROR(INDEX('4 The queue'!$U$5:$U$212,MATCH(IF($A14&lt;=1,0,INDEX('4 The queue'!$W$5:$W$212,$A14-1))+38+1,'4 The queue'!$W$5:$W$212,0)),9999)+'1 Inputs'!$B$22+'1 Inputs'!$B$23+'1 Inputs'!$B$24+'1 Inputs'!$B$25),0,1)),9999)+'1 Inputs'!$B$26</f>
        <v>107</v>
      </c>
      <c r="AW14" s="19" t="n">
        <f aca="false">IFERROR(INDEX('4 The queue'!$T$5:$T$40,MATCH((IFERROR(INDEX('4 The queue'!$U$5:$U$212,MATCH(IF($A14&lt;=1,0,INDEX('4 The queue'!$W$5:$W$212,$A14-1))+39+1,'4 The queue'!$W$5:$W$212,0)),9999)+'1 Inputs'!$B$22+'1 Inputs'!$B$23+'1 Inputs'!$B$24+'1 Inputs'!$B$25),'4 The queue'!$T$5:$T$40,1)+IF(INDEX('4 The queue'!$T$5:$T$40,MATCH((IFERROR(INDEX('4 The queue'!$U$5:$U$212,MATCH(IF($A14&lt;=1,0,INDEX('4 The queue'!$W$5:$W$212,$A14-1))+39+1,'4 The queue'!$W$5:$W$212,0)),9999)+'1 Inputs'!$B$22+'1 Inputs'!$B$23+'1 Inputs'!$B$24+'1 Inputs'!$B$25),'4 The queue'!$T$5:$T$40,1))=(IFERROR(INDEX('4 The queue'!$U$5:$U$212,MATCH(IF($A14&lt;=1,0,INDEX('4 The queue'!$W$5:$W$212,$A14-1))+39+1,'4 The queue'!$W$5:$W$212,0)),9999)+'1 Inputs'!$B$22+'1 Inputs'!$B$23+'1 Inputs'!$B$24+'1 Inputs'!$B$25),0,1)),9999)+'1 Inputs'!$B$26</f>
        <v>107</v>
      </c>
      <c r="AX14" s="19" t="n">
        <f aca="false">MAX(0,MIN('1 Inputs'!$B$15,'1 Inputs'!$B$5*'1 Inputs'!$B$6-0*'1 Inputs'!$B$15))*'1 Inputs'!$B$7*'1 Inputs'!$B$8*'1 Inputs'!$B$9*'1 Inputs'!$B$10*'1 Inputs'!$B$11</f>
        <v>6250000</v>
      </c>
      <c r="AY14" s="19" t="n">
        <f aca="false">MAX(0,MIN('1 Inputs'!$B$15,'1 Inputs'!$B$5*'1 Inputs'!$B$6-1*'1 Inputs'!$B$15))*'1 Inputs'!$B$7*'1 Inputs'!$B$8*'1 Inputs'!$B$9*'1 Inputs'!$B$10*'1 Inputs'!$B$11</f>
        <v>6250000</v>
      </c>
      <c r="AZ14" s="19" t="n">
        <f aca="false">MAX(0,MIN('1 Inputs'!$B$15,'1 Inputs'!$B$5*'1 Inputs'!$B$6-2*'1 Inputs'!$B$15))*'1 Inputs'!$B$7*'1 Inputs'!$B$8*'1 Inputs'!$B$9*'1 Inputs'!$B$10*'1 Inputs'!$B$11</f>
        <v>6250000</v>
      </c>
      <c r="BA14" s="19" t="n">
        <f aca="false">MAX(0,MIN('1 Inputs'!$B$15,'1 Inputs'!$B$5*'1 Inputs'!$B$6-3*'1 Inputs'!$B$15))*'1 Inputs'!$B$7*'1 Inputs'!$B$8*'1 Inputs'!$B$9*'1 Inputs'!$B$10*'1 Inputs'!$B$11</f>
        <v>6250000</v>
      </c>
      <c r="BB14" s="19" t="n">
        <f aca="false">MAX(0,MIN('1 Inputs'!$B$15,'1 Inputs'!$B$5*'1 Inputs'!$B$6-4*'1 Inputs'!$B$15))*'1 Inputs'!$B$7*'1 Inputs'!$B$8*'1 Inputs'!$B$9*'1 Inputs'!$B$10*'1 Inputs'!$B$11</f>
        <v>6250000</v>
      </c>
      <c r="BC14" s="19" t="n">
        <f aca="false">MAX(0,MIN('1 Inputs'!$B$15,'1 Inputs'!$B$5*'1 Inputs'!$B$6-5*'1 Inputs'!$B$15))*'1 Inputs'!$B$7*'1 Inputs'!$B$8*'1 Inputs'!$B$9*'1 Inputs'!$B$10*'1 Inputs'!$B$11</f>
        <v>6250000</v>
      </c>
      <c r="BD14" s="19" t="n">
        <f aca="false">MAX(0,MIN('1 Inputs'!$B$15,'1 Inputs'!$B$5*'1 Inputs'!$B$6-6*'1 Inputs'!$B$15))*'1 Inputs'!$B$7*'1 Inputs'!$B$8*'1 Inputs'!$B$9*'1 Inputs'!$B$10*'1 Inputs'!$B$11</f>
        <v>6250000</v>
      </c>
      <c r="BE14" s="19" t="n">
        <f aca="false">MAX(0,MIN('1 Inputs'!$B$15,'1 Inputs'!$B$5*'1 Inputs'!$B$6-7*'1 Inputs'!$B$15))*'1 Inputs'!$B$7*'1 Inputs'!$B$8*'1 Inputs'!$B$9*'1 Inputs'!$B$10*'1 Inputs'!$B$11</f>
        <v>6250000</v>
      </c>
      <c r="BF14" s="19" t="n">
        <f aca="false">MAX(0,MIN('1 Inputs'!$B$15,'1 Inputs'!$B$5*'1 Inputs'!$B$6-8*'1 Inputs'!$B$15))*'1 Inputs'!$B$7*'1 Inputs'!$B$8*'1 Inputs'!$B$9*'1 Inputs'!$B$10*'1 Inputs'!$B$11</f>
        <v>6250000</v>
      </c>
      <c r="BG14" s="19" t="n">
        <f aca="false">MAX(0,MIN('1 Inputs'!$B$15,'1 Inputs'!$B$5*'1 Inputs'!$B$6-9*'1 Inputs'!$B$15))*'1 Inputs'!$B$7*'1 Inputs'!$B$8*'1 Inputs'!$B$9*'1 Inputs'!$B$10*'1 Inputs'!$B$11</f>
        <v>6250000</v>
      </c>
      <c r="BH14" s="19" t="n">
        <f aca="false">MAX(0,MIN('1 Inputs'!$B$15,'1 Inputs'!$B$5*'1 Inputs'!$B$6-10*'1 Inputs'!$B$15))*'1 Inputs'!$B$7*'1 Inputs'!$B$8*'1 Inputs'!$B$9*'1 Inputs'!$B$10*'1 Inputs'!$B$11</f>
        <v>6250000</v>
      </c>
      <c r="BI14" s="19" t="n">
        <f aca="false">MAX(0,MIN('1 Inputs'!$B$15,'1 Inputs'!$B$5*'1 Inputs'!$B$6-11*'1 Inputs'!$B$15))*'1 Inputs'!$B$7*'1 Inputs'!$B$8*'1 Inputs'!$B$9*'1 Inputs'!$B$10*'1 Inputs'!$B$11</f>
        <v>6250000</v>
      </c>
      <c r="BJ14" s="19" t="n">
        <f aca="false">MAX(0,MIN('1 Inputs'!$B$15,'1 Inputs'!$B$5*'1 Inputs'!$B$6-12*'1 Inputs'!$B$15))*'1 Inputs'!$B$7*'1 Inputs'!$B$8*'1 Inputs'!$B$9*'1 Inputs'!$B$10*'1 Inputs'!$B$11</f>
        <v>6250000</v>
      </c>
      <c r="BK14" s="19" t="n">
        <f aca="false">MAX(0,MIN('1 Inputs'!$B$15,'1 Inputs'!$B$5*'1 Inputs'!$B$6-13*'1 Inputs'!$B$15))*'1 Inputs'!$B$7*'1 Inputs'!$B$8*'1 Inputs'!$B$9*'1 Inputs'!$B$10*'1 Inputs'!$B$11</f>
        <v>6250000</v>
      </c>
      <c r="BL14" s="19" t="n">
        <f aca="false">MAX(0,MIN('1 Inputs'!$B$15,'1 Inputs'!$B$5*'1 Inputs'!$B$6-14*'1 Inputs'!$B$15))*'1 Inputs'!$B$7*'1 Inputs'!$B$8*'1 Inputs'!$B$9*'1 Inputs'!$B$10*'1 Inputs'!$B$11</f>
        <v>6250000</v>
      </c>
      <c r="BM14" s="19" t="n">
        <f aca="false">MAX(0,MIN('1 Inputs'!$B$15,'1 Inputs'!$B$5*'1 Inputs'!$B$6-15*'1 Inputs'!$B$15))*'1 Inputs'!$B$7*'1 Inputs'!$B$8*'1 Inputs'!$B$9*'1 Inputs'!$B$10*'1 Inputs'!$B$11</f>
        <v>0</v>
      </c>
      <c r="BN14" s="19" t="n">
        <f aca="false">MAX(0,MIN('1 Inputs'!$B$15,'1 Inputs'!$B$5*'1 Inputs'!$B$6-16*'1 Inputs'!$B$15))*'1 Inputs'!$B$7*'1 Inputs'!$B$8*'1 Inputs'!$B$9*'1 Inputs'!$B$10*'1 Inputs'!$B$11</f>
        <v>0</v>
      </c>
      <c r="BO14" s="19" t="n">
        <f aca="false">MAX(0,MIN('1 Inputs'!$B$15,'1 Inputs'!$B$5*'1 Inputs'!$B$6-17*'1 Inputs'!$B$15))*'1 Inputs'!$B$7*'1 Inputs'!$B$8*'1 Inputs'!$B$9*'1 Inputs'!$B$10*'1 Inputs'!$B$11</f>
        <v>0</v>
      </c>
      <c r="BP14" s="19" t="n">
        <f aca="false">MAX(0,MIN('1 Inputs'!$B$15,'1 Inputs'!$B$5*'1 Inputs'!$B$6-18*'1 Inputs'!$B$15))*'1 Inputs'!$B$7*'1 Inputs'!$B$8*'1 Inputs'!$B$9*'1 Inputs'!$B$10*'1 Inputs'!$B$11</f>
        <v>0</v>
      </c>
      <c r="BQ14" s="19" t="n">
        <f aca="false">MAX(0,MIN('1 Inputs'!$B$15,'1 Inputs'!$B$5*'1 Inputs'!$B$6-19*'1 Inputs'!$B$15))*'1 Inputs'!$B$7*'1 Inputs'!$B$8*'1 Inputs'!$B$9*'1 Inputs'!$B$10*'1 Inputs'!$B$11</f>
        <v>0</v>
      </c>
      <c r="BR14" s="19" t="n">
        <f aca="false">MAX(0,MIN('1 Inputs'!$B$15,'1 Inputs'!$B$5*'1 Inputs'!$B$6-20*'1 Inputs'!$B$15))*'1 Inputs'!$B$7*'1 Inputs'!$B$8*'1 Inputs'!$B$9*'1 Inputs'!$B$10*'1 Inputs'!$B$11</f>
        <v>0</v>
      </c>
      <c r="BS14" s="19" t="n">
        <f aca="false">MAX(0,MIN('1 Inputs'!$B$15,'1 Inputs'!$B$5*'1 Inputs'!$B$6-21*'1 Inputs'!$B$15))*'1 Inputs'!$B$7*'1 Inputs'!$B$8*'1 Inputs'!$B$9*'1 Inputs'!$B$10*'1 Inputs'!$B$11</f>
        <v>0</v>
      </c>
      <c r="BT14" s="19" t="n">
        <f aca="false">MAX(0,MIN('1 Inputs'!$B$15,'1 Inputs'!$B$5*'1 Inputs'!$B$6-22*'1 Inputs'!$B$15))*'1 Inputs'!$B$7*'1 Inputs'!$B$8*'1 Inputs'!$B$9*'1 Inputs'!$B$10*'1 Inputs'!$B$11</f>
        <v>0</v>
      </c>
      <c r="BU14" s="19" t="n">
        <f aca="false">MAX(0,MIN('1 Inputs'!$B$15,'1 Inputs'!$B$5*'1 Inputs'!$B$6-23*'1 Inputs'!$B$15))*'1 Inputs'!$B$7*'1 Inputs'!$B$8*'1 Inputs'!$B$9*'1 Inputs'!$B$10*'1 Inputs'!$B$11</f>
        <v>0</v>
      </c>
      <c r="BV14" s="19" t="n">
        <f aca="false">MAX(0,MIN('1 Inputs'!$B$15,'1 Inputs'!$B$5*'1 Inputs'!$B$6-24*'1 Inputs'!$B$15))*'1 Inputs'!$B$7*'1 Inputs'!$B$8*'1 Inputs'!$B$9*'1 Inputs'!$B$10*'1 Inputs'!$B$11</f>
        <v>0</v>
      </c>
      <c r="BW14" s="19" t="n">
        <f aca="false">MAX(0,MIN('1 Inputs'!$B$15,'1 Inputs'!$B$5*'1 Inputs'!$B$6-25*'1 Inputs'!$B$15))*'1 Inputs'!$B$7*'1 Inputs'!$B$8*'1 Inputs'!$B$9*'1 Inputs'!$B$10*'1 Inputs'!$B$11</f>
        <v>0</v>
      </c>
      <c r="BX14" s="19" t="n">
        <f aca="false">MAX(0,MIN('1 Inputs'!$B$15,'1 Inputs'!$B$5*'1 Inputs'!$B$6-26*'1 Inputs'!$B$15))*'1 Inputs'!$B$7*'1 Inputs'!$B$8*'1 Inputs'!$B$9*'1 Inputs'!$B$10*'1 Inputs'!$B$11</f>
        <v>0</v>
      </c>
      <c r="BY14" s="19" t="n">
        <f aca="false">MAX(0,MIN('1 Inputs'!$B$15,'1 Inputs'!$B$5*'1 Inputs'!$B$6-27*'1 Inputs'!$B$15))*'1 Inputs'!$B$7*'1 Inputs'!$B$8*'1 Inputs'!$B$9*'1 Inputs'!$B$10*'1 Inputs'!$B$11</f>
        <v>0</v>
      </c>
      <c r="BZ14" s="19" t="n">
        <f aca="false">MAX(0,MIN('1 Inputs'!$B$15,'1 Inputs'!$B$5*'1 Inputs'!$B$6-28*'1 Inputs'!$B$15))*'1 Inputs'!$B$7*'1 Inputs'!$B$8*'1 Inputs'!$B$9*'1 Inputs'!$B$10*'1 Inputs'!$B$11</f>
        <v>0</v>
      </c>
      <c r="CA14" s="19" t="n">
        <f aca="false">MAX(0,MIN('1 Inputs'!$B$15,'1 Inputs'!$B$5*'1 Inputs'!$B$6-29*'1 Inputs'!$B$15))*'1 Inputs'!$B$7*'1 Inputs'!$B$8*'1 Inputs'!$B$9*'1 Inputs'!$B$10*'1 Inputs'!$B$11</f>
        <v>0</v>
      </c>
      <c r="CB14" s="19" t="n">
        <f aca="false">MAX(0,MIN('1 Inputs'!$B$15,'1 Inputs'!$B$5*'1 Inputs'!$B$6-30*'1 Inputs'!$B$15))*'1 Inputs'!$B$7*'1 Inputs'!$B$8*'1 Inputs'!$B$9*'1 Inputs'!$B$10*'1 Inputs'!$B$11</f>
        <v>0</v>
      </c>
      <c r="CC14" s="19" t="n">
        <f aca="false">MAX(0,MIN('1 Inputs'!$B$15,'1 Inputs'!$B$5*'1 Inputs'!$B$6-31*'1 Inputs'!$B$15))*'1 Inputs'!$B$7*'1 Inputs'!$B$8*'1 Inputs'!$B$9*'1 Inputs'!$B$10*'1 Inputs'!$B$11</f>
        <v>0</v>
      </c>
      <c r="CD14" s="19" t="n">
        <f aca="false">MAX(0,MIN('1 Inputs'!$B$15,'1 Inputs'!$B$5*'1 Inputs'!$B$6-32*'1 Inputs'!$B$15))*'1 Inputs'!$B$7*'1 Inputs'!$B$8*'1 Inputs'!$B$9*'1 Inputs'!$B$10*'1 Inputs'!$B$11</f>
        <v>0</v>
      </c>
      <c r="CE14" s="19" t="n">
        <f aca="false">MAX(0,MIN('1 Inputs'!$B$15,'1 Inputs'!$B$5*'1 Inputs'!$B$6-33*'1 Inputs'!$B$15))*'1 Inputs'!$B$7*'1 Inputs'!$B$8*'1 Inputs'!$B$9*'1 Inputs'!$B$10*'1 Inputs'!$B$11</f>
        <v>0</v>
      </c>
      <c r="CF14" s="19" t="n">
        <f aca="false">MAX(0,MIN('1 Inputs'!$B$15,'1 Inputs'!$B$5*'1 Inputs'!$B$6-34*'1 Inputs'!$B$15))*'1 Inputs'!$B$7*'1 Inputs'!$B$8*'1 Inputs'!$B$9*'1 Inputs'!$B$10*'1 Inputs'!$B$11</f>
        <v>0</v>
      </c>
      <c r="CG14" s="19" t="n">
        <f aca="false">MAX(0,MIN('1 Inputs'!$B$15,'1 Inputs'!$B$5*'1 Inputs'!$B$6-35*'1 Inputs'!$B$15))*'1 Inputs'!$B$7*'1 Inputs'!$B$8*'1 Inputs'!$B$9*'1 Inputs'!$B$10*'1 Inputs'!$B$11</f>
        <v>0</v>
      </c>
      <c r="CH14" s="19" t="n">
        <f aca="false">MAX(0,MIN('1 Inputs'!$B$15,'1 Inputs'!$B$5*'1 Inputs'!$B$6-36*'1 Inputs'!$B$15))*'1 Inputs'!$B$7*'1 Inputs'!$B$8*'1 Inputs'!$B$9*'1 Inputs'!$B$10*'1 Inputs'!$B$11</f>
        <v>0</v>
      </c>
      <c r="CI14" s="19" t="n">
        <f aca="false">MAX(0,MIN('1 Inputs'!$B$15,'1 Inputs'!$B$5*'1 Inputs'!$B$6-37*'1 Inputs'!$B$15))*'1 Inputs'!$B$7*'1 Inputs'!$B$8*'1 Inputs'!$B$9*'1 Inputs'!$B$10*'1 Inputs'!$B$11</f>
        <v>0</v>
      </c>
      <c r="CJ14" s="19" t="n">
        <f aca="false">MAX(0,MIN('1 Inputs'!$B$15,'1 Inputs'!$B$5*'1 Inputs'!$B$6-38*'1 Inputs'!$B$15))*'1 Inputs'!$B$7*'1 Inputs'!$B$8*'1 Inputs'!$B$9*'1 Inputs'!$B$10*'1 Inputs'!$B$11</f>
        <v>0</v>
      </c>
      <c r="CK14" s="19" t="n">
        <f aca="false">MAX(0,MIN('1 Inputs'!$B$15,'1 Inputs'!$B$5*'1 Inputs'!$B$6-39*'1 Inputs'!$B$15))*'1 Inputs'!$B$7*'1 Inputs'!$B$8*'1 Inputs'!$B$9*'1 Inputs'!$B$10*'1 Inputs'!$B$11</f>
        <v>0</v>
      </c>
    </row>
    <row r="15" customFormat="false" ht="15" hidden="false" customHeight="false" outlineLevel="0" collapsed="false">
      <c r="A15" s="0" t="n">
        <v>28</v>
      </c>
      <c r="B15" s="12" t="n">
        <f aca="false">SUMIF(J15:AW15,"&lt;="&amp;($A15+52),AX15:CK15)</f>
        <v>75000000</v>
      </c>
      <c r="C15" s="12" t="n">
        <f aca="false">SUM(AX15:CK15)</f>
        <v>93750000</v>
      </c>
      <c r="D15" s="15" t="n">
        <f aca="false">(MIN(J15:AW15)-$A15)/52*12</f>
        <v>9.92307692307692</v>
      </c>
      <c r="J15" s="19" t="n">
        <f aca="false">IFERROR(INDEX('4 The queue'!$T$5:$T$40,MATCH((IFERROR(INDEX('4 The queue'!$U$5:$U$212,MATCH(IF($A15&lt;=1,0,INDEX('4 The queue'!$W$5:$W$212,$A15-1))+0+1,'4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queue'!$W$5:$W$212,$A15-1))+0+1,'4 The queue'!$W$5:$W$212,0)),9999)+'1 Inputs'!$B$22+'1 Inputs'!$B$23+'1 Inputs'!$B$24+'1 Inputs'!$B$25),'4 The queue'!$T$5:$T$40,1))=(IFERROR(INDEX('4 The queue'!$U$5:$U$212,MATCH(IF($A15&lt;=1,0,INDEX('4 The queue'!$W$5:$W$212,$A15-1))+0+1,'4 The queue'!$W$5:$W$212,0)),9999)+'1 Inputs'!$B$22+'1 Inputs'!$B$23+'1 Inputs'!$B$24+'1 Inputs'!$B$25),0,1)),9999)+'1 Inputs'!$B$26</f>
        <v>71</v>
      </c>
      <c r="K15" s="19" t="n">
        <f aca="false">IFERROR(INDEX('4 The queue'!$T$5:$T$40,MATCH((IFERROR(INDEX('4 The queue'!$U$5:$U$212,MATCH(IF($A15&lt;=1,0,INDEX('4 The queue'!$W$5:$W$212,$A15-1))+1+1,'4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queue'!$W$5:$W$212,$A15-1))+1+1,'4 The queue'!$W$5:$W$212,0)),9999)+'1 Inputs'!$B$22+'1 Inputs'!$B$23+'1 Inputs'!$B$24+'1 Inputs'!$B$25),'4 The queue'!$T$5:$T$40,1))=(IFERROR(INDEX('4 The queue'!$U$5:$U$212,MATCH(IF($A15&lt;=1,0,INDEX('4 The queue'!$W$5:$W$212,$A15-1))+1+1,'4 The queue'!$W$5:$W$212,0)),9999)+'1 Inputs'!$B$22+'1 Inputs'!$B$23+'1 Inputs'!$B$24+'1 Inputs'!$B$25),0,1)),9999)+'1 Inputs'!$B$26</f>
        <v>71</v>
      </c>
      <c r="L15" s="19" t="n">
        <f aca="false">IFERROR(INDEX('4 The queue'!$T$5:$T$40,MATCH((IFERROR(INDEX('4 The queue'!$U$5:$U$212,MATCH(IF($A15&lt;=1,0,INDEX('4 The queue'!$W$5:$W$212,$A15-1))+2+1,'4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queue'!$W$5:$W$212,$A15-1))+2+1,'4 The queue'!$W$5:$W$212,0)),9999)+'1 Inputs'!$B$22+'1 Inputs'!$B$23+'1 Inputs'!$B$24+'1 Inputs'!$B$25),'4 The queue'!$T$5:$T$40,1))=(IFERROR(INDEX('4 The queue'!$U$5:$U$212,MATCH(IF($A15&lt;=1,0,INDEX('4 The queue'!$W$5:$W$212,$A15-1))+2+1,'4 The queue'!$W$5:$W$212,0)),9999)+'1 Inputs'!$B$22+'1 Inputs'!$B$23+'1 Inputs'!$B$24+'1 Inputs'!$B$25),0,1)),9999)+'1 Inputs'!$B$26</f>
        <v>71</v>
      </c>
      <c r="M15" s="19" t="n">
        <f aca="false">IFERROR(INDEX('4 The queue'!$T$5:$T$40,MATCH((IFERROR(INDEX('4 The queue'!$U$5:$U$212,MATCH(IF($A15&lt;=1,0,INDEX('4 The queue'!$W$5:$W$212,$A15-1))+3+1,'4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queue'!$W$5:$W$212,$A15-1))+3+1,'4 The queue'!$W$5:$W$212,0)),9999)+'1 Inputs'!$B$22+'1 Inputs'!$B$23+'1 Inputs'!$B$24+'1 Inputs'!$B$25),'4 The queue'!$T$5:$T$40,1))=(IFERROR(INDEX('4 The queue'!$U$5:$U$212,MATCH(IF($A15&lt;=1,0,INDEX('4 The queue'!$W$5:$W$212,$A15-1))+3+1,'4 The queue'!$W$5:$W$212,0)),9999)+'1 Inputs'!$B$22+'1 Inputs'!$B$23+'1 Inputs'!$B$24+'1 Inputs'!$B$25),0,1)),9999)+'1 Inputs'!$B$26</f>
        <v>71</v>
      </c>
      <c r="N15" s="19" t="n">
        <f aca="false">IFERROR(INDEX('4 The queue'!$T$5:$T$40,MATCH((IFERROR(INDEX('4 The queue'!$U$5:$U$212,MATCH(IF($A15&lt;=1,0,INDEX('4 The queue'!$W$5:$W$212,$A15-1))+4+1,'4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queue'!$W$5:$W$212,$A15-1))+4+1,'4 The queue'!$W$5:$W$212,0)),9999)+'1 Inputs'!$B$22+'1 Inputs'!$B$23+'1 Inputs'!$B$24+'1 Inputs'!$B$25),'4 The queue'!$T$5:$T$40,1))=(IFERROR(INDEX('4 The queue'!$U$5:$U$212,MATCH(IF($A15&lt;=1,0,INDEX('4 The queue'!$W$5:$W$212,$A15-1))+4+1,'4 The queue'!$W$5:$W$212,0)),9999)+'1 Inputs'!$B$22+'1 Inputs'!$B$23+'1 Inputs'!$B$24+'1 Inputs'!$B$25),0,1)),9999)+'1 Inputs'!$B$26</f>
        <v>71</v>
      </c>
      <c r="O15" s="19" t="n">
        <f aca="false">IFERROR(INDEX('4 The queue'!$T$5:$T$40,MATCH((IFERROR(INDEX('4 The queue'!$U$5:$U$212,MATCH(IF($A15&lt;=1,0,INDEX('4 The queue'!$W$5:$W$212,$A15-1))+5+1,'4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queue'!$W$5:$W$212,$A15-1))+5+1,'4 The queue'!$W$5:$W$212,0)),9999)+'1 Inputs'!$B$22+'1 Inputs'!$B$23+'1 Inputs'!$B$24+'1 Inputs'!$B$25),'4 The queue'!$T$5:$T$40,1))=(IFERROR(INDEX('4 The queue'!$U$5:$U$212,MATCH(IF($A15&lt;=1,0,INDEX('4 The queue'!$W$5:$W$212,$A15-1))+5+1,'4 The queue'!$W$5:$W$212,0)),9999)+'1 Inputs'!$B$22+'1 Inputs'!$B$23+'1 Inputs'!$B$24+'1 Inputs'!$B$25),0,1)),9999)+'1 Inputs'!$B$26</f>
        <v>71</v>
      </c>
      <c r="P15" s="19" t="n">
        <f aca="false">IFERROR(INDEX('4 The queue'!$T$5:$T$40,MATCH((IFERROR(INDEX('4 The queue'!$U$5:$U$212,MATCH(IF($A15&lt;=1,0,INDEX('4 The queue'!$W$5:$W$212,$A15-1))+6+1,'4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queue'!$W$5:$W$212,$A15-1))+6+1,'4 The queue'!$W$5:$W$212,0)),9999)+'1 Inputs'!$B$22+'1 Inputs'!$B$23+'1 Inputs'!$B$24+'1 Inputs'!$B$25),'4 The queue'!$T$5:$T$40,1))=(IFERROR(INDEX('4 The queue'!$U$5:$U$212,MATCH(IF($A15&lt;=1,0,INDEX('4 The queue'!$W$5:$W$212,$A15-1))+6+1,'4 The queue'!$W$5:$W$212,0)),9999)+'1 Inputs'!$B$22+'1 Inputs'!$B$23+'1 Inputs'!$B$24+'1 Inputs'!$B$25),0,1)),9999)+'1 Inputs'!$B$26</f>
        <v>71</v>
      </c>
      <c r="Q15" s="19" t="n">
        <f aca="false">IFERROR(INDEX('4 The queue'!$T$5:$T$40,MATCH((IFERROR(INDEX('4 The queue'!$U$5:$U$212,MATCH(IF($A15&lt;=1,0,INDEX('4 The queue'!$W$5:$W$212,$A15-1))+7+1,'4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queue'!$W$5:$W$212,$A15-1))+7+1,'4 The queue'!$W$5:$W$212,0)),9999)+'1 Inputs'!$B$22+'1 Inputs'!$B$23+'1 Inputs'!$B$24+'1 Inputs'!$B$25),'4 The queue'!$T$5:$T$40,1))=(IFERROR(INDEX('4 The queue'!$U$5:$U$212,MATCH(IF($A15&lt;=1,0,INDEX('4 The queue'!$W$5:$W$212,$A15-1))+7+1,'4 The queue'!$W$5:$W$212,0)),9999)+'1 Inputs'!$B$22+'1 Inputs'!$B$23+'1 Inputs'!$B$24+'1 Inputs'!$B$25),0,1)),9999)+'1 Inputs'!$B$26</f>
        <v>71</v>
      </c>
      <c r="R15" s="19" t="n">
        <f aca="false">IFERROR(INDEX('4 The queue'!$T$5:$T$40,MATCH((IFERROR(INDEX('4 The queue'!$U$5:$U$212,MATCH(IF($A15&lt;=1,0,INDEX('4 The queue'!$W$5:$W$212,$A15-1))+8+1,'4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queue'!$W$5:$W$212,$A15-1))+8+1,'4 The queue'!$W$5:$W$212,0)),9999)+'1 Inputs'!$B$22+'1 Inputs'!$B$23+'1 Inputs'!$B$24+'1 Inputs'!$B$25),'4 The queue'!$T$5:$T$40,1))=(IFERROR(INDEX('4 The queue'!$U$5:$U$212,MATCH(IF($A15&lt;=1,0,INDEX('4 The queue'!$W$5:$W$212,$A15-1))+8+1,'4 The queue'!$W$5:$W$212,0)),9999)+'1 Inputs'!$B$22+'1 Inputs'!$B$23+'1 Inputs'!$B$24+'1 Inputs'!$B$25),0,1)),9999)+'1 Inputs'!$B$26</f>
        <v>71</v>
      </c>
      <c r="S15" s="19" t="n">
        <f aca="false">IFERROR(INDEX('4 The queue'!$T$5:$T$40,MATCH((IFERROR(INDEX('4 The queue'!$U$5:$U$212,MATCH(IF($A15&lt;=1,0,INDEX('4 The queue'!$W$5:$W$212,$A15-1))+9+1,'4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queue'!$W$5:$W$212,$A15-1))+9+1,'4 The queue'!$W$5:$W$212,0)),9999)+'1 Inputs'!$B$22+'1 Inputs'!$B$23+'1 Inputs'!$B$24+'1 Inputs'!$B$25),'4 The queue'!$T$5:$T$40,1))=(IFERROR(INDEX('4 The queue'!$U$5:$U$212,MATCH(IF($A15&lt;=1,0,INDEX('4 The queue'!$W$5:$W$212,$A15-1))+9+1,'4 The queue'!$W$5:$W$212,0)),9999)+'1 Inputs'!$B$22+'1 Inputs'!$B$23+'1 Inputs'!$B$24+'1 Inputs'!$B$25),0,1)),9999)+'1 Inputs'!$B$26</f>
        <v>71</v>
      </c>
      <c r="T15" s="19" t="n">
        <f aca="false">IFERROR(INDEX('4 The queue'!$T$5:$T$40,MATCH((IFERROR(INDEX('4 The queue'!$U$5:$U$212,MATCH(IF($A15&lt;=1,0,INDEX('4 The queue'!$W$5:$W$212,$A15-1))+10+1,'4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queue'!$W$5:$W$212,$A15-1))+10+1,'4 The queue'!$W$5:$W$212,0)),9999)+'1 Inputs'!$B$22+'1 Inputs'!$B$23+'1 Inputs'!$B$24+'1 Inputs'!$B$25),'4 The queue'!$T$5:$T$40,1))=(IFERROR(INDEX('4 The queue'!$U$5:$U$212,MATCH(IF($A15&lt;=1,0,INDEX('4 The queue'!$W$5:$W$212,$A15-1))+10+1,'4 The queue'!$W$5:$W$212,0)),9999)+'1 Inputs'!$B$22+'1 Inputs'!$B$23+'1 Inputs'!$B$24+'1 Inputs'!$B$25),0,1)),9999)+'1 Inputs'!$B$26</f>
        <v>71</v>
      </c>
      <c r="U15" s="19" t="n">
        <f aca="false">IFERROR(INDEX('4 The queue'!$T$5:$T$40,MATCH((IFERROR(INDEX('4 The queue'!$U$5:$U$212,MATCH(IF($A15&lt;=1,0,INDEX('4 The queue'!$W$5:$W$212,$A15-1))+11+1,'4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queue'!$W$5:$W$212,$A15-1))+11+1,'4 The queue'!$W$5:$W$212,0)),9999)+'1 Inputs'!$B$22+'1 Inputs'!$B$23+'1 Inputs'!$B$24+'1 Inputs'!$B$25),'4 The queue'!$T$5:$T$40,1))=(IFERROR(INDEX('4 The queue'!$U$5:$U$212,MATCH(IF($A15&lt;=1,0,INDEX('4 The queue'!$W$5:$W$212,$A15-1))+11+1,'4 The queue'!$W$5:$W$212,0)),9999)+'1 Inputs'!$B$22+'1 Inputs'!$B$23+'1 Inputs'!$B$24+'1 Inputs'!$B$25),0,1)),9999)+'1 Inputs'!$B$26</f>
        <v>71</v>
      </c>
      <c r="V15" s="19" t="n">
        <f aca="false">IFERROR(INDEX('4 The queue'!$T$5:$T$40,MATCH((IFERROR(INDEX('4 The queue'!$U$5:$U$212,MATCH(IF($A15&lt;=1,0,INDEX('4 The queue'!$W$5:$W$212,$A15-1))+12+1,'4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queue'!$W$5:$W$212,$A15-1))+12+1,'4 The queue'!$W$5:$W$212,0)),9999)+'1 Inputs'!$B$22+'1 Inputs'!$B$23+'1 Inputs'!$B$24+'1 Inputs'!$B$25),'4 The queue'!$T$5:$T$40,1))=(IFERROR(INDEX('4 The queue'!$U$5:$U$212,MATCH(IF($A15&lt;=1,0,INDEX('4 The queue'!$W$5:$W$212,$A15-1))+12+1,'4 The queue'!$W$5:$W$212,0)),9999)+'1 Inputs'!$B$22+'1 Inputs'!$B$23+'1 Inputs'!$B$24+'1 Inputs'!$B$25),0,1)),9999)+'1 Inputs'!$B$26</f>
        <v>84</v>
      </c>
      <c r="W15" s="19" t="n">
        <f aca="false">IFERROR(INDEX('4 The queue'!$T$5:$T$40,MATCH((IFERROR(INDEX('4 The queue'!$U$5:$U$212,MATCH(IF($A15&lt;=1,0,INDEX('4 The queue'!$W$5:$W$212,$A15-1))+13+1,'4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queue'!$W$5:$W$212,$A15-1))+13+1,'4 The queue'!$W$5:$W$212,0)),9999)+'1 Inputs'!$B$22+'1 Inputs'!$B$23+'1 Inputs'!$B$24+'1 Inputs'!$B$25),'4 The queue'!$T$5:$T$40,1))=(IFERROR(INDEX('4 The queue'!$U$5:$U$212,MATCH(IF($A15&lt;=1,0,INDEX('4 The queue'!$W$5:$W$212,$A15-1))+13+1,'4 The queue'!$W$5:$W$212,0)),9999)+'1 Inputs'!$B$22+'1 Inputs'!$B$23+'1 Inputs'!$B$24+'1 Inputs'!$B$25),0,1)),9999)+'1 Inputs'!$B$26</f>
        <v>84</v>
      </c>
      <c r="X15" s="19" t="n">
        <f aca="false">IFERROR(INDEX('4 The queue'!$T$5:$T$40,MATCH((IFERROR(INDEX('4 The queue'!$U$5:$U$212,MATCH(IF($A15&lt;=1,0,INDEX('4 The queue'!$W$5:$W$212,$A15-1))+14+1,'4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queue'!$W$5:$W$212,$A15-1))+14+1,'4 The queue'!$W$5:$W$212,0)),9999)+'1 Inputs'!$B$22+'1 Inputs'!$B$23+'1 Inputs'!$B$24+'1 Inputs'!$B$25),'4 The queue'!$T$5:$T$40,1))=(IFERROR(INDEX('4 The queue'!$U$5:$U$212,MATCH(IF($A15&lt;=1,0,INDEX('4 The queue'!$W$5:$W$212,$A15-1))+14+1,'4 The queue'!$W$5:$W$212,0)),9999)+'1 Inputs'!$B$22+'1 Inputs'!$B$23+'1 Inputs'!$B$24+'1 Inputs'!$B$25),0,1)),9999)+'1 Inputs'!$B$26</f>
        <v>84</v>
      </c>
      <c r="Y15" s="19" t="n">
        <f aca="false">IFERROR(INDEX('4 The queue'!$T$5:$T$40,MATCH((IFERROR(INDEX('4 The queue'!$U$5:$U$212,MATCH(IF($A15&lt;=1,0,INDEX('4 The queue'!$W$5:$W$212,$A15-1))+15+1,'4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queue'!$W$5:$W$212,$A15-1))+15+1,'4 The queue'!$W$5:$W$212,0)),9999)+'1 Inputs'!$B$22+'1 Inputs'!$B$23+'1 Inputs'!$B$24+'1 Inputs'!$B$25),'4 The queue'!$T$5:$T$40,1))=(IFERROR(INDEX('4 The queue'!$U$5:$U$212,MATCH(IF($A15&lt;=1,0,INDEX('4 The queue'!$W$5:$W$212,$A15-1))+15+1,'4 The queue'!$W$5:$W$212,0)),9999)+'1 Inputs'!$B$22+'1 Inputs'!$B$23+'1 Inputs'!$B$24+'1 Inputs'!$B$25),0,1)),9999)+'1 Inputs'!$B$26</f>
        <v>84</v>
      </c>
      <c r="Z15" s="19" t="n">
        <f aca="false">IFERROR(INDEX('4 The queue'!$T$5:$T$40,MATCH((IFERROR(INDEX('4 The queue'!$U$5:$U$212,MATCH(IF($A15&lt;=1,0,INDEX('4 The queue'!$W$5:$W$212,$A15-1))+16+1,'4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queue'!$W$5:$W$212,$A15-1))+16+1,'4 The queue'!$W$5:$W$212,0)),9999)+'1 Inputs'!$B$22+'1 Inputs'!$B$23+'1 Inputs'!$B$24+'1 Inputs'!$B$25),'4 The queue'!$T$5:$T$40,1))=(IFERROR(INDEX('4 The queue'!$U$5:$U$212,MATCH(IF($A15&lt;=1,0,INDEX('4 The queue'!$W$5:$W$212,$A15-1))+16+1,'4 The queue'!$W$5:$W$212,0)),9999)+'1 Inputs'!$B$22+'1 Inputs'!$B$23+'1 Inputs'!$B$24+'1 Inputs'!$B$25),0,1)),9999)+'1 Inputs'!$B$26</f>
        <v>84</v>
      </c>
      <c r="AA15" s="19" t="n">
        <f aca="false">IFERROR(INDEX('4 The queue'!$T$5:$T$40,MATCH((IFERROR(INDEX('4 The queue'!$U$5:$U$212,MATCH(IF($A15&lt;=1,0,INDEX('4 The queue'!$W$5:$W$212,$A15-1))+17+1,'4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queue'!$W$5:$W$212,$A15-1))+17+1,'4 The queue'!$W$5:$W$212,0)),9999)+'1 Inputs'!$B$22+'1 Inputs'!$B$23+'1 Inputs'!$B$24+'1 Inputs'!$B$25),'4 The queue'!$T$5:$T$40,1))=(IFERROR(INDEX('4 The queue'!$U$5:$U$212,MATCH(IF($A15&lt;=1,0,INDEX('4 The queue'!$W$5:$W$212,$A15-1))+17+1,'4 The queue'!$W$5:$W$212,0)),9999)+'1 Inputs'!$B$22+'1 Inputs'!$B$23+'1 Inputs'!$B$24+'1 Inputs'!$B$25),0,1)),9999)+'1 Inputs'!$B$26</f>
        <v>84</v>
      </c>
      <c r="AB15" s="19" t="n">
        <f aca="false">IFERROR(INDEX('4 The queue'!$T$5:$T$40,MATCH((IFERROR(INDEX('4 The queue'!$U$5:$U$212,MATCH(IF($A15&lt;=1,0,INDEX('4 The queue'!$W$5:$W$212,$A15-1))+18+1,'4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queue'!$W$5:$W$212,$A15-1))+18+1,'4 The queue'!$W$5:$W$212,0)),9999)+'1 Inputs'!$B$22+'1 Inputs'!$B$23+'1 Inputs'!$B$24+'1 Inputs'!$B$25),'4 The queue'!$T$5:$T$40,1))=(IFERROR(INDEX('4 The queue'!$U$5:$U$212,MATCH(IF($A15&lt;=1,0,INDEX('4 The queue'!$W$5:$W$212,$A15-1))+18+1,'4 The queue'!$W$5:$W$212,0)),9999)+'1 Inputs'!$B$22+'1 Inputs'!$B$23+'1 Inputs'!$B$24+'1 Inputs'!$B$25),0,1)),9999)+'1 Inputs'!$B$26</f>
        <v>84</v>
      </c>
      <c r="AC15" s="19" t="n">
        <f aca="false">IFERROR(INDEX('4 The queue'!$T$5:$T$40,MATCH((IFERROR(INDEX('4 The queue'!$U$5:$U$212,MATCH(IF($A15&lt;=1,0,INDEX('4 The queue'!$W$5:$W$212,$A15-1))+19+1,'4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queue'!$W$5:$W$212,$A15-1))+19+1,'4 The queue'!$W$5:$W$212,0)),9999)+'1 Inputs'!$B$22+'1 Inputs'!$B$23+'1 Inputs'!$B$24+'1 Inputs'!$B$25),'4 The queue'!$T$5:$T$40,1))=(IFERROR(INDEX('4 The queue'!$U$5:$U$212,MATCH(IF($A15&lt;=1,0,INDEX('4 The queue'!$W$5:$W$212,$A15-1))+19+1,'4 The queue'!$W$5:$W$212,0)),9999)+'1 Inputs'!$B$22+'1 Inputs'!$B$23+'1 Inputs'!$B$24+'1 Inputs'!$B$25),0,1)),9999)+'1 Inputs'!$B$26</f>
        <v>84</v>
      </c>
      <c r="AD15" s="19" t="n">
        <f aca="false">IFERROR(INDEX('4 The queue'!$T$5:$T$40,MATCH((IFERROR(INDEX('4 The queue'!$U$5:$U$212,MATCH(IF($A15&lt;=1,0,INDEX('4 The queue'!$W$5:$W$212,$A15-1))+20+1,'4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queue'!$W$5:$W$212,$A15-1))+20+1,'4 The queue'!$W$5:$W$212,0)),9999)+'1 Inputs'!$B$22+'1 Inputs'!$B$23+'1 Inputs'!$B$24+'1 Inputs'!$B$25),'4 The queue'!$T$5:$T$40,1))=(IFERROR(INDEX('4 The queue'!$U$5:$U$212,MATCH(IF($A15&lt;=1,0,INDEX('4 The queue'!$W$5:$W$212,$A15-1))+20+1,'4 The queue'!$W$5:$W$212,0)),9999)+'1 Inputs'!$B$22+'1 Inputs'!$B$23+'1 Inputs'!$B$24+'1 Inputs'!$B$25),0,1)),9999)+'1 Inputs'!$B$26</f>
        <v>84</v>
      </c>
      <c r="AE15" s="19" t="n">
        <f aca="false">IFERROR(INDEX('4 The queue'!$T$5:$T$40,MATCH((IFERROR(INDEX('4 The queue'!$U$5:$U$212,MATCH(IF($A15&lt;=1,0,INDEX('4 The queue'!$W$5:$W$212,$A15-1))+21+1,'4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queue'!$W$5:$W$212,$A15-1))+21+1,'4 The queue'!$W$5:$W$212,0)),9999)+'1 Inputs'!$B$22+'1 Inputs'!$B$23+'1 Inputs'!$B$24+'1 Inputs'!$B$25),'4 The queue'!$T$5:$T$40,1))=(IFERROR(INDEX('4 The queue'!$U$5:$U$212,MATCH(IF($A15&lt;=1,0,INDEX('4 The queue'!$W$5:$W$212,$A15-1))+21+1,'4 The queue'!$W$5:$W$212,0)),9999)+'1 Inputs'!$B$22+'1 Inputs'!$B$23+'1 Inputs'!$B$24+'1 Inputs'!$B$25),0,1)),9999)+'1 Inputs'!$B$26</f>
        <v>84</v>
      </c>
      <c r="AF15" s="19" t="n">
        <f aca="false">IFERROR(INDEX('4 The queue'!$T$5:$T$40,MATCH((IFERROR(INDEX('4 The queue'!$U$5:$U$212,MATCH(IF($A15&lt;=1,0,INDEX('4 The queue'!$W$5:$W$212,$A15-1))+22+1,'4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queue'!$W$5:$W$212,$A15-1))+22+1,'4 The queue'!$W$5:$W$212,0)),9999)+'1 Inputs'!$B$22+'1 Inputs'!$B$23+'1 Inputs'!$B$24+'1 Inputs'!$B$25),'4 The queue'!$T$5:$T$40,1))=(IFERROR(INDEX('4 The queue'!$U$5:$U$212,MATCH(IF($A15&lt;=1,0,INDEX('4 The queue'!$W$5:$W$212,$A15-1))+22+1,'4 The queue'!$W$5:$W$212,0)),9999)+'1 Inputs'!$B$22+'1 Inputs'!$B$23+'1 Inputs'!$B$24+'1 Inputs'!$B$25),0,1)),9999)+'1 Inputs'!$B$26</f>
        <v>97</v>
      </c>
      <c r="AG15" s="19" t="n">
        <f aca="false">IFERROR(INDEX('4 The queue'!$T$5:$T$40,MATCH((IFERROR(INDEX('4 The queue'!$U$5:$U$212,MATCH(IF($A15&lt;=1,0,INDEX('4 The queue'!$W$5:$W$212,$A15-1))+23+1,'4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queue'!$W$5:$W$212,$A15-1))+23+1,'4 The queue'!$W$5:$W$212,0)),9999)+'1 Inputs'!$B$22+'1 Inputs'!$B$23+'1 Inputs'!$B$24+'1 Inputs'!$B$25),'4 The queue'!$T$5:$T$40,1))=(IFERROR(INDEX('4 The queue'!$U$5:$U$212,MATCH(IF($A15&lt;=1,0,INDEX('4 The queue'!$W$5:$W$212,$A15-1))+23+1,'4 The queue'!$W$5:$W$212,0)),9999)+'1 Inputs'!$B$22+'1 Inputs'!$B$23+'1 Inputs'!$B$24+'1 Inputs'!$B$25),0,1)),9999)+'1 Inputs'!$B$26</f>
        <v>97</v>
      </c>
      <c r="AH15" s="19" t="n">
        <f aca="false">IFERROR(INDEX('4 The queue'!$T$5:$T$40,MATCH((IFERROR(INDEX('4 The queue'!$U$5:$U$212,MATCH(IF($A15&lt;=1,0,INDEX('4 The queue'!$W$5:$W$212,$A15-1))+24+1,'4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queue'!$W$5:$W$212,$A15-1))+24+1,'4 The queue'!$W$5:$W$212,0)),9999)+'1 Inputs'!$B$22+'1 Inputs'!$B$23+'1 Inputs'!$B$24+'1 Inputs'!$B$25),'4 The queue'!$T$5:$T$40,1))=(IFERROR(INDEX('4 The queue'!$U$5:$U$212,MATCH(IF($A15&lt;=1,0,INDEX('4 The queue'!$W$5:$W$212,$A15-1))+24+1,'4 The queue'!$W$5:$W$212,0)),9999)+'1 Inputs'!$B$22+'1 Inputs'!$B$23+'1 Inputs'!$B$24+'1 Inputs'!$B$25),0,1)),9999)+'1 Inputs'!$B$26</f>
        <v>97</v>
      </c>
      <c r="AI15" s="19" t="n">
        <f aca="false">IFERROR(INDEX('4 The queue'!$T$5:$T$40,MATCH((IFERROR(INDEX('4 The queue'!$U$5:$U$212,MATCH(IF($A15&lt;=1,0,INDEX('4 The queue'!$W$5:$W$212,$A15-1))+25+1,'4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queue'!$W$5:$W$212,$A15-1))+25+1,'4 The queue'!$W$5:$W$212,0)),9999)+'1 Inputs'!$B$22+'1 Inputs'!$B$23+'1 Inputs'!$B$24+'1 Inputs'!$B$25),'4 The queue'!$T$5:$T$40,1))=(IFERROR(INDEX('4 The queue'!$U$5:$U$212,MATCH(IF($A15&lt;=1,0,INDEX('4 The queue'!$W$5:$W$212,$A15-1))+25+1,'4 The queue'!$W$5:$W$212,0)),9999)+'1 Inputs'!$B$22+'1 Inputs'!$B$23+'1 Inputs'!$B$24+'1 Inputs'!$B$25),0,1)),9999)+'1 Inputs'!$B$26</f>
        <v>97</v>
      </c>
      <c r="AJ15" s="19" t="n">
        <f aca="false">IFERROR(INDEX('4 The queue'!$T$5:$T$40,MATCH((IFERROR(INDEX('4 The queue'!$U$5:$U$212,MATCH(IF($A15&lt;=1,0,INDEX('4 The queue'!$W$5:$W$212,$A15-1))+26+1,'4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queue'!$W$5:$W$212,$A15-1))+26+1,'4 The queue'!$W$5:$W$212,0)),9999)+'1 Inputs'!$B$22+'1 Inputs'!$B$23+'1 Inputs'!$B$24+'1 Inputs'!$B$25),'4 The queue'!$T$5:$T$40,1))=(IFERROR(INDEX('4 The queue'!$U$5:$U$212,MATCH(IF($A15&lt;=1,0,INDEX('4 The queue'!$W$5:$W$212,$A15-1))+26+1,'4 The queue'!$W$5:$W$212,0)),9999)+'1 Inputs'!$B$22+'1 Inputs'!$B$23+'1 Inputs'!$B$24+'1 Inputs'!$B$25),0,1)),9999)+'1 Inputs'!$B$26</f>
        <v>97</v>
      </c>
      <c r="AK15" s="19" t="n">
        <f aca="false">IFERROR(INDEX('4 The queue'!$T$5:$T$40,MATCH((IFERROR(INDEX('4 The queue'!$U$5:$U$212,MATCH(IF($A15&lt;=1,0,INDEX('4 The queue'!$W$5:$W$212,$A15-1))+27+1,'4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queue'!$W$5:$W$212,$A15-1))+27+1,'4 The queue'!$W$5:$W$212,0)),9999)+'1 Inputs'!$B$22+'1 Inputs'!$B$23+'1 Inputs'!$B$24+'1 Inputs'!$B$25),'4 The queue'!$T$5:$T$40,1))=(IFERROR(INDEX('4 The queue'!$U$5:$U$212,MATCH(IF($A15&lt;=1,0,INDEX('4 The queue'!$W$5:$W$212,$A15-1))+27+1,'4 The queue'!$W$5:$W$212,0)),9999)+'1 Inputs'!$B$22+'1 Inputs'!$B$23+'1 Inputs'!$B$24+'1 Inputs'!$B$25),0,1)),9999)+'1 Inputs'!$B$26</f>
        <v>97</v>
      </c>
      <c r="AL15" s="19" t="n">
        <f aca="false">IFERROR(INDEX('4 The queue'!$T$5:$T$40,MATCH((IFERROR(INDEX('4 The queue'!$U$5:$U$212,MATCH(IF($A15&lt;=1,0,INDEX('4 The queue'!$W$5:$W$212,$A15-1))+28+1,'4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queue'!$W$5:$W$212,$A15-1))+28+1,'4 The queue'!$W$5:$W$212,0)),9999)+'1 Inputs'!$B$22+'1 Inputs'!$B$23+'1 Inputs'!$B$24+'1 Inputs'!$B$25),'4 The queue'!$T$5:$T$40,1))=(IFERROR(INDEX('4 The queue'!$U$5:$U$212,MATCH(IF($A15&lt;=1,0,INDEX('4 The queue'!$W$5:$W$212,$A15-1))+28+1,'4 The queue'!$W$5:$W$212,0)),9999)+'1 Inputs'!$B$22+'1 Inputs'!$B$23+'1 Inputs'!$B$24+'1 Inputs'!$B$25),0,1)),9999)+'1 Inputs'!$B$26</f>
        <v>97</v>
      </c>
      <c r="AM15" s="19" t="n">
        <f aca="false">IFERROR(INDEX('4 The queue'!$T$5:$T$40,MATCH((IFERROR(INDEX('4 The queue'!$U$5:$U$212,MATCH(IF($A15&lt;=1,0,INDEX('4 The queue'!$W$5:$W$212,$A15-1))+29+1,'4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queue'!$W$5:$W$212,$A15-1))+29+1,'4 The queue'!$W$5:$W$212,0)),9999)+'1 Inputs'!$B$22+'1 Inputs'!$B$23+'1 Inputs'!$B$24+'1 Inputs'!$B$25),'4 The queue'!$T$5:$T$40,1))=(IFERROR(INDEX('4 The queue'!$U$5:$U$212,MATCH(IF($A15&lt;=1,0,INDEX('4 The queue'!$W$5:$W$212,$A15-1))+29+1,'4 The queue'!$W$5:$W$212,0)),9999)+'1 Inputs'!$B$22+'1 Inputs'!$B$23+'1 Inputs'!$B$24+'1 Inputs'!$B$25),0,1)),9999)+'1 Inputs'!$B$26</f>
        <v>97</v>
      </c>
      <c r="AN15" s="19" t="n">
        <f aca="false">IFERROR(INDEX('4 The queue'!$T$5:$T$40,MATCH((IFERROR(INDEX('4 The queue'!$U$5:$U$212,MATCH(IF($A15&lt;=1,0,INDEX('4 The queue'!$W$5:$W$212,$A15-1))+30+1,'4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queue'!$W$5:$W$212,$A15-1))+30+1,'4 The queue'!$W$5:$W$212,0)),9999)+'1 Inputs'!$B$22+'1 Inputs'!$B$23+'1 Inputs'!$B$24+'1 Inputs'!$B$25),'4 The queue'!$T$5:$T$40,1))=(IFERROR(INDEX('4 The queue'!$U$5:$U$212,MATCH(IF($A15&lt;=1,0,INDEX('4 The queue'!$W$5:$W$212,$A15-1))+30+1,'4 The queue'!$W$5:$W$212,0)),9999)+'1 Inputs'!$B$22+'1 Inputs'!$B$23+'1 Inputs'!$B$24+'1 Inputs'!$B$25),0,1)),9999)+'1 Inputs'!$B$26</f>
        <v>97</v>
      </c>
      <c r="AO15" s="19" t="n">
        <f aca="false">IFERROR(INDEX('4 The queue'!$T$5:$T$40,MATCH((IFERROR(INDEX('4 The queue'!$U$5:$U$212,MATCH(IF($A15&lt;=1,0,INDEX('4 The queue'!$W$5:$W$212,$A15-1))+31+1,'4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queue'!$W$5:$W$212,$A15-1))+31+1,'4 The queue'!$W$5:$W$212,0)),9999)+'1 Inputs'!$B$22+'1 Inputs'!$B$23+'1 Inputs'!$B$24+'1 Inputs'!$B$25),'4 The queue'!$T$5:$T$40,1))=(IFERROR(INDEX('4 The queue'!$U$5:$U$212,MATCH(IF($A15&lt;=1,0,INDEX('4 The queue'!$W$5:$W$212,$A15-1))+31+1,'4 The queue'!$W$5:$W$212,0)),9999)+'1 Inputs'!$B$22+'1 Inputs'!$B$23+'1 Inputs'!$B$24+'1 Inputs'!$B$25),0,1)),9999)+'1 Inputs'!$B$26</f>
        <v>97</v>
      </c>
      <c r="AP15" s="19" t="n">
        <f aca="false">IFERROR(INDEX('4 The queue'!$T$5:$T$40,MATCH((IFERROR(INDEX('4 The queue'!$U$5:$U$212,MATCH(IF($A15&lt;=1,0,INDEX('4 The queue'!$W$5:$W$212,$A15-1))+32+1,'4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queue'!$W$5:$W$212,$A15-1))+32+1,'4 The queue'!$W$5:$W$212,0)),9999)+'1 Inputs'!$B$22+'1 Inputs'!$B$23+'1 Inputs'!$B$24+'1 Inputs'!$B$25),'4 The queue'!$T$5:$T$40,1))=(IFERROR(INDEX('4 The queue'!$U$5:$U$212,MATCH(IF($A15&lt;=1,0,INDEX('4 The queue'!$W$5:$W$212,$A15-1))+32+1,'4 The queue'!$W$5:$W$212,0)),9999)+'1 Inputs'!$B$22+'1 Inputs'!$B$23+'1 Inputs'!$B$24+'1 Inputs'!$B$25),0,1)),9999)+'1 Inputs'!$B$26</f>
        <v>97</v>
      </c>
      <c r="AQ15" s="19" t="n">
        <f aca="false">IFERROR(INDEX('4 The queue'!$T$5:$T$40,MATCH((IFERROR(INDEX('4 The queue'!$U$5:$U$212,MATCH(IF($A15&lt;=1,0,INDEX('4 The queue'!$W$5:$W$212,$A15-1))+33+1,'4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queue'!$W$5:$W$212,$A15-1))+33+1,'4 The queue'!$W$5:$W$212,0)),9999)+'1 Inputs'!$B$22+'1 Inputs'!$B$23+'1 Inputs'!$B$24+'1 Inputs'!$B$25),'4 The queue'!$T$5:$T$40,1))=(IFERROR(INDEX('4 The queue'!$U$5:$U$212,MATCH(IF($A15&lt;=1,0,INDEX('4 The queue'!$W$5:$W$212,$A15-1))+33+1,'4 The queue'!$W$5:$W$212,0)),9999)+'1 Inputs'!$B$22+'1 Inputs'!$B$23+'1 Inputs'!$B$24+'1 Inputs'!$B$25),0,1)),9999)+'1 Inputs'!$B$26</f>
        <v>97</v>
      </c>
      <c r="AR15" s="19" t="n">
        <f aca="false">IFERROR(INDEX('4 The queue'!$T$5:$T$40,MATCH((IFERROR(INDEX('4 The queue'!$U$5:$U$212,MATCH(IF($A15&lt;=1,0,INDEX('4 The queue'!$W$5:$W$212,$A15-1))+34+1,'4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queue'!$W$5:$W$212,$A15-1))+34+1,'4 The queue'!$W$5:$W$212,0)),9999)+'1 Inputs'!$B$22+'1 Inputs'!$B$23+'1 Inputs'!$B$24+'1 Inputs'!$B$25),'4 The queue'!$T$5:$T$40,1))=(IFERROR(INDEX('4 The queue'!$U$5:$U$212,MATCH(IF($A15&lt;=1,0,INDEX('4 The queue'!$W$5:$W$212,$A15-1))+34+1,'4 The queue'!$W$5:$W$212,0)),9999)+'1 Inputs'!$B$22+'1 Inputs'!$B$23+'1 Inputs'!$B$24+'1 Inputs'!$B$25),0,1)),9999)+'1 Inputs'!$B$26</f>
        <v>97</v>
      </c>
      <c r="AS15" s="19" t="n">
        <f aca="false">IFERROR(INDEX('4 The queue'!$T$5:$T$40,MATCH((IFERROR(INDEX('4 The queue'!$U$5:$U$212,MATCH(IF($A15&lt;=1,0,INDEX('4 The queue'!$W$5:$W$212,$A15-1))+35+1,'4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queue'!$W$5:$W$212,$A15-1))+35+1,'4 The queue'!$W$5:$W$212,0)),9999)+'1 Inputs'!$B$22+'1 Inputs'!$B$23+'1 Inputs'!$B$24+'1 Inputs'!$B$25),'4 The queue'!$T$5:$T$40,1))=(IFERROR(INDEX('4 The queue'!$U$5:$U$212,MATCH(IF($A15&lt;=1,0,INDEX('4 The queue'!$W$5:$W$212,$A15-1))+35+1,'4 The queue'!$W$5:$W$212,0)),9999)+'1 Inputs'!$B$22+'1 Inputs'!$B$23+'1 Inputs'!$B$24+'1 Inputs'!$B$25),0,1)),9999)+'1 Inputs'!$B$26</f>
        <v>107</v>
      </c>
      <c r="AT15" s="19" t="n">
        <f aca="false">IFERROR(INDEX('4 The queue'!$T$5:$T$40,MATCH((IFERROR(INDEX('4 The queue'!$U$5:$U$212,MATCH(IF($A15&lt;=1,0,INDEX('4 The queue'!$W$5:$W$212,$A15-1))+36+1,'4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queue'!$W$5:$W$212,$A15-1))+36+1,'4 The queue'!$W$5:$W$212,0)),9999)+'1 Inputs'!$B$22+'1 Inputs'!$B$23+'1 Inputs'!$B$24+'1 Inputs'!$B$25),'4 The queue'!$T$5:$T$40,1))=(IFERROR(INDEX('4 The queue'!$U$5:$U$212,MATCH(IF($A15&lt;=1,0,INDEX('4 The queue'!$W$5:$W$212,$A15-1))+36+1,'4 The queue'!$W$5:$W$212,0)),9999)+'1 Inputs'!$B$22+'1 Inputs'!$B$23+'1 Inputs'!$B$24+'1 Inputs'!$B$25),0,1)),9999)+'1 Inputs'!$B$26</f>
        <v>107</v>
      </c>
      <c r="AU15" s="19" t="n">
        <f aca="false">IFERROR(INDEX('4 The queue'!$T$5:$T$40,MATCH((IFERROR(INDEX('4 The queue'!$U$5:$U$212,MATCH(IF($A15&lt;=1,0,INDEX('4 The queue'!$W$5:$W$212,$A15-1))+37+1,'4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queue'!$W$5:$W$212,$A15-1))+37+1,'4 The queue'!$W$5:$W$212,0)),9999)+'1 Inputs'!$B$22+'1 Inputs'!$B$23+'1 Inputs'!$B$24+'1 Inputs'!$B$25),'4 The queue'!$T$5:$T$40,1))=(IFERROR(INDEX('4 The queue'!$U$5:$U$212,MATCH(IF($A15&lt;=1,0,INDEX('4 The queue'!$W$5:$W$212,$A15-1))+37+1,'4 The queue'!$W$5:$W$212,0)),9999)+'1 Inputs'!$B$22+'1 Inputs'!$B$23+'1 Inputs'!$B$24+'1 Inputs'!$B$25),0,1)),9999)+'1 Inputs'!$B$26</f>
        <v>107</v>
      </c>
      <c r="AV15" s="19" t="n">
        <f aca="false">IFERROR(INDEX('4 The queue'!$T$5:$T$40,MATCH((IFERROR(INDEX('4 The queue'!$U$5:$U$212,MATCH(IF($A15&lt;=1,0,INDEX('4 The queue'!$W$5:$W$212,$A15-1))+38+1,'4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queue'!$W$5:$W$212,$A15-1))+38+1,'4 The queue'!$W$5:$W$212,0)),9999)+'1 Inputs'!$B$22+'1 Inputs'!$B$23+'1 Inputs'!$B$24+'1 Inputs'!$B$25),'4 The queue'!$T$5:$T$40,1))=(IFERROR(INDEX('4 The queue'!$U$5:$U$212,MATCH(IF($A15&lt;=1,0,INDEX('4 The queue'!$W$5:$W$212,$A15-1))+38+1,'4 The queue'!$W$5:$W$212,0)),9999)+'1 Inputs'!$B$22+'1 Inputs'!$B$23+'1 Inputs'!$B$24+'1 Inputs'!$B$25),0,1)),9999)+'1 Inputs'!$B$26</f>
        <v>107</v>
      </c>
      <c r="AW15" s="19" t="n">
        <f aca="false">IFERROR(INDEX('4 The queue'!$T$5:$T$40,MATCH((IFERROR(INDEX('4 The queue'!$U$5:$U$212,MATCH(IF($A15&lt;=1,0,INDEX('4 The queue'!$W$5:$W$212,$A15-1))+39+1,'4 The queue'!$W$5:$W$212,0)),9999)+'1 Inputs'!$B$22+'1 Inputs'!$B$23+'1 Inputs'!$B$24+'1 Inputs'!$B$25),'4 The queue'!$T$5:$T$40,1)+IF(INDEX('4 The queue'!$T$5:$T$40,MATCH((IFERROR(INDEX('4 The queue'!$U$5:$U$212,MATCH(IF($A15&lt;=1,0,INDEX('4 The queue'!$W$5:$W$212,$A15-1))+39+1,'4 The queue'!$W$5:$W$212,0)),9999)+'1 Inputs'!$B$22+'1 Inputs'!$B$23+'1 Inputs'!$B$24+'1 Inputs'!$B$25),'4 The queue'!$T$5:$T$40,1))=(IFERROR(INDEX('4 The queue'!$U$5:$U$212,MATCH(IF($A15&lt;=1,0,INDEX('4 The queue'!$W$5:$W$212,$A15-1))+39+1,'4 The queue'!$W$5:$W$212,0)),9999)+'1 Inputs'!$B$22+'1 Inputs'!$B$23+'1 Inputs'!$B$24+'1 Inputs'!$B$25),0,1)),9999)+'1 Inputs'!$B$26</f>
        <v>107</v>
      </c>
      <c r="AX15" s="19" t="n">
        <f aca="false">MAX(0,MIN('1 Inputs'!$B$15,'1 Inputs'!$B$5*'1 Inputs'!$B$6-0*'1 Inputs'!$B$15))*'1 Inputs'!$B$7*'1 Inputs'!$B$8*'1 Inputs'!$B$9*'1 Inputs'!$B$10*'1 Inputs'!$B$11</f>
        <v>6250000</v>
      </c>
      <c r="AY15" s="19" t="n">
        <f aca="false">MAX(0,MIN('1 Inputs'!$B$15,'1 Inputs'!$B$5*'1 Inputs'!$B$6-1*'1 Inputs'!$B$15))*'1 Inputs'!$B$7*'1 Inputs'!$B$8*'1 Inputs'!$B$9*'1 Inputs'!$B$10*'1 Inputs'!$B$11</f>
        <v>6250000</v>
      </c>
      <c r="AZ15" s="19" t="n">
        <f aca="false">MAX(0,MIN('1 Inputs'!$B$15,'1 Inputs'!$B$5*'1 Inputs'!$B$6-2*'1 Inputs'!$B$15))*'1 Inputs'!$B$7*'1 Inputs'!$B$8*'1 Inputs'!$B$9*'1 Inputs'!$B$10*'1 Inputs'!$B$11</f>
        <v>6250000</v>
      </c>
      <c r="BA15" s="19" t="n">
        <f aca="false">MAX(0,MIN('1 Inputs'!$B$15,'1 Inputs'!$B$5*'1 Inputs'!$B$6-3*'1 Inputs'!$B$15))*'1 Inputs'!$B$7*'1 Inputs'!$B$8*'1 Inputs'!$B$9*'1 Inputs'!$B$10*'1 Inputs'!$B$11</f>
        <v>6250000</v>
      </c>
      <c r="BB15" s="19" t="n">
        <f aca="false">MAX(0,MIN('1 Inputs'!$B$15,'1 Inputs'!$B$5*'1 Inputs'!$B$6-4*'1 Inputs'!$B$15))*'1 Inputs'!$B$7*'1 Inputs'!$B$8*'1 Inputs'!$B$9*'1 Inputs'!$B$10*'1 Inputs'!$B$11</f>
        <v>6250000</v>
      </c>
      <c r="BC15" s="19" t="n">
        <f aca="false">MAX(0,MIN('1 Inputs'!$B$15,'1 Inputs'!$B$5*'1 Inputs'!$B$6-5*'1 Inputs'!$B$15))*'1 Inputs'!$B$7*'1 Inputs'!$B$8*'1 Inputs'!$B$9*'1 Inputs'!$B$10*'1 Inputs'!$B$11</f>
        <v>6250000</v>
      </c>
      <c r="BD15" s="19" t="n">
        <f aca="false">MAX(0,MIN('1 Inputs'!$B$15,'1 Inputs'!$B$5*'1 Inputs'!$B$6-6*'1 Inputs'!$B$15))*'1 Inputs'!$B$7*'1 Inputs'!$B$8*'1 Inputs'!$B$9*'1 Inputs'!$B$10*'1 Inputs'!$B$11</f>
        <v>6250000</v>
      </c>
      <c r="BE15" s="19" t="n">
        <f aca="false">MAX(0,MIN('1 Inputs'!$B$15,'1 Inputs'!$B$5*'1 Inputs'!$B$6-7*'1 Inputs'!$B$15))*'1 Inputs'!$B$7*'1 Inputs'!$B$8*'1 Inputs'!$B$9*'1 Inputs'!$B$10*'1 Inputs'!$B$11</f>
        <v>6250000</v>
      </c>
      <c r="BF15" s="19" t="n">
        <f aca="false">MAX(0,MIN('1 Inputs'!$B$15,'1 Inputs'!$B$5*'1 Inputs'!$B$6-8*'1 Inputs'!$B$15))*'1 Inputs'!$B$7*'1 Inputs'!$B$8*'1 Inputs'!$B$9*'1 Inputs'!$B$10*'1 Inputs'!$B$11</f>
        <v>6250000</v>
      </c>
      <c r="BG15" s="19" t="n">
        <f aca="false">MAX(0,MIN('1 Inputs'!$B$15,'1 Inputs'!$B$5*'1 Inputs'!$B$6-9*'1 Inputs'!$B$15))*'1 Inputs'!$B$7*'1 Inputs'!$B$8*'1 Inputs'!$B$9*'1 Inputs'!$B$10*'1 Inputs'!$B$11</f>
        <v>6250000</v>
      </c>
      <c r="BH15" s="19" t="n">
        <f aca="false">MAX(0,MIN('1 Inputs'!$B$15,'1 Inputs'!$B$5*'1 Inputs'!$B$6-10*'1 Inputs'!$B$15))*'1 Inputs'!$B$7*'1 Inputs'!$B$8*'1 Inputs'!$B$9*'1 Inputs'!$B$10*'1 Inputs'!$B$11</f>
        <v>6250000</v>
      </c>
      <c r="BI15" s="19" t="n">
        <f aca="false">MAX(0,MIN('1 Inputs'!$B$15,'1 Inputs'!$B$5*'1 Inputs'!$B$6-11*'1 Inputs'!$B$15))*'1 Inputs'!$B$7*'1 Inputs'!$B$8*'1 Inputs'!$B$9*'1 Inputs'!$B$10*'1 Inputs'!$B$11</f>
        <v>6250000</v>
      </c>
      <c r="BJ15" s="19" t="n">
        <f aca="false">MAX(0,MIN('1 Inputs'!$B$15,'1 Inputs'!$B$5*'1 Inputs'!$B$6-12*'1 Inputs'!$B$15))*'1 Inputs'!$B$7*'1 Inputs'!$B$8*'1 Inputs'!$B$9*'1 Inputs'!$B$10*'1 Inputs'!$B$11</f>
        <v>6250000</v>
      </c>
      <c r="BK15" s="19" t="n">
        <f aca="false">MAX(0,MIN('1 Inputs'!$B$15,'1 Inputs'!$B$5*'1 Inputs'!$B$6-13*'1 Inputs'!$B$15))*'1 Inputs'!$B$7*'1 Inputs'!$B$8*'1 Inputs'!$B$9*'1 Inputs'!$B$10*'1 Inputs'!$B$11</f>
        <v>6250000</v>
      </c>
      <c r="BL15" s="19" t="n">
        <f aca="false">MAX(0,MIN('1 Inputs'!$B$15,'1 Inputs'!$B$5*'1 Inputs'!$B$6-14*'1 Inputs'!$B$15))*'1 Inputs'!$B$7*'1 Inputs'!$B$8*'1 Inputs'!$B$9*'1 Inputs'!$B$10*'1 Inputs'!$B$11</f>
        <v>6250000</v>
      </c>
      <c r="BM15" s="19" t="n">
        <f aca="false">MAX(0,MIN('1 Inputs'!$B$15,'1 Inputs'!$B$5*'1 Inputs'!$B$6-15*'1 Inputs'!$B$15))*'1 Inputs'!$B$7*'1 Inputs'!$B$8*'1 Inputs'!$B$9*'1 Inputs'!$B$10*'1 Inputs'!$B$11</f>
        <v>0</v>
      </c>
      <c r="BN15" s="19" t="n">
        <f aca="false">MAX(0,MIN('1 Inputs'!$B$15,'1 Inputs'!$B$5*'1 Inputs'!$B$6-16*'1 Inputs'!$B$15))*'1 Inputs'!$B$7*'1 Inputs'!$B$8*'1 Inputs'!$B$9*'1 Inputs'!$B$10*'1 Inputs'!$B$11</f>
        <v>0</v>
      </c>
      <c r="BO15" s="19" t="n">
        <f aca="false">MAX(0,MIN('1 Inputs'!$B$15,'1 Inputs'!$B$5*'1 Inputs'!$B$6-17*'1 Inputs'!$B$15))*'1 Inputs'!$B$7*'1 Inputs'!$B$8*'1 Inputs'!$B$9*'1 Inputs'!$B$10*'1 Inputs'!$B$11</f>
        <v>0</v>
      </c>
      <c r="BP15" s="19" t="n">
        <f aca="false">MAX(0,MIN('1 Inputs'!$B$15,'1 Inputs'!$B$5*'1 Inputs'!$B$6-18*'1 Inputs'!$B$15))*'1 Inputs'!$B$7*'1 Inputs'!$B$8*'1 Inputs'!$B$9*'1 Inputs'!$B$10*'1 Inputs'!$B$11</f>
        <v>0</v>
      </c>
      <c r="BQ15" s="19" t="n">
        <f aca="false">MAX(0,MIN('1 Inputs'!$B$15,'1 Inputs'!$B$5*'1 Inputs'!$B$6-19*'1 Inputs'!$B$15))*'1 Inputs'!$B$7*'1 Inputs'!$B$8*'1 Inputs'!$B$9*'1 Inputs'!$B$10*'1 Inputs'!$B$11</f>
        <v>0</v>
      </c>
      <c r="BR15" s="19" t="n">
        <f aca="false">MAX(0,MIN('1 Inputs'!$B$15,'1 Inputs'!$B$5*'1 Inputs'!$B$6-20*'1 Inputs'!$B$15))*'1 Inputs'!$B$7*'1 Inputs'!$B$8*'1 Inputs'!$B$9*'1 Inputs'!$B$10*'1 Inputs'!$B$11</f>
        <v>0</v>
      </c>
      <c r="BS15" s="19" t="n">
        <f aca="false">MAX(0,MIN('1 Inputs'!$B$15,'1 Inputs'!$B$5*'1 Inputs'!$B$6-21*'1 Inputs'!$B$15))*'1 Inputs'!$B$7*'1 Inputs'!$B$8*'1 Inputs'!$B$9*'1 Inputs'!$B$10*'1 Inputs'!$B$11</f>
        <v>0</v>
      </c>
      <c r="BT15" s="19" t="n">
        <f aca="false">MAX(0,MIN('1 Inputs'!$B$15,'1 Inputs'!$B$5*'1 Inputs'!$B$6-22*'1 Inputs'!$B$15))*'1 Inputs'!$B$7*'1 Inputs'!$B$8*'1 Inputs'!$B$9*'1 Inputs'!$B$10*'1 Inputs'!$B$11</f>
        <v>0</v>
      </c>
      <c r="BU15" s="19" t="n">
        <f aca="false">MAX(0,MIN('1 Inputs'!$B$15,'1 Inputs'!$B$5*'1 Inputs'!$B$6-23*'1 Inputs'!$B$15))*'1 Inputs'!$B$7*'1 Inputs'!$B$8*'1 Inputs'!$B$9*'1 Inputs'!$B$10*'1 Inputs'!$B$11</f>
        <v>0</v>
      </c>
      <c r="BV15" s="19" t="n">
        <f aca="false">MAX(0,MIN('1 Inputs'!$B$15,'1 Inputs'!$B$5*'1 Inputs'!$B$6-24*'1 Inputs'!$B$15))*'1 Inputs'!$B$7*'1 Inputs'!$B$8*'1 Inputs'!$B$9*'1 Inputs'!$B$10*'1 Inputs'!$B$11</f>
        <v>0</v>
      </c>
      <c r="BW15" s="19" t="n">
        <f aca="false">MAX(0,MIN('1 Inputs'!$B$15,'1 Inputs'!$B$5*'1 Inputs'!$B$6-25*'1 Inputs'!$B$15))*'1 Inputs'!$B$7*'1 Inputs'!$B$8*'1 Inputs'!$B$9*'1 Inputs'!$B$10*'1 Inputs'!$B$11</f>
        <v>0</v>
      </c>
      <c r="BX15" s="19" t="n">
        <f aca="false">MAX(0,MIN('1 Inputs'!$B$15,'1 Inputs'!$B$5*'1 Inputs'!$B$6-26*'1 Inputs'!$B$15))*'1 Inputs'!$B$7*'1 Inputs'!$B$8*'1 Inputs'!$B$9*'1 Inputs'!$B$10*'1 Inputs'!$B$11</f>
        <v>0</v>
      </c>
      <c r="BY15" s="19" t="n">
        <f aca="false">MAX(0,MIN('1 Inputs'!$B$15,'1 Inputs'!$B$5*'1 Inputs'!$B$6-27*'1 Inputs'!$B$15))*'1 Inputs'!$B$7*'1 Inputs'!$B$8*'1 Inputs'!$B$9*'1 Inputs'!$B$10*'1 Inputs'!$B$11</f>
        <v>0</v>
      </c>
      <c r="BZ15" s="19" t="n">
        <f aca="false">MAX(0,MIN('1 Inputs'!$B$15,'1 Inputs'!$B$5*'1 Inputs'!$B$6-28*'1 Inputs'!$B$15))*'1 Inputs'!$B$7*'1 Inputs'!$B$8*'1 Inputs'!$B$9*'1 Inputs'!$B$10*'1 Inputs'!$B$11</f>
        <v>0</v>
      </c>
      <c r="CA15" s="19" t="n">
        <f aca="false">MAX(0,MIN('1 Inputs'!$B$15,'1 Inputs'!$B$5*'1 Inputs'!$B$6-29*'1 Inputs'!$B$15))*'1 Inputs'!$B$7*'1 Inputs'!$B$8*'1 Inputs'!$B$9*'1 Inputs'!$B$10*'1 Inputs'!$B$11</f>
        <v>0</v>
      </c>
      <c r="CB15" s="19" t="n">
        <f aca="false">MAX(0,MIN('1 Inputs'!$B$15,'1 Inputs'!$B$5*'1 Inputs'!$B$6-30*'1 Inputs'!$B$15))*'1 Inputs'!$B$7*'1 Inputs'!$B$8*'1 Inputs'!$B$9*'1 Inputs'!$B$10*'1 Inputs'!$B$11</f>
        <v>0</v>
      </c>
      <c r="CC15" s="19" t="n">
        <f aca="false">MAX(0,MIN('1 Inputs'!$B$15,'1 Inputs'!$B$5*'1 Inputs'!$B$6-31*'1 Inputs'!$B$15))*'1 Inputs'!$B$7*'1 Inputs'!$B$8*'1 Inputs'!$B$9*'1 Inputs'!$B$10*'1 Inputs'!$B$11</f>
        <v>0</v>
      </c>
      <c r="CD15" s="19" t="n">
        <f aca="false">MAX(0,MIN('1 Inputs'!$B$15,'1 Inputs'!$B$5*'1 Inputs'!$B$6-32*'1 Inputs'!$B$15))*'1 Inputs'!$B$7*'1 Inputs'!$B$8*'1 Inputs'!$B$9*'1 Inputs'!$B$10*'1 Inputs'!$B$11</f>
        <v>0</v>
      </c>
      <c r="CE15" s="19" t="n">
        <f aca="false">MAX(0,MIN('1 Inputs'!$B$15,'1 Inputs'!$B$5*'1 Inputs'!$B$6-33*'1 Inputs'!$B$15))*'1 Inputs'!$B$7*'1 Inputs'!$B$8*'1 Inputs'!$B$9*'1 Inputs'!$B$10*'1 Inputs'!$B$11</f>
        <v>0</v>
      </c>
      <c r="CF15" s="19" t="n">
        <f aca="false">MAX(0,MIN('1 Inputs'!$B$15,'1 Inputs'!$B$5*'1 Inputs'!$B$6-34*'1 Inputs'!$B$15))*'1 Inputs'!$B$7*'1 Inputs'!$B$8*'1 Inputs'!$B$9*'1 Inputs'!$B$10*'1 Inputs'!$B$11</f>
        <v>0</v>
      </c>
      <c r="CG15" s="19" t="n">
        <f aca="false">MAX(0,MIN('1 Inputs'!$B$15,'1 Inputs'!$B$5*'1 Inputs'!$B$6-35*'1 Inputs'!$B$15))*'1 Inputs'!$B$7*'1 Inputs'!$B$8*'1 Inputs'!$B$9*'1 Inputs'!$B$10*'1 Inputs'!$B$11</f>
        <v>0</v>
      </c>
      <c r="CH15" s="19" t="n">
        <f aca="false">MAX(0,MIN('1 Inputs'!$B$15,'1 Inputs'!$B$5*'1 Inputs'!$B$6-36*'1 Inputs'!$B$15))*'1 Inputs'!$B$7*'1 Inputs'!$B$8*'1 Inputs'!$B$9*'1 Inputs'!$B$10*'1 Inputs'!$B$11</f>
        <v>0</v>
      </c>
      <c r="CI15" s="19" t="n">
        <f aca="false">MAX(0,MIN('1 Inputs'!$B$15,'1 Inputs'!$B$5*'1 Inputs'!$B$6-37*'1 Inputs'!$B$15))*'1 Inputs'!$B$7*'1 Inputs'!$B$8*'1 Inputs'!$B$9*'1 Inputs'!$B$10*'1 Inputs'!$B$11</f>
        <v>0</v>
      </c>
      <c r="CJ15" s="19" t="n">
        <f aca="false">MAX(0,MIN('1 Inputs'!$B$15,'1 Inputs'!$B$5*'1 Inputs'!$B$6-38*'1 Inputs'!$B$15))*'1 Inputs'!$B$7*'1 Inputs'!$B$8*'1 Inputs'!$B$9*'1 Inputs'!$B$10*'1 Inputs'!$B$11</f>
        <v>0</v>
      </c>
      <c r="CK15" s="19" t="n">
        <f aca="false">MAX(0,MIN('1 Inputs'!$B$15,'1 Inputs'!$B$5*'1 Inputs'!$B$6-39*'1 Inputs'!$B$15))*'1 Inputs'!$B$7*'1 Inputs'!$B$8*'1 Inputs'!$B$9*'1 Inputs'!$B$10*'1 Inputs'!$B$11</f>
        <v>0</v>
      </c>
    </row>
    <row r="16" customFormat="false" ht="15" hidden="false" customHeight="false" outlineLevel="0" collapsed="false">
      <c r="A16" s="0" t="n">
        <v>29</v>
      </c>
      <c r="B16" s="12" t="n">
        <f aca="false">SUMIF(J16:AW16,"&lt;="&amp;($A16+52),AX16:CK16)</f>
        <v>68750000</v>
      </c>
      <c r="C16" s="12" t="n">
        <f aca="false">SUM(AX16:CK16)</f>
        <v>93750000</v>
      </c>
      <c r="D16" s="15" t="n">
        <f aca="false">(MIN(J16:AW16)-$A16)/52*12</f>
        <v>9.69230769230769</v>
      </c>
      <c r="J16" s="19" t="n">
        <f aca="false">IFERROR(INDEX('4 The queue'!$T$5:$T$40,MATCH((IFERROR(INDEX('4 The queue'!$U$5:$U$212,MATCH(IF($A16&lt;=1,0,INDEX('4 The queue'!$W$5:$W$212,$A16-1))+0+1,'4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queue'!$W$5:$W$212,$A16-1))+0+1,'4 The queue'!$W$5:$W$212,0)),9999)+'1 Inputs'!$B$22+'1 Inputs'!$B$23+'1 Inputs'!$B$24+'1 Inputs'!$B$25),'4 The queue'!$T$5:$T$40,1))=(IFERROR(INDEX('4 The queue'!$U$5:$U$212,MATCH(IF($A16&lt;=1,0,INDEX('4 The queue'!$W$5:$W$212,$A16-1))+0+1,'4 The queue'!$W$5:$W$212,0)),9999)+'1 Inputs'!$B$22+'1 Inputs'!$B$23+'1 Inputs'!$B$24+'1 Inputs'!$B$25),0,1)),9999)+'1 Inputs'!$B$26</f>
        <v>71</v>
      </c>
      <c r="K16" s="19" t="n">
        <f aca="false">IFERROR(INDEX('4 The queue'!$T$5:$T$40,MATCH((IFERROR(INDEX('4 The queue'!$U$5:$U$212,MATCH(IF($A16&lt;=1,0,INDEX('4 The queue'!$W$5:$W$212,$A16-1))+1+1,'4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queue'!$W$5:$W$212,$A16-1))+1+1,'4 The queue'!$W$5:$W$212,0)),9999)+'1 Inputs'!$B$22+'1 Inputs'!$B$23+'1 Inputs'!$B$24+'1 Inputs'!$B$25),'4 The queue'!$T$5:$T$40,1))=(IFERROR(INDEX('4 The queue'!$U$5:$U$212,MATCH(IF($A16&lt;=1,0,INDEX('4 The queue'!$W$5:$W$212,$A16-1))+1+1,'4 The queue'!$W$5:$W$212,0)),9999)+'1 Inputs'!$B$22+'1 Inputs'!$B$23+'1 Inputs'!$B$24+'1 Inputs'!$B$25),0,1)),9999)+'1 Inputs'!$B$26</f>
        <v>71</v>
      </c>
      <c r="L16" s="19" t="n">
        <f aca="false">IFERROR(INDEX('4 The queue'!$T$5:$T$40,MATCH((IFERROR(INDEX('4 The queue'!$U$5:$U$212,MATCH(IF($A16&lt;=1,0,INDEX('4 The queue'!$W$5:$W$212,$A16-1))+2+1,'4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queue'!$W$5:$W$212,$A16-1))+2+1,'4 The queue'!$W$5:$W$212,0)),9999)+'1 Inputs'!$B$22+'1 Inputs'!$B$23+'1 Inputs'!$B$24+'1 Inputs'!$B$25),'4 The queue'!$T$5:$T$40,1))=(IFERROR(INDEX('4 The queue'!$U$5:$U$212,MATCH(IF($A16&lt;=1,0,INDEX('4 The queue'!$W$5:$W$212,$A16-1))+2+1,'4 The queue'!$W$5:$W$212,0)),9999)+'1 Inputs'!$B$22+'1 Inputs'!$B$23+'1 Inputs'!$B$24+'1 Inputs'!$B$25),0,1)),9999)+'1 Inputs'!$B$26</f>
        <v>71</v>
      </c>
      <c r="M16" s="19" t="n">
        <f aca="false">IFERROR(INDEX('4 The queue'!$T$5:$T$40,MATCH((IFERROR(INDEX('4 The queue'!$U$5:$U$212,MATCH(IF($A16&lt;=1,0,INDEX('4 The queue'!$W$5:$W$212,$A16-1))+3+1,'4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queue'!$W$5:$W$212,$A16-1))+3+1,'4 The queue'!$W$5:$W$212,0)),9999)+'1 Inputs'!$B$22+'1 Inputs'!$B$23+'1 Inputs'!$B$24+'1 Inputs'!$B$25),'4 The queue'!$T$5:$T$40,1))=(IFERROR(INDEX('4 The queue'!$U$5:$U$212,MATCH(IF($A16&lt;=1,0,INDEX('4 The queue'!$W$5:$W$212,$A16-1))+3+1,'4 The queue'!$W$5:$W$212,0)),9999)+'1 Inputs'!$B$22+'1 Inputs'!$B$23+'1 Inputs'!$B$24+'1 Inputs'!$B$25),0,1)),9999)+'1 Inputs'!$B$26</f>
        <v>71</v>
      </c>
      <c r="N16" s="19" t="n">
        <f aca="false">IFERROR(INDEX('4 The queue'!$T$5:$T$40,MATCH((IFERROR(INDEX('4 The queue'!$U$5:$U$212,MATCH(IF($A16&lt;=1,0,INDEX('4 The queue'!$W$5:$W$212,$A16-1))+4+1,'4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queue'!$W$5:$W$212,$A16-1))+4+1,'4 The queue'!$W$5:$W$212,0)),9999)+'1 Inputs'!$B$22+'1 Inputs'!$B$23+'1 Inputs'!$B$24+'1 Inputs'!$B$25),'4 The queue'!$T$5:$T$40,1))=(IFERROR(INDEX('4 The queue'!$U$5:$U$212,MATCH(IF($A16&lt;=1,0,INDEX('4 The queue'!$W$5:$W$212,$A16-1))+4+1,'4 The queue'!$W$5:$W$212,0)),9999)+'1 Inputs'!$B$22+'1 Inputs'!$B$23+'1 Inputs'!$B$24+'1 Inputs'!$B$25),0,1)),9999)+'1 Inputs'!$B$26</f>
        <v>71</v>
      </c>
      <c r="O16" s="19" t="n">
        <f aca="false">IFERROR(INDEX('4 The queue'!$T$5:$T$40,MATCH((IFERROR(INDEX('4 The queue'!$U$5:$U$212,MATCH(IF($A16&lt;=1,0,INDEX('4 The queue'!$W$5:$W$212,$A16-1))+5+1,'4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queue'!$W$5:$W$212,$A16-1))+5+1,'4 The queue'!$W$5:$W$212,0)),9999)+'1 Inputs'!$B$22+'1 Inputs'!$B$23+'1 Inputs'!$B$24+'1 Inputs'!$B$25),'4 The queue'!$T$5:$T$40,1))=(IFERROR(INDEX('4 The queue'!$U$5:$U$212,MATCH(IF($A16&lt;=1,0,INDEX('4 The queue'!$W$5:$W$212,$A16-1))+5+1,'4 The queue'!$W$5:$W$212,0)),9999)+'1 Inputs'!$B$22+'1 Inputs'!$B$23+'1 Inputs'!$B$24+'1 Inputs'!$B$25),0,1)),9999)+'1 Inputs'!$B$26</f>
        <v>71</v>
      </c>
      <c r="P16" s="19" t="n">
        <f aca="false">IFERROR(INDEX('4 The queue'!$T$5:$T$40,MATCH((IFERROR(INDEX('4 The queue'!$U$5:$U$212,MATCH(IF($A16&lt;=1,0,INDEX('4 The queue'!$W$5:$W$212,$A16-1))+6+1,'4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queue'!$W$5:$W$212,$A16-1))+6+1,'4 The queue'!$W$5:$W$212,0)),9999)+'1 Inputs'!$B$22+'1 Inputs'!$B$23+'1 Inputs'!$B$24+'1 Inputs'!$B$25),'4 The queue'!$T$5:$T$40,1))=(IFERROR(INDEX('4 The queue'!$U$5:$U$212,MATCH(IF($A16&lt;=1,0,INDEX('4 The queue'!$W$5:$W$212,$A16-1))+6+1,'4 The queue'!$W$5:$W$212,0)),9999)+'1 Inputs'!$B$22+'1 Inputs'!$B$23+'1 Inputs'!$B$24+'1 Inputs'!$B$25),0,1)),9999)+'1 Inputs'!$B$26</f>
        <v>71</v>
      </c>
      <c r="Q16" s="19" t="n">
        <f aca="false">IFERROR(INDEX('4 The queue'!$T$5:$T$40,MATCH((IFERROR(INDEX('4 The queue'!$U$5:$U$212,MATCH(IF($A16&lt;=1,0,INDEX('4 The queue'!$W$5:$W$212,$A16-1))+7+1,'4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queue'!$W$5:$W$212,$A16-1))+7+1,'4 The queue'!$W$5:$W$212,0)),9999)+'1 Inputs'!$B$22+'1 Inputs'!$B$23+'1 Inputs'!$B$24+'1 Inputs'!$B$25),'4 The queue'!$T$5:$T$40,1))=(IFERROR(INDEX('4 The queue'!$U$5:$U$212,MATCH(IF($A16&lt;=1,0,INDEX('4 The queue'!$W$5:$W$212,$A16-1))+7+1,'4 The queue'!$W$5:$W$212,0)),9999)+'1 Inputs'!$B$22+'1 Inputs'!$B$23+'1 Inputs'!$B$24+'1 Inputs'!$B$25),0,1)),9999)+'1 Inputs'!$B$26</f>
        <v>71</v>
      </c>
      <c r="R16" s="19" t="n">
        <f aca="false">IFERROR(INDEX('4 The queue'!$T$5:$T$40,MATCH((IFERROR(INDEX('4 The queue'!$U$5:$U$212,MATCH(IF($A16&lt;=1,0,INDEX('4 The queue'!$W$5:$W$212,$A16-1))+8+1,'4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queue'!$W$5:$W$212,$A16-1))+8+1,'4 The queue'!$W$5:$W$212,0)),9999)+'1 Inputs'!$B$22+'1 Inputs'!$B$23+'1 Inputs'!$B$24+'1 Inputs'!$B$25),'4 The queue'!$T$5:$T$40,1))=(IFERROR(INDEX('4 The queue'!$U$5:$U$212,MATCH(IF($A16&lt;=1,0,INDEX('4 The queue'!$W$5:$W$212,$A16-1))+8+1,'4 The queue'!$W$5:$W$212,0)),9999)+'1 Inputs'!$B$22+'1 Inputs'!$B$23+'1 Inputs'!$B$24+'1 Inputs'!$B$25),0,1)),9999)+'1 Inputs'!$B$26</f>
        <v>71</v>
      </c>
      <c r="S16" s="19" t="n">
        <f aca="false">IFERROR(INDEX('4 The queue'!$T$5:$T$40,MATCH((IFERROR(INDEX('4 The queue'!$U$5:$U$212,MATCH(IF($A16&lt;=1,0,INDEX('4 The queue'!$W$5:$W$212,$A16-1))+9+1,'4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queue'!$W$5:$W$212,$A16-1))+9+1,'4 The queue'!$W$5:$W$212,0)),9999)+'1 Inputs'!$B$22+'1 Inputs'!$B$23+'1 Inputs'!$B$24+'1 Inputs'!$B$25),'4 The queue'!$T$5:$T$40,1))=(IFERROR(INDEX('4 The queue'!$U$5:$U$212,MATCH(IF($A16&lt;=1,0,INDEX('4 The queue'!$W$5:$W$212,$A16-1))+9+1,'4 The queue'!$W$5:$W$212,0)),9999)+'1 Inputs'!$B$22+'1 Inputs'!$B$23+'1 Inputs'!$B$24+'1 Inputs'!$B$25),0,1)),9999)+'1 Inputs'!$B$26</f>
        <v>71</v>
      </c>
      <c r="T16" s="19" t="n">
        <f aca="false">IFERROR(INDEX('4 The queue'!$T$5:$T$40,MATCH((IFERROR(INDEX('4 The queue'!$U$5:$U$212,MATCH(IF($A16&lt;=1,0,INDEX('4 The queue'!$W$5:$W$212,$A16-1))+10+1,'4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queue'!$W$5:$W$212,$A16-1))+10+1,'4 The queue'!$W$5:$W$212,0)),9999)+'1 Inputs'!$B$22+'1 Inputs'!$B$23+'1 Inputs'!$B$24+'1 Inputs'!$B$25),'4 The queue'!$T$5:$T$40,1))=(IFERROR(INDEX('4 The queue'!$U$5:$U$212,MATCH(IF($A16&lt;=1,0,INDEX('4 The queue'!$W$5:$W$212,$A16-1))+10+1,'4 The queue'!$W$5:$W$212,0)),9999)+'1 Inputs'!$B$22+'1 Inputs'!$B$23+'1 Inputs'!$B$24+'1 Inputs'!$B$25),0,1)),9999)+'1 Inputs'!$B$26</f>
        <v>71</v>
      </c>
      <c r="U16" s="19" t="n">
        <f aca="false">IFERROR(INDEX('4 The queue'!$T$5:$T$40,MATCH((IFERROR(INDEX('4 The queue'!$U$5:$U$212,MATCH(IF($A16&lt;=1,0,INDEX('4 The queue'!$W$5:$W$212,$A16-1))+11+1,'4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queue'!$W$5:$W$212,$A16-1))+11+1,'4 The queue'!$W$5:$W$212,0)),9999)+'1 Inputs'!$B$22+'1 Inputs'!$B$23+'1 Inputs'!$B$24+'1 Inputs'!$B$25),'4 The queue'!$T$5:$T$40,1))=(IFERROR(INDEX('4 The queue'!$U$5:$U$212,MATCH(IF($A16&lt;=1,0,INDEX('4 The queue'!$W$5:$W$212,$A16-1))+11+1,'4 The queue'!$W$5:$W$212,0)),9999)+'1 Inputs'!$B$22+'1 Inputs'!$B$23+'1 Inputs'!$B$24+'1 Inputs'!$B$25),0,1)),9999)+'1 Inputs'!$B$26</f>
        <v>84</v>
      </c>
      <c r="V16" s="19" t="n">
        <f aca="false">IFERROR(INDEX('4 The queue'!$T$5:$T$40,MATCH((IFERROR(INDEX('4 The queue'!$U$5:$U$212,MATCH(IF($A16&lt;=1,0,INDEX('4 The queue'!$W$5:$W$212,$A16-1))+12+1,'4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queue'!$W$5:$W$212,$A16-1))+12+1,'4 The queue'!$W$5:$W$212,0)),9999)+'1 Inputs'!$B$22+'1 Inputs'!$B$23+'1 Inputs'!$B$24+'1 Inputs'!$B$25),'4 The queue'!$T$5:$T$40,1))=(IFERROR(INDEX('4 The queue'!$U$5:$U$212,MATCH(IF($A16&lt;=1,0,INDEX('4 The queue'!$W$5:$W$212,$A16-1))+12+1,'4 The queue'!$W$5:$W$212,0)),9999)+'1 Inputs'!$B$22+'1 Inputs'!$B$23+'1 Inputs'!$B$24+'1 Inputs'!$B$25),0,1)),9999)+'1 Inputs'!$B$26</f>
        <v>84</v>
      </c>
      <c r="W16" s="19" t="n">
        <f aca="false">IFERROR(INDEX('4 The queue'!$T$5:$T$40,MATCH((IFERROR(INDEX('4 The queue'!$U$5:$U$212,MATCH(IF($A16&lt;=1,0,INDEX('4 The queue'!$W$5:$W$212,$A16-1))+13+1,'4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queue'!$W$5:$W$212,$A16-1))+13+1,'4 The queue'!$W$5:$W$212,0)),9999)+'1 Inputs'!$B$22+'1 Inputs'!$B$23+'1 Inputs'!$B$24+'1 Inputs'!$B$25),'4 The queue'!$T$5:$T$40,1))=(IFERROR(INDEX('4 The queue'!$U$5:$U$212,MATCH(IF($A16&lt;=1,0,INDEX('4 The queue'!$W$5:$W$212,$A16-1))+13+1,'4 The queue'!$W$5:$W$212,0)),9999)+'1 Inputs'!$B$22+'1 Inputs'!$B$23+'1 Inputs'!$B$24+'1 Inputs'!$B$25),0,1)),9999)+'1 Inputs'!$B$26</f>
        <v>84</v>
      </c>
      <c r="X16" s="19" t="n">
        <f aca="false">IFERROR(INDEX('4 The queue'!$T$5:$T$40,MATCH((IFERROR(INDEX('4 The queue'!$U$5:$U$212,MATCH(IF($A16&lt;=1,0,INDEX('4 The queue'!$W$5:$W$212,$A16-1))+14+1,'4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queue'!$W$5:$W$212,$A16-1))+14+1,'4 The queue'!$W$5:$W$212,0)),9999)+'1 Inputs'!$B$22+'1 Inputs'!$B$23+'1 Inputs'!$B$24+'1 Inputs'!$B$25),'4 The queue'!$T$5:$T$40,1))=(IFERROR(INDEX('4 The queue'!$U$5:$U$212,MATCH(IF($A16&lt;=1,0,INDEX('4 The queue'!$W$5:$W$212,$A16-1))+14+1,'4 The queue'!$W$5:$W$212,0)),9999)+'1 Inputs'!$B$22+'1 Inputs'!$B$23+'1 Inputs'!$B$24+'1 Inputs'!$B$25),0,1)),9999)+'1 Inputs'!$B$26</f>
        <v>84</v>
      </c>
      <c r="Y16" s="19" t="n">
        <f aca="false">IFERROR(INDEX('4 The queue'!$T$5:$T$40,MATCH((IFERROR(INDEX('4 The queue'!$U$5:$U$212,MATCH(IF($A16&lt;=1,0,INDEX('4 The queue'!$W$5:$W$212,$A16-1))+15+1,'4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queue'!$W$5:$W$212,$A16-1))+15+1,'4 The queue'!$W$5:$W$212,0)),9999)+'1 Inputs'!$B$22+'1 Inputs'!$B$23+'1 Inputs'!$B$24+'1 Inputs'!$B$25),'4 The queue'!$T$5:$T$40,1))=(IFERROR(INDEX('4 The queue'!$U$5:$U$212,MATCH(IF($A16&lt;=1,0,INDEX('4 The queue'!$W$5:$W$212,$A16-1))+15+1,'4 The queue'!$W$5:$W$212,0)),9999)+'1 Inputs'!$B$22+'1 Inputs'!$B$23+'1 Inputs'!$B$24+'1 Inputs'!$B$25),0,1)),9999)+'1 Inputs'!$B$26</f>
        <v>84</v>
      </c>
      <c r="Z16" s="19" t="n">
        <f aca="false">IFERROR(INDEX('4 The queue'!$T$5:$T$40,MATCH((IFERROR(INDEX('4 The queue'!$U$5:$U$212,MATCH(IF($A16&lt;=1,0,INDEX('4 The queue'!$W$5:$W$212,$A16-1))+16+1,'4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queue'!$W$5:$W$212,$A16-1))+16+1,'4 The queue'!$W$5:$W$212,0)),9999)+'1 Inputs'!$B$22+'1 Inputs'!$B$23+'1 Inputs'!$B$24+'1 Inputs'!$B$25),'4 The queue'!$T$5:$T$40,1))=(IFERROR(INDEX('4 The queue'!$U$5:$U$212,MATCH(IF($A16&lt;=1,0,INDEX('4 The queue'!$W$5:$W$212,$A16-1))+16+1,'4 The queue'!$W$5:$W$212,0)),9999)+'1 Inputs'!$B$22+'1 Inputs'!$B$23+'1 Inputs'!$B$24+'1 Inputs'!$B$25),0,1)),9999)+'1 Inputs'!$B$26</f>
        <v>84</v>
      </c>
      <c r="AA16" s="19" t="n">
        <f aca="false">IFERROR(INDEX('4 The queue'!$T$5:$T$40,MATCH((IFERROR(INDEX('4 The queue'!$U$5:$U$212,MATCH(IF($A16&lt;=1,0,INDEX('4 The queue'!$W$5:$W$212,$A16-1))+17+1,'4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queue'!$W$5:$W$212,$A16-1))+17+1,'4 The queue'!$W$5:$W$212,0)),9999)+'1 Inputs'!$B$22+'1 Inputs'!$B$23+'1 Inputs'!$B$24+'1 Inputs'!$B$25),'4 The queue'!$T$5:$T$40,1))=(IFERROR(INDEX('4 The queue'!$U$5:$U$212,MATCH(IF($A16&lt;=1,0,INDEX('4 The queue'!$W$5:$W$212,$A16-1))+17+1,'4 The queue'!$W$5:$W$212,0)),9999)+'1 Inputs'!$B$22+'1 Inputs'!$B$23+'1 Inputs'!$B$24+'1 Inputs'!$B$25),0,1)),9999)+'1 Inputs'!$B$26</f>
        <v>84</v>
      </c>
      <c r="AB16" s="19" t="n">
        <f aca="false">IFERROR(INDEX('4 The queue'!$T$5:$T$40,MATCH((IFERROR(INDEX('4 The queue'!$U$5:$U$212,MATCH(IF($A16&lt;=1,0,INDEX('4 The queue'!$W$5:$W$212,$A16-1))+18+1,'4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queue'!$W$5:$W$212,$A16-1))+18+1,'4 The queue'!$W$5:$W$212,0)),9999)+'1 Inputs'!$B$22+'1 Inputs'!$B$23+'1 Inputs'!$B$24+'1 Inputs'!$B$25),'4 The queue'!$T$5:$T$40,1))=(IFERROR(INDEX('4 The queue'!$U$5:$U$212,MATCH(IF($A16&lt;=1,0,INDEX('4 The queue'!$W$5:$W$212,$A16-1))+18+1,'4 The queue'!$W$5:$W$212,0)),9999)+'1 Inputs'!$B$22+'1 Inputs'!$B$23+'1 Inputs'!$B$24+'1 Inputs'!$B$25),0,1)),9999)+'1 Inputs'!$B$26</f>
        <v>84</v>
      </c>
      <c r="AC16" s="19" t="n">
        <f aca="false">IFERROR(INDEX('4 The queue'!$T$5:$T$40,MATCH((IFERROR(INDEX('4 The queue'!$U$5:$U$212,MATCH(IF($A16&lt;=1,0,INDEX('4 The queue'!$W$5:$W$212,$A16-1))+19+1,'4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queue'!$W$5:$W$212,$A16-1))+19+1,'4 The queue'!$W$5:$W$212,0)),9999)+'1 Inputs'!$B$22+'1 Inputs'!$B$23+'1 Inputs'!$B$24+'1 Inputs'!$B$25),'4 The queue'!$T$5:$T$40,1))=(IFERROR(INDEX('4 The queue'!$U$5:$U$212,MATCH(IF($A16&lt;=1,0,INDEX('4 The queue'!$W$5:$W$212,$A16-1))+19+1,'4 The queue'!$W$5:$W$212,0)),9999)+'1 Inputs'!$B$22+'1 Inputs'!$B$23+'1 Inputs'!$B$24+'1 Inputs'!$B$25),0,1)),9999)+'1 Inputs'!$B$26</f>
        <v>84</v>
      </c>
      <c r="AD16" s="19" t="n">
        <f aca="false">IFERROR(INDEX('4 The queue'!$T$5:$T$40,MATCH((IFERROR(INDEX('4 The queue'!$U$5:$U$212,MATCH(IF($A16&lt;=1,0,INDEX('4 The queue'!$W$5:$W$212,$A16-1))+20+1,'4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queue'!$W$5:$W$212,$A16-1))+20+1,'4 The queue'!$W$5:$W$212,0)),9999)+'1 Inputs'!$B$22+'1 Inputs'!$B$23+'1 Inputs'!$B$24+'1 Inputs'!$B$25),'4 The queue'!$T$5:$T$40,1))=(IFERROR(INDEX('4 The queue'!$U$5:$U$212,MATCH(IF($A16&lt;=1,0,INDEX('4 The queue'!$W$5:$W$212,$A16-1))+20+1,'4 The queue'!$W$5:$W$212,0)),9999)+'1 Inputs'!$B$22+'1 Inputs'!$B$23+'1 Inputs'!$B$24+'1 Inputs'!$B$25),0,1)),9999)+'1 Inputs'!$B$26</f>
        <v>84</v>
      </c>
      <c r="AE16" s="19" t="n">
        <f aca="false">IFERROR(INDEX('4 The queue'!$T$5:$T$40,MATCH((IFERROR(INDEX('4 The queue'!$U$5:$U$212,MATCH(IF($A16&lt;=1,0,INDEX('4 The queue'!$W$5:$W$212,$A16-1))+21+1,'4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queue'!$W$5:$W$212,$A16-1))+21+1,'4 The queue'!$W$5:$W$212,0)),9999)+'1 Inputs'!$B$22+'1 Inputs'!$B$23+'1 Inputs'!$B$24+'1 Inputs'!$B$25),'4 The queue'!$T$5:$T$40,1))=(IFERROR(INDEX('4 The queue'!$U$5:$U$212,MATCH(IF($A16&lt;=1,0,INDEX('4 The queue'!$W$5:$W$212,$A16-1))+21+1,'4 The queue'!$W$5:$W$212,0)),9999)+'1 Inputs'!$B$22+'1 Inputs'!$B$23+'1 Inputs'!$B$24+'1 Inputs'!$B$25),0,1)),9999)+'1 Inputs'!$B$26</f>
        <v>97</v>
      </c>
      <c r="AF16" s="19" t="n">
        <f aca="false">IFERROR(INDEX('4 The queue'!$T$5:$T$40,MATCH((IFERROR(INDEX('4 The queue'!$U$5:$U$212,MATCH(IF($A16&lt;=1,0,INDEX('4 The queue'!$W$5:$W$212,$A16-1))+22+1,'4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queue'!$W$5:$W$212,$A16-1))+22+1,'4 The queue'!$W$5:$W$212,0)),9999)+'1 Inputs'!$B$22+'1 Inputs'!$B$23+'1 Inputs'!$B$24+'1 Inputs'!$B$25),'4 The queue'!$T$5:$T$40,1))=(IFERROR(INDEX('4 The queue'!$U$5:$U$212,MATCH(IF($A16&lt;=1,0,INDEX('4 The queue'!$W$5:$W$212,$A16-1))+22+1,'4 The queue'!$W$5:$W$212,0)),9999)+'1 Inputs'!$B$22+'1 Inputs'!$B$23+'1 Inputs'!$B$24+'1 Inputs'!$B$25),0,1)),9999)+'1 Inputs'!$B$26</f>
        <v>97</v>
      </c>
      <c r="AG16" s="19" t="n">
        <f aca="false">IFERROR(INDEX('4 The queue'!$T$5:$T$40,MATCH((IFERROR(INDEX('4 The queue'!$U$5:$U$212,MATCH(IF($A16&lt;=1,0,INDEX('4 The queue'!$W$5:$W$212,$A16-1))+23+1,'4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queue'!$W$5:$W$212,$A16-1))+23+1,'4 The queue'!$W$5:$W$212,0)),9999)+'1 Inputs'!$B$22+'1 Inputs'!$B$23+'1 Inputs'!$B$24+'1 Inputs'!$B$25),'4 The queue'!$T$5:$T$40,1))=(IFERROR(INDEX('4 The queue'!$U$5:$U$212,MATCH(IF($A16&lt;=1,0,INDEX('4 The queue'!$W$5:$W$212,$A16-1))+23+1,'4 The queue'!$W$5:$W$212,0)),9999)+'1 Inputs'!$B$22+'1 Inputs'!$B$23+'1 Inputs'!$B$24+'1 Inputs'!$B$25),0,1)),9999)+'1 Inputs'!$B$26</f>
        <v>97</v>
      </c>
      <c r="AH16" s="19" t="n">
        <f aca="false">IFERROR(INDEX('4 The queue'!$T$5:$T$40,MATCH((IFERROR(INDEX('4 The queue'!$U$5:$U$212,MATCH(IF($A16&lt;=1,0,INDEX('4 The queue'!$W$5:$W$212,$A16-1))+24+1,'4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queue'!$W$5:$W$212,$A16-1))+24+1,'4 The queue'!$W$5:$W$212,0)),9999)+'1 Inputs'!$B$22+'1 Inputs'!$B$23+'1 Inputs'!$B$24+'1 Inputs'!$B$25),'4 The queue'!$T$5:$T$40,1))=(IFERROR(INDEX('4 The queue'!$U$5:$U$212,MATCH(IF($A16&lt;=1,0,INDEX('4 The queue'!$W$5:$W$212,$A16-1))+24+1,'4 The queue'!$W$5:$W$212,0)),9999)+'1 Inputs'!$B$22+'1 Inputs'!$B$23+'1 Inputs'!$B$24+'1 Inputs'!$B$25),0,1)),9999)+'1 Inputs'!$B$26</f>
        <v>97</v>
      </c>
      <c r="AI16" s="19" t="n">
        <f aca="false">IFERROR(INDEX('4 The queue'!$T$5:$T$40,MATCH((IFERROR(INDEX('4 The queue'!$U$5:$U$212,MATCH(IF($A16&lt;=1,0,INDEX('4 The queue'!$W$5:$W$212,$A16-1))+25+1,'4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queue'!$W$5:$W$212,$A16-1))+25+1,'4 The queue'!$W$5:$W$212,0)),9999)+'1 Inputs'!$B$22+'1 Inputs'!$B$23+'1 Inputs'!$B$24+'1 Inputs'!$B$25),'4 The queue'!$T$5:$T$40,1))=(IFERROR(INDEX('4 The queue'!$U$5:$U$212,MATCH(IF($A16&lt;=1,0,INDEX('4 The queue'!$W$5:$W$212,$A16-1))+25+1,'4 The queue'!$W$5:$W$212,0)),9999)+'1 Inputs'!$B$22+'1 Inputs'!$B$23+'1 Inputs'!$B$24+'1 Inputs'!$B$25),0,1)),9999)+'1 Inputs'!$B$26</f>
        <v>97</v>
      </c>
      <c r="AJ16" s="19" t="n">
        <f aca="false">IFERROR(INDEX('4 The queue'!$T$5:$T$40,MATCH((IFERROR(INDEX('4 The queue'!$U$5:$U$212,MATCH(IF($A16&lt;=1,0,INDEX('4 The queue'!$W$5:$W$212,$A16-1))+26+1,'4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queue'!$W$5:$W$212,$A16-1))+26+1,'4 The queue'!$W$5:$W$212,0)),9999)+'1 Inputs'!$B$22+'1 Inputs'!$B$23+'1 Inputs'!$B$24+'1 Inputs'!$B$25),'4 The queue'!$T$5:$T$40,1))=(IFERROR(INDEX('4 The queue'!$U$5:$U$212,MATCH(IF($A16&lt;=1,0,INDEX('4 The queue'!$W$5:$W$212,$A16-1))+26+1,'4 The queue'!$W$5:$W$212,0)),9999)+'1 Inputs'!$B$22+'1 Inputs'!$B$23+'1 Inputs'!$B$24+'1 Inputs'!$B$25),0,1)),9999)+'1 Inputs'!$B$26</f>
        <v>97</v>
      </c>
      <c r="AK16" s="19" t="n">
        <f aca="false">IFERROR(INDEX('4 The queue'!$T$5:$T$40,MATCH((IFERROR(INDEX('4 The queue'!$U$5:$U$212,MATCH(IF($A16&lt;=1,0,INDEX('4 The queue'!$W$5:$W$212,$A16-1))+27+1,'4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queue'!$W$5:$W$212,$A16-1))+27+1,'4 The queue'!$W$5:$W$212,0)),9999)+'1 Inputs'!$B$22+'1 Inputs'!$B$23+'1 Inputs'!$B$24+'1 Inputs'!$B$25),'4 The queue'!$T$5:$T$40,1))=(IFERROR(INDEX('4 The queue'!$U$5:$U$212,MATCH(IF($A16&lt;=1,0,INDEX('4 The queue'!$W$5:$W$212,$A16-1))+27+1,'4 The queue'!$W$5:$W$212,0)),9999)+'1 Inputs'!$B$22+'1 Inputs'!$B$23+'1 Inputs'!$B$24+'1 Inputs'!$B$25),0,1)),9999)+'1 Inputs'!$B$26</f>
        <v>97</v>
      </c>
      <c r="AL16" s="19" t="n">
        <f aca="false">IFERROR(INDEX('4 The queue'!$T$5:$T$40,MATCH((IFERROR(INDEX('4 The queue'!$U$5:$U$212,MATCH(IF($A16&lt;=1,0,INDEX('4 The queue'!$W$5:$W$212,$A16-1))+28+1,'4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queue'!$W$5:$W$212,$A16-1))+28+1,'4 The queue'!$W$5:$W$212,0)),9999)+'1 Inputs'!$B$22+'1 Inputs'!$B$23+'1 Inputs'!$B$24+'1 Inputs'!$B$25),'4 The queue'!$T$5:$T$40,1))=(IFERROR(INDEX('4 The queue'!$U$5:$U$212,MATCH(IF($A16&lt;=1,0,INDEX('4 The queue'!$W$5:$W$212,$A16-1))+28+1,'4 The queue'!$W$5:$W$212,0)),9999)+'1 Inputs'!$B$22+'1 Inputs'!$B$23+'1 Inputs'!$B$24+'1 Inputs'!$B$25),0,1)),9999)+'1 Inputs'!$B$26</f>
        <v>97</v>
      </c>
      <c r="AM16" s="19" t="n">
        <f aca="false">IFERROR(INDEX('4 The queue'!$T$5:$T$40,MATCH((IFERROR(INDEX('4 The queue'!$U$5:$U$212,MATCH(IF($A16&lt;=1,0,INDEX('4 The queue'!$W$5:$W$212,$A16-1))+29+1,'4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queue'!$W$5:$W$212,$A16-1))+29+1,'4 The queue'!$W$5:$W$212,0)),9999)+'1 Inputs'!$B$22+'1 Inputs'!$B$23+'1 Inputs'!$B$24+'1 Inputs'!$B$25),'4 The queue'!$T$5:$T$40,1))=(IFERROR(INDEX('4 The queue'!$U$5:$U$212,MATCH(IF($A16&lt;=1,0,INDEX('4 The queue'!$W$5:$W$212,$A16-1))+29+1,'4 The queue'!$W$5:$W$212,0)),9999)+'1 Inputs'!$B$22+'1 Inputs'!$B$23+'1 Inputs'!$B$24+'1 Inputs'!$B$25),0,1)),9999)+'1 Inputs'!$B$26</f>
        <v>97</v>
      </c>
      <c r="AN16" s="19" t="n">
        <f aca="false">IFERROR(INDEX('4 The queue'!$T$5:$T$40,MATCH((IFERROR(INDEX('4 The queue'!$U$5:$U$212,MATCH(IF($A16&lt;=1,0,INDEX('4 The queue'!$W$5:$W$212,$A16-1))+30+1,'4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queue'!$W$5:$W$212,$A16-1))+30+1,'4 The queue'!$W$5:$W$212,0)),9999)+'1 Inputs'!$B$22+'1 Inputs'!$B$23+'1 Inputs'!$B$24+'1 Inputs'!$B$25),'4 The queue'!$T$5:$T$40,1))=(IFERROR(INDEX('4 The queue'!$U$5:$U$212,MATCH(IF($A16&lt;=1,0,INDEX('4 The queue'!$W$5:$W$212,$A16-1))+30+1,'4 The queue'!$W$5:$W$212,0)),9999)+'1 Inputs'!$B$22+'1 Inputs'!$B$23+'1 Inputs'!$B$24+'1 Inputs'!$B$25),0,1)),9999)+'1 Inputs'!$B$26</f>
        <v>97</v>
      </c>
      <c r="AO16" s="19" t="n">
        <f aca="false">IFERROR(INDEX('4 The queue'!$T$5:$T$40,MATCH((IFERROR(INDEX('4 The queue'!$U$5:$U$212,MATCH(IF($A16&lt;=1,0,INDEX('4 The queue'!$W$5:$W$212,$A16-1))+31+1,'4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queue'!$W$5:$W$212,$A16-1))+31+1,'4 The queue'!$W$5:$W$212,0)),9999)+'1 Inputs'!$B$22+'1 Inputs'!$B$23+'1 Inputs'!$B$24+'1 Inputs'!$B$25),'4 The queue'!$T$5:$T$40,1))=(IFERROR(INDEX('4 The queue'!$U$5:$U$212,MATCH(IF($A16&lt;=1,0,INDEX('4 The queue'!$W$5:$W$212,$A16-1))+31+1,'4 The queue'!$W$5:$W$212,0)),9999)+'1 Inputs'!$B$22+'1 Inputs'!$B$23+'1 Inputs'!$B$24+'1 Inputs'!$B$25),0,1)),9999)+'1 Inputs'!$B$26</f>
        <v>97</v>
      </c>
      <c r="AP16" s="19" t="n">
        <f aca="false">IFERROR(INDEX('4 The queue'!$T$5:$T$40,MATCH((IFERROR(INDEX('4 The queue'!$U$5:$U$212,MATCH(IF($A16&lt;=1,0,INDEX('4 The queue'!$W$5:$W$212,$A16-1))+32+1,'4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queue'!$W$5:$W$212,$A16-1))+32+1,'4 The queue'!$W$5:$W$212,0)),9999)+'1 Inputs'!$B$22+'1 Inputs'!$B$23+'1 Inputs'!$B$24+'1 Inputs'!$B$25),'4 The queue'!$T$5:$T$40,1))=(IFERROR(INDEX('4 The queue'!$U$5:$U$212,MATCH(IF($A16&lt;=1,0,INDEX('4 The queue'!$W$5:$W$212,$A16-1))+32+1,'4 The queue'!$W$5:$W$212,0)),9999)+'1 Inputs'!$B$22+'1 Inputs'!$B$23+'1 Inputs'!$B$24+'1 Inputs'!$B$25),0,1)),9999)+'1 Inputs'!$B$26</f>
        <v>97</v>
      </c>
      <c r="AQ16" s="19" t="n">
        <f aca="false">IFERROR(INDEX('4 The queue'!$T$5:$T$40,MATCH((IFERROR(INDEX('4 The queue'!$U$5:$U$212,MATCH(IF($A16&lt;=1,0,INDEX('4 The queue'!$W$5:$W$212,$A16-1))+33+1,'4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queue'!$W$5:$W$212,$A16-1))+33+1,'4 The queue'!$W$5:$W$212,0)),9999)+'1 Inputs'!$B$22+'1 Inputs'!$B$23+'1 Inputs'!$B$24+'1 Inputs'!$B$25),'4 The queue'!$T$5:$T$40,1))=(IFERROR(INDEX('4 The queue'!$U$5:$U$212,MATCH(IF($A16&lt;=1,0,INDEX('4 The queue'!$W$5:$W$212,$A16-1))+33+1,'4 The queue'!$W$5:$W$212,0)),9999)+'1 Inputs'!$B$22+'1 Inputs'!$B$23+'1 Inputs'!$B$24+'1 Inputs'!$B$25),0,1)),9999)+'1 Inputs'!$B$26</f>
        <v>97</v>
      </c>
      <c r="AR16" s="19" t="n">
        <f aca="false">IFERROR(INDEX('4 The queue'!$T$5:$T$40,MATCH((IFERROR(INDEX('4 The queue'!$U$5:$U$212,MATCH(IF($A16&lt;=1,0,INDEX('4 The queue'!$W$5:$W$212,$A16-1))+34+1,'4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queue'!$W$5:$W$212,$A16-1))+34+1,'4 The queue'!$W$5:$W$212,0)),9999)+'1 Inputs'!$B$22+'1 Inputs'!$B$23+'1 Inputs'!$B$24+'1 Inputs'!$B$25),'4 The queue'!$T$5:$T$40,1))=(IFERROR(INDEX('4 The queue'!$U$5:$U$212,MATCH(IF($A16&lt;=1,0,INDEX('4 The queue'!$W$5:$W$212,$A16-1))+34+1,'4 The queue'!$W$5:$W$212,0)),9999)+'1 Inputs'!$B$22+'1 Inputs'!$B$23+'1 Inputs'!$B$24+'1 Inputs'!$B$25),0,1)),9999)+'1 Inputs'!$B$26</f>
        <v>107</v>
      </c>
      <c r="AS16" s="19" t="n">
        <f aca="false">IFERROR(INDEX('4 The queue'!$T$5:$T$40,MATCH((IFERROR(INDEX('4 The queue'!$U$5:$U$212,MATCH(IF($A16&lt;=1,0,INDEX('4 The queue'!$W$5:$W$212,$A16-1))+35+1,'4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queue'!$W$5:$W$212,$A16-1))+35+1,'4 The queue'!$W$5:$W$212,0)),9999)+'1 Inputs'!$B$22+'1 Inputs'!$B$23+'1 Inputs'!$B$24+'1 Inputs'!$B$25),'4 The queue'!$T$5:$T$40,1))=(IFERROR(INDEX('4 The queue'!$U$5:$U$212,MATCH(IF($A16&lt;=1,0,INDEX('4 The queue'!$W$5:$W$212,$A16-1))+35+1,'4 The queue'!$W$5:$W$212,0)),9999)+'1 Inputs'!$B$22+'1 Inputs'!$B$23+'1 Inputs'!$B$24+'1 Inputs'!$B$25),0,1)),9999)+'1 Inputs'!$B$26</f>
        <v>107</v>
      </c>
      <c r="AT16" s="19" t="n">
        <f aca="false">IFERROR(INDEX('4 The queue'!$T$5:$T$40,MATCH((IFERROR(INDEX('4 The queue'!$U$5:$U$212,MATCH(IF($A16&lt;=1,0,INDEX('4 The queue'!$W$5:$W$212,$A16-1))+36+1,'4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queue'!$W$5:$W$212,$A16-1))+36+1,'4 The queue'!$W$5:$W$212,0)),9999)+'1 Inputs'!$B$22+'1 Inputs'!$B$23+'1 Inputs'!$B$24+'1 Inputs'!$B$25),'4 The queue'!$T$5:$T$40,1))=(IFERROR(INDEX('4 The queue'!$U$5:$U$212,MATCH(IF($A16&lt;=1,0,INDEX('4 The queue'!$W$5:$W$212,$A16-1))+36+1,'4 The queue'!$W$5:$W$212,0)),9999)+'1 Inputs'!$B$22+'1 Inputs'!$B$23+'1 Inputs'!$B$24+'1 Inputs'!$B$25),0,1)),9999)+'1 Inputs'!$B$26</f>
        <v>107</v>
      </c>
      <c r="AU16" s="19" t="n">
        <f aca="false">IFERROR(INDEX('4 The queue'!$T$5:$T$40,MATCH((IFERROR(INDEX('4 The queue'!$U$5:$U$212,MATCH(IF($A16&lt;=1,0,INDEX('4 The queue'!$W$5:$W$212,$A16-1))+37+1,'4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queue'!$W$5:$W$212,$A16-1))+37+1,'4 The queue'!$W$5:$W$212,0)),9999)+'1 Inputs'!$B$22+'1 Inputs'!$B$23+'1 Inputs'!$B$24+'1 Inputs'!$B$25),'4 The queue'!$T$5:$T$40,1))=(IFERROR(INDEX('4 The queue'!$U$5:$U$212,MATCH(IF($A16&lt;=1,0,INDEX('4 The queue'!$W$5:$W$212,$A16-1))+37+1,'4 The queue'!$W$5:$W$212,0)),9999)+'1 Inputs'!$B$22+'1 Inputs'!$B$23+'1 Inputs'!$B$24+'1 Inputs'!$B$25),0,1)),9999)+'1 Inputs'!$B$26</f>
        <v>107</v>
      </c>
      <c r="AV16" s="19" t="n">
        <f aca="false">IFERROR(INDEX('4 The queue'!$T$5:$T$40,MATCH((IFERROR(INDEX('4 The queue'!$U$5:$U$212,MATCH(IF($A16&lt;=1,0,INDEX('4 The queue'!$W$5:$W$212,$A16-1))+38+1,'4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queue'!$W$5:$W$212,$A16-1))+38+1,'4 The queue'!$W$5:$W$212,0)),9999)+'1 Inputs'!$B$22+'1 Inputs'!$B$23+'1 Inputs'!$B$24+'1 Inputs'!$B$25),'4 The queue'!$T$5:$T$40,1))=(IFERROR(INDEX('4 The queue'!$U$5:$U$212,MATCH(IF($A16&lt;=1,0,INDEX('4 The queue'!$W$5:$W$212,$A16-1))+38+1,'4 The queue'!$W$5:$W$212,0)),9999)+'1 Inputs'!$B$22+'1 Inputs'!$B$23+'1 Inputs'!$B$24+'1 Inputs'!$B$25),0,1)),9999)+'1 Inputs'!$B$26</f>
        <v>107</v>
      </c>
      <c r="AW16" s="19" t="n">
        <f aca="false">IFERROR(INDEX('4 The queue'!$T$5:$T$40,MATCH((IFERROR(INDEX('4 The queue'!$U$5:$U$212,MATCH(IF($A16&lt;=1,0,INDEX('4 The queue'!$W$5:$W$212,$A16-1))+39+1,'4 The queue'!$W$5:$W$212,0)),9999)+'1 Inputs'!$B$22+'1 Inputs'!$B$23+'1 Inputs'!$B$24+'1 Inputs'!$B$25),'4 The queue'!$T$5:$T$40,1)+IF(INDEX('4 The queue'!$T$5:$T$40,MATCH((IFERROR(INDEX('4 The queue'!$U$5:$U$212,MATCH(IF($A16&lt;=1,0,INDEX('4 The queue'!$W$5:$W$212,$A16-1))+39+1,'4 The queue'!$W$5:$W$212,0)),9999)+'1 Inputs'!$B$22+'1 Inputs'!$B$23+'1 Inputs'!$B$24+'1 Inputs'!$B$25),'4 The queue'!$T$5:$T$40,1))=(IFERROR(INDEX('4 The queue'!$U$5:$U$212,MATCH(IF($A16&lt;=1,0,INDEX('4 The queue'!$W$5:$W$212,$A16-1))+39+1,'4 The queue'!$W$5:$W$212,0)),9999)+'1 Inputs'!$B$22+'1 Inputs'!$B$23+'1 Inputs'!$B$24+'1 Inputs'!$B$25),0,1)),9999)+'1 Inputs'!$B$26</f>
        <v>107</v>
      </c>
      <c r="AX16" s="19" t="n">
        <f aca="false">MAX(0,MIN('1 Inputs'!$B$15,'1 Inputs'!$B$5*'1 Inputs'!$B$6-0*'1 Inputs'!$B$15))*'1 Inputs'!$B$7*'1 Inputs'!$B$8*'1 Inputs'!$B$9*'1 Inputs'!$B$10*'1 Inputs'!$B$11</f>
        <v>6250000</v>
      </c>
      <c r="AY16" s="19" t="n">
        <f aca="false">MAX(0,MIN('1 Inputs'!$B$15,'1 Inputs'!$B$5*'1 Inputs'!$B$6-1*'1 Inputs'!$B$15))*'1 Inputs'!$B$7*'1 Inputs'!$B$8*'1 Inputs'!$B$9*'1 Inputs'!$B$10*'1 Inputs'!$B$11</f>
        <v>6250000</v>
      </c>
      <c r="AZ16" s="19" t="n">
        <f aca="false">MAX(0,MIN('1 Inputs'!$B$15,'1 Inputs'!$B$5*'1 Inputs'!$B$6-2*'1 Inputs'!$B$15))*'1 Inputs'!$B$7*'1 Inputs'!$B$8*'1 Inputs'!$B$9*'1 Inputs'!$B$10*'1 Inputs'!$B$11</f>
        <v>6250000</v>
      </c>
      <c r="BA16" s="19" t="n">
        <f aca="false">MAX(0,MIN('1 Inputs'!$B$15,'1 Inputs'!$B$5*'1 Inputs'!$B$6-3*'1 Inputs'!$B$15))*'1 Inputs'!$B$7*'1 Inputs'!$B$8*'1 Inputs'!$B$9*'1 Inputs'!$B$10*'1 Inputs'!$B$11</f>
        <v>6250000</v>
      </c>
      <c r="BB16" s="19" t="n">
        <f aca="false">MAX(0,MIN('1 Inputs'!$B$15,'1 Inputs'!$B$5*'1 Inputs'!$B$6-4*'1 Inputs'!$B$15))*'1 Inputs'!$B$7*'1 Inputs'!$B$8*'1 Inputs'!$B$9*'1 Inputs'!$B$10*'1 Inputs'!$B$11</f>
        <v>6250000</v>
      </c>
      <c r="BC16" s="19" t="n">
        <f aca="false">MAX(0,MIN('1 Inputs'!$B$15,'1 Inputs'!$B$5*'1 Inputs'!$B$6-5*'1 Inputs'!$B$15))*'1 Inputs'!$B$7*'1 Inputs'!$B$8*'1 Inputs'!$B$9*'1 Inputs'!$B$10*'1 Inputs'!$B$11</f>
        <v>6250000</v>
      </c>
      <c r="BD16" s="19" t="n">
        <f aca="false">MAX(0,MIN('1 Inputs'!$B$15,'1 Inputs'!$B$5*'1 Inputs'!$B$6-6*'1 Inputs'!$B$15))*'1 Inputs'!$B$7*'1 Inputs'!$B$8*'1 Inputs'!$B$9*'1 Inputs'!$B$10*'1 Inputs'!$B$11</f>
        <v>6250000</v>
      </c>
      <c r="BE16" s="19" t="n">
        <f aca="false">MAX(0,MIN('1 Inputs'!$B$15,'1 Inputs'!$B$5*'1 Inputs'!$B$6-7*'1 Inputs'!$B$15))*'1 Inputs'!$B$7*'1 Inputs'!$B$8*'1 Inputs'!$B$9*'1 Inputs'!$B$10*'1 Inputs'!$B$11</f>
        <v>6250000</v>
      </c>
      <c r="BF16" s="19" t="n">
        <f aca="false">MAX(0,MIN('1 Inputs'!$B$15,'1 Inputs'!$B$5*'1 Inputs'!$B$6-8*'1 Inputs'!$B$15))*'1 Inputs'!$B$7*'1 Inputs'!$B$8*'1 Inputs'!$B$9*'1 Inputs'!$B$10*'1 Inputs'!$B$11</f>
        <v>6250000</v>
      </c>
      <c r="BG16" s="19" t="n">
        <f aca="false">MAX(0,MIN('1 Inputs'!$B$15,'1 Inputs'!$B$5*'1 Inputs'!$B$6-9*'1 Inputs'!$B$15))*'1 Inputs'!$B$7*'1 Inputs'!$B$8*'1 Inputs'!$B$9*'1 Inputs'!$B$10*'1 Inputs'!$B$11</f>
        <v>6250000</v>
      </c>
      <c r="BH16" s="19" t="n">
        <f aca="false">MAX(0,MIN('1 Inputs'!$B$15,'1 Inputs'!$B$5*'1 Inputs'!$B$6-10*'1 Inputs'!$B$15))*'1 Inputs'!$B$7*'1 Inputs'!$B$8*'1 Inputs'!$B$9*'1 Inputs'!$B$10*'1 Inputs'!$B$11</f>
        <v>6250000</v>
      </c>
      <c r="BI16" s="19" t="n">
        <f aca="false">MAX(0,MIN('1 Inputs'!$B$15,'1 Inputs'!$B$5*'1 Inputs'!$B$6-11*'1 Inputs'!$B$15))*'1 Inputs'!$B$7*'1 Inputs'!$B$8*'1 Inputs'!$B$9*'1 Inputs'!$B$10*'1 Inputs'!$B$11</f>
        <v>6250000</v>
      </c>
      <c r="BJ16" s="19" t="n">
        <f aca="false">MAX(0,MIN('1 Inputs'!$B$15,'1 Inputs'!$B$5*'1 Inputs'!$B$6-12*'1 Inputs'!$B$15))*'1 Inputs'!$B$7*'1 Inputs'!$B$8*'1 Inputs'!$B$9*'1 Inputs'!$B$10*'1 Inputs'!$B$11</f>
        <v>6250000</v>
      </c>
      <c r="BK16" s="19" t="n">
        <f aca="false">MAX(0,MIN('1 Inputs'!$B$15,'1 Inputs'!$B$5*'1 Inputs'!$B$6-13*'1 Inputs'!$B$15))*'1 Inputs'!$B$7*'1 Inputs'!$B$8*'1 Inputs'!$B$9*'1 Inputs'!$B$10*'1 Inputs'!$B$11</f>
        <v>6250000</v>
      </c>
      <c r="BL16" s="19" t="n">
        <f aca="false">MAX(0,MIN('1 Inputs'!$B$15,'1 Inputs'!$B$5*'1 Inputs'!$B$6-14*'1 Inputs'!$B$15))*'1 Inputs'!$B$7*'1 Inputs'!$B$8*'1 Inputs'!$B$9*'1 Inputs'!$B$10*'1 Inputs'!$B$11</f>
        <v>6250000</v>
      </c>
      <c r="BM16" s="19" t="n">
        <f aca="false">MAX(0,MIN('1 Inputs'!$B$15,'1 Inputs'!$B$5*'1 Inputs'!$B$6-15*'1 Inputs'!$B$15))*'1 Inputs'!$B$7*'1 Inputs'!$B$8*'1 Inputs'!$B$9*'1 Inputs'!$B$10*'1 Inputs'!$B$11</f>
        <v>0</v>
      </c>
      <c r="BN16" s="19" t="n">
        <f aca="false">MAX(0,MIN('1 Inputs'!$B$15,'1 Inputs'!$B$5*'1 Inputs'!$B$6-16*'1 Inputs'!$B$15))*'1 Inputs'!$B$7*'1 Inputs'!$B$8*'1 Inputs'!$B$9*'1 Inputs'!$B$10*'1 Inputs'!$B$11</f>
        <v>0</v>
      </c>
      <c r="BO16" s="19" t="n">
        <f aca="false">MAX(0,MIN('1 Inputs'!$B$15,'1 Inputs'!$B$5*'1 Inputs'!$B$6-17*'1 Inputs'!$B$15))*'1 Inputs'!$B$7*'1 Inputs'!$B$8*'1 Inputs'!$B$9*'1 Inputs'!$B$10*'1 Inputs'!$B$11</f>
        <v>0</v>
      </c>
      <c r="BP16" s="19" t="n">
        <f aca="false">MAX(0,MIN('1 Inputs'!$B$15,'1 Inputs'!$B$5*'1 Inputs'!$B$6-18*'1 Inputs'!$B$15))*'1 Inputs'!$B$7*'1 Inputs'!$B$8*'1 Inputs'!$B$9*'1 Inputs'!$B$10*'1 Inputs'!$B$11</f>
        <v>0</v>
      </c>
      <c r="BQ16" s="19" t="n">
        <f aca="false">MAX(0,MIN('1 Inputs'!$B$15,'1 Inputs'!$B$5*'1 Inputs'!$B$6-19*'1 Inputs'!$B$15))*'1 Inputs'!$B$7*'1 Inputs'!$B$8*'1 Inputs'!$B$9*'1 Inputs'!$B$10*'1 Inputs'!$B$11</f>
        <v>0</v>
      </c>
      <c r="BR16" s="19" t="n">
        <f aca="false">MAX(0,MIN('1 Inputs'!$B$15,'1 Inputs'!$B$5*'1 Inputs'!$B$6-20*'1 Inputs'!$B$15))*'1 Inputs'!$B$7*'1 Inputs'!$B$8*'1 Inputs'!$B$9*'1 Inputs'!$B$10*'1 Inputs'!$B$11</f>
        <v>0</v>
      </c>
      <c r="BS16" s="19" t="n">
        <f aca="false">MAX(0,MIN('1 Inputs'!$B$15,'1 Inputs'!$B$5*'1 Inputs'!$B$6-21*'1 Inputs'!$B$15))*'1 Inputs'!$B$7*'1 Inputs'!$B$8*'1 Inputs'!$B$9*'1 Inputs'!$B$10*'1 Inputs'!$B$11</f>
        <v>0</v>
      </c>
      <c r="BT16" s="19" t="n">
        <f aca="false">MAX(0,MIN('1 Inputs'!$B$15,'1 Inputs'!$B$5*'1 Inputs'!$B$6-22*'1 Inputs'!$B$15))*'1 Inputs'!$B$7*'1 Inputs'!$B$8*'1 Inputs'!$B$9*'1 Inputs'!$B$10*'1 Inputs'!$B$11</f>
        <v>0</v>
      </c>
      <c r="BU16" s="19" t="n">
        <f aca="false">MAX(0,MIN('1 Inputs'!$B$15,'1 Inputs'!$B$5*'1 Inputs'!$B$6-23*'1 Inputs'!$B$15))*'1 Inputs'!$B$7*'1 Inputs'!$B$8*'1 Inputs'!$B$9*'1 Inputs'!$B$10*'1 Inputs'!$B$11</f>
        <v>0</v>
      </c>
      <c r="BV16" s="19" t="n">
        <f aca="false">MAX(0,MIN('1 Inputs'!$B$15,'1 Inputs'!$B$5*'1 Inputs'!$B$6-24*'1 Inputs'!$B$15))*'1 Inputs'!$B$7*'1 Inputs'!$B$8*'1 Inputs'!$B$9*'1 Inputs'!$B$10*'1 Inputs'!$B$11</f>
        <v>0</v>
      </c>
      <c r="BW16" s="19" t="n">
        <f aca="false">MAX(0,MIN('1 Inputs'!$B$15,'1 Inputs'!$B$5*'1 Inputs'!$B$6-25*'1 Inputs'!$B$15))*'1 Inputs'!$B$7*'1 Inputs'!$B$8*'1 Inputs'!$B$9*'1 Inputs'!$B$10*'1 Inputs'!$B$11</f>
        <v>0</v>
      </c>
      <c r="BX16" s="19" t="n">
        <f aca="false">MAX(0,MIN('1 Inputs'!$B$15,'1 Inputs'!$B$5*'1 Inputs'!$B$6-26*'1 Inputs'!$B$15))*'1 Inputs'!$B$7*'1 Inputs'!$B$8*'1 Inputs'!$B$9*'1 Inputs'!$B$10*'1 Inputs'!$B$11</f>
        <v>0</v>
      </c>
      <c r="BY16" s="19" t="n">
        <f aca="false">MAX(0,MIN('1 Inputs'!$B$15,'1 Inputs'!$B$5*'1 Inputs'!$B$6-27*'1 Inputs'!$B$15))*'1 Inputs'!$B$7*'1 Inputs'!$B$8*'1 Inputs'!$B$9*'1 Inputs'!$B$10*'1 Inputs'!$B$11</f>
        <v>0</v>
      </c>
      <c r="BZ16" s="19" t="n">
        <f aca="false">MAX(0,MIN('1 Inputs'!$B$15,'1 Inputs'!$B$5*'1 Inputs'!$B$6-28*'1 Inputs'!$B$15))*'1 Inputs'!$B$7*'1 Inputs'!$B$8*'1 Inputs'!$B$9*'1 Inputs'!$B$10*'1 Inputs'!$B$11</f>
        <v>0</v>
      </c>
      <c r="CA16" s="19" t="n">
        <f aca="false">MAX(0,MIN('1 Inputs'!$B$15,'1 Inputs'!$B$5*'1 Inputs'!$B$6-29*'1 Inputs'!$B$15))*'1 Inputs'!$B$7*'1 Inputs'!$B$8*'1 Inputs'!$B$9*'1 Inputs'!$B$10*'1 Inputs'!$B$11</f>
        <v>0</v>
      </c>
      <c r="CB16" s="19" t="n">
        <f aca="false">MAX(0,MIN('1 Inputs'!$B$15,'1 Inputs'!$B$5*'1 Inputs'!$B$6-30*'1 Inputs'!$B$15))*'1 Inputs'!$B$7*'1 Inputs'!$B$8*'1 Inputs'!$B$9*'1 Inputs'!$B$10*'1 Inputs'!$B$11</f>
        <v>0</v>
      </c>
      <c r="CC16" s="19" t="n">
        <f aca="false">MAX(0,MIN('1 Inputs'!$B$15,'1 Inputs'!$B$5*'1 Inputs'!$B$6-31*'1 Inputs'!$B$15))*'1 Inputs'!$B$7*'1 Inputs'!$B$8*'1 Inputs'!$B$9*'1 Inputs'!$B$10*'1 Inputs'!$B$11</f>
        <v>0</v>
      </c>
      <c r="CD16" s="19" t="n">
        <f aca="false">MAX(0,MIN('1 Inputs'!$B$15,'1 Inputs'!$B$5*'1 Inputs'!$B$6-32*'1 Inputs'!$B$15))*'1 Inputs'!$B$7*'1 Inputs'!$B$8*'1 Inputs'!$B$9*'1 Inputs'!$B$10*'1 Inputs'!$B$11</f>
        <v>0</v>
      </c>
      <c r="CE16" s="19" t="n">
        <f aca="false">MAX(0,MIN('1 Inputs'!$B$15,'1 Inputs'!$B$5*'1 Inputs'!$B$6-33*'1 Inputs'!$B$15))*'1 Inputs'!$B$7*'1 Inputs'!$B$8*'1 Inputs'!$B$9*'1 Inputs'!$B$10*'1 Inputs'!$B$11</f>
        <v>0</v>
      </c>
      <c r="CF16" s="19" t="n">
        <f aca="false">MAX(0,MIN('1 Inputs'!$B$15,'1 Inputs'!$B$5*'1 Inputs'!$B$6-34*'1 Inputs'!$B$15))*'1 Inputs'!$B$7*'1 Inputs'!$B$8*'1 Inputs'!$B$9*'1 Inputs'!$B$10*'1 Inputs'!$B$11</f>
        <v>0</v>
      </c>
      <c r="CG16" s="19" t="n">
        <f aca="false">MAX(0,MIN('1 Inputs'!$B$15,'1 Inputs'!$B$5*'1 Inputs'!$B$6-35*'1 Inputs'!$B$15))*'1 Inputs'!$B$7*'1 Inputs'!$B$8*'1 Inputs'!$B$9*'1 Inputs'!$B$10*'1 Inputs'!$B$11</f>
        <v>0</v>
      </c>
      <c r="CH16" s="19" t="n">
        <f aca="false">MAX(0,MIN('1 Inputs'!$B$15,'1 Inputs'!$B$5*'1 Inputs'!$B$6-36*'1 Inputs'!$B$15))*'1 Inputs'!$B$7*'1 Inputs'!$B$8*'1 Inputs'!$B$9*'1 Inputs'!$B$10*'1 Inputs'!$B$11</f>
        <v>0</v>
      </c>
      <c r="CI16" s="19" t="n">
        <f aca="false">MAX(0,MIN('1 Inputs'!$B$15,'1 Inputs'!$B$5*'1 Inputs'!$B$6-37*'1 Inputs'!$B$15))*'1 Inputs'!$B$7*'1 Inputs'!$B$8*'1 Inputs'!$B$9*'1 Inputs'!$B$10*'1 Inputs'!$B$11</f>
        <v>0</v>
      </c>
      <c r="CJ16" s="19" t="n">
        <f aca="false">MAX(0,MIN('1 Inputs'!$B$15,'1 Inputs'!$B$5*'1 Inputs'!$B$6-38*'1 Inputs'!$B$15))*'1 Inputs'!$B$7*'1 Inputs'!$B$8*'1 Inputs'!$B$9*'1 Inputs'!$B$10*'1 Inputs'!$B$11</f>
        <v>0</v>
      </c>
      <c r="CK16" s="19" t="n">
        <f aca="false">MAX(0,MIN('1 Inputs'!$B$15,'1 Inputs'!$B$5*'1 Inputs'!$B$6-39*'1 Inputs'!$B$15))*'1 Inputs'!$B$7*'1 Inputs'!$B$8*'1 Inputs'!$B$9*'1 Inputs'!$B$10*'1 Inputs'!$B$11</f>
        <v>0</v>
      </c>
    </row>
    <row r="17" customFormat="false" ht="15" hidden="false" customHeight="false" outlineLevel="0" collapsed="false">
      <c r="A17" s="0" t="n">
        <v>30</v>
      </c>
      <c r="B17" s="12" t="n">
        <f aca="false">SUMIF(J17:AW17,"&lt;="&amp;($A17+52),AX17:CK17)</f>
        <v>62500000</v>
      </c>
      <c r="C17" s="12" t="n">
        <f aca="false">SUM(AX17:CK17)</f>
        <v>93750000</v>
      </c>
      <c r="D17" s="15" t="n">
        <f aca="false">(MIN(J17:AW17)-$A17)/52*12</f>
        <v>9.46153846153846</v>
      </c>
      <c r="J17" s="19" t="n">
        <f aca="false">IFERROR(INDEX('4 The queue'!$T$5:$T$40,MATCH((IFERROR(INDEX('4 The queue'!$U$5:$U$212,MATCH(IF($A17&lt;=1,0,INDEX('4 The queue'!$W$5:$W$212,$A17-1))+0+1,'4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queue'!$W$5:$W$212,$A17-1))+0+1,'4 The queue'!$W$5:$W$212,0)),9999)+'1 Inputs'!$B$22+'1 Inputs'!$B$23+'1 Inputs'!$B$24+'1 Inputs'!$B$25),'4 The queue'!$T$5:$T$40,1))=(IFERROR(INDEX('4 The queue'!$U$5:$U$212,MATCH(IF($A17&lt;=1,0,INDEX('4 The queue'!$W$5:$W$212,$A17-1))+0+1,'4 The queue'!$W$5:$W$212,0)),9999)+'1 Inputs'!$B$22+'1 Inputs'!$B$23+'1 Inputs'!$B$24+'1 Inputs'!$B$25),0,1)),9999)+'1 Inputs'!$B$26</f>
        <v>71</v>
      </c>
      <c r="K17" s="19" t="n">
        <f aca="false">IFERROR(INDEX('4 The queue'!$T$5:$T$40,MATCH((IFERROR(INDEX('4 The queue'!$U$5:$U$212,MATCH(IF($A17&lt;=1,0,INDEX('4 The queue'!$W$5:$W$212,$A17-1))+1+1,'4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queue'!$W$5:$W$212,$A17-1))+1+1,'4 The queue'!$W$5:$W$212,0)),9999)+'1 Inputs'!$B$22+'1 Inputs'!$B$23+'1 Inputs'!$B$24+'1 Inputs'!$B$25),'4 The queue'!$T$5:$T$40,1))=(IFERROR(INDEX('4 The queue'!$U$5:$U$212,MATCH(IF($A17&lt;=1,0,INDEX('4 The queue'!$W$5:$W$212,$A17-1))+1+1,'4 The queue'!$W$5:$W$212,0)),9999)+'1 Inputs'!$B$22+'1 Inputs'!$B$23+'1 Inputs'!$B$24+'1 Inputs'!$B$25),0,1)),9999)+'1 Inputs'!$B$26</f>
        <v>71</v>
      </c>
      <c r="L17" s="19" t="n">
        <f aca="false">IFERROR(INDEX('4 The queue'!$T$5:$T$40,MATCH((IFERROR(INDEX('4 The queue'!$U$5:$U$212,MATCH(IF($A17&lt;=1,0,INDEX('4 The queue'!$W$5:$W$212,$A17-1))+2+1,'4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queue'!$W$5:$W$212,$A17-1))+2+1,'4 The queue'!$W$5:$W$212,0)),9999)+'1 Inputs'!$B$22+'1 Inputs'!$B$23+'1 Inputs'!$B$24+'1 Inputs'!$B$25),'4 The queue'!$T$5:$T$40,1))=(IFERROR(INDEX('4 The queue'!$U$5:$U$212,MATCH(IF($A17&lt;=1,0,INDEX('4 The queue'!$W$5:$W$212,$A17-1))+2+1,'4 The queue'!$W$5:$W$212,0)),9999)+'1 Inputs'!$B$22+'1 Inputs'!$B$23+'1 Inputs'!$B$24+'1 Inputs'!$B$25),0,1)),9999)+'1 Inputs'!$B$26</f>
        <v>71</v>
      </c>
      <c r="M17" s="19" t="n">
        <f aca="false">IFERROR(INDEX('4 The queue'!$T$5:$T$40,MATCH((IFERROR(INDEX('4 The queue'!$U$5:$U$212,MATCH(IF($A17&lt;=1,0,INDEX('4 The queue'!$W$5:$W$212,$A17-1))+3+1,'4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queue'!$W$5:$W$212,$A17-1))+3+1,'4 The queue'!$W$5:$W$212,0)),9999)+'1 Inputs'!$B$22+'1 Inputs'!$B$23+'1 Inputs'!$B$24+'1 Inputs'!$B$25),'4 The queue'!$T$5:$T$40,1))=(IFERROR(INDEX('4 The queue'!$U$5:$U$212,MATCH(IF($A17&lt;=1,0,INDEX('4 The queue'!$W$5:$W$212,$A17-1))+3+1,'4 The queue'!$W$5:$W$212,0)),9999)+'1 Inputs'!$B$22+'1 Inputs'!$B$23+'1 Inputs'!$B$24+'1 Inputs'!$B$25),0,1)),9999)+'1 Inputs'!$B$26</f>
        <v>71</v>
      </c>
      <c r="N17" s="19" t="n">
        <f aca="false">IFERROR(INDEX('4 The queue'!$T$5:$T$40,MATCH((IFERROR(INDEX('4 The queue'!$U$5:$U$212,MATCH(IF($A17&lt;=1,0,INDEX('4 The queue'!$W$5:$W$212,$A17-1))+4+1,'4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queue'!$W$5:$W$212,$A17-1))+4+1,'4 The queue'!$W$5:$W$212,0)),9999)+'1 Inputs'!$B$22+'1 Inputs'!$B$23+'1 Inputs'!$B$24+'1 Inputs'!$B$25),'4 The queue'!$T$5:$T$40,1))=(IFERROR(INDEX('4 The queue'!$U$5:$U$212,MATCH(IF($A17&lt;=1,0,INDEX('4 The queue'!$W$5:$W$212,$A17-1))+4+1,'4 The queue'!$W$5:$W$212,0)),9999)+'1 Inputs'!$B$22+'1 Inputs'!$B$23+'1 Inputs'!$B$24+'1 Inputs'!$B$25),0,1)),9999)+'1 Inputs'!$B$26</f>
        <v>71</v>
      </c>
      <c r="O17" s="19" t="n">
        <f aca="false">IFERROR(INDEX('4 The queue'!$T$5:$T$40,MATCH((IFERROR(INDEX('4 The queue'!$U$5:$U$212,MATCH(IF($A17&lt;=1,0,INDEX('4 The queue'!$W$5:$W$212,$A17-1))+5+1,'4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queue'!$W$5:$W$212,$A17-1))+5+1,'4 The queue'!$W$5:$W$212,0)),9999)+'1 Inputs'!$B$22+'1 Inputs'!$B$23+'1 Inputs'!$B$24+'1 Inputs'!$B$25),'4 The queue'!$T$5:$T$40,1))=(IFERROR(INDEX('4 The queue'!$U$5:$U$212,MATCH(IF($A17&lt;=1,0,INDEX('4 The queue'!$W$5:$W$212,$A17-1))+5+1,'4 The queue'!$W$5:$W$212,0)),9999)+'1 Inputs'!$B$22+'1 Inputs'!$B$23+'1 Inputs'!$B$24+'1 Inputs'!$B$25),0,1)),9999)+'1 Inputs'!$B$26</f>
        <v>71</v>
      </c>
      <c r="P17" s="19" t="n">
        <f aca="false">IFERROR(INDEX('4 The queue'!$T$5:$T$40,MATCH((IFERROR(INDEX('4 The queue'!$U$5:$U$212,MATCH(IF($A17&lt;=1,0,INDEX('4 The queue'!$W$5:$W$212,$A17-1))+6+1,'4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queue'!$W$5:$W$212,$A17-1))+6+1,'4 The queue'!$W$5:$W$212,0)),9999)+'1 Inputs'!$B$22+'1 Inputs'!$B$23+'1 Inputs'!$B$24+'1 Inputs'!$B$25),'4 The queue'!$T$5:$T$40,1))=(IFERROR(INDEX('4 The queue'!$U$5:$U$212,MATCH(IF($A17&lt;=1,0,INDEX('4 The queue'!$W$5:$W$212,$A17-1))+6+1,'4 The queue'!$W$5:$W$212,0)),9999)+'1 Inputs'!$B$22+'1 Inputs'!$B$23+'1 Inputs'!$B$24+'1 Inputs'!$B$25),0,1)),9999)+'1 Inputs'!$B$26</f>
        <v>71</v>
      </c>
      <c r="Q17" s="19" t="n">
        <f aca="false">IFERROR(INDEX('4 The queue'!$T$5:$T$40,MATCH((IFERROR(INDEX('4 The queue'!$U$5:$U$212,MATCH(IF($A17&lt;=1,0,INDEX('4 The queue'!$W$5:$W$212,$A17-1))+7+1,'4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queue'!$W$5:$W$212,$A17-1))+7+1,'4 The queue'!$W$5:$W$212,0)),9999)+'1 Inputs'!$B$22+'1 Inputs'!$B$23+'1 Inputs'!$B$24+'1 Inputs'!$B$25),'4 The queue'!$T$5:$T$40,1))=(IFERROR(INDEX('4 The queue'!$U$5:$U$212,MATCH(IF($A17&lt;=1,0,INDEX('4 The queue'!$W$5:$W$212,$A17-1))+7+1,'4 The queue'!$W$5:$W$212,0)),9999)+'1 Inputs'!$B$22+'1 Inputs'!$B$23+'1 Inputs'!$B$24+'1 Inputs'!$B$25),0,1)),9999)+'1 Inputs'!$B$26</f>
        <v>71</v>
      </c>
      <c r="R17" s="19" t="n">
        <f aca="false">IFERROR(INDEX('4 The queue'!$T$5:$T$40,MATCH((IFERROR(INDEX('4 The queue'!$U$5:$U$212,MATCH(IF($A17&lt;=1,0,INDEX('4 The queue'!$W$5:$W$212,$A17-1))+8+1,'4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queue'!$W$5:$W$212,$A17-1))+8+1,'4 The queue'!$W$5:$W$212,0)),9999)+'1 Inputs'!$B$22+'1 Inputs'!$B$23+'1 Inputs'!$B$24+'1 Inputs'!$B$25),'4 The queue'!$T$5:$T$40,1))=(IFERROR(INDEX('4 The queue'!$U$5:$U$212,MATCH(IF($A17&lt;=1,0,INDEX('4 The queue'!$W$5:$W$212,$A17-1))+8+1,'4 The queue'!$W$5:$W$212,0)),9999)+'1 Inputs'!$B$22+'1 Inputs'!$B$23+'1 Inputs'!$B$24+'1 Inputs'!$B$25),0,1)),9999)+'1 Inputs'!$B$26</f>
        <v>71</v>
      </c>
      <c r="S17" s="19" t="n">
        <f aca="false">IFERROR(INDEX('4 The queue'!$T$5:$T$40,MATCH((IFERROR(INDEX('4 The queue'!$U$5:$U$212,MATCH(IF($A17&lt;=1,0,INDEX('4 The queue'!$W$5:$W$212,$A17-1))+9+1,'4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queue'!$W$5:$W$212,$A17-1))+9+1,'4 The queue'!$W$5:$W$212,0)),9999)+'1 Inputs'!$B$22+'1 Inputs'!$B$23+'1 Inputs'!$B$24+'1 Inputs'!$B$25),'4 The queue'!$T$5:$T$40,1))=(IFERROR(INDEX('4 The queue'!$U$5:$U$212,MATCH(IF($A17&lt;=1,0,INDEX('4 The queue'!$W$5:$W$212,$A17-1))+9+1,'4 The queue'!$W$5:$W$212,0)),9999)+'1 Inputs'!$B$22+'1 Inputs'!$B$23+'1 Inputs'!$B$24+'1 Inputs'!$B$25),0,1)),9999)+'1 Inputs'!$B$26</f>
        <v>71</v>
      </c>
      <c r="T17" s="19" t="n">
        <f aca="false">IFERROR(INDEX('4 The queue'!$T$5:$T$40,MATCH((IFERROR(INDEX('4 The queue'!$U$5:$U$212,MATCH(IF($A17&lt;=1,0,INDEX('4 The queue'!$W$5:$W$212,$A17-1))+10+1,'4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queue'!$W$5:$W$212,$A17-1))+10+1,'4 The queue'!$W$5:$W$212,0)),9999)+'1 Inputs'!$B$22+'1 Inputs'!$B$23+'1 Inputs'!$B$24+'1 Inputs'!$B$25),'4 The queue'!$T$5:$T$40,1))=(IFERROR(INDEX('4 The queue'!$U$5:$U$212,MATCH(IF($A17&lt;=1,0,INDEX('4 The queue'!$W$5:$W$212,$A17-1))+10+1,'4 The queue'!$W$5:$W$212,0)),9999)+'1 Inputs'!$B$22+'1 Inputs'!$B$23+'1 Inputs'!$B$24+'1 Inputs'!$B$25),0,1)),9999)+'1 Inputs'!$B$26</f>
        <v>84</v>
      </c>
      <c r="U17" s="19" t="n">
        <f aca="false">IFERROR(INDEX('4 The queue'!$T$5:$T$40,MATCH((IFERROR(INDEX('4 The queue'!$U$5:$U$212,MATCH(IF($A17&lt;=1,0,INDEX('4 The queue'!$W$5:$W$212,$A17-1))+11+1,'4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queue'!$W$5:$W$212,$A17-1))+11+1,'4 The queue'!$W$5:$W$212,0)),9999)+'1 Inputs'!$B$22+'1 Inputs'!$B$23+'1 Inputs'!$B$24+'1 Inputs'!$B$25),'4 The queue'!$T$5:$T$40,1))=(IFERROR(INDEX('4 The queue'!$U$5:$U$212,MATCH(IF($A17&lt;=1,0,INDEX('4 The queue'!$W$5:$W$212,$A17-1))+11+1,'4 The queue'!$W$5:$W$212,0)),9999)+'1 Inputs'!$B$22+'1 Inputs'!$B$23+'1 Inputs'!$B$24+'1 Inputs'!$B$25),0,1)),9999)+'1 Inputs'!$B$26</f>
        <v>84</v>
      </c>
      <c r="V17" s="19" t="n">
        <f aca="false">IFERROR(INDEX('4 The queue'!$T$5:$T$40,MATCH((IFERROR(INDEX('4 The queue'!$U$5:$U$212,MATCH(IF($A17&lt;=1,0,INDEX('4 The queue'!$W$5:$W$212,$A17-1))+12+1,'4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queue'!$W$5:$W$212,$A17-1))+12+1,'4 The queue'!$W$5:$W$212,0)),9999)+'1 Inputs'!$B$22+'1 Inputs'!$B$23+'1 Inputs'!$B$24+'1 Inputs'!$B$25),'4 The queue'!$T$5:$T$40,1))=(IFERROR(INDEX('4 The queue'!$U$5:$U$212,MATCH(IF($A17&lt;=1,0,INDEX('4 The queue'!$W$5:$W$212,$A17-1))+12+1,'4 The queue'!$W$5:$W$212,0)),9999)+'1 Inputs'!$B$22+'1 Inputs'!$B$23+'1 Inputs'!$B$24+'1 Inputs'!$B$25),0,1)),9999)+'1 Inputs'!$B$26</f>
        <v>84</v>
      </c>
      <c r="W17" s="19" t="n">
        <f aca="false">IFERROR(INDEX('4 The queue'!$T$5:$T$40,MATCH((IFERROR(INDEX('4 The queue'!$U$5:$U$212,MATCH(IF($A17&lt;=1,0,INDEX('4 The queue'!$W$5:$W$212,$A17-1))+13+1,'4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queue'!$W$5:$W$212,$A17-1))+13+1,'4 The queue'!$W$5:$W$212,0)),9999)+'1 Inputs'!$B$22+'1 Inputs'!$B$23+'1 Inputs'!$B$24+'1 Inputs'!$B$25),'4 The queue'!$T$5:$T$40,1))=(IFERROR(INDEX('4 The queue'!$U$5:$U$212,MATCH(IF($A17&lt;=1,0,INDEX('4 The queue'!$W$5:$W$212,$A17-1))+13+1,'4 The queue'!$W$5:$W$212,0)),9999)+'1 Inputs'!$B$22+'1 Inputs'!$B$23+'1 Inputs'!$B$24+'1 Inputs'!$B$25),0,1)),9999)+'1 Inputs'!$B$26</f>
        <v>84</v>
      </c>
      <c r="X17" s="19" t="n">
        <f aca="false">IFERROR(INDEX('4 The queue'!$T$5:$T$40,MATCH((IFERROR(INDEX('4 The queue'!$U$5:$U$212,MATCH(IF($A17&lt;=1,0,INDEX('4 The queue'!$W$5:$W$212,$A17-1))+14+1,'4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queue'!$W$5:$W$212,$A17-1))+14+1,'4 The queue'!$W$5:$W$212,0)),9999)+'1 Inputs'!$B$22+'1 Inputs'!$B$23+'1 Inputs'!$B$24+'1 Inputs'!$B$25),'4 The queue'!$T$5:$T$40,1))=(IFERROR(INDEX('4 The queue'!$U$5:$U$212,MATCH(IF($A17&lt;=1,0,INDEX('4 The queue'!$W$5:$W$212,$A17-1))+14+1,'4 The queue'!$W$5:$W$212,0)),9999)+'1 Inputs'!$B$22+'1 Inputs'!$B$23+'1 Inputs'!$B$24+'1 Inputs'!$B$25),0,1)),9999)+'1 Inputs'!$B$26</f>
        <v>84</v>
      </c>
      <c r="Y17" s="19" t="n">
        <f aca="false">IFERROR(INDEX('4 The queue'!$T$5:$T$40,MATCH((IFERROR(INDEX('4 The queue'!$U$5:$U$212,MATCH(IF($A17&lt;=1,0,INDEX('4 The queue'!$W$5:$W$212,$A17-1))+15+1,'4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queue'!$W$5:$W$212,$A17-1))+15+1,'4 The queue'!$W$5:$W$212,0)),9999)+'1 Inputs'!$B$22+'1 Inputs'!$B$23+'1 Inputs'!$B$24+'1 Inputs'!$B$25),'4 The queue'!$T$5:$T$40,1))=(IFERROR(INDEX('4 The queue'!$U$5:$U$212,MATCH(IF($A17&lt;=1,0,INDEX('4 The queue'!$W$5:$W$212,$A17-1))+15+1,'4 The queue'!$W$5:$W$212,0)),9999)+'1 Inputs'!$B$22+'1 Inputs'!$B$23+'1 Inputs'!$B$24+'1 Inputs'!$B$25),0,1)),9999)+'1 Inputs'!$B$26</f>
        <v>84</v>
      </c>
      <c r="Z17" s="19" t="n">
        <f aca="false">IFERROR(INDEX('4 The queue'!$T$5:$T$40,MATCH((IFERROR(INDEX('4 The queue'!$U$5:$U$212,MATCH(IF($A17&lt;=1,0,INDEX('4 The queue'!$W$5:$W$212,$A17-1))+16+1,'4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queue'!$W$5:$W$212,$A17-1))+16+1,'4 The queue'!$W$5:$W$212,0)),9999)+'1 Inputs'!$B$22+'1 Inputs'!$B$23+'1 Inputs'!$B$24+'1 Inputs'!$B$25),'4 The queue'!$T$5:$T$40,1))=(IFERROR(INDEX('4 The queue'!$U$5:$U$212,MATCH(IF($A17&lt;=1,0,INDEX('4 The queue'!$W$5:$W$212,$A17-1))+16+1,'4 The queue'!$W$5:$W$212,0)),9999)+'1 Inputs'!$B$22+'1 Inputs'!$B$23+'1 Inputs'!$B$24+'1 Inputs'!$B$25),0,1)),9999)+'1 Inputs'!$B$26</f>
        <v>84</v>
      </c>
      <c r="AA17" s="19" t="n">
        <f aca="false">IFERROR(INDEX('4 The queue'!$T$5:$T$40,MATCH((IFERROR(INDEX('4 The queue'!$U$5:$U$212,MATCH(IF($A17&lt;=1,0,INDEX('4 The queue'!$W$5:$W$212,$A17-1))+17+1,'4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queue'!$W$5:$W$212,$A17-1))+17+1,'4 The queue'!$W$5:$W$212,0)),9999)+'1 Inputs'!$B$22+'1 Inputs'!$B$23+'1 Inputs'!$B$24+'1 Inputs'!$B$25),'4 The queue'!$T$5:$T$40,1))=(IFERROR(INDEX('4 The queue'!$U$5:$U$212,MATCH(IF($A17&lt;=1,0,INDEX('4 The queue'!$W$5:$W$212,$A17-1))+17+1,'4 The queue'!$W$5:$W$212,0)),9999)+'1 Inputs'!$B$22+'1 Inputs'!$B$23+'1 Inputs'!$B$24+'1 Inputs'!$B$25),0,1)),9999)+'1 Inputs'!$B$26</f>
        <v>84</v>
      </c>
      <c r="AB17" s="19" t="n">
        <f aca="false">IFERROR(INDEX('4 The queue'!$T$5:$T$40,MATCH((IFERROR(INDEX('4 The queue'!$U$5:$U$212,MATCH(IF($A17&lt;=1,0,INDEX('4 The queue'!$W$5:$W$212,$A17-1))+18+1,'4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queue'!$W$5:$W$212,$A17-1))+18+1,'4 The queue'!$W$5:$W$212,0)),9999)+'1 Inputs'!$B$22+'1 Inputs'!$B$23+'1 Inputs'!$B$24+'1 Inputs'!$B$25),'4 The queue'!$T$5:$T$40,1))=(IFERROR(INDEX('4 The queue'!$U$5:$U$212,MATCH(IF($A17&lt;=1,0,INDEX('4 The queue'!$W$5:$W$212,$A17-1))+18+1,'4 The queue'!$W$5:$W$212,0)),9999)+'1 Inputs'!$B$22+'1 Inputs'!$B$23+'1 Inputs'!$B$24+'1 Inputs'!$B$25),0,1)),9999)+'1 Inputs'!$B$26</f>
        <v>84</v>
      </c>
      <c r="AC17" s="19" t="n">
        <f aca="false">IFERROR(INDEX('4 The queue'!$T$5:$T$40,MATCH((IFERROR(INDEX('4 The queue'!$U$5:$U$212,MATCH(IF($A17&lt;=1,0,INDEX('4 The queue'!$W$5:$W$212,$A17-1))+19+1,'4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queue'!$W$5:$W$212,$A17-1))+19+1,'4 The queue'!$W$5:$W$212,0)),9999)+'1 Inputs'!$B$22+'1 Inputs'!$B$23+'1 Inputs'!$B$24+'1 Inputs'!$B$25),'4 The queue'!$T$5:$T$40,1))=(IFERROR(INDEX('4 The queue'!$U$5:$U$212,MATCH(IF($A17&lt;=1,0,INDEX('4 The queue'!$W$5:$W$212,$A17-1))+19+1,'4 The queue'!$W$5:$W$212,0)),9999)+'1 Inputs'!$B$22+'1 Inputs'!$B$23+'1 Inputs'!$B$24+'1 Inputs'!$B$25),0,1)),9999)+'1 Inputs'!$B$26</f>
        <v>84</v>
      </c>
      <c r="AD17" s="19" t="n">
        <f aca="false">IFERROR(INDEX('4 The queue'!$T$5:$T$40,MATCH((IFERROR(INDEX('4 The queue'!$U$5:$U$212,MATCH(IF($A17&lt;=1,0,INDEX('4 The queue'!$W$5:$W$212,$A17-1))+20+1,'4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queue'!$W$5:$W$212,$A17-1))+20+1,'4 The queue'!$W$5:$W$212,0)),9999)+'1 Inputs'!$B$22+'1 Inputs'!$B$23+'1 Inputs'!$B$24+'1 Inputs'!$B$25),'4 The queue'!$T$5:$T$40,1))=(IFERROR(INDEX('4 The queue'!$U$5:$U$212,MATCH(IF($A17&lt;=1,0,INDEX('4 The queue'!$W$5:$W$212,$A17-1))+20+1,'4 The queue'!$W$5:$W$212,0)),9999)+'1 Inputs'!$B$22+'1 Inputs'!$B$23+'1 Inputs'!$B$24+'1 Inputs'!$B$25),0,1)),9999)+'1 Inputs'!$B$26</f>
        <v>97</v>
      </c>
      <c r="AE17" s="19" t="n">
        <f aca="false">IFERROR(INDEX('4 The queue'!$T$5:$T$40,MATCH((IFERROR(INDEX('4 The queue'!$U$5:$U$212,MATCH(IF($A17&lt;=1,0,INDEX('4 The queue'!$W$5:$W$212,$A17-1))+21+1,'4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queue'!$W$5:$W$212,$A17-1))+21+1,'4 The queue'!$W$5:$W$212,0)),9999)+'1 Inputs'!$B$22+'1 Inputs'!$B$23+'1 Inputs'!$B$24+'1 Inputs'!$B$25),'4 The queue'!$T$5:$T$40,1))=(IFERROR(INDEX('4 The queue'!$U$5:$U$212,MATCH(IF($A17&lt;=1,0,INDEX('4 The queue'!$W$5:$W$212,$A17-1))+21+1,'4 The queue'!$W$5:$W$212,0)),9999)+'1 Inputs'!$B$22+'1 Inputs'!$B$23+'1 Inputs'!$B$24+'1 Inputs'!$B$25),0,1)),9999)+'1 Inputs'!$B$26</f>
        <v>97</v>
      </c>
      <c r="AF17" s="19" t="n">
        <f aca="false">IFERROR(INDEX('4 The queue'!$T$5:$T$40,MATCH((IFERROR(INDEX('4 The queue'!$U$5:$U$212,MATCH(IF($A17&lt;=1,0,INDEX('4 The queue'!$W$5:$W$212,$A17-1))+22+1,'4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queue'!$W$5:$W$212,$A17-1))+22+1,'4 The queue'!$W$5:$W$212,0)),9999)+'1 Inputs'!$B$22+'1 Inputs'!$B$23+'1 Inputs'!$B$24+'1 Inputs'!$B$25),'4 The queue'!$T$5:$T$40,1))=(IFERROR(INDEX('4 The queue'!$U$5:$U$212,MATCH(IF($A17&lt;=1,0,INDEX('4 The queue'!$W$5:$W$212,$A17-1))+22+1,'4 The queue'!$W$5:$W$212,0)),9999)+'1 Inputs'!$B$22+'1 Inputs'!$B$23+'1 Inputs'!$B$24+'1 Inputs'!$B$25),0,1)),9999)+'1 Inputs'!$B$26</f>
        <v>97</v>
      </c>
      <c r="AG17" s="19" t="n">
        <f aca="false">IFERROR(INDEX('4 The queue'!$T$5:$T$40,MATCH((IFERROR(INDEX('4 The queue'!$U$5:$U$212,MATCH(IF($A17&lt;=1,0,INDEX('4 The queue'!$W$5:$W$212,$A17-1))+23+1,'4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queue'!$W$5:$W$212,$A17-1))+23+1,'4 The queue'!$W$5:$W$212,0)),9999)+'1 Inputs'!$B$22+'1 Inputs'!$B$23+'1 Inputs'!$B$24+'1 Inputs'!$B$25),'4 The queue'!$T$5:$T$40,1))=(IFERROR(INDEX('4 The queue'!$U$5:$U$212,MATCH(IF($A17&lt;=1,0,INDEX('4 The queue'!$W$5:$W$212,$A17-1))+23+1,'4 The queue'!$W$5:$W$212,0)),9999)+'1 Inputs'!$B$22+'1 Inputs'!$B$23+'1 Inputs'!$B$24+'1 Inputs'!$B$25),0,1)),9999)+'1 Inputs'!$B$26</f>
        <v>97</v>
      </c>
      <c r="AH17" s="19" t="n">
        <f aca="false">IFERROR(INDEX('4 The queue'!$T$5:$T$40,MATCH((IFERROR(INDEX('4 The queue'!$U$5:$U$212,MATCH(IF($A17&lt;=1,0,INDEX('4 The queue'!$W$5:$W$212,$A17-1))+24+1,'4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queue'!$W$5:$W$212,$A17-1))+24+1,'4 The queue'!$W$5:$W$212,0)),9999)+'1 Inputs'!$B$22+'1 Inputs'!$B$23+'1 Inputs'!$B$24+'1 Inputs'!$B$25),'4 The queue'!$T$5:$T$40,1))=(IFERROR(INDEX('4 The queue'!$U$5:$U$212,MATCH(IF($A17&lt;=1,0,INDEX('4 The queue'!$W$5:$W$212,$A17-1))+24+1,'4 The queue'!$W$5:$W$212,0)),9999)+'1 Inputs'!$B$22+'1 Inputs'!$B$23+'1 Inputs'!$B$24+'1 Inputs'!$B$25),0,1)),9999)+'1 Inputs'!$B$26</f>
        <v>97</v>
      </c>
      <c r="AI17" s="19" t="n">
        <f aca="false">IFERROR(INDEX('4 The queue'!$T$5:$T$40,MATCH((IFERROR(INDEX('4 The queue'!$U$5:$U$212,MATCH(IF($A17&lt;=1,0,INDEX('4 The queue'!$W$5:$W$212,$A17-1))+25+1,'4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queue'!$W$5:$W$212,$A17-1))+25+1,'4 The queue'!$W$5:$W$212,0)),9999)+'1 Inputs'!$B$22+'1 Inputs'!$B$23+'1 Inputs'!$B$24+'1 Inputs'!$B$25),'4 The queue'!$T$5:$T$40,1))=(IFERROR(INDEX('4 The queue'!$U$5:$U$212,MATCH(IF($A17&lt;=1,0,INDEX('4 The queue'!$W$5:$W$212,$A17-1))+25+1,'4 The queue'!$W$5:$W$212,0)),9999)+'1 Inputs'!$B$22+'1 Inputs'!$B$23+'1 Inputs'!$B$24+'1 Inputs'!$B$25),0,1)),9999)+'1 Inputs'!$B$26</f>
        <v>97</v>
      </c>
      <c r="AJ17" s="19" t="n">
        <f aca="false">IFERROR(INDEX('4 The queue'!$T$5:$T$40,MATCH((IFERROR(INDEX('4 The queue'!$U$5:$U$212,MATCH(IF($A17&lt;=1,0,INDEX('4 The queue'!$W$5:$W$212,$A17-1))+26+1,'4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queue'!$W$5:$W$212,$A17-1))+26+1,'4 The queue'!$W$5:$W$212,0)),9999)+'1 Inputs'!$B$22+'1 Inputs'!$B$23+'1 Inputs'!$B$24+'1 Inputs'!$B$25),'4 The queue'!$T$5:$T$40,1))=(IFERROR(INDEX('4 The queue'!$U$5:$U$212,MATCH(IF($A17&lt;=1,0,INDEX('4 The queue'!$W$5:$W$212,$A17-1))+26+1,'4 The queue'!$W$5:$W$212,0)),9999)+'1 Inputs'!$B$22+'1 Inputs'!$B$23+'1 Inputs'!$B$24+'1 Inputs'!$B$25),0,1)),9999)+'1 Inputs'!$B$26</f>
        <v>97</v>
      </c>
      <c r="AK17" s="19" t="n">
        <f aca="false">IFERROR(INDEX('4 The queue'!$T$5:$T$40,MATCH((IFERROR(INDEX('4 The queue'!$U$5:$U$212,MATCH(IF($A17&lt;=1,0,INDEX('4 The queue'!$W$5:$W$212,$A17-1))+27+1,'4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queue'!$W$5:$W$212,$A17-1))+27+1,'4 The queue'!$W$5:$W$212,0)),9999)+'1 Inputs'!$B$22+'1 Inputs'!$B$23+'1 Inputs'!$B$24+'1 Inputs'!$B$25),'4 The queue'!$T$5:$T$40,1))=(IFERROR(INDEX('4 The queue'!$U$5:$U$212,MATCH(IF($A17&lt;=1,0,INDEX('4 The queue'!$W$5:$W$212,$A17-1))+27+1,'4 The queue'!$W$5:$W$212,0)),9999)+'1 Inputs'!$B$22+'1 Inputs'!$B$23+'1 Inputs'!$B$24+'1 Inputs'!$B$25),0,1)),9999)+'1 Inputs'!$B$26</f>
        <v>97</v>
      </c>
      <c r="AL17" s="19" t="n">
        <f aca="false">IFERROR(INDEX('4 The queue'!$T$5:$T$40,MATCH((IFERROR(INDEX('4 The queue'!$U$5:$U$212,MATCH(IF($A17&lt;=1,0,INDEX('4 The queue'!$W$5:$W$212,$A17-1))+28+1,'4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queue'!$W$5:$W$212,$A17-1))+28+1,'4 The queue'!$W$5:$W$212,0)),9999)+'1 Inputs'!$B$22+'1 Inputs'!$B$23+'1 Inputs'!$B$24+'1 Inputs'!$B$25),'4 The queue'!$T$5:$T$40,1))=(IFERROR(INDEX('4 The queue'!$U$5:$U$212,MATCH(IF($A17&lt;=1,0,INDEX('4 The queue'!$W$5:$W$212,$A17-1))+28+1,'4 The queue'!$W$5:$W$212,0)),9999)+'1 Inputs'!$B$22+'1 Inputs'!$B$23+'1 Inputs'!$B$24+'1 Inputs'!$B$25),0,1)),9999)+'1 Inputs'!$B$26</f>
        <v>97</v>
      </c>
      <c r="AM17" s="19" t="n">
        <f aca="false">IFERROR(INDEX('4 The queue'!$T$5:$T$40,MATCH((IFERROR(INDEX('4 The queue'!$U$5:$U$212,MATCH(IF($A17&lt;=1,0,INDEX('4 The queue'!$W$5:$W$212,$A17-1))+29+1,'4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queue'!$W$5:$W$212,$A17-1))+29+1,'4 The queue'!$W$5:$W$212,0)),9999)+'1 Inputs'!$B$22+'1 Inputs'!$B$23+'1 Inputs'!$B$24+'1 Inputs'!$B$25),'4 The queue'!$T$5:$T$40,1))=(IFERROR(INDEX('4 The queue'!$U$5:$U$212,MATCH(IF($A17&lt;=1,0,INDEX('4 The queue'!$W$5:$W$212,$A17-1))+29+1,'4 The queue'!$W$5:$W$212,0)),9999)+'1 Inputs'!$B$22+'1 Inputs'!$B$23+'1 Inputs'!$B$24+'1 Inputs'!$B$25),0,1)),9999)+'1 Inputs'!$B$26</f>
        <v>97</v>
      </c>
      <c r="AN17" s="19" t="n">
        <f aca="false">IFERROR(INDEX('4 The queue'!$T$5:$T$40,MATCH((IFERROR(INDEX('4 The queue'!$U$5:$U$212,MATCH(IF($A17&lt;=1,0,INDEX('4 The queue'!$W$5:$W$212,$A17-1))+30+1,'4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queue'!$W$5:$W$212,$A17-1))+30+1,'4 The queue'!$W$5:$W$212,0)),9999)+'1 Inputs'!$B$22+'1 Inputs'!$B$23+'1 Inputs'!$B$24+'1 Inputs'!$B$25),'4 The queue'!$T$5:$T$40,1))=(IFERROR(INDEX('4 The queue'!$U$5:$U$212,MATCH(IF($A17&lt;=1,0,INDEX('4 The queue'!$W$5:$W$212,$A17-1))+30+1,'4 The queue'!$W$5:$W$212,0)),9999)+'1 Inputs'!$B$22+'1 Inputs'!$B$23+'1 Inputs'!$B$24+'1 Inputs'!$B$25),0,1)),9999)+'1 Inputs'!$B$26</f>
        <v>97</v>
      </c>
      <c r="AO17" s="19" t="n">
        <f aca="false">IFERROR(INDEX('4 The queue'!$T$5:$T$40,MATCH((IFERROR(INDEX('4 The queue'!$U$5:$U$212,MATCH(IF($A17&lt;=1,0,INDEX('4 The queue'!$W$5:$W$212,$A17-1))+31+1,'4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queue'!$W$5:$W$212,$A17-1))+31+1,'4 The queue'!$W$5:$W$212,0)),9999)+'1 Inputs'!$B$22+'1 Inputs'!$B$23+'1 Inputs'!$B$24+'1 Inputs'!$B$25),'4 The queue'!$T$5:$T$40,1))=(IFERROR(INDEX('4 The queue'!$U$5:$U$212,MATCH(IF($A17&lt;=1,0,INDEX('4 The queue'!$W$5:$W$212,$A17-1))+31+1,'4 The queue'!$W$5:$W$212,0)),9999)+'1 Inputs'!$B$22+'1 Inputs'!$B$23+'1 Inputs'!$B$24+'1 Inputs'!$B$25),0,1)),9999)+'1 Inputs'!$B$26</f>
        <v>97</v>
      </c>
      <c r="AP17" s="19" t="n">
        <f aca="false">IFERROR(INDEX('4 The queue'!$T$5:$T$40,MATCH((IFERROR(INDEX('4 The queue'!$U$5:$U$212,MATCH(IF($A17&lt;=1,0,INDEX('4 The queue'!$W$5:$W$212,$A17-1))+32+1,'4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queue'!$W$5:$W$212,$A17-1))+32+1,'4 The queue'!$W$5:$W$212,0)),9999)+'1 Inputs'!$B$22+'1 Inputs'!$B$23+'1 Inputs'!$B$24+'1 Inputs'!$B$25),'4 The queue'!$T$5:$T$40,1))=(IFERROR(INDEX('4 The queue'!$U$5:$U$212,MATCH(IF($A17&lt;=1,0,INDEX('4 The queue'!$W$5:$W$212,$A17-1))+32+1,'4 The queue'!$W$5:$W$212,0)),9999)+'1 Inputs'!$B$22+'1 Inputs'!$B$23+'1 Inputs'!$B$24+'1 Inputs'!$B$25),0,1)),9999)+'1 Inputs'!$B$26</f>
        <v>97</v>
      </c>
      <c r="AQ17" s="19" t="n">
        <f aca="false">IFERROR(INDEX('4 The queue'!$T$5:$T$40,MATCH((IFERROR(INDEX('4 The queue'!$U$5:$U$212,MATCH(IF($A17&lt;=1,0,INDEX('4 The queue'!$W$5:$W$212,$A17-1))+33+1,'4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queue'!$W$5:$W$212,$A17-1))+33+1,'4 The queue'!$W$5:$W$212,0)),9999)+'1 Inputs'!$B$22+'1 Inputs'!$B$23+'1 Inputs'!$B$24+'1 Inputs'!$B$25),'4 The queue'!$T$5:$T$40,1))=(IFERROR(INDEX('4 The queue'!$U$5:$U$212,MATCH(IF($A17&lt;=1,0,INDEX('4 The queue'!$W$5:$W$212,$A17-1))+33+1,'4 The queue'!$W$5:$W$212,0)),9999)+'1 Inputs'!$B$22+'1 Inputs'!$B$23+'1 Inputs'!$B$24+'1 Inputs'!$B$25),0,1)),9999)+'1 Inputs'!$B$26</f>
        <v>107</v>
      </c>
      <c r="AR17" s="19" t="n">
        <f aca="false">IFERROR(INDEX('4 The queue'!$T$5:$T$40,MATCH((IFERROR(INDEX('4 The queue'!$U$5:$U$212,MATCH(IF($A17&lt;=1,0,INDEX('4 The queue'!$W$5:$W$212,$A17-1))+34+1,'4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queue'!$W$5:$W$212,$A17-1))+34+1,'4 The queue'!$W$5:$W$212,0)),9999)+'1 Inputs'!$B$22+'1 Inputs'!$B$23+'1 Inputs'!$B$24+'1 Inputs'!$B$25),'4 The queue'!$T$5:$T$40,1))=(IFERROR(INDEX('4 The queue'!$U$5:$U$212,MATCH(IF($A17&lt;=1,0,INDEX('4 The queue'!$W$5:$W$212,$A17-1))+34+1,'4 The queue'!$W$5:$W$212,0)),9999)+'1 Inputs'!$B$22+'1 Inputs'!$B$23+'1 Inputs'!$B$24+'1 Inputs'!$B$25),0,1)),9999)+'1 Inputs'!$B$26</f>
        <v>107</v>
      </c>
      <c r="AS17" s="19" t="n">
        <f aca="false">IFERROR(INDEX('4 The queue'!$T$5:$T$40,MATCH((IFERROR(INDEX('4 The queue'!$U$5:$U$212,MATCH(IF($A17&lt;=1,0,INDEX('4 The queue'!$W$5:$W$212,$A17-1))+35+1,'4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queue'!$W$5:$W$212,$A17-1))+35+1,'4 The queue'!$W$5:$W$212,0)),9999)+'1 Inputs'!$B$22+'1 Inputs'!$B$23+'1 Inputs'!$B$24+'1 Inputs'!$B$25),'4 The queue'!$T$5:$T$40,1))=(IFERROR(INDEX('4 The queue'!$U$5:$U$212,MATCH(IF($A17&lt;=1,0,INDEX('4 The queue'!$W$5:$W$212,$A17-1))+35+1,'4 The queue'!$W$5:$W$212,0)),9999)+'1 Inputs'!$B$22+'1 Inputs'!$B$23+'1 Inputs'!$B$24+'1 Inputs'!$B$25),0,1)),9999)+'1 Inputs'!$B$26</f>
        <v>107</v>
      </c>
      <c r="AT17" s="19" t="n">
        <f aca="false">IFERROR(INDEX('4 The queue'!$T$5:$T$40,MATCH((IFERROR(INDEX('4 The queue'!$U$5:$U$212,MATCH(IF($A17&lt;=1,0,INDEX('4 The queue'!$W$5:$W$212,$A17-1))+36+1,'4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queue'!$W$5:$W$212,$A17-1))+36+1,'4 The queue'!$W$5:$W$212,0)),9999)+'1 Inputs'!$B$22+'1 Inputs'!$B$23+'1 Inputs'!$B$24+'1 Inputs'!$B$25),'4 The queue'!$T$5:$T$40,1))=(IFERROR(INDEX('4 The queue'!$U$5:$U$212,MATCH(IF($A17&lt;=1,0,INDEX('4 The queue'!$W$5:$W$212,$A17-1))+36+1,'4 The queue'!$W$5:$W$212,0)),9999)+'1 Inputs'!$B$22+'1 Inputs'!$B$23+'1 Inputs'!$B$24+'1 Inputs'!$B$25),0,1)),9999)+'1 Inputs'!$B$26</f>
        <v>107</v>
      </c>
      <c r="AU17" s="19" t="n">
        <f aca="false">IFERROR(INDEX('4 The queue'!$T$5:$T$40,MATCH((IFERROR(INDEX('4 The queue'!$U$5:$U$212,MATCH(IF($A17&lt;=1,0,INDEX('4 The queue'!$W$5:$W$212,$A17-1))+37+1,'4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queue'!$W$5:$W$212,$A17-1))+37+1,'4 The queue'!$W$5:$W$212,0)),9999)+'1 Inputs'!$B$22+'1 Inputs'!$B$23+'1 Inputs'!$B$24+'1 Inputs'!$B$25),'4 The queue'!$T$5:$T$40,1))=(IFERROR(INDEX('4 The queue'!$U$5:$U$212,MATCH(IF($A17&lt;=1,0,INDEX('4 The queue'!$W$5:$W$212,$A17-1))+37+1,'4 The queue'!$W$5:$W$212,0)),9999)+'1 Inputs'!$B$22+'1 Inputs'!$B$23+'1 Inputs'!$B$24+'1 Inputs'!$B$25),0,1)),9999)+'1 Inputs'!$B$26</f>
        <v>107</v>
      </c>
      <c r="AV17" s="19" t="n">
        <f aca="false">IFERROR(INDEX('4 The queue'!$T$5:$T$40,MATCH((IFERROR(INDEX('4 The queue'!$U$5:$U$212,MATCH(IF($A17&lt;=1,0,INDEX('4 The queue'!$W$5:$W$212,$A17-1))+38+1,'4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queue'!$W$5:$W$212,$A17-1))+38+1,'4 The queue'!$W$5:$W$212,0)),9999)+'1 Inputs'!$B$22+'1 Inputs'!$B$23+'1 Inputs'!$B$24+'1 Inputs'!$B$25),'4 The queue'!$T$5:$T$40,1))=(IFERROR(INDEX('4 The queue'!$U$5:$U$212,MATCH(IF($A17&lt;=1,0,INDEX('4 The queue'!$W$5:$W$212,$A17-1))+38+1,'4 The queue'!$W$5:$W$212,0)),9999)+'1 Inputs'!$B$22+'1 Inputs'!$B$23+'1 Inputs'!$B$24+'1 Inputs'!$B$25),0,1)),9999)+'1 Inputs'!$B$26</f>
        <v>107</v>
      </c>
      <c r="AW17" s="19" t="n">
        <f aca="false">IFERROR(INDEX('4 The queue'!$T$5:$T$40,MATCH((IFERROR(INDEX('4 The queue'!$U$5:$U$212,MATCH(IF($A17&lt;=1,0,INDEX('4 The queue'!$W$5:$W$212,$A17-1))+39+1,'4 The queue'!$W$5:$W$212,0)),9999)+'1 Inputs'!$B$22+'1 Inputs'!$B$23+'1 Inputs'!$B$24+'1 Inputs'!$B$25),'4 The queue'!$T$5:$T$40,1)+IF(INDEX('4 The queue'!$T$5:$T$40,MATCH((IFERROR(INDEX('4 The queue'!$U$5:$U$212,MATCH(IF($A17&lt;=1,0,INDEX('4 The queue'!$W$5:$W$212,$A17-1))+39+1,'4 The queue'!$W$5:$W$212,0)),9999)+'1 Inputs'!$B$22+'1 Inputs'!$B$23+'1 Inputs'!$B$24+'1 Inputs'!$B$25),'4 The queue'!$T$5:$T$40,1))=(IFERROR(INDEX('4 The queue'!$U$5:$U$212,MATCH(IF($A17&lt;=1,0,INDEX('4 The queue'!$W$5:$W$212,$A17-1))+39+1,'4 The queue'!$W$5:$W$212,0)),9999)+'1 Inputs'!$B$22+'1 Inputs'!$B$23+'1 Inputs'!$B$24+'1 Inputs'!$B$25),0,1)),9999)+'1 Inputs'!$B$26</f>
        <v>107</v>
      </c>
      <c r="AX17" s="19" t="n">
        <f aca="false">MAX(0,MIN('1 Inputs'!$B$15,'1 Inputs'!$B$5*'1 Inputs'!$B$6-0*'1 Inputs'!$B$15))*'1 Inputs'!$B$7*'1 Inputs'!$B$8*'1 Inputs'!$B$9*'1 Inputs'!$B$10*'1 Inputs'!$B$11</f>
        <v>6250000</v>
      </c>
      <c r="AY17" s="19" t="n">
        <f aca="false">MAX(0,MIN('1 Inputs'!$B$15,'1 Inputs'!$B$5*'1 Inputs'!$B$6-1*'1 Inputs'!$B$15))*'1 Inputs'!$B$7*'1 Inputs'!$B$8*'1 Inputs'!$B$9*'1 Inputs'!$B$10*'1 Inputs'!$B$11</f>
        <v>6250000</v>
      </c>
      <c r="AZ17" s="19" t="n">
        <f aca="false">MAX(0,MIN('1 Inputs'!$B$15,'1 Inputs'!$B$5*'1 Inputs'!$B$6-2*'1 Inputs'!$B$15))*'1 Inputs'!$B$7*'1 Inputs'!$B$8*'1 Inputs'!$B$9*'1 Inputs'!$B$10*'1 Inputs'!$B$11</f>
        <v>6250000</v>
      </c>
      <c r="BA17" s="19" t="n">
        <f aca="false">MAX(0,MIN('1 Inputs'!$B$15,'1 Inputs'!$B$5*'1 Inputs'!$B$6-3*'1 Inputs'!$B$15))*'1 Inputs'!$B$7*'1 Inputs'!$B$8*'1 Inputs'!$B$9*'1 Inputs'!$B$10*'1 Inputs'!$B$11</f>
        <v>6250000</v>
      </c>
      <c r="BB17" s="19" t="n">
        <f aca="false">MAX(0,MIN('1 Inputs'!$B$15,'1 Inputs'!$B$5*'1 Inputs'!$B$6-4*'1 Inputs'!$B$15))*'1 Inputs'!$B$7*'1 Inputs'!$B$8*'1 Inputs'!$B$9*'1 Inputs'!$B$10*'1 Inputs'!$B$11</f>
        <v>6250000</v>
      </c>
      <c r="BC17" s="19" t="n">
        <f aca="false">MAX(0,MIN('1 Inputs'!$B$15,'1 Inputs'!$B$5*'1 Inputs'!$B$6-5*'1 Inputs'!$B$15))*'1 Inputs'!$B$7*'1 Inputs'!$B$8*'1 Inputs'!$B$9*'1 Inputs'!$B$10*'1 Inputs'!$B$11</f>
        <v>6250000</v>
      </c>
      <c r="BD17" s="19" t="n">
        <f aca="false">MAX(0,MIN('1 Inputs'!$B$15,'1 Inputs'!$B$5*'1 Inputs'!$B$6-6*'1 Inputs'!$B$15))*'1 Inputs'!$B$7*'1 Inputs'!$B$8*'1 Inputs'!$B$9*'1 Inputs'!$B$10*'1 Inputs'!$B$11</f>
        <v>6250000</v>
      </c>
      <c r="BE17" s="19" t="n">
        <f aca="false">MAX(0,MIN('1 Inputs'!$B$15,'1 Inputs'!$B$5*'1 Inputs'!$B$6-7*'1 Inputs'!$B$15))*'1 Inputs'!$B$7*'1 Inputs'!$B$8*'1 Inputs'!$B$9*'1 Inputs'!$B$10*'1 Inputs'!$B$11</f>
        <v>6250000</v>
      </c>
      <c r="BF17" s="19" t="n">
        <f aca="false">MAX(0,MIN('1 Inputs'!$B$15,'1 Inputs'!$B$5*'1 Inputs'!$B$6-8*'1 Inputs'!$B$15))*'1 Inputs'!$B$7*'1 Inputs'!$B$8*'1 Inputs'!$B$9*'1 Inputs'!$B$10*'1 Inputs'!$B$11</f>
        <v>6250000</v>
      </c>
      <c r="BG17" s="19" t="n">
        <f aca="false">MAX(0,MIN('1 Inputs'!$B$15,'1 Inputs'!$B$5*'1 Inputs'!$B$6-9*'1 Inputs'!$B$15))*'1 Inputs'!$B$7*'1 Inputs'!$B$8*'1 Inputs'!$B$9*'1 Inputs'!$B$10*'1 Inputs'!$B$11</f>
        <v>6250000</v>
      </c>
      <c r="BH17" s="19" t="n">
        <f aca="false">MAX(0,MIN('1 Inputs'!$B$15,'1 Inputs'!$B$5*'1 Inputs'!$B$6-10*'1 Inputs'!$B$15))*'1 Inputs'!$B$7*'1 Inputs'!$B$8*'1 Inputs'!$B$9*'1 Inputs'!$B$10*'1 Inputs'!$B$11</f>
        <v>6250000</v>
      </c>
      <c r="BI17" s="19" t="n">
        <f aca="false">MAX(0,MIN('1 Inputs'!$B$15,'1 Inputs'!$B$5*'1 Inputs'!$B$6-11*'1 Inputs'!$B$15))*'1 Inputs'!$B$7*'1 Inputs'!$B$8*'1 Inputs'!$B$9*'1 Inputs'!$B$10*'1 Inputs'!$B$11</f>
        <v>6250000</v>
      </c>
      <c r="BJ17" s="19" t="n">
        <f aca="false">MAX(0,MIN('1 Inputs'!$B$15,'1 Inputs'!$B$5*'1 Inputs'!$B$6-12*'1 Inputs'!$B$15))*'1 Inputs'!$B$7*'1 Inputs'!$B$8*'1 Inputs'!$B$9*'1 Inputs'!$B$10*'1 Inputs'!$B$11</f>
        <v>6250000</v>
      </c>
      <c r="BK17" s="19" t="n">
        <f aca="false">MAX(0,MIN('1 Inputs'!$B$15,'1 Inputs'!$B$5*'1 Inputs'!$B$6-13*'1 Inputs'!$B$15))*'1 Inputs'!$B$7*'1 Inputs'!$B$8*'1 Inputs'!$B$9*'1 Inputs'!$B$10*'1 Inputs'!$B$11</f>
        <v>6250000</v>
      </c>
      <c r="BL17" s="19" t="n">
        <f aca="false">MAX(0,MIN('1 Inputs'!$B$15,'1 Inputs'!$B$5*'1 Inputs'!$B$6-14*'1 Inputs'!$B$15))*'1 Inputs'!$B$7*'1 Inputs'!$B$8*'1 Inputs'!$B$9*'1 Inputs'!$B$10*'1 Inputs'!$B$11</f>
        <v>6250000</v>
      </c>
      <c r="BM17" s="19" t="n">
        <f aca="false">MAX(0,MIN('1 Inputs'!$B$15,'1 Inputs'!$B$5*'1 Inputs'!$B$6-15*'1 Inputs'!$B$15))*'1 Inputs'!$B$7*'1 Inputs'!$B$8*'1 Inputs'!$B$9*'1 Inputs'!$B$10*'1 Inputs'!$B$11</f>
        <v>0</v>
      </c>
      <c r="BN17" s="19" t="n">
        <f aca="false">MAX(0,MIN('1 Inputs'!$B$15,'1 Inputs'!$B$5*'1 Inputs'!$B$6-16*'1 Inputs'!$B$15))*'1 Inputs'!$B$7*'1 Inputs'!$B$8*'1 Inputs'!$B$9*'1 Inputs'!$B$10*'1 Inputs'!$B$11</f>
        <v>0</v>
      </c>
      <c r="BO17" s="19" t="n">
        <f aca="false">MAX(0,MIN('1 Inputs'!$B$15,'1 Inputs'!$B$5*'1 Inputs'!$B$6-17*'1 Inputs'!$B$15))*'1 Inputs'!$B$7*'1 Inputs'!$B$8*'1 Inputs'!$B$9*'1 Inputs'!$B$10*'1 Inputs'!$B$11</f>
        <v>0</v>
      </c>
      <c r="BP17" s="19" t="n">
        <f aca="false">MAX(0,MIN('1 Inputs'!$B$15,'1 Inputs'!$B$5*'1 Inputs'!$B$6-18*'1 Inputs'!$B$15))*'1 Inputs'!$B$7*'1 Inputs'!$B$8*'1 Inputs'!$B$9*'1 Inputs'!$B$10*'1 Inputs'!$B$11</f>
        <v>0</v>
      </c>
      <c r="BQ17" s="19" t="n">
        <f aca="false">MAX(0,MIN('1 Inputs'!$B$15,'1 Inputs'!$B$5*'1 Inputs'!$B$6-19*'1 Inputs'!$B$15))*'1 Inputs'!$B$7*'1 Inputs'!$B$8*'1 Inputs'!$B$9*'1 Inputs'!$B$10*'1 Inputs'!$B$11</f>
        <v>0</v>
      </c>
      <c r="BR17" s="19" t="n">
        <f aca="false">MAX(0,MIN('1 Inputs'!$B$15,'1 Inputs'!$B$5*'1 Inputs'!$B$6-20*'1 Inputs'!$B$15))*'1 Inputs'!$B$7*'1 Inputs'!$B$8*'1 Inputs'!$B$9*'1 Inputs'!$B$10*'1 Inputs'!$B$11</f>
        <v>0</v>
      </c>
      <c r="BS17" s="19" t="n">
        <f aca="false">MAX(0,MIN('1 Inputs'!$B$15,'1 Inputs'!$B$5*'1 Inputs'!$B$6-21*'1 Inputs'!$B$15))*'1 Inputs'!$B$7*'1 Inputs'!$B$8*'1 Inputs'!$B$9*'1 Inputs'!$B$10*'1 Inputs'!$B$11</f>
        <v>0</v>
      </c>
      <c r="BT17" s="19" t="n">
        <f aca="false">MAX(0,MIN('1 Inputs'!$B$15,'1 Inputs'!$B$5*'1 Inputs'!$B$6-22*'1 Inputs'!$B$15))*'1 Inputs'!$B$7*'1 Inputs'!$B$8*'1 Inputs'!$B$9*'1 Inputs'!$B$10*'1 Inputs'!$B$11</f>
        <v>0</v>
      </c>
      <c r="BU17" s="19" t="n">
        <f aca="false">MAX(0,MIN('1 Inputs'!$B$15,'1 Inputs'!$B$5*'1 Inputs'!$B$6-23*'1 Inputs'!$B$15))*'1 Inputs'!$B$7*'1 Inputs'!$B$8*'1 Inputs'!$B$9*'1 Inputs'!$B$10*'1 Inputs'!$B$11</f>
        <v>0</v>
      </c>
      <c r="BV17" s="19" t="n">
        <f aca="false">MAX(0,MIN('1 Inputs'!$B$15,'1 Inputs'!$B$5*'1 Inputs'!$B$6-24*'1 Inputs'!$B$15))*'1 Inputs'!$B$7*'1 Inputs'!$B$8*'1 Inputs'!$B$9*'1 Inputs'!$B$10*'1 Inputs'!$B$11</f>
        <v>0</v>
      </c>
      <c r="BW17" s="19" t="n">
        <f aca="false">MAX(0,MIN('1 Inputs'!$B$15,'1 Inputs'!$B$5*'1 Inputs'!$B$6-25*'1 Inputs'!$B$15))*'1 Inputs'!$B$7*'1 Inputs'!$B$8*'1 Inputs'!$B$9*'1 Inputs'!$B$10*'1 Inputs'!$B$11</f>
        <v>0</v>
      </c>
      <c r="BX17" s="19" t="n">
        <f aca="false">MAX(0,MIN('1 Inputs'!$B$15,'1 Inputs'!$B$5*'1 Inputs'!$B$6-26*'1 Inputs'!$B$15))*'1 Inputs'!$B$7*'1 Inputs'!$B$8*'1 Inputs'!$B$9*'1 Inputs'!$B$10*'1 Inputs'!$B$11</f>
        <v>0</v>
      </c>
      <c r="BY17" s="19" t="n">
        <f aca="false">MAX(0,MIN('1 Inputs'!$B$15,'1 Inputs'!$B$5*'1 Inputs'!$B$6-27*'1 Inputs'!$B$15))*'1 Inputs'!$B$7*'1 Inputs'!$B$8*'1 Inputs'!$B$9*'1 Inputs'!$B$10*'1 Inputs'!$B$11</f>
        <v>0</v>
      </c>
      <c r="BZ17" s="19" t="n">
        <f aca="false">MAX(0,MIN('1 Inputs'!$B$15,'1 Inputs'!$B$5*'1 Inputs'!$B$6-28*'1 Inputs'!$B$15))*'1 Inputs'!$B$7*'1 Inputs'!$B$8*'1 Inputs'!$B$9*'1 Inputs'!$B$10*'1 Inputs'!$B$11</f>
        <v>0</v>
      </c>
      <c r="CA17" s="19" t="n">
        <f aca="false">MAX(0,MIN('1 Inputs'!$B$15,'1 Inputs'!$B$5*'1 Inputs'!$B$6-29*'1 Inputs'!$B$15))*'1 Inputs'!$B$7*'1 Inputs'!$B$8*'1 Inputs'!$B$9*'1 Inputs'!$B$10*'1 Inputs'!$B$11</f>
        <v>0</v>
      </c>
      <c r="CB17" s="19" t="n">
        <f aca="false">MAX(0,MIN('1 Inputs'!$B$15,'1 Inputs'!$B$5*'1 Inputs'!$B$6-30*'1 Inputs'!$B$15))*'1 Inputs'!$B$7*'1 Inputs'!$B$8*'1 Inputs'!$B$9*'1 Inputs'!$B$10*'1 Inputs'!$B$11</f>
        <v>0</v>
      </c>
      <c r="CC17" s="19" t="n">
        <f aca="false">MAX(0,MIN('1 Inputs'!$B$15,'1 Inputs'!$B$5*'1 Inputs'!$B$6-31*'1 Inputs'!$B$15))*'1 Inputs'!$B$7*'1 Inputs'!$B$8*'1 Inputs'!$B$9*'1 Inputs'!$B$10*'1 Inputs'!$B$11</f>
        <v>0</v>
      </c>
      <c r="CD17" s="19" t="n">
        <f aca="false">MAX(0,MIN('1 Inputs'!$B$15,'1 Inputs'!$B$5*'1 Inputs'!$B$6-32*'1 Inputs'!$B$15))*'1 Inputs'!$B$7*'1 Inputs'!$B$8*'1 Inputs'!$B$9*'1 Inputs'!$B$10*'1 Inputs'!$B$11</f>
        <v>0</v>
      </c>
      <c r="CE17" s="19" t="n">
        <f aca="false">MAX(0,MIN('1 Inputs'!$B$15,'1 Inputs'!$B$5*'1 Inputs'!$B$6-33*'1 Inputs'!$B$15))*'1 Inputs'!$B$7*'1 Inputs'!$B$8*'1 Inputs'!$B$9*'1 Inputs'!$B$10*'1 Inputs'!$B$11</f>
        <v>0</v>
      </c>
      <c r="CF17" s="19" t="n">
        <f aca="false">MAX(0,MIN('1 Inputs'!$B$15,'1 Inputs'!$B$5*'1 Inputs'!$B$6-34*'1 Inputs'!$B$15))*'1 Inputs'!$B$7*'1 Inputs'!$B$8*'1 Inputs'!$B$9*'1 Inputs'!$B$10*'1 Inputs'!$B$11</f>
        <v>0</v>
      </c>
      <c r="CG17" s="19" t="n">
        <f aca="false">MAX(0,MIN('1 Inputs'!$B$15,'1 Inputs'!$B$5*'1 Inputs'!$B$6-35*'1 Inputs'!$B$15))*'1 Inputs'!$B$7*'1 Inputs'!$B$8*'1 Inputs'!$B$9*'1 Inputs'!$B$10*'1 Inputs'!$B$11</f>
        <v>0</v>
      </c>
      <c r="CH17" s="19" t="n">
        <f aca="false">MAX(0,MIN('1 Inputs'!$B$15,'1 Inputs'!$B$5*'1 Inputs'!$B$6-36*'1 Inputs'!$B$15))*'1 Inputs'!$B$7*'1 Inputs'!$B$8*'1 Inputs'!$B$9*'1 Inputs'!$B$10*'1 Inputs'!$B$11</f>
        <v>0</v>
      </c>
      <c r="CI17" s="19" t="n">
        <f aca="false">MAX(0,MIN('1 Inputs'!$B$15,'1 Inputs'!$B$5*'1 Inputs'!$B$6-37*'1 Inputs'!$B$15))*'1 Inputs'!$B$7*'1 Inputs'!$B$8*'1 Inputs'!$B$9*'1 Inputs'!$B$10*'1 Inputs'!$B$11</f>
        <v>0</v>
      </c>
      <c r="CJ17" s="19" t="n">
        <f aca="false">MAX(0,MIN('1 Inputs'!$B$15,'1 Inputs'!$B$5*'1 Inputs'!$B$6-38*'1 Inputs'!$B$15))*'1 Inputs'!$B$7*'1 Inputs'!$B$8*'1 Inputs'!$B$9*'1 Inputs'!$B$10*'1 Inputs'!$B$11</f>
        <v>0</v>
      </c>
      <c r="CK17" s="19" t="n">
        <f aca="false">MAX(0,MIN('1 Inputs'!$B$15,'1 Inputs'!$B$5*'1 Inputs'!$B$6-39*'1 Inputs'!$B$15))*'1 Inputs'!$B$7*'1 Inputs'!$B$8*'1 Inputs'!$B$9*'1 Inputs'!$B$10*'1 Inputs'!$B$11</f>
        <v>0</v>
      </c>
    </row>
    <row r="20" customFormat="false" ht="15" hidden="false" customHeight="false" outlineLevel="0" collapsed="false">
      <c r="A20" s="2" t="s">
        <v>207</v>
      </c>
    </row>
    <row r="21" customFormat="false" ht="15" hidden="false" customHeight="false" outlineLevel="0" collapsed="false">
      <c r="A21" s="2" t="s">
        <v>208</v>
      </c>
    </row>
    <row r="22" customFormat="false" ht="15" hidden="false" customHeight="false" outlineLevel="0" collapsed="false">
      <c r="A22" s="2" t="s">
        <v>209</v>
      </c>
    </row>
    <row r="23" customFormat="false" ht="15" hidden="false" customHeight="false" outlineLevel="0" collapsed="false">
      <c r="A23" s="2" t="s">
        <v>210</v>
      </c>
    </row>
    <row r="24" customFormat="false" ht="15" hidden="false" customHeight="false" outlineLevel="0" collapsed="false">
      <c r="A24" s="2" t="s">
        <v>211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Y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7" min="2" style="0" width="15"/>
    <col collapsed="false" customWidth="true" hidden="true" outlineLevel="0" max="139" min="10" style="0" width="13"/>
  </cols>
  <sheetData>
    <row r="1" customFormat="false" ht="16.15" hidden="false" customHeight="false" outlineLevel="0" collapsed="false">
      <c r="A1" s="1" t="s">
        <v>212</v>
      </c>
    </row>
    <row r="2" customFormat="false" ht="15" hidden="false" customHeight="false" outlineLevel="0" collapsed="false">
      <c r="A2" s="2" t="s">
        <v>213</v>
      </c>
    </row>
    <row r="5" customFormat="false" ht="15" hidden="false" customHeight="false" outlineLevel="0" collapsed="false">
      <c r="A5" s="11" t="s">
        <v>214</v>
      </c>
      <c r="B5" s="11" t="s">
        <v>215</v>
      </c>
      <c r="C5" s="11" t="s">
        <v>216</v>
      </c>
      <c r="D5" s="11" t="s">
        <v>217</v>
      </c>
      <c r="E5" s="11" t="s">
        <v>218</v>
      </c>
      <c r="F5" s="11" t="s">
        <v>219</v>
      </c>
    </row>
    <row r="6" customFormat="false" ht="15" hidden="false" customHeight="false" outlineLevel="0" collapsed="false">
      <c r="A6" s="12" t="n">
        <v>180</v>
      </c>
      <c r="B6" s="12" t="n">
        <f aca="false">C40</f>
        <v>75000000</v>
      </c>
      <c r="C6" s="12" t="n">
        <f aca="false">C41</f>
        <v>93750000</v>
      </c>
      <c r="D6" s="12" t="n">
        <f aca="false">C42</f>
        <v>93750000</v>
      </c>
      <c r="E6" s="12" t="n">
        <f aca="false">C43</f>
        <v>93750000</v>
      </c>
      <c r="F6" s="12" t="n">
        <f aca="false">C44</f>
        <v>93750000</v>
      </c>
    </row>
    <row r="7" customFormat="false" ht="15" hidden="false" customHeight="false" outlineLevel="0" collapsed="false">
      <c r="A7" s="12" t="n">
        <v>240</v>
      </c>
      <c r="B7" s="12" t="n">
        <f aca="false">C45</f>
        <v>75000000</v>
      </c>
      <c r="C7" s="12" t="n">
        <f aca="false">C46</f>
        <v>112500000</v>
      </c>
      <c r="D7" s="12" t="n">
        <f aca="false">C47</f>
        <v>125000000</v>
      </c>
      <c r="E7" s="12" t="n">
        <f aca="false">C48</f>
        <v>125000000</v>
      </c>
      <c r="F7" s="12" t="n">
        <f aca="false">C49</f>
        <v>125000000</v>
      </c>
    </row>
    <row r="8" customFormat="false" ht="15" hidden="false" customHeight="false" outlineLevel="0" collapsed="false">
      <c r="A8" s="12" t="n">
        <v>300</v>
      </c>
      <c r="B8" s="12" t="n">
        <f aca="false">C50</f>
        <v>75000000</v>
      </c>
      <c r="C8" s="12" t="n">
        <f aca="false">C51</f>
        <v>112500000</v>
      </c>
      <c r="D8" s="12" t="n">
        <f aca="false">C52</f>
        <v>150000000</v>
      </c>
      <c r="E8" s="12" t="n">
        <f aca="false">C53</f>
        <v>156250000</v>
      </c>
      <c r="F8" s="12" t="n">
        <f aca="false">C54</f>
        <v>156250000</v>
      </c>
    </row>
    <row r="9" customFormat="false" ht="15" hidden="false" customHeight="false" outlineLevel="0" collapsed="false">
      <c r="A9" s="12" t="n">
        <v>360</v>
      </c>
      <c r="B9" s="12" t="n">
        <f aca="false">C55</f>
        <v>75000000</v>
      </c>
      <c r="C9" s="12" t="n">
        <f aca="false">C56</f>
        <v>112500000</v>
      </c>
      <c r="D9" s="12" t="n">
        <f aca="false">C57</f>
        <v>150000000</v>
      </c>
      <c r="E9" s="12" t="n">
        <f aca="false">C58</f>
        <v>187500000</v>
      </c>
      <c r="F9" s="12" t="n">
        <f aca="false">C59</f>
        <v>187500000</v>
      </c>
    </row>
    <row r="10" customFormat="false" ht="15" hidden="false" customHeight="false" outlineLevel="0" collapsed="false">
      <c r="A10" s="12" t="n">
        <v>420</v>
      </c>
      <c r="B10" s="12" t="n">
        <f aca="false">C60</f>
        <v>75000000</v>
      </c>
      <c r="C10" s="12" t="n">
        <f aca="false">C61</f>
        <v>112500000</v>
      </c>
      <c r="D10" s="12" t="n">
        <f aca="false">C62</f>
        <v>150000000</v>
      </c>
      <c r="E10" s="12" t="n">
        <f aca="false">C63</f>
        <v>187500000</v>
      </c>
      <c r="F10" s="12" t="n">
        <f aca="false">C64</f>
        <v>218750000</v>
      </c>
    </row>
    <row r="11" customFormat="false" ht="15" hidden="false" customHeight="false" outlineLevel="0" collapsed="false">
      <c r="A11" s="12" t="n">
        <v>480</v>
      </c>
      <c r="B11" s="12" t="n">
        <f aca="false">C65</f>
        <v>75000000</v>
      </c>
      <c r="C11" s="12" t="n">
        <f aca="false">C66</f>
        <v>112500000</v>
      </c>
      <c r="D11" s="12" t="n">
        <f aca="false">C67</f>
        <v>150000000</v>
      </c>
      <c r="E11" s="12" t="n">
        <f aca="false">C68</f>
        <v>187500000</v>
      </c>
      <c r="F11" s="12" t="n">
        <f aca="false">C69</f>
        <v>225000000</v>
      </c>
    </row>
    <row r="14" customFormat="false" ht="15" hidden="false" customHeight="false" outlineLevel="0" collapsed="false">
      <c r="A14" s="2" t="s">
        <v>220</v>
      </c>
    </row>
    <row r="15" customFormat="false" ht="15" hidden="false" customHeight="false" outlineLevel="0" collapsed="false">
      <c r="A15" s="2" t="s">
        <v>221</v>
      </c>
    </row>
    <row r="16" customFormat="false" ht="15" hidden="false" customHeight="false" outlineLevel="0" collapsed="false">
      <c r="A16" s="2" t="s">
        <v>222</v>
      </c>
    </row>
    <row r="17" customFormat="false" ht="15" hidden="false" customHeight="false" outlineLevel="0" collapsed="false">
      <c r="A17" s="2" t="s">
        <v>223</v>
      </c>
    </row>
    <row r="18" customFormat="false" ht="15" hidden="false" customHeight="false" outlineLevel="0" collapsed="false">
      <c r="A18" s="2" t="s">
        <v>224</v>
      </c>
    </row>
    <row r="19" customFormat="false" ht="15" hidden="false" customHeight="false" outlineLevel="0" collapsed="false">
      <c r="A19" s="2" t="s">
        <v>225</v>
      </c>
    </row>
    <row r="20" customFormat="false" ht="15" hidden="false" customHeight="false" outlineLevel="0" collapsed="false">
      <c r="A20" s="2" t="s">
        <v>226</v>
      </c>
    </row>
    <row r="21" customFormat="false" ht="15" hidden="false" customHeight="false" outlineLevel="0" collapsed="false">
      <c r="A21" s="2" t="s">
        <v>227</v>
      </c>
    </row>
    <row r="22" customFormat="false" ht="15" hidden="false" customHeight="false" outlineLevel="0" collapsed="false">
      <c r="A22" s="2" t="s">
        <v>228</v>
      </c>
    </row>
    <row r="23" customFormat="false" ht="15" hidden="false" customHeight="false" outlineLevel="0" collapsed="false">
      <c r="A23" s="2" t="s">
        <v>229</v>
      </c>
    </row>
    <row r="39" customFormat="false" ht="28.35" hidden="false" customHeight="false" outlineLevel="0" collapsed="false">
      <c r="A39" s="11" t="s">
        <v>230</v>
      </c>
      <c r="B39" s="11" t="s">
        <v>231</v>
      </c>
      <c r="C39" s="11" t="s">
        <v>204</v>
      </c>
    </row>
    <row r="40" customFormat="false" ht="15" hidden="false" customHeight="false" outlineLevel="0" collapsed="false">
      <c r="A40" s="0" t="n">
        <v>180</v>
      </c>
      <c r="B40" s="0" t="n">
        <v>4</v>
      </c>
      <c r="C40" s="12" t="n">
        <f aca="false">SUMIF(J40:BQ40,"&lt;="&amp;('1 Inputs'!$B$21+52),BR40:DY40)</f>
        <v>75000000</v>
      </c>
      <c r="J40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40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40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40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40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40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40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40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40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40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40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40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40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40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40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40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40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40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40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40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40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40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40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40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40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40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40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40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40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40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40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40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40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40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40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40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40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40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40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40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40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40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40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40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40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40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40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40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40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40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40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40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40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40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40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40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40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40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40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40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40" s="19" t="n">
        <f aca="false">MAX(0,MIN($B40,$A40*'1 Inputs'!$B$6-0*$B40))*'1 Inputs'!$B$7*'1 Inputs'!$B$8*'1 Inputs'!$B$9*'1 Inputs'!$B$10*'1 Inputs'!$B$11</f>
        <v>4166666.66666667</v>
      </c>
      <c r="BS40" s="19" t="n">
        <f aca="false">MAX(0,MIN($B40,$A40*'1 Inputs'!$B$6-1*$B40))*'1 Inputs'!$B$7*'1 Inputs'!$B$8*'1 Inputs'!$B$9*'1 Inputs'!$B$10*'1 Inputs'!$B$11</f>
        <v>4166666.66666667</v>
      </c>
      <c r="BT40" s="19" t="n">
        <f aca="false">MAX(0,MIN($B40,$A40*'1 Inputs'!$B$6-2*$B40))*'1 Inputs'!$B$7*'1 Inputs'!$B$8*'1 Inputs'!$B$9*'1 Inputs'!$B$10*'1 Inputs'!$B$11</f>
        <v>4166666.66666667</v>
      </c>
      <c r="BU40" s="19" t="n">
        <f aca="false">MAX(0,MIN($B40,$A40*'1 Inputs'!$B$6-3*$B40))*'1 Inputs'!$B$7*'1 Inputs'!$B$8*'1 Inputs'!$B$9*'1 Inputs'!$B$10*'1 Inputs'!$B$11</f>
        <v>4166666.66666667</v>
      </c>
      <c r="BV40" s="19" t="n">
        <f aca="false">MAX(0,MIN($B40,$A40*'1 Inputs'!$B$6-4*$B40))*'1 Inputs'!$B$7*'1 Inputs'!$B$8*'1 Inputs'!$B$9*'1 Inputs'!$B$10*'1 Inputs'!$B$11</f>
        <v>4166666.66666667</v>
      </c>
      <c r="BW40" s="19" t="n">
        <f aca="false">MAX(0,MIN($B40,$A40*'1 Inputs'!$B$6-5*$B40))*'1 Inputs'!$B$7*'1 Inputs'!$B$8*'1 Inputs'!$B$9*'1 Inputs'!$B$10*'1 Inputs'!$B$11</f>
        <v>4166666.66666667</v>
      </c>
      <c r="BX40" s="19" t="n">
        <f aca="false">MAX(0,MIN($B40,$A40*'1 Inputs'!$B$6-6*$B40))*'1 Inputs'!$B$7*'1 Inputs'!$B$8*'1 Inputs'!$B$9*'1 Inputs'!$B$10*'1 Inputs'!$B$11</f>
        <v>4166666.66666667</v>
      </c>
      <c r="BY40" s="19" t="n">
        <f aca="false">MAX(0,MIN($B40,$A40*'1 Inputs'!$B$6-7*$B40))*'1 Inputs'!$B$7*'1 Inputs'!$B$8*'1 Inputs'!$B$9*'1 Inputs'!$B$10*'1 Inputs'!$B$11</f>
        <v>4166666.66666667</v>
      </c>
      <c r="BZ40" s="19" t="n">
        <f aca="false">MAX(0,MIN($B40,$A40*'1 Inputs'!$B$6-8*$B40))*'1 Inputs'!$B$7*'1 Inputs'!$B$8*'1 Inputs'!$B$9*'1 Inputs'!$B$10*'1 Inputs'!$B$11</f>
        <v>4166666.66666667</v>
      </c>
      <c r="CA40" s="19" t="n">
        <f aca="false">MAX(0,MIN($B40,$A40*'1 Inputs'!$B$6-9*$B40))*'1 Inputs'!$B$7*'1 Inputs'!$B$8*'1 Inputs'!$B$9*'1 Inputs'!$B$10*'1 Inputs'!$B$11</f>
        <v>4166666.66666667</v>
      </c>
      <c r="CB40" s="19" t="n">
        <f aca="false">MAX(0,MIN($B40,$A40*'1 Inputs'!$B$6-10*$B40))*'1 Inputs'!$B$7*'1 Inputs'!$B$8*'1 Inputs'!$B$9*'1 Inputs'!$B$10*'1 Inputs'!$B$11</f>
        <v>4166666.66666667</v>
      </c>
      <c r="CC40" s="19" t="n">
        <f aca="false">MAX(0,MIN($B40,$A40*'1 Inputs'!$B$6-11*$B40))*'1 Inputs'!$B$7*'1 Inputs'!$B$8*'1 Inputs'!$B$9*'1 Inputs'!$B$10*'1 Inputs'!$B$11</f>
        <v>4166666.66666667</v>
      </c>
      <c r="CD40" s="19" t="n">
        <f aca="false">MAX(0,MIN($B40,$A40*'1 Inputs'!$B$6-12*$B40))*'1 Inputs'!$B$7*'1 Inputs'!$B$8*'1 Inputs'!$B$9*'1 Inputs'!$B$10*'1 Inputs'!$B$11</f>
        <v>4166666.66666667</v>
      </c>
      <c r="CE40" s="19" t="n">
        <f aca="false">MAX(0,MIN($B40,$A40*'1 Inputs'!$B$6-13*$B40))*'1 Inputs'!$B$7*'1 Inputs'!$B$8*'1 Inputs'!$B$9*'1 Inputs'!$B$10*'1 Inputs'!$B$11</f>
        <v>4166666.66666667</v>
      </c>
      <c r="CF40" s="19" t="n">
        <f aca="false">MAX(0,MIN($B40,$A40*'1 Inputs'!$B$6-14*$B40))*'1 Inputs'!$B$7*'1 Inputs'!$B$8*'1 Inputs'!$B$9*'1 Inputs'!$B$10*'1 Inputs'!$B$11</f>
        <v>4166666.66666667</v>
      </c>
      <c r="CG40" s="19" t="n">
        <f aca="false">MAX(0,MIN($B40,$A40*'1 Inputs'!$B$6-15*$B40))*'1 Inputs'!$B$7*'1 Inputs'!$B$8*'1 Inputs'!$B$9*'1 Inputs'!$B$10*'1 Inputs'!$B$11</f>
        <v>4166666.66666667</v>
      </c>
      <c r="CH40" s="19" t="n">
        <f aca="false">MAX(0,MIN($B40,$A40*'1 Inputs'!$B$6-16*$B40))*'1 Inputs'!$B$7*'1 Inputs'!$B$8*'1 Inputs'!$B$9*'1 Inputs'!$B$10*'1 Inputs'!$B$11</f>
        <v>4166666.66666667</v>
      </c>
      <c r="CI40" s="19" t="n">
        <f aca="false">MAX(0,MIN($B40,$A40*'1 Inputs'!$B$6-17*$B40))*'1 Inputs'!$B$7*'1 Inputs'!$B$8*'1 Inputs'!$B$9*'1 Inputs'!$B$10*'1 Inputs'!$B$11</f>
        <v>4166666.66666667</v>
      </c>
      <c r="CJ40" s="19" t="n">
        <f aca="false">MAX(0,MIN($B40,$A40*'1 Inputs'!$B$6-18*$B40))*'1 Inputs'!$B$7*'1 Inputs'!$B$8*'1 Inputs'!$B$9*'1 Inputs'!$B$10*'1 Inputs'!$B$11</f>
        <v>4166666.66666667</v>
      </c>
      <c r="CK40" s="19" t="n">
        <f aca="false">MAX(0,MIN($B40,$A40*'1 Inputs'!$B$6-19*$B40))*'1 Inputs'!$B$7*'1 Inputs'!$B$8*'1 Inputs'!$B$9*'1 Inputs'!$B$10*'1 Inputs'!$B$11</f>
        <v>4166666.66666667</v>
      </c>
      <c r="CL40" s="19" t="n">
        <f aca="false">MAX(0,MIN($B40,$A40*'1 Inputs'!$B$6-20*$B40))*'1 Inputs'!$B$7*'1 Inputs'!$B$8*'1 Inputs'!$B$9*'1 Inputs'!$B$10*'1 Inputs'!$B$11</f>
        <v>4166666.66666667</v>
      </c>
      <c r="CM40" s="19" t="n">
        <f aca="false">MAX(0,MIN($B40,$A40*'1 Inputs'!$B$6-21*$B40))*'1 Inputs'!$B$7*'1 Inputs'!$B$8*'1 Inputs'!$B$9*'1 Inputs'!$B$10*'1 Inputs'!$B$11</f>
        <v>4166666.66666667</v>
      </c>
      <c r="CN40" s="19" t="n">
        <f aca="false">MAX(0,MIN($B40,$A40*'1 Inputs'!$B$6-22*$B40))*'1 Inputs'!$B$7*'1 Inputs'!$B$8*'1 Inputs'!$B$9*'1 Inputs'!$B$10*'1 Inputs'!$B$11</f>
        <v>2083333.33333333</v>
      </c>
      <c r="CO40" s="19" t="n">
        <f aca="false">MAX(0,MIN($B40,$A40*'1 Inputs'!$B$6-23*$B40))*'1 Inputs'!$B$7*'1 Inputs'!$B$8*'1 Inputs'!$B$9*'1 Inputs'!$B$10*'1 Inputs'!$B$11</f>
        <v>0</v>
      </c>
      <c r="CP40" s="19" t="n">
        <f aca="false">MAX(0,MIN($B40,$A40*'1 Inputs'!$B$6-24*$B40))*'1 Inputs'!$B$7*'1 Inputs'!$B$8*'1 Inputs'!$B$9*'1 Inputs'!$B$10*'1 Inputs'!$B$11</f>
        <v>0</v>
      </c>
      <c r="CQ40" s="19" t="n">
        <f aca="false">MAX(0,MIN($B40,$A40*'1 Inputs'!$B$6-25*$B40))*'1 Inputs'!$B$7*'1 Inputs'!$B$8*'1 Inputs'!$B$9*'1 Inputs'!$B$10*'1 Inputs'!$B$11</f>
        <v>0</v>
      </c>
      <c r="CR40" s="19" t="n">
        <f aca="false">MAX(0,MIN($B40,$A40*'1 Inputs'!$B$6-26*$B40))*'1 Inputs'!$B$7*'1 Inputs'!$B$8*'1 Inputs'!$B$9*'1 Inputs'!$B$10*'1 Inputs'!$B$11</f>
        <v>0</v>
      </c>
      <c r="CS40" s="19" t="n">
        <f aca="false">MAX(0,MIN($B40,$A40*'1 Inputs'!$B$6-27*$B40))*'1 Inputs'!$B$7*'1 Inputs'!$B$8*'1 Inputs'!$B$9*'1 Inputs'!$B$10*'1 Inputs'!$B$11</f>
        <v>0</v>
      </c>
      <c r="CT40" s="19" t="n">
        <f aca="false">MAX(0,MIN($B40,$A40*'1 Inputs'!$B$6-28*$B40))*'1 Inputs'!$B$7*'1 Inputs'!$B$8*'1 Inputs'!$B$9*'1 Inputs'!$B$10*'1 Inputs'!$B$11</f>
        <v>0</v>
      </c>
      <c r="CU40" s="19" t="n">
        <f aca="false">MAX(0,MIN($B40,$A40*'1 Inputs'!$B$6-29*$B40))*'1 Inputs'!$B$7*'1 Inputs'!$B$8*'1 Inputs'!$B$9*'1 Inputs'!$B$10*'1 Inputs'!$B$11</f>
        <v>0</v>
      </c>
      <c r="CV40" s="19" t="n">
        <f aca="false">MAX(0,MIN($B40,$A40*'1 Inputs'!$B$6-30*$B40))*'1 Inputs'!$B$7*'1 Inputs'!$B$8*'1 Inputs'!$B$9*'1 Inputs'!$B$10*'1 Inputs'!$B$11</f>
        <v>0</v>
      </c>
      <c r="CW40" s="19" t="n">
        <f aca="false">MAX(0,MIN($B40,$A40*'1 Inputs'!$B$6-31*$B40))*'1 Inputs'!$B$7*'1 Inputs'!$B$8*'1 Inputs'!$B$9*'1 Inputs'!$B$10*'1 Inputs'!$B$11</f>
        <v>0</v>
      </c>
      <c r="CX40" s="19" t="n">
        <f aca="false">MAX(0,MIN($B40,$A40*'1 Inputs'!$B$6-32*$B40))*'1 Inputs'!$B$7*'1 Inputs'!$B$8*'1 Inputs'!$B$9*'1 Inputs'!$B$10*'1 Inputs'!$B$11</f>
        <v>0</v>
      </c>
      <c r="CY40" s="19" t="n">
        <f aca="false">MAX(0,MIN($B40,$A40*'1 Inputs'!$B$6-33*$B40))*'1 Inputs'!$B$7*'1 Inputs'!$B$8*'1 Inputs'!$B$9*'1 Inputs'!$B$10*'1 Inputs'!$B$11</f>
        <v>0</v>
      </c>
      <c r="CZ40" s="19" t="n">
        <f aca="false">MAX(0,MIN($B40,$A40*'1 Inputs'!$B$6-34*$B40))*'1 Inputs'!$B$7*'1 Inputs'!$B$8*'1 Inputs'!$B$9*'1 Inputs'!$B$10*'1 Inputs'!$B$11</f>
        <v>0</v>
      </c>
      <c r="DA40" s="19" t="n">
        <f aca="false">MAX(0,MIN($B40,$A40*'1 Inputs'!$B$6-35*$B40))*'1 Inputs'!$B$7*'1 Inputs'!$B$8*'1 Inputs'!$B$9*'1 Inputs'!$B$10*'1 Inputs'!$B$11</f>
        <v>0</v>
      </c>
      <c r="DB40" s="19" t="n">
        <f aca="false">MAX(0,MIN($B40,$A40*'1 Inputs'!$B$6-36*$B40))*'1 Inputs'!$B$7*'1 Inputs'!$B$8*'1 Inputs'!$B$9*'1 Inputs'!$B$10*'1 Inputs'!$B$11</f>
        <v>0</v>
      </c>
      <c r="DC40" s="19" t="n">
        <f aca="false">MAX(0,MIN($B40,$A40*'1 Inputs'!$B$6-37*$B40))*'1 Inputs'!$B$7*'1 Inputs'!$B$8*'1 Inputs'!$B$9*'1 Inputs'!$B$10*'1 Inputs'!$B$11</f>
        <v>0</v>
      </c>
      <c r="DD40" s="19" t="n">
        <f aca="false">MAX(0,MIN($B40,$A40*'1 Inputs'!$B$6-38*$B40))*'1 Inputs'!$B$7*'1 Inputs'!$B$8*'1 Inputs'!$B$9*'1 Inputs'!$B$10*'1 Inputs'!$B$11</f>
        <v>0</v>
      </c>
      <c r="DE40" s="19" t="n">
        <f aca="false">MAX(0,MIN($B40,$A40*'1 Inputs'!$B$6-39*$B40))*'1 Inputs'!$B$7*'1 Inputs'!$B$8*'1 Inputs'!$B$9*'1 Inputs'!$B$10*'1 Inputs'!$B$11</f>
        <v>0</v>
      </c>
      <c r="DF40" s="19" t="n">
        <f aca="false">MAX(0,MIN($B40,$A40*'1 Inputs'!$B$6-40*$B40))*'1 Inputs'!$B$7*'1 Inputs'!$B$8*'1 Inputs'!$B$9*'1 Inputs'!$B$10*'1 Inputs'!$B$11</f>
        <v>0</v>
      </c>
      <c r="DG40" s="19" t="n">
        <f aca="false">MAX(0,MIN($B40,$A40*'1 Inputs'!$B$6-41*$B40))*'1 Inputs'!$B$7*'1 Inputs'!$B$8*'1 Inputs'!$B$9*'1 Inputs'!$B$10*'1 Inputs'!$B$11</f>
        <v>0</v>
      </c>
      <c r="DH40" s="19" t="n">
        <f aca="false">MAX(0,MIN($B40,$A40*'1 Inputs'!$B$6-42*$B40))*'1 Inputs'!$B$7*'1 Inputs'!$B$8*'1 Inputs'!$B$9*'1 Inputs'!$B$10*'1 Inputs'!$B$11</f>
        <v>0</v>
      </c>
      <c r="DI40" s="19" t="n">
        <f aca="false">MAX(0,MIN($B40,$A40*'1 Inputs'!$B$6-43*$B40))*'1 Inputs'!$B$7*'1 Inputs'!$B$8*'1 Inputs'!$B$9*'1 Inputs'!$B$10*'1 Inputs'!$B$11</f>
        <v>0</v>
      </c>
      <c r="DJ40" s="19" t="n">
        <f aca="false">MAX(0,MIN($B40,$A40*'1 Inputs'!$B$6-44*$B40))*'1 Inputs'!$B$7*'1 Inputs'!$B$8*'1 Inputs'!$B$9*'1 Inputs'!$B$10*'1 Inputs'!$B$11</f>
        <v>0</v>
      </c>
      <c r="DK40" s="19" t="n">
        <f aca="false">MAX(0,MIN($B40,$A40*'1 Inputs'!$B$6-45*$B40))*'1 Inputs'!$B$7*'1 Inputs'!$B$8*'1 Inputs'!$B$9*'1 Inputs'!$B$10*'1 Inputs'!$B$11</f>
        <v>0</v>
      </c>
      <c r="DL40" s="19" t="n">
        <f aca="false">MAX(0,MIN($B40,$A40*'1 Inputs'!$B$6-46*$B40))*'1 Inputs'!$B$7*'1 Inputs'!$B$8*'1 Inputs'!$B$9*'1 Inputs'!$B$10*'1 Inputs'!$B$11</f>
        <v>0</v>
      </c>
      <c r="DM40" s="19" t="n">
        <f aca="false">MAX(0,MIN($B40,$A40*'1 Inputs'!$B$6-47*$B40))*'1 Inputs'!$B$7*'1 Inputs'!$B$8*'1 Inputs'!$B$9*'1 Inputs'!$B$10*'1 Inputs'!$B$11</f>
        <v>0</v>
      </c>
      <c r="DN40" s="19" t="n">
        <f aca="false">MAX(0,MIN($B40,$A40*'1 Inputs'!$B$6-48*$B40))*'1 Inputs'!$B$7*'1 Inputs'!$B$8*'1 Inputs'!$B$9*'1 Inputs'!$B$10*'1 Inputs'!$B$11</f>
        <v>0</v>
      </c>
      <c r="DO40" s="19" t="n">
        <f aca="false">MAX(0,MIN($B40,$A40*'1 Inputs'!$B$6-49*$B40))*'1 Inputs'!$B$7*'1 Inputs'!$B$8*'1 Inputs'!$B$9*'1 Inputs'!$B$10*'1 Inputs'!$B$11</f>
        <v>0</v>
      </c>
      <c r="DP40" s="19" t="n">
        <f aca="false">MAX(0,MIN($B40,$A40*'1 Inputs'!$B$6-50*$B40))*'1 Inputs'!$B$7*'1 Inputs'!$B$8*'1 Inputs'!$B$9*'1 Inputs'!$B$10*'1 Inputs'!$B$11</f>
        <v>0</v>
      </c>
      <c r="DQ40" s="19" t="n">
        <f aca="false">MAX(0,MIN($B40,$A40*'1 Inputs'!$B$6-51*$B40))*'1 Inputs'!$B$7*'1 Inputs'!$B$8*'1 Inputs'!$B$9*'1 Inputs'!$B$10*'1 Inputs'!$B$11</f>
        <v>0</v>
      </c>
      <c r="DR40" s="19" t="n">
        <f aca="false">MAX(0,MIN($B40,$A40*'1 Inputs'!$B$6-52*$B40))*'1 Inputs'!$B$7*'1 Inputs'!$B$8*'1 Inputs'!$B$9*'1 Inputs'!$B$10*'1 Inputs'!$B$11</f>
        <v>0</v>
      </c>
      <c r="DS40" s="19" t="n">
        <f aca="false">MAX(0,MIN($B40,$A40*'1 Inputs'!$B$6-53*$B40))*'1 Inputs'!$B$7*'1 Inputs'!$B$8*'1 Inputs'!$B$9*'1 Inputs'!$B$10*'1 Inputs'!$B$11</f>
        <v>0</v>
      </c>
      <c r="DT40" s="19" t="n">
        <f aca="false">MAX(0,MIN($B40,$A40*'1 Inputs'!$B$6-54*$B40))*'1 Inputs'!$B$7*'1 Inputs'!$B$8*'1 Inputs'!$B$9*'1 Inputs'!$B$10*'1 Inputs'!$B$11</f>
        <v>0</v>
      </c>
      <c r="DU40" s="19" t="n">
        <f aca="false">MAX(0,MIN($B40,$A40*'1 Inputs'!$B$6-55*$B40))*'1 Inputs'!$B$7*'1 Inputs'!$B$8*'1 Inputs'!$B$9*'1 Inputs'!$B$10*'1 Inputs'!$B$11</f>
        <v>0</v>
      </c>
      <c r="DV40" s="19" t="n">
        <f aca="false">MAX(0,MIN($B40,$A40*'1 Inputs'!$B$6-56*$B40))*'1 Inputs'!$B$7*'1 Inputs'!$B$8*'1 Inputs'!$B$9*'1 Inputs'!$B$10*'1 Inputs'!$B$11</f>
        <v>0</v>
      </c>
      <c r="DW40" s="19" t="n">
        <f aca="false">MAX(0,MIN($B40,$A40*'1 Inputs'!$B$6-57*$B40))*'1 Inputs'!$B$7*'1 Inputs'!$B$8*'1 Inputs'!$B$9*'1 Inputs'!$B$10*'1 Inputs'!$B$11</f>
        <v>0</v>
      </c>
      <c r="DX40" s="19" t="n">
        <f aca="false">MAX(0,MIN($B40,$A40*'1 Inputs'!$B$6-58*$B40))*'1 Inputs'!$B$7*'1 Inputs'!$B$8*'1 Inputs'!$B$9*'1 Inputs'!$B$10*'1 Inputs'!$B$11</f>
        <v>0</v>
      </c>
      <c r="DY40" s="19" t="n">
        <f aca="false">MAX(0,MIN($B40,$A40*'1 Inputs'!$B$6-59*$B40))*'1 Inputs'!$B$7*'1 Inputs'!$B$8*'1 Inputs'!$B$9*'1 Inputs'!$B$10*'1 Inputs'!$B$11</f>
        <v>0</v>
      </c>
    </row>
    <row r="41" customFormat="false" ht="15" hidden="false" customHeight="false" outlineLevel="0" collapsed="false">
      <c r="A41" s="0" t="n">
        <v>180</v>
      </c>
      <c r="B41" s="0" t="n">
        <v>6</v>
      </c>
      <c r="C41" s="12" t="n">
        <f aca="false">SUMIF(J41:BQ41,"&lt;="&amp;('1 Inputs'!$B$21+52),BR41:DY41)</f>
        <v>93750000</v>
      </c>
      <c r="J41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41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41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41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41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41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41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41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41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41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41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41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41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41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41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41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41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41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41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41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41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41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41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41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41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41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41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41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41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41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41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41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41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41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41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41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41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41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41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41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41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41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41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41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41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41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41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41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41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41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41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41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41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41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41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41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41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41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41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41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41" s="19" t="n">
        <f aca="false">MAX(0,MIN($B41,$A41*'1 Inputs'!$B$6-0*$B41))*'1 Inputs'!$B$7*'1 Inputs'!$B$8*'1 Inputs'!$B$9*'1 Inputs'!$B$10*'1 Inputs'!$B$11</f>
        <v>6250000</v>
      </c>
      <c r="BS41" s="19" t="n">
        <f aca="false">MAX(0,MIN($B41,$A41*'1 Inputs'!$B$6-1*$B41))*'1 Inputs'!$B$7*'1 Inputs'!$B$8*'1 Inputs'!$B$9*'1 Inputs'!$B$10*'1 Inputs'!$B$11</f>
        <v>6250000</v>
      </c>
      <c r="BT41" s="19" t="n">
        <f aca="false">MAX(0,MIN($B41,$A41*'1 Inputs'!$B$6-2*$B41))*'1 Inputs'!$B$7*'1 Inputs'!$B$8*'1 Inputs'!$B$9*'1 Inputs'!$B$10*'1 Inputs'!$B$11</f>
        <v>6250000</v>
      </c>
      <c r="BU41" s="19" t="n">
        <f aca="false">MAX(0,MIN($B41,$A41*'1 Inputs'!$B$6-3*$B41))*'1 Inputs'!$B$7*'1 Inputs'!$B$8*'1 Inputs'!$B$9*'1 Inputs'!$B$10*'1 Inputs'!$B$11</f>
        <v>6250000</v>
      </c>
      <c r="BV41" s="19" t="n">
        <f aca="false">MAX(0,MIN($B41,$A41*'1 Inputs'!$B$6-4*$B41))*'1 Inputs'!$B$7*'1 Inputs'!$B$8*'1 Inputs'!$B$9*'1 Inputs'!$B$10*'1 Inputs'!$B$11</f>
        <v>6250000</v>
      </c>
      <c r="BW41" s="19" t="n">
        <f aca="false">MAX(0,MIN($B41,$A41*'1 Inputs'!$B$6-5*$B41))*'1 Inputs'!$B$7*'1 Inputs'!$B$8*'1 Inputs'!$B$9*'1 Inputs'!$B$10*'1 Inputs'!$B$11</f>
        <v>6250000</v>
      </c>
      <c r="BX41" s="19" t="n">
        <f aca="false">MAX(0,MIN($B41,$A41*'1 Inputs'!$B$6-6*$B41))*'1 Inputs'!$B$7*'1 Inputs'!$B$8*'1 Inputs'!$B$9*'1 Inputs'!$B$10*'1 Inputs'!$B$11</f>
        <v>6250000</v>
      </c>
      <c r="BY41" s="19" t="n">
        <f aca="false">MAX(0,MIN($B41,$A41*'1 Inputs'!$B$6-7*$B41))*'1 Inputs'!$B$7*'1 Inputs'!$B$8*'1 Inputs'!$B$9*'1 Inputs'!$B$10*'1 Inputs'!$B$11</f>
        <v>6250000</v>
      </c>
      <c r="BZ41" s="19" t="n">
        <f aca="false">MAX(0,MIN($B41,$A41*'1 Inputs'!$B$6-8*$B41))*'1 Inputs'!$B$7*'1 Inputs'!$B$8*'1 Inputs'!$B$9*'1 Inputs'!$B$10*'1 Inputs'!$B$11</f>
        <v>6250000</v>
      </c>
      <c r="CA41" s="19" t="n">
        <f aca="false">MAX(0,MIN($B41,$A41*'1 Inputs'!$B$6-9*$B41))*'1 Inputs'!$B$7*'1 Inputs'!$B$8*'1 Inputs'!$B$9*'1 Inputs'!$B$10*'1 Inputs'!$B$11</f>
        <v>6250000</v>
      </c>
      <c r="CB41" s="19" t="n">
        <f aca="false">MAX(0,MIN($B41,$A41*'1 Inputs'!$B$6-10*$B41))*'1 Inputs'!$B$7*'1 Inputs'!$B$8*'1 Inputs'!$B$9*'1 Inputs'!$B$10*'1 Inputs'!$B$11</f>
        <v>6250000</v>
      </c>
      <c r="CC41" s="19" t="n">
        <f aca="false">MAX(0,MIN($B41,$A41*'1 Inputs'!$B$6-11*$B41))*'1 Inputs'!$B$7*'1 Inputs'!$B$8*'1 Inputs'!$B$9*'1 Inputs'!$B$10*'1 Inputs'!$B$11</f>
        <v>6250000</v>
      </c>
      <c r="CD41" s="19" t="n">
        <f aca="false">MAX(0,MIN($B41,$A41*'1 Inputs'!$B$6-12*$B41))*'1 Inputs'!$B$7*'1 Inputs'!$B$8*'1 Inputs'!$B$9*'1 Inputs'!$B$10*'1 Inputs'!$B$11</f>
        <v>6250000</v>
      </c>
      <c r="CE41" s="19" t="n">
        <f aca="false">MAX(0,MIN($B41,$A41*'1 Inputs'!$B$6-13*$B41))*'1 Inputs'!$B$7*'1 Inputs'!$B$8*'1 Inputs'!$B$9*'1 Inputs'!$B$10*'1 Inputs'!$B$11</f>
        <v>6250000</v>
      </c>
      <c r="CF41" s="19" t="n">
        <f aca="false">MAX(0,MIN($B41,$A41*'1 Inputs'!$B$6-14*$B41))*'1 Inputs'!$B$7*'1 Inputs'!$B$8*'1 Inputs'!$B$9*'1 Inputs'!$B$10*'1 Inputs'!$B$11</f>
        <v>6250000</v>
      </c>
      <c r="CG41" s="19" t="n">
        <f aca="false">MAX(0,MIN($B41,$A41*'1 Inputs'!$B$6-15*$B41))*'1 Inputs'!$B$7*'1 Inputs'!$B$8*'1 Inputs'!$B$9*'1 Inputs'!$B$10*'1 Inputs'!$B$11</f>
        <v>0</v>
      </c>
      <c r="CH41" s="19" t="n">
        <f aca="false">MAX(0,MIN($B41,$A41*'1 Inputs'!$B$6-16*$B41))*'1 Inputs'!$B$7*'1 Inputs'!$B$8*'1 Inputs'!$B$9*'1 Inputs'!$B$10*'1 Inputs'!$B$11</f>
        <v>0</v>
      </c>
      <c r="CI41" s="19" t="n">
        <f aca="false">MAX(0,MIN($B41,$A41*'1 Inputs'!$B$6-17*$B41))*'1 Inputs'!$B$7*'1 Inputs'!$B$8*'1 Inputs'!$B$9*'1 Inputs'!$B$10*'1 Inputs'!$B$11</f>
        <v>0</v>
      </c>
      <c r="CJ41" s="19" t="n">
        <f aca="false">MAX(0,MIN($B41,$A41*'1 Inputs'!$B$6-18*$B41))*'1 Inputs'!$B$7*'1 Inputs'!$B$8*'1 Inputs'!$B$9*'1 Inputs'!$B$10*'1 Inputs'!$B$11</f>
        <v>0</v>
      </c>
      <c r="CK41" s="19" t="n">
        <f aca="false">MAX(0,MIN($B41,$A41*'1 Inputs'!$B$6-19*$B41))*'1 Inputs'!$B$7*'1 Inputs'!$B$8*'1 Inputs'!$B$9*'1 Inputs'!$B$10*'1 Inputs'!$B$11</f>
        <v>0</v>
      </c>
      <c r="CL41" s="19" t="n">
        <f aca="false">MAX(0,MIN($B41,$A41*'1 Inputs'!$B$6-20*$B41))*'1 Inputs'!$B$7*'1 Inputs'!$B$8*'1 Inputs'!$B$9*'1 Inputs'!$B$10*'1 Inputs'!$B$11</f>
        <v>0</v>
      </c>
      <c r="CM41" s="19" t="n">
        <f aca="false">MAX(0,MIN($B41,$A41*'1 Inputs'!$B$6-21*$B41))*'1 Inputs'!$B$7*'1 Inputs'!$B$8*'1 Inputs'!$B$9*'1 Inputs'!$B$10*'1 Inputs'!$B$11</f>
        <v>0</v>
      </c>
      <c r="CN41" s="19" t="n">
        <f aca="false">MAX(0,MIN($B41,$A41*'1 Inputs'!$B$6-22*$B41))*'1 Inputs'!$B$7*'1 Inputs'!$B$8*'1 Inputs'!$B$9*'1 Inputs'!$B$10*'1 Inputs'!$B$11</f>
        <v>0</v>
      </c>
      <c r="CO41" s="19" t="n">
        <f aca="false">MAX(0,MIN($B41,$A41*'1 Inputs'!$B$6-23*$B41))*'1 Inputs'!$B$7*'1 Inputs'!$B$8*'1 Inputs'!$B$9*'1 Inputs'!$B$10*'1 Inputs'!$B$11</f>
        <v>0</v>
      </c>
      <c r="CP41" s="19" t="n">
        <f aca="false">MAX(0,MIN($B41,$A41*'1 Inputs'!$B$6-24*$B41))*'1 Inputs'!$B$7*'1 Inputs'!$B$8*'1 Inputs'!$B$9*'1 Inputs'!$B$10*'1 Inputs'!$B$11</f>
        <v>0</v>
      </c>
      <c r="CQ41" s="19" t="n">
        <f aca="false">MAX(0,MIN($B41,$A41*'1 Inputs'!$B$6-25*$B41))*'1 Inputs'!$B$7*'1 Inputs'!$B$8*'1 Inputs'!$B$9*'1 Inputs'!$B$10*'1 Inputs'!$B$11</f>
        <v>0</v>
      </c>
      <c r="CR41" s="19" t="n">
        <f aca="false">MAX(0,MIN($B41,$A41*'1 Inputs'!$B$6-26*$B41))*'1 Inputs'!$B$7*'1 Inputs'!$B$8*'1 Inputs'!$B$9*'1 Inputs'!$B$10*'1 Inputs'!$B$11</f>
        <v>0</v>
      </c>
      <c r="CS41" s="19" t="n">
        <f aca="false">MAX(0,MIN($B41,$A41*'1 Inputs'!$B$6-27*$B41))*'1 Inputs'!$B$7*'1 Inputs'!$B$8*'1 Inputs'!$B$9*'1 Inputs'!$B$10*'1 Inputs'!$B$11</f>
        <v>0</v>
      </c>
      <c r="CT41" s="19" t="n">
        <f aca="false">MAX(0,MIN($B41,$A41*'1 Inputs'!$B$6-28*$B41))*'1 Inputs'!$B$7*'1 Inputs'!$B$8*'1 Inputs'!$B$9*'1 Inputs'!$B$10*'1 Inputs'!$B$11</f>
        <v>0</v>
      </c>
      <c r="CU41" s="19" t="n">
        <f aca="false">MAX(0,MIN($B41,$A41*'1 Inputs'!$B$6-29*$B41))*'1 Inputs'!$B$7*'1 Inputs'!$B$8*'1 Inputs'!$B$9*'1 Inputs'!$B$10*'1 Inputs'!$B$11</f>
        <v>0</v>
      </c>
      <c r="CV41" s="19" t="n">
        <f aca="false">MAX(0,MIN($B41,$A41*'1 Inputs'!$B$6-30*$B41))*'1 Inputs'!$B$7*'1 Inputs'!$B$8*'1 Inputs'!$B$9*'1 Inputs'!$B$10*'1 Inputs'!$B$11</f>
        <v>0</v>
      </c>
      <c r="CW41" s="19" t="n">
        <f aca="false">MAX(0,MIN($B41,$A41*'1 Inputs'!$B$6-31*$B41))*'1 Inputs'!$B$7*'1 Inputs'!$B$8*'1 Inputs'!$B$9*'1 Inputs'!$B$10*'1 Inputs'!$B$11</f>
        <v>0</v>
      </c>
      <c r="CX41" s="19" t="n">
        <f aca="false">MAX(0,MIN($B41,$A41*'1 Inputs'!$B$6-32*$B41))*'1 Inputs'!$B$7*'1 Inputs'!$B$8*'1 Inputs'!$B$9*'1 Inputs'!$B$10*'1 Inputs'!$B$11</f>
        <v>0</v>
      </c>
      <c r="CY41" s="19" t="n">
        <f aca="false">MAX(0,MIN($B41,$A41*'1 Inputs'!$B$6-33*$B41))*'1 Inputs'!$B$7*'1 Inputs'!$B$8*'1 Inputs'!$B$9*'1 Inputs'!$B$10*'1 Inputs'!$B$11</f>
        <v>0</v>
      </c>
      <c r="CZ41" s="19" t="n">
        <f aca="false">MAX(0,MIN($B41,$A41*'1 Inputs'!$B$6-34*$B41))*'1 Inputs'!$B$7*'1 Inputs'!$B$8*'1 Inputs'!$B$9*'1 Inputs'!$B$10*'1 Inputs'!$B$11</f>
        <v>0</v>
      </c>
      <c r="DA41" s="19" t="n">
        <f aca="false">MAX(0,MIN($B41,$A41*'1 Inputs'!$B$6-35*$B41))*'1 Inputs'!$B$7*'1 Inputs'!$B$8*'1 Inputs'!$B$9*'1 Inputs'!$B$10*'1 Inputs'!$B$11</f>
        <v>0</v>
      </c>
      <c r="DB41" s="19" t="n">
        <f aca="false">MAX(0,MIN($B41,$A41*'1 Inputs'!$B$6-36*$B41))*'1 Inputs'!$B$7*'1 Inputs'!$B$8*'1 Inputs'!$B$9*'1 Inputs'!$B$10*'1 Inputs'!$B$11</f>
        <v>0</v>
      </c>
      <c r="DC41" s="19" t="n">
        <f aca="false">MAX(0,MIN($B41,$A41*'1 Inputs'!$B$6-37*$B41))*'1 Inputs'!$B$7*'1 Inputs'!$B$8*'1 Inputs'!$B$9*'1 Inputs'!$B$10*'1 Inputs'!$B$11</f>
        <v>0</v>
      </c>
      <c r="DD41" s="19" t="n">
        <f aca="false">MAX(0,MIN($B41,$A41*'1 Inputs'!$B$6-38*$B41))*'1 Inputs'!$B$7*'1 Inputs'!$B$8*'1 Inputs'!$B$9*'1 Inputs'!$B$10*'1 Inputs'!$B$11</f>
        <v>0</v>
      </c>
      <c r="DE41" s="19" t="n">
        <f aca="false">MAX(0,MIN($B41,$A41*'1 Inputs'!$B$6-39*$B41))*'1 Inputs'!$B$7*'1 Inputs'!$B$8*'1 Inputs'!$B$9*'1 Inputs'!$B$10*'1 Inputs'!$B$11</f>
        <v>0</v>
      </c>
      <c r="DF41" s="19" t="n">
        <f aca="false">MAX(0,MIN($B41,$A41*'1 Inputs'!$B$6-40*$B41))*'1 Inputs'!$B$7*'1 Inputs'!$B$8*'1 Inputs'!$B$9*'1 Inputs'!$B$10*'1 Inputs'!$B$11</f>
        <v>0</v>
      </c>
      <c r="DG41" s="19" t="n">
        <f aca="false">MAX(0,MIN($B41,$A41*'1 Inputs'!$B$6-41*$B41))*'1 Inputs'!$B$7*'1 Inputs'!$B$8*'1 Inputs'!$B$9*'1 Inputs'!$B$10*'1 Inputs'!$B$11</f>
        <v>0</v>
      </c>
      <c r="DH41" s="19" t="n">
        <f aca="false">MAX(0,MIN($B41,$A41*'1 Inputs'!$B$6-42*$B41))*'1 Inputs'!$B$7*'1 Inputs'!$B$8*'1 Inputs'!$B$9*'1 Inputs'!$B$10*'1 Inputs'!$B$11</f>
        <v>0</v>
      </c>
      <c r="DI41" s="19" t="n">
        <f aca="false">MAX(0,MIN($B41,$A41*'1 Inputs'!$B$6-43*$B41))*'1 Inputs'!$B$7*'1 Inputs'!$B$8*'1 Inputs'!$B$9*'1 Inputs'!$B$10*'1 Inputs'!$B$11</f>
        <v>0</v>
      </c>
      <c r="DJ41" s="19" t="n">
        <f aca="false">MAX(0,MIN($B41,$A41*'1 Inputs'!$B$6-44*$B41))*'1 Inputs'!$B$7*'1 Inputs'!$B$8*'1 Inputs'!$B$9*'1 Inputs'!$B$10*'1 Inputs'!$B$11</f>
        <v>0</v>
      </c>
      <c r="DK41" s="19" t="n">
        <f aca="false">MAX(0,MIN($B41,$A41*'1 Inputs'!$B$6-45*$B41))*'1 Inputs'!$B$7*'1 Inputs'!$B$8*'1 Inputs'!$B$9*'1 Inputs'!$B$10*'1 Inputs'!$B$11</f>
        <v>0</v>
      </c>
      <c r="DL41" s="19" t="n">
        <f aca="false">MAX(0,MIN($B41,$A41*'1 Inputs'!$B$6-46*$B41))*'1 Inputs'!$B$7*'1 Inputs'!$B$8*'1 Inputs'!$B$9*'1 Inputs'!$B$10*'1 Inputs'!$B$11</f>
        <v>0</v>
      </c>
      <c r="DM41" s="19" t="n">
        <f aca="false">MAX(0,MIN($B41,$A41*'1 Inputs'!$B$6-47*$B41))*'1 Inputs'!$B$7*'1 Inputs'!$B$8*'1 Inputs'!$B$9*'1 Inputs'!$B$10*'1 Inputs'!$B$11</f>
        <v>0</v>
      </c>
      <c r="DN41" s="19" t="n">
        <f aca="false">MAX(0,MIN($B41,$A41*'1 Inputs'!$B$6-48*$B41))*'1 Inputs'!$B$7*'1 Inputs'!$B$8*'1 Inputs'!$B$9*'1 Inputs'!$B$10*'1 Inputs'!$B$11</f>
        <v>0</v>
      </c>
      <c r="DO41" s="19" t="n">
        <f aca="false">MAX(0,MIN($B41,$A41*'1 Inputs'!$B$6-49*$B41))*'1 Inputs'!$B$7*'1 Inputs'!$B$8*'1 Inputs'!$B$9*'1 Inputs'!$B$10*'1 Inputs'!$B$11</f>
        <v>0</v>
      </c>
      <c r="DP41" s="19" t="n">
        <f aca="false">MAX(0,MIN($B41,$A41*'1 Inputs'!$B$6-50*$B41))*'1 Inputs'!$B$7*'1 Inputs'!$B$8*'1 Inputs'!$B$9*'1 Inputs'!$B$10*'1 Inputs'!$B$11</f>
        <v>0</v>
      </c>
      <c r="DQ41" s="19" t="n">
        <f aca="false">MAX(0,MIN($B41,$A41*'1 Inputs'!$B$6-51*$B41))*'1 Inputs'!$B$7*'1 Inputs'!$B$8*'1 Inputs'!$B$9*'1 Inputs'!$B$10*'1 Inputs'!$B$11</f>
        <v>0</v>
      </c>
      <c r="DR41" s="19" t="n">
        <f aca="false">MAX(0,MIN($B41,$A41*'1 Inputs'!$B$6-52*$B41))*'1 Inputs'!$B$7*'1 Inputs'!$B$8*'1 Inputs'!$B$9*'1 Inputs'!$B$10*'1 Inputs'!$B$11</f>
        <v>0</v>
      </c>
      <c r="DS41" s="19" t="n">
        <f aca="false">MAX(0,MIN($B41,$A41*'1 Inputs'!$B$6-53*$B41))*'1 Inputs'!$B$7*'1 Inputs'!$B$8*'1 Inputs'!$B$9*'1 Inputs'!$B$10*'1 Inputs'!$B$11</f>
        <v>0</v>
      </c>
      <c r="DT41" s="19" t="n">
        <f aca="false">MAX(0,MIN($B41,$A41*'1 Inputs'!$B$6-54*$B41))*'1 Inputs'!$B$7*'1 Inputs'!$B$8*'1 Inputs'!$B$9*'1 Inputs'!$B$10*'1 Inputs'!$B$11</f>
        <v>0</v>
      </c>
      <c r="DU41" s="19" t="n">
        <f aca="false">MAX(0,MIN($B41,$A41*'1 Inputs'!$B$6-55*$B41))*'1 Inputs'!$B$7*'1 Inputs'!$B$8*'1 Inputs'!$B$9*'1 Inputs'!$B$10*'1 Inputs'!$B$11</f>
        <v>0</v>
      </c>
      <c r="DV41" s="19" t="n">
        <f aca="false">MAX(0,MIN($B41,$A41*'1 Inputs'!$B$6-56*$B41))*'1 Inputs'!$B$7*'1 Inputs'!$B$8*'1 Inputs'!$B$9*'1 Inputs'!$B$10*'1 Inputs'!$B$11</f>
        <v>0</v>
      </c>
      <c r="DW41" s="19" t="n">
        <f aca="false">MAX(0,MIN($B41,$A41*'1 Inputs'!$B$6-57*$B41))*'1 Inputs'!$B$7*'1 Inputs'!$B$8*'1 Inputs'!$B$9*'1 Inputs'!$B$10*'1 Inputs'!$B$11</f>
        <v>0</v>
      </c>
      <c r="DX41" s="19" t="n">
        <f aca="false">MAX(0,MIN($B41,$A41*'1 Inputs'!$B$6-58*$B41))*'1 Inputs'!$B$7*'1 Inputs'!$B$8*'1 Inputs'!$B$9*'1 Inputs'!$B$10*'1 Inputs'!$B$11</f>
        <v>0</v>
      </c>
      <c r="DY41" s="19" t="n">
        <f aca="false">MAX(0,MIN($B41,$A41*'1 Inputs'!$B$6-59*$B41))*'1 Inputs'!$B$7*'1 Inputs'!$B$8*'1 Inputs'!$B$9*'1 Inputs'!$B$10*'1 Inputs'!$B$11</f>
        <v>0</v>
      </c>
    </row>
    <row r="42" customFormat="false" ht="15" hidden="false" customHeight="false" outlineLevel="0" collapsed="false">
      <c r="A42" s="0" t="n">
        <v>180</v>
      </c>
      <c r="B42" s="0" t="n">
        <v>8</v>
      </c>
      <c r="C42" s="12" t="n">
        <f aca="false">SUMIF(J42:BQ42,"&lt;="&amp;('1 Inputs'!$B$21+52),BR42:DY42)</f>
        <v>93750000</v>
      </c>
      <c r="J42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42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42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42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42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42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42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42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42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42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42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42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42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42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42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42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42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42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42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42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42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42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42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42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42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42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42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42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42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42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42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42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42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42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42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42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42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42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42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42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42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42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42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42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42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42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42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42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42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42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42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42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42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42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42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42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42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42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42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42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42" s="19" t="n">
        <f aca="false">MAX(0,MIN($B42,$A42*'1 Inputs'!$B$6-0*$B42))*'1 Inputs'!$B$7*'1 Inputs'!$B$8*'1 Inputs'!$B$9*'1 Inputs'!$B$10*'1 Inputs'!$B$11</f>
        <v>8333333.33333333</v>
      </c>
      <c r="BS42" s="19" t="n">
        <f aca="false">MAX(0,MIN($B42,$A42*'1 Inputs'!$B$6-1*$B42))*'1 Inputs'!$B$7*'1 Inputs'!$B$8*'1 Inputs'!$B$9*'1 Inputs'!$B$10*'1 Inputs'!$B$11</f>
        <v>8333333.33333333</v>
      </c>
      <c r="BT42" s="19" t="n">
        <f aca="false">MAX(0,MIN($B42,$A42*'1 Inputs'!$B$6-2*$B42))*'1 Inputs'!$B$7*'1 Inputs'!$B$8*'1 Inputs'!$B$9*'1 Inputs'!$B$10*'1 Inputs'!$B$11</f>
        <v>8333333.33333333</v>
      </c>
      <c r="BU42" s="19" t="n">
        <f aca="false">MAX(0,MIN($B42,$A42*'1 Inputs'!$B$6-3*$B42))*'1 Inputs'!$B$7*'1 Inputs'!$B$8*'1 Inputs'!$B$9*'1 Inputs'!$B$10*'1 Inputs'!$B$11</f>
        <v>8333333.33333333</v>
      </c>
      <c r="BV42" s="19" t="n">
        <f aca="false">MAX(0,MIN($B42,$A42*'1 Inputs'!$B$6-4*$B42))*'1 Inputs'!$B$7*'1 Inputs'!$B$8*'1 Inputs'!$B$9*'1 Inputs'!$B$10*'1 Inputs'!$B$11</f>
        <v>8333333.33333333</v>
      </c>
      <c r="BW42" s="19" t="n">
        <f aca="false">MAX(0,MIN($B42,$A42*'1 Inputs'!$B$6-5*$B42))*'1 Inputs'!$B$7*'1 Inputs'!$B$8*'1 Inputs'!$B$9*'1 Inputs'!$B$10*'1 Inputs'!$B$11</f>
        <v>8333333.33333333</v>
      </c>
      <c r="BX42" s="19" t="n">
        <f aca="false">MAX(0,MIN($B42,$A42*'1 Inputs'!$B$6-6*$B42))*'1 Inputs'!$B$7*'1 Inputs'!$B$8*'1 Inputs'!$B$9*'1 Inputs'!$B$10*'1 Inputs'!$B$11</f>
        <v>8333333.33333333</v>
      </c>
      <c r="BY42" s="19" t="n">
        <f aca="false">MAX(0,MIN($B42,$A42*'1 Inputs'!$B$6-7*$B42))*'1 Inputs'!$B$7*'1 Inputs'!$B$8*'1 Inputs'!$B$9*'1 Inputs'!$B$10*'1 Inputs'!$B$11</f>
        <v>8333333.33333333</v>
      </c>
      <c r="BZ42" s="19" t="n">
        <f aca="false">MAX(0,MIN($B42,$A42*'1 Inputs'!$B$6-8*$B42))*'1 Inputs'!$B$7*'1 Inputs'!$B$8*'1 Inputs'!$B$9*'1 Inputs'!$B$10*'1 Inputs'!$B$11</f>
        <v>8333333.33333333</v>
      </c>
      <c r="CA42" s="19" t="n">
        <f aca="false">MAX(0,MIN($B42,$A42*'1 Inputs'!$B$6-9*$B42))*'1 Inputs'!$B$7*'1 Inputs'!$B$8*'1 Inputs'!$B$9*'1 Inputs'!$B$10*'1 Inputs'!$B$11</f>
        <v>8333333.33333333</v>
      </c>
      <c r="CB42" s="19" t="n">
        <f aca="false">MAX(0,MIN($B42,$A42*'1 Inputs'!$B$6-10*$B42))*'1 Inputs'!$B$7*'1 Inputs'!$B$8*'1 Inputs'!$B$9*'1 Inputs'!$B$10*'1 Inputs'!$B$11</f>
        <v>8333333.33333333</v>
      </c>
      <c r="CC42" s="19" t="n">
        <f aca="false">MAX(0,MIN($B42,$A42*'1 Inputs'!$B$6-11*$B42))*'1 Inputs'!$B$7*'1 Inputs'!$B$8*'1 Inputs'!$B$9*'1 Inputs'!$B$10*'1 Inputs'!$B$11</f>
        <v>2083333.33333333</v>
      </c>
      <c r="CD42" s="19" t="n">
        <f aca="false">MAX(0,MIN($B42,$A42*'1 Inputs'!$B$6-12*$B42))*'1 Inputs'!$B$7*'1 Inputs'!$B$8*'1 Inputs'!$B$9*'1 Inputs'!$B$10*'1 Inputs'!$B$11</f>
        <v>0</v>
      </c>
      <c r="CE42" s="19" t="n">
        <f aca="false">MAX(0,MIN($B42,$A42*'1 Inputs'!$B$6-13*$B42))*'1 Inputs'!$B$7*'1 Inputs'!$B$8*'1 Inputs'!$B$9*'1 Inputs'!$B$10*'1 Inputs'!$B$11</f>
        <v>0</v>
      </c>
      <c r="CF42" s="19" t="n">
        <f aca="false">MAX(0,MIN($B42,$A42*'1 Inputs'!$B$6-14*$B42))*'1 Inputs'!$B$7*'1 Inputs'!$B$8*'1 Inputs'!$B$9*'1 Inputs'!$B$10*'1 Inputs'!$B$11</f>
        <v>0</v>
      </c>
      <c r="CG42" s="19" t="n">
        <f aca="false">MAX(0,MIN($B42,$A42*'1 Inputs'!$B$6-15*$B42))*'1 Inputs'!$B$7*'1 Inputs'!$B$8*'1 Inputs'!$B$9*'1 Inputs'!$B$10*'1 Inputs'!$B$11</f>
        <v>0</v>
      </c>
      <c r="CH42" s="19" t="n">
        <f aca="false">MAX(0,MIN($B42,$A42*'1 Inputs'!$B$6-16*$B42))*'1 Inputs'!$B$7*'1 Inputs'!$B$8*'1 Inputs'!$B$9*'1 Inputs'!$B$10*'1 Inputs'!$B$11</f>
        <v>0</v>
      </c>
      <c r="CI42" s="19" t="n">
        <f aca="false">MAX(0,MIN($B42,$A42*'1 Inputs'!$B$6-17*$B42))*'1 Inputs'!$B$7*'1 Inputs'!$B$8*'1 Inputs'!$B$9*'1 Inputs'!$B$10*'1 Inputs'!$B$11</f>
        <v>0</v>
      </c>
      <c r="CJ42" s="19" t="n">
        <f aca="false">MAX(0,MIN($B42,$A42*'1 Inputs'!$B$6-18*$B42))*'1 Inputs'!$B$7*'1 Inputs'!$B$8*'1 Inputs'!$B$9*'1 Inputs'!$B$10*'1 Inputs'!$B$11</f>
        <v>0</v>
      </c>
      <c r="CK42" s="19" t="n">
        <f aca="false">MAX(0,MIN($B42,$A42*'1 Inputs'!$B$6-19*$B42))*'1 Inputs'!$B$7*'1 Inputs'!$B$8*'1 Inputs'!$B$9*'1 Inputs'!$B$10*'1 Inputs'!$B$11</f>
        <v>0</v>
      </c>
      <c r="CL42" s="19" t="n">
        <f aca="false">MAX(0,MIN($B42,$A42*'1 Inputs'!$B$6-20*$B42))*'1 Inputs'!$B$7*'1 Inputs'!$B$8*'1 Inputs'!$B$9*'1 Inputs'!$B$10*'1 Inputs'!$B$11</f>
        <v>0</v>
      </c>
      <c r="CM42" s="19" t="n">
        <f aca="false">MAX(0,MIN($B42,$A42*'1 Inputs'!$B$6-21*$B42))*'1 Inputs'!$B$7*'1 Inputs'!$B$8*'1 Inputs'!$B$9*'1 Inputs'!$B$10*'1 Inputs'!$B$11</f>
        <v>0</v>
      </c>
      <c r="CN42" s="19" t="n">
        <f aca="false">MAX(0,MIN($B42,$A42*'1 Inputs'!$B$6-22*$B42))*'1 Inputs'!$B$7*'1 Inputs'!$B$8*'1 Inputs'!$B$9*'1 Inputs'!$B$10*'1 Inputs'!$B$11</f>
        <v>0</v>
      </c>
      <c r="CO42" s="19" t="n">
        <f aca="false">MAX(0,MIN($B42,$A42*'1 Inputs'!$B$6-23*$B42))*'1 Inputs'!$B$7*'1 Inputs'!$B$8*'1 Inputs'!$B$9*'1 Inputs'!$B$10*'1 Inputs'!$B$11</f>
        <v>0</v>
      </c>
      <c r="CP42" s="19" t="n">
        <f aca="false">MAX(0,MIN($B42,$A42*'1 Inputs'!$B$6-24*$B42))*'1 Inputs'!$B$7*'1 Inputs'!$B$8*'1 Inputs'!$B$9*'1 Inputs'!$B$10*'1 Inputs'!$B$11</f>
        <v>0</v>
      </c>
      <c r="CQ42" s="19" t="n">
        <f aca="false">MAX(0,MIN($B42,$A42*'1 Inputs'!$B$6-25*$B42))*'1 Inputs'!$B$7*'1 Inputs'!$B$8*'1 Inputs'!$B$9*'1 Inputs'!$B$10*'1 Inputs'!$B$11</f>
        <v>0</v>
      </c>
      <c r="CR42" s="19" t="n">
        <f aca="false">MAX(0,MIN($B42,$A42*'1 Inputs'!$B$6-26*$B42))*'1 Inputs'!$B$7*'1 Inputs'!$B$8*'1 Inputs'!$B$9*'1 Inputs'!$B$10*'1 Inputs'!$B$11</f>
        <v>0</v>
      </c>
      <c r="CS42" s="19" t="n">
        <f aca="false">MAX(0,MIN($B42,$A42*'1 Inputs'!$B$6-27*$B42))*'1 Inputs'!$B$7*'1 Inputs'!$B$8*'1 Inputs'!$B$9*'1 Inputs'!$B$10*'1 Inputs'!$B$11</f>
        <v>0</v>
      </c>
      <c r="CT42" s="19" t="n">
        <f aca="false">MAX(0,MIN($B42,$A42*'1 Inputs'!$B$6-28*$B42))*'1 Inputs'!$B$7*'1 Inputs'!$B$8*'1 Inputs'!$B$9*'1 Inputs'!$B$10*'1 Inputs'!$B$11</f>
        <v>0</v>
      </c>
      <c r="CU42" s="19" t="n">
        <f aca="false">MAX(0,MIN($B42,$A42*'1 Inputs'!$B$6-29*$B42))*'1 Inputs'!$B$7*'1 Inputs'!$B$8*'1 Inputs'!$B$9*'1 Inputs'!$B$10*'1 Inputs'!$B$11</f>
        <v>0</v>
      </c>
      <c r="CV42" s="19" t="n">
        <f aca="false">MAX(0,MIN($B42,$A42*'1 Inputs'!$B$6-30*$B42))*'1 Inputs'!$B$7*'1 Inputs'!$B$8*'1 Inputs'!$B$9*'1 Inputs'!$B$10*'1 Inputs'!$B$11</f>
        <v>0</v>
      </c>
      <c r="CW42" s="19" t="n">
        <f aca="false">MAX(0,MIN($B42,$A42*'1 Inputs'!$B$6-31*$B42))*'1 Inputs'!$B$7*'1 Inputs'!$B$8*'1 Inputs'!$B$9*'1 Inputs'!$B$10*'1 Inputs'!$B$11</f>
        <v>0</v>
      </c>
      <c r="CX42" s="19" t="n">
        <f aca="false">MAX(0,MIN($B42,$A42*'1 Inputs'!$B$6-32*$B42))*'1 Inputs'!$B$7*'1 Inputs'!$B$8*'1 Inputs'!$B$9*'1 Inputs'!$B$10*'1 Inputs'!$B$11</f>
        <v>0</v>
      </c>
      <c r="CY42" s="19" t="n">
        <f aca="false">MAX(0,MIN($B42,$A42*'1 Inputs'!$B$6-33*$B42))*'1 Inputs'!$B$7*'1 Inputs'!$B$8*'1 Inputs'!$B$9*'1 Inputs'!$B$10*'1 Inputs'!$B$11</f>
        <v>0</v>
      </c>
      <c r="CZ42" s="19" t="n">
        <f aca="false">MAX(0,MIN($B42,$A42*'1 Inputs'!$B$6-34*$B42))*'1 Inputs'!$B$7*'1 Inputs'!$B$8*'1 Inputs'!$B$9*'1 Inputs'!$B$10*'1 Inputs'!$B$11</f>
        <v>0</v>
      </c>
      <c r="DA42" s="19" t="n">
        <f aca="false">MAX(0,MIN($B42,$A42*'1 Inputs'!$B$6-35*$B42))*'1 Inputs'!$B$7*'1 Inputs'!$B$8*'1 Inputs'!$B$9*'1 Inputs'!$B$10*'1 Inputs'!$B$11</f>
        <v>0</v>
      </c>
      <c r="DB42" s="19" t="n">
        <f aca="false">MAX(0,MIN($B42,$A42*'1 Inputs'!$B$6-36*$B42))*'1 Inputs'!$B$7*'1 Inputs'!$B$8*'1 Inputs'!$B$9*'1 Inputs'!$B$10*'1 Inputs'!$B$11</f>
        <v>0</v>
      </c>
      <c r="DC42" s="19" t="n">
        <f aca="false">MAX(0,MIN($B42,$A42*'1 Inputs'!$B$6-37*$B42))*'1 Inputs'!$B$7*'1 Inputs'!$B$8*'1 Inputs'!$B$9*'1 Inputs'!$B$10*'1 Inputs'!$B$11</f>
        <v>0</v>
      </c>
      <c r="DD42" s="19" t="n">
        <f aca="false">MAX(0,MIN($B42,$A42*'1 Inputs'!$B$6-38*$B42))*'1 Inputs'!$B$7*'1 Inputs'!$B$8*'1 Inputs'!$B$9*'1 Inputs'!$B$10*'1 Inputs'!$B$11</f>
        <v>0</v>
      </c>
      <c r="DE42" s="19" t="n">
        <f aca="false">MAX(0,MIN($B42,$A42*'1 Inputs'!$B$6-39*$B42))*'1 Inputs'!$B$7*'1 Inputs'!$B$8*'1 Inputs'!$B$9*'1 Inputs'!$B$10*'1 Inputs'!$B$11</f>
        <v>0</v>
      </c>
      <c r="DF42" s="19" t="n">
        <f aca="false">MAX(0,MIN($B42,$A42*'1 Inputs'!$B$6-40*$B42))*'1 Inputs'!$B$7*'1 Inputs'!$B$8*'1 Inputs'!$B$9*'1 Inputs'!$B$10*'1 Inputs'!$B$11</f>
        <v>0</v>
      </c>
      <c r="DG42" s="19" t="n">
        <f aca="false">MAX(0,MIN($B42,$A42*'1 Inputs'!$B$6-41*$B42))*'1 Inputs'!$B$7*'1 Inputs'!$B$8*'1 Inputs'!$B$9*'1 Inputs'!$B$10*'1 Inputs'!$B$11</f>
        <v>0</v>
      </c>
      <c r="DH42" s="19" t="n">
        <f aca="false">MAX(0,MIN($B42,$A42*'1 Inputs'!$B$6-42*$B42))*'1 Inputs'!$B$7*'1 Inputs'!$B$8*'1 Inputs'!$B$9*'1 Inputs'!$B$10*'1 Inputs'!$B$11</f>
        <v>0</v>
      </c>
      <c r="DI42" s="19" t="n">
        <f aca="false">MAX(0,MIN($B42,$A42*'1 Inputs'!$B$6-43*$B42))*'1 Inputs'!$B$7*'1 Inputs'!$B$8*'1 Inputs'!$B$9*'1 Inputs'!$B$10*'1 Inputs'!$B$11</f>
        <v>0</v>
      </c>
      <c r="DJ42" s="19" t="n">
        <f aca="false">MAX(0,MIN($B42,$A42*'1 Inputs'!$B$6-44*$B42))*'1 Inputs'!$B$7*'1 Inputs'!$B$8*'1 Inputs'!$B$9*'1 Inputs'!$B$10*'1 Inputs'!$B$11</f>
        <v>0</v>
      </c>
      <c r="DK42" s="19" t="n">
        <f aca="false">MAX(0,MIN($B42,$A42*'1 Inputs'!$B$6-45*$B42))*'1 Inputs'!$B$7*'1 Inputs'!$B$8*'1 Inputs'!$B$9*'1 Inputs'!$B$10*'1 Inputs'!$B$11</f>
        <v>0</v>
      </c>
      <c r="DL42" s="19" t="n">
        <f aca="false">MAX(0,MIN($B42,$A42*'1 Inputs'!$B$6-46*$B42))*'1 Inputs'!$B$7*'1 Inputs'!$B$8*'1 Inputs'!$B$9*'1 Inputs'!$B$10*'1 Inputs'!$B$11</f>
        <v>0</v>
      </c>
      <c r="DM42" s="19" t="n">
        <f aca="false">MAX(0,MIN($B42,$A42*'1 Inputs'!$B$6-47*$B42))*'1 Inputs'!$B$7*'1 Inputs'!$B$8*'1 Inputs'!$B$9*'1 Inputs'!$B$10*'1 Inputs'!$B$11</f>
        <v>0</v>
      </c>
      <c r="DN42" s="19" t="n">
        <f aca="false">MAX(0,MIN($B42,$A42*'1 Inputs'!$B$6-48*$B42))*'1 Inputs'!$B$7*'1 Inputs'!$B$8*'1 Inputs'!$B$9*'1 Inputs'!$B$10*'1 Inputs'!$B$11</f>
        <v>0</v>
      </c>
      <c r="DO42" s="19" t="n">
        <f aca="false">MAX(0,MIN($B42,$A42*'1 Inputs'!$B$6-49*$B42))*'1 Inputs'!$B$7*'1 Inputs'!$B$8*'1 Inputs'!$B$9*'1 Inputs'!$B$10*'1 Inputs'!$B$11</f>
        <v>0</v>
      </c>
      <c r="DP42" s="19" t="n">
        <f aca="false">MAX(0,MIN($B42,$A42*'1 Inputs'!$B$6-50*$B42))*'1 Inputs'!$B$7*'1 Inputs'!$B$8*'1 Inputs'!$B$9*'1 Inputs'!$B$10*'1 Inputs'!$B$11</f>
        <v>0</v>
      </c>
      <c r="DQ42" s="19" t="n">
        <f aca="false">MAX(0,MIN($B42,$A42*'1 Inputs'!$B$6-51*$B42))*'1 Inputs'!$B$7*'1 Inputs'!$B$8*'1 Inputs'!$B$9*'1 Inputs'!$B$10*'1 Inputs'!$B$11</f>
        <v>0</v>
      </c>
      <c r="DR42" s="19" t="n">
        <f aca="false">MAX(0,MIN($B42,$A42*'1 Inputs'!$B$6-52*$B42))*'1 Inputs'!$B$7*'1 Inputs'!$B$8*'1 Inputs'!$B$9*'1 Inputs'!$B$10*'1 Inputs'!$B$11</f>
        <v>0</v>
      </c>
      <c r="DS42" s="19" t="n">
        <f aca="false">MAX(0,MIN($B42,$A42*'1 Inputs'!$B$6-53*$B42))*'1 Inputs'!$B$7*'1 Inputs'!$B$8*'1 Inputs'!$B$9*'1 Inputs'!$B$10*'1 Inputs'!$B$11</f>
        <v>0</v>
      </c>
      <c r="DT42" s="19" t="n">
        <f aca="false">MAX(0,MIN($B42,$A42*'1 Inputs'!$B$6-54*$B42))*'1 Inputs'!$B$7*'1 Inputs'!$B$8*'1 Inputs'!$B$9*'1 Inputs'!$B$10*'1 Inputs'!$B$11</f>
        <v>0</v>
      </c>
      <c r="DU42" s="19" t="n">
        <f aca="false">MAX(0,MIN($B42,$A42*'1 Inputs'!$B$6-55*$B42))*'1 Inputs'!$B$7*'1 Inputs'!$B$8*'1 Inputs'!$B$9*'1 Inputs'!$B$10*'1 Inputs'!$B$11</f>
        <v>0</v>
      </c>
      <c r="DV42" s="19" t="n">
        <f aca="false">MAX(0,MIN($B42,$A42*'1 Inputs'!$B$6-56*$B42))*'1 Inputs'!$B$7*'1 Inputs'!$B$8*'1 Inputs'!$B$9*'1 Inputs'!$B$10*'1 Inputs'!$B$11</f>
        <v>0</v>
      </c>
      <c r="DW42" s="19" t="n">
        <f aca="false">MAX(0,MIN($B42,$A42*'1 Inputs'!$B$6-57*$B42))*'1 Inputs'!$B$7*'1 Inputs'!$B$8*'1 Inputs'!$B$9*'1 Inputs'!$B$10*'1 Inputs'!$B$11</f>
        <v>0</v>
      </c>
      <c r="DX42" s="19" t="n">
        <f aca="false">MAX(0,MIN($B42,$A42*'1 Inputs'!$B$6-58*$B42))*'1 Inputs'!$B$7*'1 Inputs'!$B$8*'1 Inputs'!$B$9*'1 Inputs'!$B$10*'1 Inputs'!$B$11</f>
        <v>0</v>
      </c>
      <c r="DY42" s="19" t="n">
        <f aca="false">MAX(0,MIN($B42,$A42*'1 Inputs'!$B$6-59*$B42))*'1 Inputs'!$B$7*'1 Inputs'!$B$8*'1 Inputs'!$B$9*'1 Inputs'!$B$10*'1 Inputs'!$B$11</f>
        <v>0</v>
      </c>
    </row>
    <row r="43" customFormat="false" ht="15" hidden="false" customHeight="false" outlineLevel="0" collapsed="false">
      <c r="A43" s="0" t="n">
        <v>180</v>
      </c>
      <c r="B43" s="0" t="n">
        <v>10</v>
      </c>
      <c r="C43" s="12" t="n">
        <f aca="false">SUMIF(J43:BQ43,"&lt;="&amp;('1 Inputs'!$B$21+52),BR43:DY43)</f>
        <v>93750000</v>
      </c>
      <c r="J43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43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43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43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43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43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43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43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43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43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43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43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43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43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43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43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43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43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43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43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43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43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43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43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43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43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43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43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43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43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43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43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43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43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43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43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43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43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43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43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43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43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43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43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43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43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43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43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43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43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43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43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43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43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43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43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43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43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43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43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43" s="19" t="n">
        <f aca="false">MAX(0,MIN($B43,$A43*'1 Inputs'!$B$6-0*$B43))*'1 Inputs'!$B$7*'1 Inputs'!$B$8*'1 Inputs'!$B$9*'1 Inputs'!$B$10*'1 Inputs'!$B$11</f>
        <v>10416666.6666667</v>
      </c>
      <c r="BS43" s="19" t="n">
        <f aca="false">MAX(0,MIN($B43,$A43*'1 Inputs'!$B$6-1*$B43))*'1 Inputs'!$B$7*'1 Inputs'!$B$8*'1 Inputs'!$B$9*'1 Inputs'!$B$10*'1 Inputs'!$B$11</f>
        <v>10416666.6666667</v>
      </c>
      <c r="BT43" s="19" t="n">
        <f aca="false">MAX(0,MIN($B43,$A43*'1 Inputs'!$B$6-2*$B43))*'1 Inputs'!$B$7*'1 Inputs'!$B$8*'1 Inputs'!$B$9*'1 Inputs'!$B$10*'1 Inputs'!$B$11</f>
        <v>10416666.6666667</v>
      </c>
      <c r="BU43" s="19" t="n">
        <f aca="false">MAX(0,MIN($B43,$A43*'1 Inputs'!$B$6-3*$B43))*'1 Inputs'!$B$7*'1 Inputs'!$B$8*'1 Inputs'!$B$9*'1 Inputs'!$B$10*'1 Inputs'!$B$11</f>
        <v>10416666.6666667</v>
      </c>
      <c r="BV43" s="19" t="n">
        <f aca="false">MAX(0,MIN($B43,$A43*'1 Inputs'!$B$6-4*$B43))*'1 Inputs'!$B$7*'1 Inputs'!$B$8*'1 Inputs'!$B$9*'1 Inputs'!$B$10*'1 Inputs'!$B$11</f>
        <v>10416666.6666667</v>
      </c>
      <c r="BW43" s="19" t="n">
        <f aca="false">MAX(0,MIN($B43,$A43*'1 Inputs'!$B$6-5*$B43))*'1 Inputs'!$B$7*'1 Inputs'!$B$8*'1 Inputs'!$B$9*'1 Inputs'!$B$10*'1 Inputs'!$B$11</f>
        <v>10416666.6666667</v>
      </c>
      <c r="BX43" s="19" t="n">
        <f aca="false">MAX(0,MIN($B43,$A43*'1 Inputs'!$B$6-6*$B43))*'1 Inputs'!$B$7*'1 Inputs'!$B$8*'1 Inputs'!$B$9*'1 Inputs'!$B$10*'1 Inputs'!$B$11</f>
        <v>10416666.6666667</v>
      </c>
      <c r="BY43" s="19" t="n">
        <f aca="false">MAX(0,MIN($B43,$A43*'1 Inputs'!$B$6-7*$B43))*'1 Inputs'!$B$7*'1 Inputs'!$B$8*'1 Inputs'!$B$9*'1 Inputs'!$B$10*'1 Inputs'!$B$11</f>
        <v>10416666.6666667</v>
      </c>
      <c r="BZ43" s="19" t="n">
        <f aca="false">MAX(0,MIN($B43,$A43*'1 Inputs'!$B$6-8*$B43))*'1 Inputs'!$B$7*'1 Inputs'!$B$8*'1 Inputs'!$B$9*'1 Inputs'!$B$10*'1 Inputs'!$B$11</f>
        <v>10416666.6666667</v>
      </c>
      <c r="CA43" s="19" t="n">
        <f aca="false">MAX(0,MIN($B43,$A43*'1 Inputs'!$B$6-9*$B43))*'1 Inputs'!$B$7*'1 Inputs'!$B$8*'1 Inputs'!$B$9*'1 Inputs'!$B$10*'1 Inputs'!$B$11</f>
        <v>0</v>
      </c>
      <c r="CB43" s="19" t="n">
        <f aca="false">MAX(0,MIN($B43,$A43*'1 Inputs'!$B$6-10*$B43))*'1 Inputs'!$B$7*'1 Inputs'!$B$8*'1 Inputs'!$B$9*'1 Inputs'!$B$10*'1 Inputs'!$B$11</f>
        <v>0</v>
      </c>
      <c r="CC43" s="19" t="n">
        <f aca="false">MAX(0,MIN($B43,$A43*'1 Inputs'!$B$6-11*$B43))*'1 Inputs'!$B$7*'1 Inputs'!$B$8*'1 Inputs'!$B$9*'1 Inputs'!$B$10*'1 Inputs'!$B$11</f>
        <v>0</v>
      </c>
      <c r="CD43" s="19" t="n">
        <f aca="false">MAX(0,MIN($B43,$A43*'1 Inputs'!$B$6-12*$B43))*'1 Inputs'!$B$7*'1 Inputs'!$B$8*'1 Inputs'!$B$9*'1 Inputs'!$B$10*'1 Inputs'!$B$11</f>
        <v>0</v>
      </c>
      <c r="CE43" s="19" t="n">
        <f aca="false">MAX(0,MIN($B43,$A43*'1 Inputs'!$B$6-13*$B43))*'1 Inputs'!$B$7*'1 Inputs'!$B$8*'1 Inputs'!$B$9*'1 Inputs'!$B$10*'1 Inputs'!$B$11</f>
        <v>0</v>
      </c>
      <c r="CF43" s="19" t="n">
        <f aca="false">MAX(0,MIN($B43,$A43*'1 Inputs'!$B$6-14*$B43))*'1 Inputs'!$B$7*'1 Inputs'!$B$8*'1 Inputs'!$B$9*'1 Inputs'!$B$10*'1 Inputs'!$B$11</f>
        <v>0</v>
      </c>
      <c r="CG43" s="19" t="n">
        <f aca="false">MAX(0,MIN($B43,$A43*'1 Inputs'!$B$6-15*$B43))*'1 Inputs'!$B$7*'1 Inputs'!$B$8*'1 Inputs'!$B$9*'1 Inputs'!$B$10*'1 Inputs'!$B$11</f>
        <v>0</v>
      </c>
      <c r="CH43" s="19" t="n">
        <f aca="false">MAX(0,MIN($B43,$A43*'1 Inputs'!$B$6-16*$B43))*'1 Inputs'!$B$7*'1 Inputs'!$B$8*'1 Inputs'!$B$9*'1 Inputs'!$B$10*'1 Inputs'!$B$11</f>
        <v>0</v>
      </c>
      <c r="CI43" s="19" t="n">
        <f aca="false">MAX(0,MIN($B43,$A43*'1 Inputs'!$B$6-17*$B43))*'1 Inputs'!$B$7*'1 Inputs'!$B$8*'1 Inputs'!$B$9*'1 Inputs'!$B$10*'1 Inputs'!$B$11</f>
        <v>0</v>
      </c>
      <c r="CJ43" s="19" t="n">
        <f aca="false">MAX(0,MIN($B43,$A43*'1 Inputs'!$B$6-18*$B43))*'1 Inputs'!$B$7*'1 Inputs'!$B$8*'1 Inputs'!$B$9*'1 Inputs'!$B$10*'1 Inputs'!$B$11</f>
        <v>0</v>
      </c>
      <c r="CK43" s="19" t="n">
        <f aca="false">MAX(0,MIN($B43,$A43*'1 Inputs'!$B$6-19*$B43))*'1 Inputs'!$B$7*'1 Inputs'!$B$8*'1 Inputs'!$B$9*'1 Inputs'!$B$10*'1 Inputs'!$B$11</f>
        <v>0</v>
      </c>
      <c r="CL43" s="19" t="n">
        <f aca="false">MAX(0,MIN($B43,$A43*'1 Inputs'!$B$6-20*$B43))*'1 Inputs'!$B$7*'1 Inputs'!$B$8*'1 Inputs'!$B$9*'1 Inputs'!$B$10*'1 Inputs'!$B$11</f>
        <v>0</v>
      </c>
      <c r="CM43" s="19" t="n">
        <f aca="false">MAX(0,MIN($B43,$A43*'1 Inputs'!$B$6-21*$B43))*'1 Inputs'!$B$7*'1 Inputs'!$B$8*'1 Inputs'!$B$9*'1 Inputs'!$B$10*'1 Inputs'!$B$11</f>
        <v>0</v>
      </c>
      <c r="CN43" s="19" t="n">
        <f aca="false">MAX(0,MIN($B43,$A43*'1 Inputs'!$B$6-22*$B43))*'1 Inputs'!$B$7*'1 Inputs'!$B$8*'1 Inputs'!$B$9*'1 Inputs'!$B$10*'1 Inputs'!$B$11</f>
        <v>0</v>
      </c>
      <c r="CO43" s="19" t="n">
        <f aca="false">MAX(0,MIN($B43,$A43*'1 Inputs'!$B$6-23*$B43))*'1 Inputs'!$B$7*'1 Inputs'!$B$8*'1 Inputs'!$B$9*'1 Inputs'!$B$10*'1 Inputs'!$B$11</f>
        <v>0</v>
      </c>
      <c r="CP43" s="19" t="n">
        <f aca="false">MAX(0,MIN($B43,$A43*'1 Inputs'!$B$6-24*$B43))*'1 Inputs'!$B$7*'1 Inputs'!$B$8*'1 Inputs'!$B$9*'1 Inputs'!$B$10*'1 Inputs'!$B$11</f>
        <v>0</v>
      </c>
      <c r="CQ43" s="19" t="n">
        <f aca="false">MAX(0,MIN($B43,$A43*'1 Inputs'!$B$6-25*$B43))*'1 Inputs'!$B$7*'1 Inputs'!$B$8*'1 Inputs'!$B$9*'1 Inputs'!$B$10*'1 Inputs'!$B$11</f>
        <v>0</v>
      </c>
      <c r="CR43" s="19" t="n">
        <f aca="false">MAX(0,MIN($B43,$A43*'1 Inputs'!$B$6-26*$B43))*'1 Inputs'!$B$7*'1 Inputs'!$B$8*'1 Inputs'!$B$9*'1 Inputs'!$B$10*'1 Inputs'!$B$11</f>
        <v>0</v>
      </c>
      <c r="CS43" s="19" t="n">
        <f aca="false">MAX(0,MIN($B43,$A43*'1 Inputs'!$B$6-27*$B43))*'1 Inputs'!$B$7*'1 Inputs'!$B$8*'1 Inputs'!$B$9*'1 Inputs'!$B$10*'1 Inputs'!$B$11</f>
        <v>0</v>
      </c>
      <c r="CT43" s="19" t="n">
        <f aca="false">MAX(0,MIN($B43,$A43*'1 Inputs'!$B$6-28*$B43))*'1 Inputs'!$B$7*'1 Inputs'!$B$8*'1 Inputs'!$B$9*'1 Inputs'!$B$10*'1 Inputs'!$B$11</f>
        <v>0</v>
      </c>
      <c r="CU43" s="19" t="n">
        <f aca="false">MAX(0,MIN($B43,$A43*'1 Inputs'!$B$6-29*$B43))*'1 Inputs'!$B$7*'1 Inputs'!$B$8*'1 Inputs'!$B$9*'1 Inputs'!$B$10*'1 Inputs'!$B$11</f>
        <v>0</v>
      </c>
      <c r="CV43" s="19" t="n">
        <f aca="false">MAX(0,MIN($B43,$A43*'1 Inputs'!$B$6-30*$B43))*'1 Inputs'!$B$7*'1 Inputs'!$B$8*'1 Inputs'!$B$9*'1 Inputs'!$B$10*'1 Inputs'!$B$11</f>
        <v>0</v>
      </c>
      <c r="CW43" s="19" t="n">
        <f aca="false">MAX(0,MIN($B43,$A43*'1 Inputs'!$B$6-31*$B43))*'1 Inputs'!$B$7*'1 Inputs'!$B$8*'1 Inputs'!$B$9*'1 Inputs'!$B$10*'1 Inputs'!$B$11</f>
        <v>0</v>
      </c>
      <c r="CX43" s="19" t="n">
        <f aca="false">MAX(0,MIN($B43,$A43*'1 Inputs'!$B$6-32*$B43))*'1 Inputs'!$B$7*'1 Inputs'!$B$8*'1 Inputs'!$B$9*'1 Inputs'!$B$10*'1 Inputs'!$B$11</f>
        <v>0</v>
      </c>
      <c r="CY43" s="19" t="n">
        <f aca="false">MAX(0,MIN($B43,$A43*'1 Inputs'!$B$6-33*$B43))*'1 Inputs'!$B$7*'1 Inputs'!$B$8*'1 Inputs'!$B$9*'1 Inputs'!$B$10*'1 Inputs'!$B$11</f>
        <v>0</v>
      </c>
      <c r="CZ43" s="19" t="n">
        <f aca="false">MAX(0,MIN($B43,$A43*'1 Inputs'!$B$6-34*$B43))*'1 Inputs'!$B$7*'1 Inputs'!$B$8*'1 Inputs'!$B$9*'1 Inputs'!$B$10*'1 Inputs'!$B$11</f>
        <v>0</v>
      </c>
      <c r="DA43" s="19" t="n">
        <f aca="false">MAX(0,MIN($B43,$A43*'1 Inputs'!$B$6-35*$B43))*'1 Inputs'!$B$7*'1 Inputs'!$B$8*'1 Inputs'!$B$9*'1 Inputs'!$B$10*'1 Inputs'!$B$11</f>
        <v>0</v>
      </c>
      <c r="DB43" s="19" t="n">
        <f aca="false">MAX(0,MIN($B43,$A43*'1 Inputs'!$B$6-36*$B43))*'1 Inputs'!$B$7*'1 Inputs'!$B$8*'1 Inputs'!$B$9*'1 Inputs'!$B$10*'1 Inputs'!$B$11</f>
        <v>0</v>
      </c>
      <c r="DC43" s="19" t="n">
        <f aca="false">MAX(0,MIN($B43,$A43*'1 Inputs'!$B$6-37*$B43))*'1 Inputs'!$B$7*'1 Inputs'!$B$8*'1 Inputs'!$B$9*'1 Inputs'!$B$10*'1 Inputs'!$B$11</f>
        <v>0</v>
      </c>
      <c r="DD43" s="19" t="n">
        <f aca="false">MAX(0,MIN($B43,$A43*'1 Inputs'!$B$6-38*$B43))*'1 Inputs'!$B$7*'1 Inputs'!$B$8*'1 Inputs'!$B$9*'1 Inputs'!$B$10*'1 Inputs'!$B$11</f>
        <v>0</v>
      </c>
      <c r="DE43" s="19" t="n">
        <f aca="false">MAX(0,MIN($B43,$A43*'1 Inputs'!$B$6-39*$B43))*'1 Inputs'!$B$7*'1 Inputs'!$B$8*'1 Inputs'!$B$9*'1 Inputs'!$B$10*'1 Inputs'!$B$11</f>
        <v>0</v>
      </c>
      <c r="DF43" s="19" t="n">
        <f aca="false">MAX(0,MIN($B43,$A43*'1 Inputs'!$B$6-40*$B43))*'1 Inputs'!$B$7*'1 Inputs'!$B$8*'1 Inputs'!$B$9*'1 Inputs'!$B$10*'1 Inputs'!$B$11</f>
        <v>0</v>
      </c>
      <c r="DG43" s="19" t="n">
        <f aca="false">MAX(0,MIN($B43,$A43*'1 Inputs'!$B$6-41*$B43))*'1 Inputs'!$B$7*'1 Inputs'!$B$8*'1 Inputs'!$B$9*'1 Inputs'!$B$10*'1 Inputs'!$B$11</f>
        <v>0</v>
      </c>
      <c r="DH43" s="19" t="n">
        <f aca="false">MAX(0,MIN($B43,$A43*'1 Inputs'!$B$6-42*$B43))*'1 Inputs'!$B$7*'1 Inputs'!$B$8*'1 Inputs'!$B$9*'1 Inputs'!$B$10*'1 Inputs'!$B$11</f>
        <v>0</v>
      </c>
      <c r="DI43" s="19" t="n">
        <f aca="false">MAX(0,MIN($B43,$A43*'1 Inputs'!$B$6-43*$B43))*'1 Inputs'!$B$7*'1 Inputs'!$B$8*'1 Inputs'!$B$9*'1 Inputs'!$B$10*'1 Inputs'!$B$11</f>
        <v>0</v>
      </c>
      <c r="DJ43" s="19" t="n">
        <f aca="false">MAX(0,MIN($B43,$A43*'1 Inputs'!$B$6-44*$B43))*'1 Inputs'!$B$7*'1 Inputs'!$B$8*'1 Inputs'!$B$9*'1 Inputs'!$B$10*'1 Inputs'!$B$11</f>
        <v>0</v>
      </c>
      <c r="DK43" s="19" t="n">
        <f aca="false">MAX(0,MIN($B43,$A43*'1 Inputs'!$B$6-45*$B43))*'1 Inputs'!$B$7*'1 Inputs'!$B$8*'1 Inputs'!$B$9*'1 Inputs'!$B$10*'1 Inputs'!$B$11</f>
        <v>0</v>
      </c>
      <c r="DL43" s="19" t="n">
        <f aca="false">MAX(0,MIN($B43,$A43*'1 Inputs'!$B$6-46*$B43))*'1 Inputs'!$B$7*'1 Inputs'!$B$8*'1 Inputs'!$B$9*'1 Inputs'!$B$10*'1 Inputs'!$B$11</f>
        <v>0</v>
      </c>
      <c r="DM43" s="19" t="n">
        <f aca="false">MAX(0,MIN($B43,$A43*'1 Inputs'!$B$6-47*$B43))*'1 Inputs'!$B$7*'1 Inputs'!$B$8*'1 Inputs'!$B$9*'1 Inputs'!$B$10*'1 Inputs'!$B$11</f>
        <v>0</v>
      </c>
      <c r="DN43" s="19" t="n">
        <f aca="false">MAX(0,MIN($B43,$A43*'1 Inputs'!$B$6-48*$B43))*'1 Inputs'!$B$7*'1 Inputs'!$B$8*'1 Inputs'!$B$9*'1 Inputs'!$B$10*'1 Inputs'!$B$11</f>
        <v>0</v>
      </c>
      <c r="DO43" s="19" t="n">
        <f aca="false">MAX(0,MIN($B43,$A43*'1 Inputs'!$B$6-49*$B43))*'1 Inputs'!$B$7*'1 Inputs'!$B$8*'1 Inputs'!$B$9*'1 Inputs'!$B$10*'1 Inputs'!$B$11</f>
        <v>0</v>
      </c>
      <c r="DP43" s="19" t="n">
        <f aca="false">MAX(0,MIN($B43,$A43*'1 Inputs'!$B$6-50*$B43))*'1 Inputs'!$B$7*'1 Inputs'!$B$8*'1 Inputs'!$B$9*'1 Inputs'!$B$10*'1 Inputs'!$B$11</f>
        <v>0</v>
      </c>
      <c r="DQ43" s="19" t="n">
        <f aca="false">MAX(0,MIN($B43,$A43*'1 Inputs'!$B$6-51*$B43))*'1 Inputs'!$B$7*'1 Inputs'!$B$8*'1 Inputs'!$B$9*'1 Inputs'!$B$10*'1 Inputs'!$B$11</f>
        <v>0</v>
      </c>
      <c r="DR43" s="19" t="n">
        <f aca="false">MAX(0,MIN($B43,$A43*'1 Inputs'!$B$6-52*$B43))*'1 Inputs'!$B$7*'1 Inputs'!$B$8*'1 Inputs'!$B$9*'1 Inputs'!$B$10*'1 Inputs'!$B$11</f>
        <v>0</v>
      </c>
      <c r="DS43" s="19" t="n">
        <f aca="false">MAX(0,MIN($B43,$A43*'1 Inputs'!$B$6-53*$B43))*'1 Inputs'!$B$7*'1 Inputs'!$B$8*'1 Inputs'!$B$9*'1 Inputs'!$B$10*'1 Inputs'!$B$11</f>
        <v>0</v>
      </c>
      <c r="DT43" s="19" t="n">
        <f aca="false">MAX(0,MIN($B43,$A43*'1 Inputs'!$B$6-54*$B43))*'1 Inputs'!$B$7*'1 Inputs'!$B$8*'1 Inputs'!$B$9*'1 Inputs'!$B$10*'1 Inputs'!$B$11</f>
        <v>0</v>
      </c>
      <c r="DU43" s="19" t="n">
        <f aca="false">MAX(0,MIN($B43,$A43*'1 Inputs'!$B$6-55*$B43))*'1 Inputs'!$B$7*'1 Inputs'!$B$8*'1 Inputs'!$B$9*'1 Inputs'!$B$10*'1 Inputs'!$B$11</f>
        <v>0</v>
      </c>
      <c r="DV43" s="19" t="n">
        <f aca="false">MAX(0,MIN($B43,$A43*'1 Inputs'!$B$6-56*$B43))*'1 Inputs'!$B$7*'1 Inputs'!$B$8*'1 Inputs'!$B$9*'1 Inputs'!$B$10*'1 Inputs'!$B$11</f>
        <v>0</v>
      </c>
      <c r="DW43" s="19" t="n">
        <f aca="false">MAX(0,MIN($B43,$A43*'1 Inputs'!$B$6-57*$B43))*'1 Inputs'!$B$7*'1 Inputs'!$B$8*'1 Inputs'!$B$9*'1 Inputs'!$B$10*'1 Inputs'!$B$11</f>
        <v>0</v>
      </c>
      <c r="DX43" s="19" t="n">
        <f aca="false">MAX(0,MIN($B43,$A43*'1 Inputs'!$B$6-58*$B43))*'1 Inputs'!$B$7*'1 Inputs'!$B$8*'1 Inputs'!$B$9*'1 Inputs'!$B$10*'1 Inputs'!$B$11</f>
        <v>0</v>
      </c>
      <c r="DY43" s="19" t="n">
        <f aca="false">MAX(0,MIN($B43,$A43*'1 Inputs'!$B$6-59*$B43))*'1 Inputs'!$B$7*'1 Inputs'!$B$8*'1 Inputs'!$B$9*'1 Inputs'!$B$10*'1 Inputs'!$B$11</f>
        <v>0</v>
      </c>
    </row>
    <row r="44" customFormat="false" ht="15" hidden="false" customHeight="false" outlineLevel="0" collapsed="false">
      <c r="A44" s="0" t="n">
        <v>180</v>
      </c>
      <c r="B44" s="0" t="n">
        <v>12</v>
      </c>
      <c r="C44" s="12" t="n">
        <f aca="false">SUMIF(J44:BQ44,"&lt;="&amp;('1 Inputs'!$B$21+52),BR44:DY44)</f>
        <v>93750000</v>
      </c>
      <c r="J44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44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44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44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44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44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44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44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44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44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44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44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44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44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44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44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44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44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44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44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44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44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44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44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44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44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44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44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44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44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44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44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44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44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44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44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44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44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44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44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44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44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44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44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44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44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44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44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44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44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44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44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44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44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44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44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44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44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44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44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44" s="19" t="n">
        <f aca="false">MAX(0,MIN($B44,$A44*'1 Inputs'!$B$6-0*$B44))*'1 Inputs'!$B$7*'1 Inputs'!$B$8*'1 Inputs'!$B$9*'1 Inputs'!$B$10*'1 Inputs'!$B$11</f>
        <v>12500000</v>
      </c>
      <c r="BS44" s="19" t="n">
        <f aca="false">MAX(0,MIN($B44,$A44*'1 Inputs'!$B$6-1*$B44))*'1 Inputs'!$B$7*'1 Inputs'!$B$8*'1 Inputs'!$B$9*'1 Inputs'!$B$10*'1 Inputs'!$B$11</f>
        <v>12500000</v>
      </c>
      <c r="BT44" s="19" t="n">
        <f aca="false">MAX(0,MIN($B44,$A44*'1 Inputs'!$B$6-2*$B44))*'1 Inputs'!$B$7*'1 Inputs'!$B$8*'1 Inputs'!$B$9*'1 Inputs'!$B$10*'1 Inputs'!$B$11</f>
        <v>12500000</v>
      </c>
      <c r="BU44" s="19" t="n">
        <f aca="false">MAX(0,MIN($B44,$A44*'1 Inputs'!$B$6-3*$B44))*'1 Inputs'!$B$7*'1 Inputs'!$B$8*'1 Inputs'!$B$9*'1 Inputs'!$B$10*'1 Inputs'!$B$11</f>
        <v>12500000</v>
      </c>
      <c r="BV44" s="19" t="n">
        <f aca="false">MAX(0,MIN($B44,$A44*'1 Inputs'!$B$6-4*$B44))*'1 Inputs'!$B$7*'1 Inputs'!$B$8*'1 Inputs'!$B$9*'1 Inputs'!$B$10*'1 Inputs'!$B$11</f>
        <v>12500000</v>
      </c>
      <c r="BW44" s="19" t="n">
        <f aca="false">MAX(0,MIN($B44,$A44*'1 Inputs'!$B$6-5*$B44))*'1 Inputs'!$B$7*'1 Inputs'!$B$8*'1 Inputs'!$B$9*'1 Inputs'!$B$10*'1 Inputs'!$B$11</f>
        <v>12500000</v>
      </c>
      <c r="BX44" s="19" t="n">
        <f aca="false">MAX(0,MIN($B44,$A44*'1 Inputs'!$B$6-6*$B44))*'1 Inputs'!$B$7*'1 Inputs'!$B$8*'1 Inputs'!$B$9*'1 Inputs'!$B$10*'1 Inputs'!$B$11</f>
        <v>12500000</v>
      </c>
      <c r="BY44" s="19" t="n">
        <f aca="false">MAX(0,MIN($B44,$A44*'1 Inputs'!$B$6-7*$B44))*'1 Inputs'!$B$7*'1 Inputs'!$B$8*'1 Inputs'!$B$9*'1 Inputs'!$B$10*'1 Inputs'!$B$11</f>
        <v>6250000</v>
      </c>
      <c r="BZ44" s="19" t="n">
        <f aca="false">MAX(0,MIN($B44,$A44*'1 Inputs'!$B$6-8*$B44))*'1 Inputs'!$B$7*'1 Inputs'!$B$8*'1 Inputs'!$B$9*'1 Inputs'!$B$10*'1 Inputs'!$B$11</f>
        <v>0</v>
      </c>
      <c r="CA44" s="19" t="n">
        <f aca="false">MAX(0,MIN($B44,$A44*'1 Inputs'!$B$6-9*$B44))*'1 Inputs'!$B$7*'1 Inputs'!$B$8*'1 Inputs'!$B$9*'1 Inputs'!$B$10*'1 Inputs'!$B$11</f>
        <v>0</v>
      </c>
      <c r="CB44" s="19" t="n">
        <f aca="false">MAX(0,MIN($B44,$A44*'1 Inputs'!$B$6-10*$B44))*'1 Inputs'!$B$7*'1 Inputs'!$B$8*'1 Inputs'!$B$9*'1 Inputs'!$B$10*'1 Inputs'!$B$11</f>
        <v>0</v>
      </c>
      <c r="CC44" s="19" t="n">
        <f aca="false">MAX(0,MIN($B44,$A44*'1 Inputs'!$B$6-11*$B44))*'1 Inputs'!$B$7*'1 Inputs'!$B$8*'1 Inputs'!$B$9*'1 Inputs'!$B$10*'1 Inputs'!$B$11</f>
        <v>0</v>
      </c>
      <c r="CD44" s="19" t="n">
        <f aca="false">MAX(0,MIN($B44,$A44*'1 Inputs'!$B$6-12*$B44))*'1 Inputs'!$B$7*'1 Inputs'!$B$8*'1 Inputs'!$B$9*'1 Inputs'!$B$10*'1 Inputs'!$B$11</f>
        <v>0</v>
      </c>
      <c r="CE44" s="19" t="n">
        <f aca="false">MAX(0,MIN($B44,$A44*'1 Inputs'!$B$6-13*$B44))*'1 Inputs'!$B$7*'1 Inputs'!$B$8*'1 Inputs'!$B$9*'1 Inputs'!$B$10*'1 Inputs'!$B$11</f>
        <v>0</v>
      </c>
      <c r="CF44" s="19" t="n">
        <f aca="false">MAX(0,MIN($B44,$A44*'1 Inputs'!$B$6-14*$B44))*'1 Inputs'!$B$7*'1 Inputs'!$B$8*'1 Inputs'!$B$9*'1 Inputs'!$B$10*'1 Inputs'!$B$11</f>
        <v>0</v>
      </c>
      <c r="CG44" s="19" t="n">
        <f aca="false">MAX(0,MIN($B44,$A44*'1 Inputs'!$B$6-15*$B44))*'1 Inputs'!$B$7*'1 Inputs'!$B$8*'1 Inputs'!$B$9*'1 Inputs'!$B$10*'1 Inputs'!$B$11</f>
        <v>0</v>
      </c>
      <c r="CH44" s="19" t="n">
        <f aca="false">MAX(0,MIN($B44,$A44*'1 Inputs'!$B$6-16*$B44))*'1 Inputs'!$B$7*'1 Inputs'!$B$8*'1 Inputs'!$B$9*'1 Inputs'!$B$10*'1 Inputs'!$B$11</f>
        <v>0</v>
      </c>
      <c r="CI44" s="19" t="n">
        <f aca="false">MAX(0,MIN($B44,$A44*'1 Inputs'!$B$6-17*$B44))*'1 Inputs'!$B$7*'1 Inputs'!$B$8*'1 Inputs'!$B$9*'1 Inputs'!$B$10*'1 Inputs'!$B$11</f>
        <v>0</v>
      </c>
      <c r="CJ44" s="19" t="n">
        <f aca="false">MAX(0,MIN($B44,$A44*'1 Inputs'!$B$6-18*$B44))*'1 Inputs'!$B$7*'1 Inputs'!$B$8*'1 Inputs'!$B$9*'1 Inputs'!$B$10*'1 Inputs'!$B$11</f>
        <v>0</v>
      </c>
      <c r="CK44" s="19" t="n">
        <f aca="false">MAX(0,MIN($B44,$A44*'1 Inputs'!$B$6-19*$B44))*'1 Inputs'!$B$7*'1 Inputs'!$B$8*'1 Inputs'!$B$9*'1 Inputs'!$B$10*'1 Inputs'!$B$11</f>
        <v>0</v>
      </c>
      <c r="CL44" s="19" t="n">
        <f aca="false">MAX(0,MIN($B44,$A44*'1 Inputs'!$B$6-20*$B44))*'1 Inputs'!$B$7*'1 Inputs'!$B$8*'1 Inputs'!$B$9*'1 Inputs'!$B$10*'1 Inputs'!$B$11</f>
        <v>0</v>
      </c>
      <c r="CM44" s="19" t="n">
        <f aca="false">MAX(0,MIN($B44,$A44*'1 Inputs'!$B$6-21*$B44))*'1 Inputs'!$B$7*'1 Inputs'!$B$8*'1 Inputs'!$B$9*'1 Inputs'!$B$10*'1 Inputs'!$B$11</f>
        <v>0</v>
      </c>
      <c r="CN44" s="19" t="n">
        <f aca="false">MAX(0,MIN($B44,$A44*'1 Inputs'!$B$6-22*$B44))*'1 Inputs'!$B$7*'1 Inputs'!$B$8*'1 Inputs'!$B$9*'1 Inputs'!$B$10*'1 Inputs'!$B$11</f>
        <v>0</v>
      </c>
      <c r="CO44" s="19" t="n">
        <f aca="false">MAX(0,MIN($B44,$A44*'1 Inputs'!$B$6-23*$B44))*'1 Inputs'!$B$7*'1 Inputs'!$B$8*'1 Inputs'!$B$9*'1 Inputs'!$B$10*'1 Inputs'!$B$11</f>
        <v>0</v>
      </c>
      <c r="CP44" s="19" t="n">
        <f aca="false">MAX(0,MIN($B44,$A44*'1 Inputs'!$B$6-24*$B44))*'1 Inputs'!$B$7*'1 Inputs'!$B$8*'1 Inputs'!$B$9*'1 Inputs'!$B$10*'1 Inputs'!$B$11</f>
        <v>0</v>
      </c>
      <c r="CQ44" s="19" t="n">
        <f aca="false">MAX(0,MIN($B44,$A44*'1 Inputs'!$B$6-25*$B44))*'1 Inputs'!$B$7*'1 Inputs'!$B$8*'1 Inputs'!$B$9*'1 Inputs'!$B$10*'1 Inputs'!$B$11</f>
        <v>0</v>
      </c>
      <c r="CR44" s="19" t="n">
        <f aca="false">MAX(0,MIN($B44,$A44*'1 Inputs'!$B$6-26*$B44))*'1 Inputs'!$B$7*'1 Inputs'!$B$8*'1 Inputs'!$B$9*'1 Inputs'!$B$10*'1 Inputs'!$B$11</f>
        <v>0</v>
      </c>
      <c r="CS44" s="19" t="n">
        <f aca="false">MAX(0,MIN($B44,$A44*'1 Inputs'!$B$6-27*$B44))*'1 Inputs'!$B$7*'1 Inputs'!$B$8*'1 Inputs'!$B$9*'1 Inputs'!$B$10*'1 Inputs'!$B$11</f>
        <v>0</v>
      </c>
      <c r="CT44" s="19" t="n">
        <f aca="false">MAX(0,MIN($B44,$A44*'1 Inputs'!$B$6-28*$B44))*'1 Inputs'!$B$7*'1 Inputs'!$B$8*'1 Inputs'!$B$9*'1 Inputs'!$B$10*'1 Inputs'!$B$11</f>
        <v>0</v>
      </c>
      <c r="CU44" s="19" t="n">
        <f aca="false">MAX(0,MIN($B44,$A44*'1 Inputs'!$B$6-29*$B44))*'1 Inputs'!$B$7*'1 Inputs'!$B$8*'1 Inputs'!$B$9*'1 Inputs'!$B$10*'1 Inputs'!$B$11</f>
        <v>0</v>
      </c>
      <c r="CV44" s="19" t="n">
        <f aca="false">MAX(0,MIN($B44,$A44*'1 Inputs'!$B$6-30*$B44))*'1 Inputs'!$B$7*'1 Inputs'!$B$8*'1 Inputs'!$B$9*'1 Inputs'!$B$10*'1 Inputs'!$B$11</f>
        <v>0</v>
      </c>
      <c r="CW44" s="19" t="n">
        <f aca="false">MAX(0,MIN($B44,$A44*'1 Inputs'!$B$6-31*$B44))*'1 Inputs'!$B$7*'1 Inputs'!$B$8*'1 Inputs'!$B$9*'1 Inputs'!$B$10*'1 Inputs'!$B$11</f>
        <v>0</v>
      </c>
      <c r="CX44" s="19" t="n">
        <f aca="false">MAX(0,MIN($B44,$A44*'1 Inputs'!$B$6-32*$B44))*'1 Inputs'!$B$7*'1 Inputs'!$B$8*'1 Inputs'!$B$9*'1 Inputs'!$B$10*'1 Inputs'!$B$11</f>
        <v>0</v>
      </c>
      <c r="CY44" s="19" t="n">
        <f aca="false">MAX(0,MIN($B44,$A44*'1 Inputs'!$B$6-33*$B44))*'1 Inputs'!$B$7*'1 Inputs'!$B$8*'1 Inputs'!$B$9*'1 Inputs'!$B$10*'1 Inputs'!$B$11</f>
        <v>0</v>
      </c>
      <c r="CZ44" s="19" t="n">
        <f aca="false">MAX(0,MIN($B44,$A44*'1 Inputs'!$B$6-34*$B44))*'1 Inputs'!$B$7*'1 Inputs'!$B$8*'1 Inputs'!$B$9*'1 Inputs'!$B$10*'1 Inputs'!$B$11</f>
        <v>0</v>
      </c>
      <c r="DA44" s="19" t="n">
        <f aca="false">MAX(0,MIN($B44,$A44*'1 Inputs'!$B$6-35*$B44))*'1 Inputs'!$B$7*'1 Inputs'!$B$8*'1 Inputs'!$B$9*'1 Inputs'!$B$10*'1 Inputs'!$B$11</f>
        <v>0</v>
      </c>
      <c r="DB44" s="19" t="n">
        <f aca="false">MAX(0,MIN($B44,$A44*'1 Inputs'!$B$6-36*$B44))*'1 Inputs'!$B$7*'1 Inputs'!$B$8*'1 Inputs'!$B$9*'1 Inputs'!$B$10*'1 Inputs'!$B$11</f>
        <v>0</v>
      </c>
      <c r="DC44" s="19" t="n">
        <f aca="false">MAX(0,MIN($B44,$A44*'1 Inputs'!$B$6-37*$B44))*'1 Inputs'!$B$7*'1 Inputs'!$B$8*'1 Inputs'!$B$9*'1 Inputs'!$B$10*'1 Inputs'!$B$11</f>
        <v>0</v>
      </c>
      <c r="DD44" s="19" t="n">
        <f aca="false">MAX(0,MIN($B44,$A44*'1 Inputs'!$B$6-38*$B44))*'1 Inputs'!$B$7*'1 Inputs'!$B$8*'1 Inputs'!$B$9*'1 Inputs'!$B$10*'1 Inputs'!$B$11</f>
        <v>0</v>
      </c>
      <c r="DE44" s="19" t="n">
        <f aca="false">MAX(0,MIN($B44,$A44*'1 Inputs'!$B$6-39*$B44))*'1 Inputs'!$B$7*'1 Inputs'!$B$8*'1 Inputs'!$B$9*'1 Inputs'!$B$10*'1 Inputs'!$B$11</f>
        <v>0</v>
      </c>
      <c r="DF44" s="19" t="n">
        <f aca="false">MAX(0,MIN($B44,$A44*'1 Inputs'!$B$6-40*$B44))*'1 Inputs'!$B$7*'1 Inputs'!$B$8*'1 Inputs'!$B$9*'1 Inputs'!$B$10*'1 Inputs'!$B$11</f>
        <v>0</v>
      </c>
      <c r="DG44" s="19" t="n">
        <f aca="false">MAX(0,MIN($B44,$A44*'1 Inputs'!$B$6-41*$B44))*'1 Inputs'!$B$7*'1 Inputs'!$B$8*'1 Inputs'!$B$9*'1 Inputs'!$B$10*'1 Inputs'!$B$11</f>
        <v>0</v>
      </c>
      <c r="DH44" s="19" t="n">
        <f aca="false">MAX(0,MIN($B44,$A44*'1 Inputs'!$B$6-42*$B44))*'1 Inputs'!$B$7*'1 Inputs'!$B$8*'1 Inputs'!$B$9*'1 Inputs'!$B$10*'1 Inputs'!$B$11</f>
        <v>0</v>
      </c>
      <c r="DI44" s="19" t="n">
        <f aca="false">MAX(0,MIN($B44,$A44*'1 Inputs'!$B$6-43*$B44))*'1 Inputs'!$B$7*'1 Inputs'!$B$8*'1 Inputs'!$B$9*'1 Inputs'!$B$10*'1 Inputs'!$B$11</f>
        <v>0</v>
      </c>
      <c r="DJ44" s="19" t="n">
        <f aca="false">MAX(0,MIN($B44,$A44*'1 Inputs'!$B$6-44*$B44))*'1 Inputs'!$B$7*'1 Inputs'!$B$8*'1 Inputs'!$B$9*'1 Inputs'!$B$10*'1 Inputs'!$B$11</f>
        <v>0</v>
      </c>
      <c r="DK44" s="19" t="n">
        <f aca="false">MAX(0,MIN($B44,$A44*'1 Inputs'!$B$6-45*$B44))*'1 Inputs'!$B$7*'1 Inputs'!$B$8*'1 Inputs'!$B$9*'1 Inputs'!$B$10*'1 Inputs'!$B$11</f>
        <v>0</v>
      </c>
      <c r="DL44" s="19" t="n">
        <f aca="false">MAX(0,MIN($B44,$A44*'1 Inputs'!$B$6-46*$B44))*'1 Inputs'!$B$7*'1 Inputs'!$B$8*'1 Inputs'!$B$9*'1 Inputs'!$B$10*'1 Inputs'!$B$11</f>
        <v>0</v>
      </c>
      <c r="DM44" s="19" t="n">
        <f aca="false">MAX(0,MIN($B44,$A44*'1 Inputs'!$B$6-47*$B44))*'1 Inputs'!$B$7*'1 Inputs'!$B$8*'1 Inputs'!$B$9*'1 Inputs'!$B$10*'1 Inputs'!$B$11</f>
        <v>0</v>
      </c>
      <c r="DN44" s="19" t="n">
        <f aca="false">MAX(0,MIN($B44,$A44*'1 Inputs'!$B$6-48*$B44))*'1 Inputs'!$B$7*'1 Inputs'!$B$8*'1 Inputs'!$B$9*'1 Inputs'!$B$10*'1 Inputs'!$B$11</f>
        <v>0</v>
      </c>
      <c r="DO44" s="19" t="n">
        <f aca="false">MAX(0,MIN($B44,$A44*'1 Inputs'!$B$6-49*$B44))*'1 Inputs'!$B$7*'1 Inputs'!$B$8*'1 Inputs'!$B$9*'1 Inputs'!$B$10*'1 Inputs'!$B$11</f>
        <v>0</v>
      </c>
      <c r="DP44" s="19" t="n">
        <f aca="false">MAX(0,MIN($B44,$A44*'1 Inputs'!$B$6-50*$B44))*'1 Inputs'!$B$7*'1 Inputs'!$B$8*'1 Inputs'!$B$9*'1 Inputs'!$B$10*'1 Inputs'!$B$11</f>
        <v>0</v>
      </c>
      <c r="DQ44" s="19" t="n">
        <f aca="false">MAX(0,MIN($B44,$A44*'1 Inputs'!$B$6-51*$B44))*'1 Inputs'!$B$7*'1 Inputs'!$B$8*'1 Inputs'!$B$9*'1 Inputs'!$B$10*'1 Inputs'!$B$11</f>
        <v>0</v>
      </c>
      <c r="DR44" s="19" t="n">
        <f aca="false">MAX(0,MIN($B44,$A44*'1 Inputs'!$B$6-52*$B44))*'1 Inputs'!$B$7*'1 Inputs'!$B$8*'1 Inputs'!$B$9*'1 Inputs'!$B$10*'1 Inputs'!$B$11</f>
        <v>0</v>
      </c>
      <c r="DS44" s="19" t="n">
        <f aca="false">MAX(0,MIN($B44,$A44*'1 Inputs'!$B$6-53*$B44))*'1 Inputs'!$B$7*'1 Inputs'!$B$8*'1 Inputs'!$B$9*'1 Inputs'!$B$10*'1 Inputs'!$B$11</f>
        <v>0</v>
      </c>
      <c r="DT44" s="19" t="n">
        <f aca="false">MAX(0,MIN($B44,$A44*'1 Inputs'!$B$6-54*$B44))*'1 Inputs'!$B$7*'1 Inputs'!$B$8*'1 Inputs'!$B$9*'1 Inputs'!$B$10*'1 Inputs'!$B$11</f>
        <v>0</v>
      </c>
      <c r="DU44" s="19" t="n">
        <f aca="false">MAX(0,MIN($B44,$A44*'1 Inputs'!$B$6-55*$B44))*'1 Inputs'!$B$7*'1 Inputs'!$B$8*'1 Inputs'!$B$9*'1 Inputs'!$B$10*'1 Inputs'!$B$11</f>
        <v>0</v>
      </c>
      <c r="DV44" s="19" t="n">
        <f aca="false">MAX(0,MIN($B44,$A44*'1 Inputs'!$B$6-56*$B44))*'1 Inputs'!$B$7*'1 Inputs'!$B$8*'1 Inputs'!$B$9*'1 Inputs'!$B$10*'1 Inputs'!$B$11</f>
        <v>0</v>
      </c>
      <c r="DW44" s="19" t="n">
        <f aca="false">MAX(0,MIN($B44,$A44*'1 Inputs'!$B$6-57*$B44))*'1 Inputs'!$B$7*'1 Inputs'!$B$8*'1 Inputs'!$B$9*'1 Inputs'!$B$10*'1 Inputs'!$B$11</f>
        <v>0</v>
      </c>
      <c r="DX44" s="19" t="n">
        <f aca="false">MAX(0,MIN($B44,$A44*'1 Inputs'!$B$6-58*$B44))*'1 Inputs'!$B$7*'1 Inputs'!$B$8*'1 Inputs'!$B$9*'1 Inputs'!$B$10*'1 Inputs'!$B$11</f>
        <v>0</v>
      </c>
      <c r="DY44" s="19" t="n">
        <f aca="false">MAX(0,MIN($B44,$A44*'1 Inputs'!$B$6-59*$B44))*'1 Inputs'!$B$7*'1 Inputs'!$B$8*'1 Inputs'!$B$9*'1 Inputs'!$B$10*'1 Inputs'!$B$11</f>
        <v>0</v>
      </c>
    </row>
    <row r="45" customFormat="false" ht="15" hidden="false" customHeight="false" outlineLevel="0" collapsed="false">
      <c r="A45" s="0" t="n">
        <v>240</v>
      </c>
      <c r="B45" s="0" t="n">
        <v>4</v>
      </c>
      <c r="C45" s="12" t="n">
        <f aca="false">SUMIF(J45:BQ45,"&lt;="&amp;('1 Inputs'!$B$21+52),BR45:DY45)</f>
        <v>75000000</v>
      </c>
      <c r="J45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45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45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45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45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45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45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45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45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45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45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45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45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45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45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45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45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45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45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45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45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45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45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45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45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45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45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45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45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45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45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45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45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45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45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45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45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45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45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45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45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45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45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45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45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45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45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45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45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45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45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45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45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45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45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45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45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45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45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45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45" s="19" t="n">
        <f aca="false">MAX(0,MIN($B45,$A45*'1 Inputs'!$B$6-0*$B45))*'1 Inputs'!$B$7*'1 Inputs'!$B$8*'1 Inputs'!$B$9*'1 Inputs'!$B$10*'1 Inputs'!$B$11</f>
        <v>4166666.66666667</v>
      </c>
      <c r="BS45" s="19" t="n">
        <f aca="false">MAX(0,MIN($B45,$A45*'1 Inputs'!$B$6-1*$B45))*'1 Inputs'!$B$7*'1 Inputs'!$B$8*'1 Inputs'!$B$9*'1 Inputs'!$B$10*'1 Inputs'!$B$11</f>
        <v>4166666.66666667</v>
      </c>
      <c r="BT45" s="19" t="n">
        <f aca="false">MAX(0,MIN($B45,$A45*'1 Inputs'!$B$6-2*$B45))*'1 Inputs'!$B$7*'1 Inputs'!$B$8*'1 Inputs'!$B$9*'1 Inputs'!$B$10*'1 Inputs'!$B$11</f>
        <v>4166666.66666667</v>
      </c>
      <c r="BU45" s="19" t="n">
        <f aca="false">MAX(0,MIN($B45,$A45*'1 Inputs'!$B$6-3*$B45))*'1 Inputs'!$B$7*'1 Inputs'!$B$8*'1 Inputs'!$B$9*'1 Inputs'!$B$10*'1 Inputs'!$B$11</f>
        <v>4166666.66666667</v>
      </c>
      <c r="BV45" s="19" t="n">
        <f aca="false">MAX(0,MIN($B45,$A45*'1 Inputs'!$B$6-4*$B45))*'1 Inputs'!$B$7*'1 Inputs'!$B$8*'1 Inputs'!$B$9*'1 Inputs'!$B$10*'1 Inputs'!$B$11</f>
        <v>4166666.66666667</v>
      </c>
      <c r="BW45" s="19" t="n">
        <f aca="false">MAX(0,MIN($B45,$A45*'1 Inputs'!$B$6-5*$B45))*'1 Inputs'!$B$7*'1 Inputs'!$B$8*'1 Inputs'!$B$9*'1 Inputs'!$B$10*'1 Inputs'!$B$11</f>
        <v>4166666.66666667</v>
      </c>
      <c r="BX45" s="19" t="n">
        <f aca="false">MAX(0,MIN($B45,$A45*'1 Inputs'!$B$6-6*$B45))*'1 Inputs'!$B$7*'1 Inputs'!$B$8*'1 Inputs'!$B$9*'1 Inputs'!$B$10*'1 Inputs'!$B$11</f>
        <v>4166666.66666667</v>
      </c>
      <c r="BY45" s="19" t="n">
        <f aca="false">MAX(0,MIN($B45,$A45*'1 Inputs'!$B$6-7*$B45))*'1 Inputs'!$B$7*'1 Inputs'!$B$8*'1 Inputs'!$B$9*'1 Inputs'!$B$10*'1 Inputs'!$B$11</f>
        <v>4166666.66666667</v>
      </c>
      <c r="BZ45" s="19" t="n">
        <f aca="false">MAX(0,MIN($B45,$A45*'1 Inputs'!$B$6-8*$B45))*'1 Inputs'!$B$7*'1 Inputs'!$B$8*'1 Inputs'!$B$9*'1 Inputs'!$B$10*'1 Inputs'!$B$11</f>
        <v>4166666.66666667</v>
      </c>
      <c r="CA45" s="19" t="n">
        <f aca="false">MAX(0,MIN($B45,$A45*'1 Inputs'!$B$6-9*$B45))*'1 Inputs'!$B$7*'1 Inputs'!$B$8*'1 Inputs'!$B$9*'1 Inputs'!$B$10*'1 Inputs'!$B$11</f>
        <v>4166666.66666667</v>
      </c>
      <c r="CB45" s="19" t="n">
        <f aca="false">MAX(0,MIN($B45,$A45*'1 Inputs'!$B$6-10*$B45))*'1 Inputs'!$B$7*'1 Inputs'!$B$8*'1 Inputs'!$B$9*'1 Inputs'!$B$10*'1 Inputs'!$B$11</f>
        <v>4166666.66666667</v>
      </c>
      <c r="CC45" s="19" t="n">
        <f aca="false">MAX(0,MIN($B45,$A45*'1 Inputs'!$B$6-11*$B45))*'1 Inputs'!$B$7*'1 Inputs'!$B$8*'1 Inputs'!$B$9*'1 Inputs'!$B$10*'1 Inputs'!$B$11</f>
        <v>4166666.66666667</v>
      </c>
      <c r="CD45" s="19" t="n">
        <f aca="false">MAX(0,MIN($B45,$A45*'1 Inputs'!$B$6-12*$B45))*'1 Inputs'!$B$7*'1 Inputs'!$B$8*'1 Inputs'!$B$9*'1 Inputs'!$B$10*'1 Inputs'!$B$11</f>
        <v>4166666.66666667</v>
      </c>
      <c r="CE45" s="19" t="n">
        <f aca="false">MAX(0,MIN($B45,$A45*'1 Inputs'!$B$6-13*$B45))*'1 Inputs'!$B$7*'1 Inputs'!$B$8*'1 Inputs'!$B$9*'1 Inputs'!$B$10*'1 Inputs'!$B$11</f>
        <v>4166666.66666667</v>
      </c>
      <c r="CF45" s="19" t="n">
        <f aca="false">MAX(0,MIN($B45,$A45*'1 Inputs'!$B$6-14*$B45))*'1 Inputs'!$B$7*'1 Inputs'!$B$8*'1 Inputs'!$B$9*'1 Inputs'!$B$10*'1 Inputs'!$B$11</f>
        <v>4166666.66666667</v>
      </c>
      <c r="CG45" s="19" t="n">
        <f aca="false">MAX(0,MIN($B45,$A45*'1 Inputs'!$B$6-15*$B45))*'1 Inputs'!$B$7*'1 Inputs'!$B$8*'1 Inputs'!$B$9*'1 Inputs'!$B$10*'1 Inputs'!$B$11</f>
        <v>4166666.66666667</v>
      </c>
      <c r="CH45" s="19" t="n">
        <f aca="false">MAX(0,MIN($B45,$A45*'1 Inputs'!$B$6-16*$B45))*'1 Inputs'!$B$7*'1 Inputs'!$B$8*'1 Inputs'!$B$9*'1 Inputs'!$B$10*'1 Inputs'!$B$11</f>
        <v>4166666.66666667</v>
      </c>
      <c r="CI45" s="19" t="n">
        <f aca="false">MAX(0,MIN($B45,$A45*'1 Inputs'!$B$6-17*$B45))*'1 Inputs'!$B$7*'1 Inputs'!$B$8*'1 Inputs'!$B$9*'1 Inputs'!$B$10*'1 Inputs'!$B$11</f>
        <v>4166666.66666667</v>
      </c>
      <c r="CJ45" s="19" t="n">
        <f aca="false">MAX(0,MIN($B45,$A45*'1 Inputs'!$B$6-18*$B45))*'1 Inputs'!$B$7*'1 Inputs'!$B$8*'1 Inputs'!$B$9*'1 Inputs'!$B$10*'1 Inputs'!$B$11</f>
        <v>4166666.66666667</v>
      </c>
      <c r="CK45" s="19" t="n">
        <f aca="false">MAX(0,MIN($B45,$A45*'1 Inputs'!$B$6-19*$B45))*'1 Inputs'!$B$7*'1 Inputs'!$B$8*'1 Inputs'!$B$9*'1 Inputs'!$B$10*'1 Inputs'!$B$11</f>
        <v>4166666.66666667</v>
      </c>
      <c r="CL45" s="19" t="n">
        <f aca="false">MAX(0,MIN($B45,$A45*'1 Inputs'!$B$6-20*$B45))*'1 Inputs'!$B$7*'1 Inputs'!$B$8*'1 Inputs'!$B$9*'1 Inputs'!$B$10*'1 Inputs'!$B$11</f>
        <v>4166666.66666667</v>
      </c>
      <c r="CM45" s="19" t="n">
        <f aca="false">MAX(0,MIN($B45,$A45*'1 Inputs'!$B$6-21*$B45))*'1 Inputs'!$B$7*'1 Inputs'!$B$8*'1 Inputs'!$B$9*'1 Inputs'!$B$10*'1 Inputs'!$B$11</f>
        <v>4166666.66666667</v>
      </c>
      <c r="CN45" s="19" t="n">
        <f aca="false">MAX(0,MIN($B45,$A45*'1 Inputs'!$B$6-22*$B45))*'1 Inputs'!$B$7*'1 Inputs'!$B$8*'1 Inputs'!$B$9*'1 Inputs'!$B$10*'1 Inputs'!$B$11</f>
        <v>4166666.66666667</v>
      </c>
      <c r="CO45" s="19" t="n">
        <f aca="false">MAX(0,MIN($B45,$A45*'1 Inputs'!$B$6-23*$B45))*'1 Inputs'!$B$7*'1 Inputs'!$B$8*'1 Inputs'!$B$9*'1 Inputs'!$B$10*'1 Inputs'!$B$11</f>
        <v>4166666.66666667</v>
      </c>
      <c r="CP45" s="19" t="n">
        <f aca="false">MAX(0,MIN($B45,$A45*'1 Inputs'!$B$6-24*$B45))*'1 Inputs'!$B$7*'1 Inputs'!$B$8*'1 Inputs'!$B$9*'1 Inputs'!$B$10*'1 Inputs'!$B$11</f>
        <v>4166666.66666667</v>
      </c>
      <c r="CQ45" s="19" t="n">
        <f aca="false">MAX(0,MIN($B45,$A45*'1 Inputs'!$B$6-25*$B45))*'1 Inputs'!$B$7*'1 Inputs'!$B$8*'1 Inputs'!$B$9*'1 Inputs'!$B$10*'1 Inputs'!$B$11</f>
        <v>4166666.66666667</v>
      </c>
      <c r="CR45" s="19" t="n">
        <f aca="false">MAX(0,MIN($B45,$A45*'1 Inputs'!$B$6-26*$B45))*'1 Inputs'!$B$7*'1 Inputs'!$B$8*'1 Inputs'!$B$9*'1 Inputs'!$B$10*'1 Inputs'!$B$11</f>
        <v>4166666.66666667</v>
      </c>
      <c r="CS45" s="19" t="n">
        <f aca="false">MAX(0,MIN($B45,$A45*'1 Inputs'!$B$6-27*$B45))*'1 Inputs'!$B$7*'1 Inputs'!$B$8*'1 Inputs'!$B$9*'1 Inputs'!$B$10*'1 Inputs'!$B$11</f>
        <v>4166666.66666667</v>
      </c>
      <c r="CT45" s="19" t="n">
        <f aca="false">MAX(0,MIN($B45,$A45*'1 Inputs'!$B$6-28*$B45))*'1 Inputs'!$B$7*'1 Inputs'!$B$8*'1 Inputs'!$B$9*'1 Inputs'!$B$10*'1 Inputs'!$B$11</f>
        <v>4166666.66666667</v>
      </c>
      <c r="CU45" s="19" t="n">
        <f aca="false">MAX(0,MIN($B45,$A45*'1 Inputs'!$B$6-29*$B45))*'1 Inputs'!$B$7*'1 Inputs'!$B$8*'1 Inputs'!$B$9*'1 Inputs'!$B$10*'1 Inputs'!$B$11</f>
        <v>4166666.66666667</v>
      </c>
      <c r="CV45" s="19" t="n">
        <f aca="false">MAX(0,MIN($B45,$A45*'1 Inputs'!$B$6-30*$B45))*'1 Inputs'!$B$7*'1 Inputs'!$B$8*'1 Inputs'!$B$9*'1 Inputs'!$B$10*'1 Inputs'!$B$11</f>
        <v>0</v>
      </c>
      <c r="CW45" s="19" t="n">
        <f aca="false">MAX(0,MIN($B45,$A45*'1 Inputs'!$B$6-31*$B45))*'1 Inputs'!$B$7*'1 Inputs'!$B$8*'1 Inputs'!$B$9*'1 Inputs'!$B$10*'1 Inputs'!$B$11</f>
        <v>0</v>
      </c>
      <c r="CX45" s="19" t="n">
        <f aca="false">MAX(0,MIN($B45,$A45*'1 Inputs'!$B$6-32*$B45))*'1 Inputs'!$B$7*'1 Inputs'!$B$8*'1 Inputs'!$B$9*'1 Inputs'!$B$10*'1 Inputs'!$B$11</f>
        <v>0</v>
      </c>
      <c r="CY45" s="19" t="n">
        <f aca="false">MAX(0,MIN($B45,$A45*'1 Inputs'!$B$6-33*$B45))*'1 Inputs'!$B$7*'1 Inputs'!$B$8*'1 Inputs'!$B$9*'1 Inputs'!$B$10*'1 Inputs'!$B$11</f>
        <v>0</v>
      </c>
      <c r="CZ45" s="19" t="n">
        <f aca="false">MAX(0,MIN($B45,$A45*'1 Inputs'!$B$6-34*$B45))*'1 Inputs'!$B$7*'1 Inputs'!$B$8*'1 Inputs'!$B$9*'1 Inputs'!$B$10*'1 Inputs'!$B$11</f>
        <v>0</v>
      </c>
      <c r="DA45" s="19" t="n">
        <f aca="false">MAX(0,MIN($B45,$A45*'1 Inputs'!$B$6-35*$B45))*'1 Inputs'!$B$7*'1 Inputs'!$B$8*'1 Inputs'!$B$9*'1 Inputs'!$B$10*'1 Inputs'!$B$11</f>
        <v>0</v>
      </c>
      <c r="DB45" s="19" t="n">
        <f aca="false">MAX(0,MIN($B45,$A45*'1 Inputs'!$B$6-36*$B45))*'1 Inputs'!$B$7*'1 Inputs'!$B$8*'1 Inputs'!$B$9*'1 Inputs'!$B$10*'1 Inputs'!$B$11</f>
        <v>0</v>
      </c>
      <c r="DC45" s="19" t="n">
        <f aca="false">MAX(0,MIN($B45,$A45*'1 Inputs'!$B$6-37*$B45))*'1 Inputs'!$B$7*'1 Inputs'!$B$8*'1 Inputs'!$B$9*'1 Inputs'!$B$10*'1 Inputs'!$B$11</f>
        <v>0</v>
      </c>
      <c r="DD45" s="19" t="n">
        <f aca="false">MAX(0,MIN($B45,$A45*'1 Inputs'!$B$6-38*$B45))*'1 Inputs'!$B$7*'1 Inputs'!$B$8*'1 Inputs'!$B$9*'1 Inputs'!$B$10*'1 Inputs'!$B$11</f>
        <v>0</v>
      </c>
      <c r="DE45" s="19" t="n">
        <f aca="false">MAX(0,MIN($B45,$A45*'1 Inputs'!$B$6-39*$B45))*'1 Inputs'!$B$7*'1 Inputs'!$B$8*'1 Inputs'!$B$9*'1 Inputs'!$B$10*'1 Inputs'!$B$11</f>
        <v>0</v>
      </c>
      <c r="DF45" s="19" t="n">
        <f aca="false">MAX(0,MIN($B45,$A45*'1 Inputs'!$B$6-40*$B45))*'1 Inputs'!$B$7*'1 Inputs'!$B$8*'1 Inputs'!$B$9*'1 Inputs'!$B$10*'1 Inputs'!$B$11</f>
        <v>0</v>
      </c>
      <c r="DG45" s="19" t="n">
        <f aca="false">MAX(0,MIN($B45,$A45*'1 Inputs'!$B$6-41*$B45))*'1 Inputs'!$B$7*'1 Inputs'!$B$8*'1 Inputs'!$B$9*'1 Inputs'!$B$10*'1 Inputs'!$B$11</f>
        <v>0</v>
      </c>
      <c r="DH45" s="19" t="n">
        <f aca="false">MAX(0,MIN($B45,$A45*'1 Inputs'!$B$6-42*$B45))*'1 Inputs'!$B$7*'1 Inputs'!$B$8*'1 Inputs'!$B$9*'1 Inputs'!$B$10*'1 Inputs'!$B$11</f>
        <v>0</v>
      </c>
      <c r="DI45" s="19" t="n">
        <f aca="false">MAX(0,MIN($B45,$A45*'1 Inputs'!$B$6-43*$B45))*'1 Inputs'!$B$7*'1 Inputs'!$B$8*'1 Inputs'!$B$9*'1 Inputs'!$B$10*'1 Inputs'!$B$11</f>
        <v>0</v>
      </c>
      <c r="DJ45" s="19" t="n">
        <f aca="false">MAX(0,MIN($B45,$A45*'1 Inputs'!$B$6-44*$B45))*'1 Inputs'!$B$7*'1 Inputs'!$B$8*'1 Inputs'!$B$9*'1 Inputs'!$B$10*'1 Inputs'!$B$11</f>
        <v>0</v>
      </c>
      <c r="DK45" s="19" t="n">
        <f aca="false">MAX(0,MIN($B45,$A45*'1 Inputs'!$B$6-45*$B45))*'1 Inputs'!$B$7*'1 Inputs'!$B$8*'1 Inputs'!$B$9*'1 Inputs'!$B$10*'1 Inputs'!$B$11</f>
        <v>0</v>
      </c>
      <c r="DL45" s="19" t="n">
        <f aca="false">MAX(0,MIN($B45,$A45*'1 Inputs'!$B$6-46*$B45))*'1 Inputs'!$B$7*'1 Inputs'!$B$8*'1 Inputs'!$B$9*'1 Inputs'!$B$10*'1 Inputs'!$B$11</f>
        <v>0</v>
      </c>
      <c r="DM45" s="19" t="n">
        <f aca="false">MAX(0,MIN($B45,$A45*'1 Inputs'!$B$6-47*$B45))*'1 Inputs'!$B$7*'1 Inputs'!$B$8*'1 Inputs'!$B$9*'1 Inputs'!$B$10*'1 Inputs'!$B$11</f>
        <v>0</v>
      </c>
      <c r="DN45" s="19" t="n">
        <f aca="false">MAX(0,MIN($B45,$A45*'1 Inputs'!$B$6-48*$B45))*'1 Inputs'!$B$7*'1 Inputs'!$B$8*'1 Inputs'!$B$9*'1 Inputs'!$B$10*'1 Inputs'!$B$11</f>
        <v>0</v>
      </c>
      <c r="DO45" s="19" t="n">
        <f aca="false">MAX(0,MIN($B45,$A45*'1 Inputs'!$B$6-49*$B45))*'1 Inputs'!$B$7*'1 Inputs'!$B$8*'1 Inputs'!$B$9*'1 Inputs'!$B$10*'1 Inputs'!$B$11</f>
        <v>0</v>
      </c>
      <c r="DP45" s="19" t="n">
        <f aca="false">MAX(0,MIN($B45,$A45*'1 Inputs'!$B$6-50*$B45))*'1 Inputs'!$B$7*'1 Inputs'!$B$8*'1 Inputs'!$B$9*'1 Inputs'!$B$10*'1 Inputs'!$B$11</f>
        <v>0</v>
      </c>
      <c r="DQ45" s="19" t="n">
        <f aca="false">MAX(0,MIN($B45,$A45*'1 Inputs'!$B$6-51*$B45))*'1 Inputs'!$B$7*'1 Inputs'!$B$8*'1 Inputs'!$B$9*'1 Inputs'!$B$10*'1 Inputs'!$B$11</f>
        <v>0</v>
      </c>
      <c r="DR45" s="19" t="n">
        <f aca="false">MAX(0,MIN($B45,$A45*'1 Inputs'!$B$6-52*$B45))*'1 Inputs'!$B$7*'1 Inputs'!$B$8*'1 Inputs'!$B$9*'1 Inputs'!$B$10*'1 Inputs'!$B$11</f>
        <v>0</v>
      </c>
      <c r="DS45" s="19" t="n">
        <f aca="false">MAX(0,MIN($B45,$A45*'1 Inputs'!$B$6-53*$B45))*'1 Inputs'!$B$7*'1 Inputs'!$B$8*'1 Inputs'!$B$9*'1 Inputs'!$B$10*'1 Inputs'!$B$11</f>
        <v>0</v>
      </c>
      <c r="DT45" s="19" t="n">
        <f aca="false">MAX(0,MIN($B45,$A45*'1 Inputs'!$B$6-54*$B45))*'1 Inputs'!$B$7*'1 Inputs'!$B$8*'1 Inputs'!$B$9*'1 Inputs'!$B$10*'1 Inputs'!$B$11</f>
        <v>0</v>
      </c>
      <c r="DU45" s="19" t="n">
        <f aca="false">MAX(0,MIN($B45,$A45*'1 Inputs'!$B$6-55*$B45))*'1 Inputs'!$B$7*'1 Inputs'!$B$8*'1 Inputs'!$B$9*'1 Inputs'!$B$10*'1 Inputs'!$B$11</f>
        <v>0</v>
      </c>
      <c r="DV45" s="19" t="n">
        <f aca="false">MAX(0,MIN($B45,$A45*'1 Inputs'!$B$6-56*$B45))*'1 Inputs'!$B$7*'1 Inputs'!$B$8*'1 Inputs'!$B$9*'1 Inputs'!$B$10*'1 Inputs'!$B$11</f>
        <v>0</v>
      </c>
      <c r="DW45" s="19" t="n">
        <f aca="false">MAX(0,MIN($B45,$A45*'1 Inputs'!$B$6-57*$B45))*'1 Inputs'!$B$7*'1 Inputs'!$B$8*'1 Inputs'!$B$9*'1 Inputs'!$B$10*'1 Inputs'!$B$11</f>
        <v>0</v>
      </c>
      <c r="DX45" s="19" t="n">
        <f aca="false">MAX(0,MIN($B45,$A45*'1 Inputs'!$B$6-58*$B45))*'1 Inputs'!$B$7*'1 Inputs'!$B$8*'1 Inputs'!$B$9*'1 Inputs'!$B$10*'1 Inputs'!$B$11</f>
        <v>0</v>
      </c>
      <c r="DY45" s="19" t="n">
        <f aca="false">MAX(0,MIN($B45,$A45*'1 Inputs'!$B$6-59*$B45))*'1 Inputs'!$B$7*'1 Inputs'!$B$8*'1 Inputs'!$B$9*'1 Inputs'!$B$10*'1 Inputs'!$B$11</f>
        <v>0</v>
      </c>
    </row>
    <row r="46" customFormat="false" ht="15" hidden="false" customHeight="false" outlineLevel="0" collapsed="false">
      <c r="A46" s="0" t="n">
        <v>240</v>
      </c>
      <c r="B46" s="0" t="n">
        <v>6</v>
      </c>
      <c r="C46" s="12" t="n">
        <f aca="false">SUMIF(J46:BQ46,"&lt;="&amp;('1 Inputs'!$B$21+52),BR46:DY46)</f>
        <v>112500000</v>
      </c>
      <c r="J46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46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46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46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46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46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46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46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46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46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46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46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46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46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46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46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46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46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46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46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46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46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46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46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46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46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46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46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46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46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46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46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46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46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46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46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46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46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46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46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46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46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46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46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46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46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46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46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46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46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46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46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46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46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46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46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46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46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46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46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46" s="19" t="n">
        <f aca="false">MAX(0,MIN($B46,$A46*'1 Inputs'!$B$6-0*$B46))*'1 Inputs'!$B$7*'1 Inputs'!$B$8*'1 Inputs'!$B$9*'1 Inputs'!$B$10*'1 Inputs'!$B$11</f>
        <v>6250000</v>
      </c>
      <c r="BS46" s="19" t="n">
        <f aca="false">MAX(0,MIN($B46,$A46*'1 Inputs'!$B$6-1*$B46))*'1 Inputs'!$B$7*'1 Inputs'!$B$8*'1 Inputs'!$B$9*'1 Inputs'!$B$10*'1 Inputs'!$B$11</f>
        <v>6250000</v>
      </c>
      <c r="BT46" s="19" t="n">
        <f aca="false">MAX(0,MIN($B46,$A46*'1 Inputs'!$B$6-2*$B46))*'1 Inputs'!$B$7*'1 Inputs'!$B$8*'1 Inputs'!$B$9*'1 Inputs'!$B$10*'1 Inputs'!$B$11</f>
        <v>6250000</v>
      </c>
      <c r="BU46" s="19" t="n">
        <f aca="false">MAX(0,MIN($B46,$A46*'1 Inputs'!$B$6-3*$B46))*'1 Inputs'!$B$7*'1 Inputs'!$B$8*'1 Inputs'!$B$9*'1 Inputs'!$B$10*'1 Inputs'!$B$11</f>
        <v>6250000</v>
      </c>
      <c r="BV46" s="19" t="n">
        <f aca="false">MAX(0,MIN($B46,$A46*'1 Inputs'!$B$6-4*$B46))*'1 Inputs'!$B$7*'1 Inputs'!$B$8*'1 Inputs'!$B$9*'1 Inputs'!$B$10*'1 Inputs'!$B$11</f>
        <v>6250000</v>
      </c>
      <c r="BW46" s="19" t="n">
        <f aca="false">MAX(0,MIN($B46,$A46*'1 Inputs'!$B$6-5*$B46))*'1 Inputs'!$B$7*'1 Inputs'!$B$8*'1 Inputs'!$B$9*'1 Inputs'!$B$10*'1 Inputs'!$B$11</f>
        <v>6250000</v>
      </c>
      <c r="BX46" s="19" t="n">
        <f aca="false">MAX(0,MIN($B46,$A46*'1 Inputs'!$B$6-6*$B46))*'1 Inputs'!$B$7*'1 Inputs'!$B$8*'1 Inputs'!$B$9*'1 Inputs'!$B$10*'1 Inputs'!$B$11</f>
        <v>6250000</v>
      </c>
      <c r="BY46" s="19" t="n">
        <f aca="false">MAX(0,MIN($B46,$A46*'1 Inputs'!$B$6-7*$B46))*'1 Inputs'!$B$7*'1 Inputs'!$B$8*'1 Inputs'!$B$9*'1 Inputs'!$B$10*'1 Inputs'!$B$11</f>
        <v>6250000</v>
      </c>
      <c r="BZ46" s="19" t="n">
        <f aca="false">MAX(0,MIN($B46,$A46*'1 Inputs'!$B$6-8*$B46))*'1 Inputs'!$B$7*'1 Inputs'!$B$8*'1 Inputs'!$B$9*'1 Inputs'!$B$10*'1 Inputs'!$B$11</f>
        <v>6250000</v>
      </c>
      <c r="CA46" s="19" t="n">
        <f aca="false">MAX(0,MIN($B46,$A46*'1 Inputs'!$B$6-9*$B46))*'1 Inputs'!$B$7*'1 Inputs'!$B$8*'1 Inputs'!$B$9*'1 Inputs'!$B$10*'1 Inputs'!$B$11</f>
        <v>6250000</v>
      </c>
      <c r="CB46" s="19" t="n">
        <f aca="false">MAX(0,MIN($B46,$A46*'1 Inputs'!$B$6-10*$B46))*'1 Inputs'!$B$7*'1 Inputs'!$B$8*'1 Inputs'!$B$9*'1 Inputs'!$B$10*'1 Inputs'!$B$11</f>
        <v>6250000</v>
      </c>
      <c r="CC46" s="19" t="n">
        <f aca="false">MAX(0,MIN($B46,$A46*'1 Inputs'!$B$6-11*$B46))*'1 Inputs'!$B$7*'1 Inputs'!$B$8*'1 Inputs'!$B$9*'1 Inputs'!$B$10*'1 Inputs'!$B$11</f>
        <v>6250000</v>
      </c>
      <c r="CD46" s="19" t="n">
        <f aca="false">MAX(0,MIN($B46,$A46*'1 Inputs'!$B$6-12*$B46))*'1 Inputs'!$B$7*'1 Inputs'!$B$8*'1 Inputs'!$B$9*'1 Inputs'!$B$10*'1 Inputs'!$B$11</f>
        <v>6250000</v>
      </c>
      <c r="CE46" s="19" t="n">
        <f aca="false">MAX(0,MIN($B46,$A46*'1 Inputs'!$B$6-13*$B46))*'1 Inputs'!$B$7*'1 Inputs'!$B$8*'1 Inputs'!$B$9*'1 Inputs'!$B$10*'1 Inputs'!$B$11</f>
        <v>6250000</v>
      </c>
      <c r="CF46" s="19" t="n">
        <f aca="false">MAX(0,MIN($B46,$A46*'1 Inputs'!$B$6-14*$B46))*'1 Inputs'!$B$7*'1 Inputs'!$B$8*'1 Inputs'!$B$9*'1 Inputs'!$B$10*'1 Inputs'!$B$11</f>
        <v>6250000</v>
      </c>
      <c r="CG46" s="19" t="n">
        <f aca="false">MAX(0,MIN($B46,$A46*'1 Inputs'!$B$6-15*$B46))*'1 Inputs'!$B$7*'1 Inputs'!$B$8*'1 Inputs'!$B$9*'1 Inputs'!$B$10*'1 Inputs'!$B$11</f>
        <v>6250000</v>
      </c>
      <c r="CH46" s="19" t="n">
        <f aca="false">MAX(0,MIN($B46,$A46*'1 Inputs'!$B$6-16*$B46))*'1 Inputs'!$B$7*'1 Inputs'!$B$8*'1 Inputs'!$B$9*'1 Inputs'!$B$10*'1 Inputs'!$B$11</f>
        <v>6250000</v>
      </c>
      <c r="CI46" s="19" t="n">
        <f aca="false">MAX(0,MIN($B46,$A46*'1 Inputs'!$B$6-17*$B46))*'1 Inputs'!$B$7*'1 Inputs'!$B$8*'1 Inputs'!$B$9*'1 Inputs'!$B$10*'1 Inputs'!$B$11</f>
        <v>6250000</v>
      </c>
      <c r="CJ46" s="19" t="n">
        <f aca="false">MAX(0,MIN($B46,$A46*'1 Inputs'!$B$6-18*$B46))*'1 Inputs'!$B$7*'1 Inputs'!$B$8*'1 Inputs'!$B$9*'1 Inputs'!$B$10*'1 Inputs'!$B$11</f>
        <v>6250000</v>
      </c>
      <c r="CK46" s="19" t="n">
        <f aca="false">MAX(0,MIN($B46,$A46*'1 Inputs'!$B$6-19*$B46))*'1 Inputs'!$B$7*'1 Inputs'!$B$8*'1 Inputs'!$B$9*'1 Inputs'!$B$10*'1 Inputs'!$B$11</f>
        <v>6250000</v>
      </c>
      <c r="CL46" s="19" t="n">
        <f aca="false">MAX(0,MIN($B46,$A46*'1 Inputs'!$B$6-20*$B46))*'1 Inputs'!$B$7*'1 Inputs'!$B$8*'1 Inputs'!$B$9*'1 Inputs'!$B$10*'1 Inputs'!$B$11</f>
        <v>0</v>
      </c>
      <c r="CM46" s="19" t="n">
        <f aca="false">MAX(0,MIN($B46,$A46*'1 Inputs'!$B$6-21*$B46))*'1 Inputs'!$B$7*'1 Inputs'!$B$8*'1 Inputs'!$B$9*'1 Inputs'!$B$10*'1 Inputs'!$B$11</f>
        <v>0</v>
      </c>
      <c r="CN46" s="19" t="n">
        <f aca="false">MAX(0,MIN($B46,$A46*'1 Inputs'!$B$6-22*$B46))*'1 Inputs'!$B$7*'1 Inputs'!$B$8*'1 Inputs'!$B$9*'1 Inputs'!$B$10*'1 Inputs'!$B$11</f>
        <v>0</v>
      </c>
      <c r="CO46" s="19" t="n">
        <f aca="false">MAX(0,MIN($B46,$A46*'1 Inputs'!$B$6-23*$B46))*'1 Inputs'!$B$7*'1 Inputs'!$B$8*'1 Inputs'!$B$9*'1 Inputs'!$B$10*'1 Inputs'!$B$11</f>
        <v>0</v>
      </c>
      <c r="CP46" s="19" t="n">
        <f aca="false">MAX(0,MIN($B46,$A46*'1 Inputs'!$B$6-24*$B46))*'1 Inputs'!$B$7*'1 Inputs'!$B$8*'1 Inputs'!$B$9*'1 Inputs'!$B$10*'1 Inputs'!$B$11</f>
        <v>0</v>
      </c>
      <c r="CQ46" s="19" t="n">
        <f aca="false">MAX(0,MIN($B46,$A46*'1 Inputs'!$B$6-25*$B46))*'1 Inputs'!$B$7*'1 Inputs'!$B$8*'1 Inputs'!$B$9*'1 Inputs'!$B$10*'1 Inputs'!$B$11</f>
        <v>0</v>
      </c>
      <c r="CR46" s="19" t="n">
        <f aca="false">MAX(0,MIN($B46,$A46*'1 Inputs'!$B$6-26*$B46))*'1 Inputs'!$B$7*'1 Inputs'!$B$8*'1 Inputs'!$B$9*'1 Inputs'!$B$10*'1 Inputs'!$B$11</f>
        <v>0</v>
      </c>
      <c r="CS46" s="19" t="n">
        <f aca="false">MAX(0,MIN($B46,$A46*'1 Inputs'!$B$6-27*$B46))*'1 Inputs'!$B$7*'1 Inputs'!$B$8*'1 Inputs'!$B$9*'1 Inputs'!$B$10*'1 Inputs'!$B$11</f>
        <v>0</v>
      </c>
      <c r="CT46" s="19" t="n">
        <f aca="false">MAX(0,MIN($B46,$A46*'1 Inputs'!$B$6-28*$B46))*'1 Inputs'!$B$7*'1 Inputs'!$B$8*'1 Inputs'!$B$9*'1 Inputs'!$B$10*'1 Inputs'!$B$11</f>
        <v>0</v>
      </c>
      <c r="CU46" s="19" t="n">
        <f aca="false">MAX(0,MIN($B46,$A46*'1 Inputs'!$B$6-29*$B46))*'1 Inputs'!$B$7*'1 Inputs'!$B$8*'1 Inputs'!$B$9*'1 Inputs'!$B$10*'1 Inputs'!$B$11</f>
        <v>0</v>
      </c>
      <c r="CV46" s="19" t="n">
        <f aca="false">MAX(0,MIN($B46,$A46*'1 Inputs'!$B$6-30*$B46))*'1 Inputs'!$B$7*'1 Inputs'!$B$8*'1 Inputs'!$B$9*'1 Inputs'!$B$10*'1 Inputs'!$B$11</f>
        <v>0</v>
      </c>
      <c r="CW46" s="19" t="n">
        <f aca="false">MAX(0,MIN($B46,$A46*'1 Inputs'!$B$6-31*$B46))*'1 Inputs'!$B$7*'1 Inputs'!$B$8*'1 Inputs'!$B$9*'1 Inputs'!$B$10*'1 Inputs'!$B$11</f>
        <v>0</v>
      </c>
      <c r="CX46" s="19" t="n">
        <f aca="false">MAX(0,MIN($B46,$A46*'1 Inputs'!$B$6-32*$B46))*'1 Inputs'!$B$7*'1 Inputs'!$B$8*'1 Inputs'!$B$9*'1 Inputs'!$B$10*'1 Inputs'!$B$11</f>
        <v>0</v>
      </c>
      <c r="CY46" s="19" t="n">
        <f aca="false">MAX(0,MIN($B46,$A46*'1 Inputs'!$B$6-33*$B46))*'1 Inputs'!$B$7*'1 Inputs'!$B$8*'1 Inputs'!$B$9*'1 Inputs'!$B$10*'1 Inputs'!$B$11</f>
        <v>0</v>
      </c>
      <c r="CZ46" s="19" t="n">
        <f aca="false">MAX(0,MIN($B46,$A46*'1 Inputs'!$B$6-34*$B46))*'1 Inputs'!$B$7*'1 Inputs'!$B$8*'1 Inputs'!$B$9*'1 Inputs'!$B$10*'1 Inputs'!$B$11</f>
        <v>0</v>
      </c>
      <c r="DA46" s="19" t="n">
        <f aca="false">MAX(0,MIN($B46,$A46*'1 Inputs'!$B$6-35*$B46))*'1 Inputs'!$B$7*'1 Inputs'!$B$8*'1 Inputs'!$B$9*'1 Inputs'!$B$10*'1 Inputs'!$B$11</f>
        <v>0</v>
      </c>
      <c r="DB46" s="19" t="n">
        <f aca="false">MAX(0,MIN($B46,$A46*'1 Inputs'!$B$6-36*$B46))*'1 Inputs'!$B$7*'1 Inputs'!$B$8*'1 Inputs'!$B$9*'1 Inputs'!$B$10*'1 Inputs'!$B$11</f>
        <v>0</v>
      </c>
      <c r="DC46" s="19" t="n">
        <f aca="false">MAX(0,MIN($B46,$A46*'1 Inputs'!$B$6-37*$B46))*'1 Inputs'!$B$7*'1 Inputs'!$B$8*'1 Inputs'!$B$9*'1 Inputs'!$B$10*'1 Inputs'!$B$11</f>
        <v>0</v>
      </c>
      <c r="DD46" s="19" t="n">
        <f aca="false">MAX(0,MIN($B46,$A46*'1 Inputs'!$B$6-38*$B46))*'1 Inputs'!$B$7*'1 Inputs'!$B$8*'1 Inputs'!$B$9*'1 Inputs'!$B$10*'1 Inputs'!$B$11</f>
        <v>0</v>
      </c>
      <c r="DE46" s="19" t="n">
        <f aca="false">MAX(0,MIN($B46,$A46*'1 Inputs'!$B$6-39*$B46))*'1 Inputs'!$B$7*'1 Inputs'!$B$8*'1 Inputs'!$B$9*'1 Inputs'!$B$10*'1 Inputs'!$B$11</f>
        <v>0</v>
      </c>
      <c r="DF46" s="19" t="n">
        <f aca="false">MAX(0,MIN($B46,$A46*'1 Inputs'!$B$6-40*$B46))*'1 Inputs'!$B$7*'1 Inputs'!$B$8*'1 Inputs'!$B$9*'1 Inputs'!$B$10*'1 Inputs'!$B$11</f>
        <v>0</v>
      </c>
      <c r="DG46" s="19" t="n">
        <f aca="false">MAX(0,MIN($B46,$A46*'1 Inputs'!$B$6-41*$B46))*'1 Inputs'!$B$7*'1 Inputs'!$B$8*'1 Inputs'!$B$9*'1 Inputs'!$B$10*'1 Inputs'!$B$11</f>
        <v>0</v>
      </c>
      <c r="DH46" s="19" t="n">
        <f aca="false">MAX(0,MIN($B46,$A46*'1 Inputs'!$B$6-42*$B46))*'1 Inputs'!$B$7*'1 Inputs'!$B$8*'1 Inputs'!$B$9*'1 Inputs'!$B$10*'1 Inputs'!$B$11</f>
        <v>0</v>
      </c>
      <c r="DI46" s="19" t="n">
        <f aca="false">MAX(0,MIN($B46,$A46*'1 Inputs'!$B$6-43*$B46))*'1 Inputs'!$B$7*'1 Inputs'!$B$8*'1 Inputs'!$B$9*'1 Inputs'!$B$10*'1 Inputs'!$B$11</f>
        <v>0</v>
      </c>
      <c r="DJ46" s="19" t="n">
        <f aca="false">MAX(0,MIN($B46,$A46*'1 Inputs'!$B$6-44*$B46))*'1 Inputs'!$B$7*'1 Inputs'!$B$8*'1 Inputs'!$B$9*'1 Inputs'!$B$10*'1 Inputs'!$B$11</f>
        <v>0</v>
      </c>
      <c r="DK46" s="19" t="n">
        <f aca="false">MAX(0,MIN($B46,$A46*'1 Inputs'!$B$6-45*$B46))*'1 Inputs'!$B$7*'1 Inputs'!$B$8*'1 Inputs'!$B$9*'1 Inputs'!$B$10*'1 Inputs'!$B$11</f>
        <v>0</v>
      </c>
      <c r="DL46" s="19" t="n">
        <f aca="false">MAX(0,MIN($B46,$A46*'1 Inputs'!$B$6-46*$B46))*'1 Inputs'!$B$7*'1 Inputs'!$B$8*'1 Inputs'!$B$9*'1 Inputs'!$B$10*'1 Inputs'!$B$11</f>
        <v>0</v>
      </c>
      <c r="DM46" s="19" t="n">
        <f aca="false">MAX(0,MIN($B46,$A46*'1 Inputs'!$B$6-47*$B46))*'1 Inputs'!$B$7*'1 Inputs'!$B$8*'1 Inputs'!$B$9*'1 Inputs'!$B$10*'1 Inputs'!$B$11</f>
        <v>0</v>
      </c>
      <c r="DN46" s="19" t="n">
        <f aca="false">MAX(0,MIN($B46,$A46*'1 Inputs'!$B$6-48*$B46))*'1 Inputs'!$B$7*'1 Inputs'!$B$8*'1 Inputs'!$B$9*'1 Inputs'!$B$10*'1 Inputs'!$B$11</f>
        <v>0</v>
      </c>
      <c r="DO46" s="19" t="n">
        <f aca="false">MAX(0,MIN($B46,$A46*'1 Inputs'!$B$6-49*$B46))*'1 Inputs'!$B$7*'1 Inputs'!$B$8*'1 Inputs'!$B$9*'1 Inputs'!$B$10*'1 Inputs'!$B$11</f>
        <v>0</v>
      </c>
      <c r="DP46" s="19" t="n">
        <f aca="false">MAX(0,MIN($B46,$A46*'1 Inputs'!$B$6-50*$B46))*'1 Inputs'!$B$7*'1 Inputs'!$B$8*'1 Inputs'!$B$9*'1 Inputs'!$B$10*'1 Inputs'!$B$11</f>
        <v>0</v>
      </c>
      <c r="DQ46" s="19" t="n">
        <f aca="false">MAX(0,MIN($B46,$A46*'1 Inputs'!$B$6-51*$B46))*'1 Inputs'!$B$7*'1 Inputs'!$B$8*'1 Inputs'!$B$9*'1 Inputs'!$B$10*'1 Inputs'!$B$11</f>
        <v>0</v>
      </c>
      <c r="DR46" s="19" t="n">
        <f aca="false">MAX(0,MIN($B46,$A46*'1 Inputs'!$B$6-52*$B46))*'1 Inputs'!$B$7*'1 Inputs'!$B$8*'1 Inputs'!$B$9*'1 Inputs'!$B$10*'1 Inputs'!$B$11</f>
        <v>0</v>
      </c>
      <c r="DS46" s="19" t="n">
        <f aca="false">MAX(0,MIN($B46,$A46*'1 Inputs'!$B$6-53*$B46))*'1 Inputs'!$B$7*'1 Inputs'!$B$8*'1 Inputs'!$B$9*'1 Inputs'!$B$10*'1 Inputs'!$B$11</f>
        <v>0</v>
      </c>
      <c r="DT46" s="19" t="n">
        <f aca="false">MAX(0,MIN($B46,$A46*'1 Inputs'!$B$6-54*$B46))*'1 Inputs'!$B$7*'1 Inputs'!$B$8*'1 Inputs'!$B$9*'1 Inputs'!$B$10*'1 Inputs'!$B$11</f>
        <v>0</v>
      </c>
      <c r="DU46" s="19" t="n">
        <f aca="false">MAX(0,MIN($B46,$A46*'1 Inputs'!$B$6-55*$B46))*'1 Inputs'!$B$7*'1 Inputs'!$B$8*'1 Inputs'!$B$9*'1 Inputs'!$B$10*'1 Inputs'!$B$11</f>
        <v>0</v>
      </c>
      <c r="DV46" s="19" t="n">
        <f aca="false">MAX(0,MIN($B46,$A46*'1 Inputs'!$B$6-56*$B46))*'1 Inputs'!$B$7*'1 Inputs'!$B$8*'1 Inputs'!$B$9*'1 Inputs'!$B$10*'1 Inputs'!$B$11</f>
        <v>0</v>
      </c>
      <c r="DW46" s="19" t="n">
        <f aca="false">MAX(0,MIN($B46,$A46*'1 Inputs'!$B$6-57*$B46))*'1 Inputs'!$B$7*'1 Inputs'!$B$8*'1 Inputs'!$B$9*'1 Inputs'!$B$10*'1 Inputs'!$B$11</f>
        <v>0</v>
      </c>
      <c r="DX46" s="19" t="n">
        <f aca="false">MAX(0,MIN($B46,$A46*'1 Inputs'!$B$6-58*$B46))*'1 Inputs'!$B$7*'1 Inputs'!$B$8*'1 Inputs'!$B$9*'1 Inputs'!$B$10*'1 Inputs'!$B$11</f>
        <v>0</v>
      </c>
      <c r="DY46" s="19" t="n">
        <f aca="false">MAX(0,MIN($B46,$A46*'1 Inputs'!$B$6-59*$B46))*'1 Inputs'!$B$7*'1 Inputs'!$B$8*'1 Inputs'!$B$9*'1 Inputs'!$B$10*'1 Inputs'!$B$11</f>
        <v>0</v>
      </c>
    </row>
    <row r="47" customFormat="false" ht="15" hidden="false" customHeight="false" outlineLevel="0" collapsed="false">
      <c r="A47" s="0" t="n">
        <v>240</v>
      </c>
      <c r="B47" s="0" t="n">
        <v>8</v>
      </c>
      <c r="C47" s="12" t="n">
        <f aca="false">SUMIF(J47:BQ47,"&lt;="&amp;('1 Inputs'!$B$21+52),BR47:DY47)</f>
        <v>125000000</v>
      </c>
      <c r="J47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47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47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47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47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47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47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47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47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47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47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47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47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47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47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47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47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47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47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47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47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47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47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47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47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47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47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47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47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47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47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47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47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47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47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47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47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47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47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47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47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47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47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47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47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47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47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47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47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47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47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47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47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47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47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47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47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47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47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47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47" s="19" t="n">
        <f aca="false">MAX(0,MIN($B47,$A47*'1 Inputs'!$B$6-0*$B47))*'1 Inputs'!$B$7*'1 Inputs'!$B$8*'1 Inputs'!$B$9*'1 Inputs'!$B$10*'1 Inputs'!$B$11</f>
        <v>8333333.33333333</v>
      </c>
      <c r="BS47" s="19" t="n">
        <f aca="false">MAX(0,MIN($B47,$A47*'1 Inputs'!$B$6-1*$B47))*'1 Inputs'!$B$7*'1 Inputs'!$B$8*'1 Inputs'!$B$9*'1 Inputs'!$B$10*'1 Inputs'!$B$11</f>
        <v>8333333.33333333</v>
      </c>
      <c r="BT47" s="19" t="n">
        <f aca="false">MAX(0,MIN($B47,$A47*'1 Inputs'!$B$6-2*$B47))*'1 Inputs'!$B$7*'1 Inputs'!$B$8*'1 Inputs'!$B$9*'1 Inputs'!$B$10*'1 Inputs'!$B$11</f>
        <v>8333333.33333333</v>
      </c>
      <c r="BU47" s="19" t="n">
        <f aca="false">MAX(0,MIN($B47,$A47*'1 Inputs'!$B$6-3*$B47))*'1 Inputs'!$B$7*'1 Inputs'!$B$8*'1 Inputs'!$B$9*'1 Inputs'!$B$10*'1 Inputs'!$B$11</f>
        <v>8333333.33333333</v>
      </c>
      <c r="BV47" s="19" t="n">
        <f aca="false">MAX(0,MIN($B47,$A47*'1 Inputs'!$B$6-4*$B47))*'1 Inputs'!$B$7*'1 Inputs'!$B$8*'1 Inputs'!$B$9*'1 Inputs'!$B$10*'1 Inputs'!$B$11</f>
        <v>8333333.33333333</v>
      </c>
      <c r="BW47" s="19" t="n">
        <f aca="false">MAX(0,MIN($B47,$A47*'1 Inputs'!$B$6-5*$B47))*'1 Inputs'!$B$7*'1 Inputs'!$B$8*'1 Inputs'!$B$9*'1 Inputs'!$B$10*'1 Inputs'!$B$11</f>
        <v>8333333.33333333</v>
      </c>
      <c r="BX47" s="19" t="n">
        <f aca="false">MAX(0,MIN($B47,$A47*'1 Inputs'!$B$6-6*$B47))*'1 Inputs'!$B$7*'1 Inputs'!$B$8*'1 Inputs'!$B$9*'1 Inputs'!$B$10*'1 Inputs'!$B$11</f>
        <v>8333333.33333333</v>
      </c>
      <c r="BY47" s="19" t="n">
        <f aca="false">MAX(0,MIN($B47,$A47*'1 Inputs'!$B$6-7*$B47))*'1 Inputs'!$B$7*'1 Inputs'!$B$8*'1 Inputs'!$B$9*'1 Inputs'!$B$10*'1 Inputs'!$B$11</f>
        <v>8333333.33333333</v>
      </c>
      <c r="BZ47" s="19" t="n">
        <f aca="false">MAX(0,MIN($B47,$A47*'1 Inputs'!$B$6-8*$B47))*'1 Inputs'!$B$7*'1 Inputs'!$B$8*'1 Inputs'!$B$9*'1 Inputs'!$B$10*'1 Inputs'!$B$11</f>
        <v>8333333.33333333</v>
      </c>
      <c r="CA47" s="19" t="n">
        <f aca="false">MAX(0,MIN($B47,$A47*'1 Inputs'!$B$6-9*$B47))*'1 Inputs'!$B$7*'1 Inputs'!$B$8*'1 Inputs'!$B$9*'1 Inputs'!$B$10*'1 Inputs'!$B$11</f>
        <v>8333333.33333333</v>
      </c>
      <c r="CB47" s="19" t="n">
        <f aca="false">MAX(0,MIN($B47,$A47*'1 Inputs'!$B$6-10*$B47))*'1 Inputs'!$B$7*'1 Inputs'!$B$8*'1 Inputs'!$B$9*'1 Inputs'!$B$10*'1 Inputs'!$B$11</f>
        <v>8333333.33333333</v>
      </c>
      <c r="CC47" s="19" t="n">
        <f aca="false">MAX(0,MIN($B47,$A47*'1 Inputs'!$B$6-11*$B47))*'1 Inputs'!$B$7*'1 Inputs'!$B$8*'1 Inputs'!$B$9*'1 Inputs'!$B$10*'1 Inputs'!$B$11</f>
        <v>8333333.33333333</v>
      </c>
      <c r="CD47" s="19" t="n">
        <f aca="false">MAX(0,MIN($B47,$A47*'1 Inputs'!$B$6-12*$B47))*'1 Inputs'!$B$7*'1 Inputs'!$B$8*'1 Inputs'!$B$9*'1 Inputs'!$B$10*'1 Inputs'!$B$11</f>
        <v>8333333.33333333</v>
      </c>
      <c r="CE47" s="19" t="n">
        <f aca="false">MAX(0,MIN($B47,$A47*'1 Inputs'!$B$6-13*$B47))*'1 Inputs'!$B$7*'1 Inputs'!$B$8*'1 Inputs'!$B$9*'1 Inputs'!$B$10*'1 Inputs'!$B$11</f>
        <v>8333333.33333333</v>
      </c>
      <c r="CF47" s="19" t="n">
        <f aca="false">MAX(0,MIN($B47,$A47*'1 Inputs'!$B$6-14*$B47))*'1 Inputs'!$B$7*'1 Inputs'!$B$8*'1 Inputs'!$B$9*'1 Inputs'!$B$10*'1 Inputs'!$B$11</f>
        <v>8333333.33333333</v>
      </c>
      <c r="CG47" s="19" t="n">
        <f aca="false">MAX(0,MIN($B47,$A47*'1 Inputs'!$B$6-15*$B47))*'1 Inputs'!$B$7*'1 Inputs'!$B$8*'1 Inputs'!$B$9*'1 Inputs'!$B$10*'1 Inputs'!$B$11</f>
        <v>0</v>
      </c>
      <c r="CH47" s="19" t="n">
        <f aca="false">MAX(0,MIN($B47,$A47*'1 Inputs'!$B$6-16*$B47))*'1 Inputs'!$B$7*'1 Inputs'!$B$8*'1 Inputs'!$B$9*'1 Inputs'!$B$10*'1 Inputs'!$B$11</f>
        <v>0</v>
      </c>
      <c r="CI47" s="19" t="n">
        <f aca="false">MAX(0,MIN($B47,$A47*'1 Inputs'!$B$6-17*$B47))*'1 Inputs'!$B$7*'1 Inputs'!$B$8*'1 Inputs'!$B$9*'1 Inputs'!$B$10*'1 Inputs'!$B$11</f>
        <v>0</v>
      </c>
      <c r="CJ47" s="19" t="n">
        <f aca="false">MAX(0,MIN($B47,$A47*'1 Inputs'!$B$6-18*$B47))*'1 Inputs'!$B$7*'1 Inputs'!$B$8*'1 Inputs'!$B$9*'1 Inputs'!$B$10*'1 Inputs'!$B$11</f>
        <v>0</v>
      </c>
      <c r="CK47" s="19" t="n">
        <f aca="false">MAX(0,MIN($B47,$A47*'1 Inputs'!$B$6-19*$B47))*'1 Inputs'!$B$7*'1 Inputs'!$B$8*'1 Inputs'!$B$9*'1 Inputs'!$B$10*'1 Inputs'!$B$11</f>
        <v>0</v>
      </c>
      <c r="CL47" s="19" t="n">
        <f aca="false">MAX(0,MIN($B47,$A47*'1 Inputs'!$B$6-20*$B47))*'1 Inputs'!$B$7*'1 Inputs'!$B$8*'1 Inputs'!$B$9*'1 Inputs'!$B$10*'1 Inputs'!$B$11</f>
        <v>0</v>
      </c>
      <c r="CM47" s="19" t="n">
        <f aca="false">MAX(0,MIN($B47,$A47*'1 Inputs'!$B$6-21*$B47))*'1 Inputs'!$B$7*'1 Inputs'!$B$8*'1 Inputs'!$B$9*'1 Inputs'!$B$10*'1 Inputs'!$B$11</f>
        <v>0</v>
      </c>
      <c r="CN47" s="19" t="n">
        <f aca="false">MAX(0,MIN($B47,$A47*'1 Inputs'!$B$6-22*$B47))*'1 Inputs'!$B$7*'1 Inputs'!$B$8*'1 Inputs'!$B$9*'1 Inputs'!$B$10*'1 Inputs'!$B$11</f>
        <v>0</v>
      </c>
      <c r="CO47" s="19" t="n">
        <f aca="false">MAX(0,MIN($B47,$A47*'1 Inputs'!$B$6-23*$B47))*'1 Inputs'!$B$7*'1 Inputs'!$B$8*'1 Inputs'!$B$9*'1 Inputs'!$B$10*'1 Inputs'!$B$11</f>
        <v>0</v>
      </c>
      <c r="CP47" s="19" t="n">
        <f aca="false">MAX(0,MIN($B47,$A47*'1 Inputs'!$B$6-24*$B47))*'1 Inputs'!$B$7*'1 Inputs'!$B$8*'1 Inputs'!$B$9*'1 Inputs'!$B$10*'1 Inputs'!$B$11</f>
        <v>0</v>
      </c>
      <c r="CQ47" s="19" t="n">
        <f aca="false">MAX(0,MIN($B47,$A47*'1 Inputs'!$B$6-25*$B47))*'1 Inputs'!$B$7*'1 Inputs'!$B$8*'1 Inputs'!$B$9*'1 Inputs'!$B$10*'1 Inputs'!$B$11</f>
        <v>0</v>
      </c>
      <c r="CR47" s="19" t="n">
        <f aca="false">MAX(0,MIN($B47,$A47*'1 Inputs'!$B$6-26*$B47))*'1 Inputs'!$B$7*'1 Inputs'!$B$8*'1 Inputs'!$B$9*'1 Inputs'!$B$10*'1 Inputs'!$B$11</f>
        <v>0</v>
      </c>
      <c r="CS47" s="19" t="n">
        <f aca="false">MAX(0,MIN($B47,$A47*'1 Inputs'!$B$6-27*$B47))*'1 Inputs'!$B$7*'1 Inputs'!$B$8*'1 Inputs'!$B$9*'1 Inputs'!$B$10*'1 Inputs'!$B$11</f>
        <v>0</v>
      </c>
      <c r="CT47" s="19" t="n">
        <f aca="false">MAX(0,MIN($B47,$A47*'1 Inputs'!$B$6-28*$B47))*'1 Inputs'!$B$7*'1 Inputs'!$B$8*'1 Inputs'!$B$9*'1 Inputs'!$B$10*'1 Inputs'!$B$11</f>
        <v>0</v>
      </c>
      <c r="CU47" s="19" t="n">
        <f aca="false">MAX(0,MIN($B47,$A47*'1 Inputs'!$B$6-29*$B47))*'1 Inputs'!$B$7*'1 Inputs'!$B$8*'1 Inputs'!$B$9*'1 Inputs'!$B$10*'1 Inputs'!$B$11</f>
        <v>0</v>
      </c>
      <c r="CV47" s="19" t="n">
        <f aca="false">MAX(0,MIN($B47,$A47*'1 Inputs'!$B$6-30*$B47))*'1 Inputs'!$B$7*'1 Inputs'!$B$8*'1 Inputs'!$B$9*'1 Inputs'!$B$10*'1 Inputs'!$B$11</f>
        <v>0</v>
      </c>
      <c r="CW47" s="19" t="n">
        <f aca="false">MAX(0,MIN($B47,$A47*'1 Inputs'!$B$6-31*$B47))*'1 Inputs'!$B$7*'1 Inputs'!$B$8*'1 Inputs'!$B$9*'1 Inputs'!$B$10*'1 Inputs'!$B$11</f>
        <v>0</v>
      </c>
      <c r="CX47" s="19" t="n">
        <f aca="false">MAX(0,MIN($B47,$A47*'1 Inputs'!$B$6-32*$B47))*'1 Inputs'!$B$7*'1 Inputs'!$B$8*'1 Inputs'!$B$9*'1 Inputs'!$B$10*'1 Inputs'!$B$11</f>
        <v>0</v>
      </c>
      <c r="CY47" s="19" t="n">
        <f aca="false">MAX(0,MIN($B47,$A47*'1 Inputs'!$B$6-33*$B47))*'1 Inputs'!$B$7*'1 Inputs'!$B$8*'1 Inputs'!$B$9*'1 Inputs'!$B$10*'1 Inputs'!$B$11</f>
        <v>0</v>
      </c>
      <c r="CZ47" s="19" t="n">
        <f aca="false">MAX(0,MIN($B47,$A47*'1 Inputs'!$B$6-34*$B47))*'1 Inputs'!$B$7*'1 Inputs'!$B$8*'1 Inputs'!$B$9*'1 Inputs'!$B$10*'1 Inputs'!$B$11</f>
        <v>0</v>
      </c>
      <c r="DA47" s="19" t="n">
        <f aca="false">MAX(0,MIN($B47,$A47*'1 Inputs'!$B$6-35*$B47))*'1 Inputs'!$B$7*'1 Inputs'!$B$8*'1 Inputs'!$B$9*'1 Inputs'!$B$10*'1 Inputs'!$B$11</f>
        <v>0</v>
      </c>
      <c r="DB47" s="19" t="n">
        <f aca="false">MAX(0,MIN($B47,$A47*'1 Inputs'!$B$6-36*$B47))*'1 Inputs'!$B$7*'1 Inputs'!$B$8*'1 Inputs'!$B$9*'1 Inputs'!$B$10*'1 Inputs'!$B$11</f>
        <v>0</v>
      </c>
      <c r="DC47" s="19" t="n">
        <f aca="false">MAX(0,MIN($B47,$A47*'1 Inputs'!$B$6-37*$B47))*'1 Inputs'!$B$7*'1 Inputs'!$B$8*'1 Inputs'!$B$9*'1 Inputs'!$B$10*'1 Inputs'!$B$11</f>
        <v>0</v>
      </c>
      <c r="DD47" s="19" t="n">
        <f aca="false">MAX(0,MIN($B47,$A47*'1 Inputs'!$B$6-38*$B47))*'1 Inputs'!$B$7*'1 Inputs'!$B$8*'1 Inputs'!$B$9*'1 Inputs'!$B$10*'1 Inputs'!$B$11</f>
        <v>0</v>
      </c>
      <c r="DE47" s="19" t="n">
        <f aca="false">MAX(0,MIN($B47,$A47*'1 Inputs'!$B$6-39*$B47))*'1 Inputs'!$B$7*'1 Inputs'!$B$8*'1 Inputs'!$B$9*'1 Inputs'!$B$10*'1 Inputs'!$B$11</f>
        <v>0</v>
      </c>
      <c r="DF47" s="19" t="n">
        <f aca="false">MAX(0,MIN($B47,$A47*'1 Inputs'!$B$6-40*$B47))*'1 Inputs'!$B$7*'1 Inputs'!$B$8*'1 Inputs'!$B$9*'1 Inputs'!$B$10*'1 Inputs'!$B$11</f>
        <v>0</v>
      </c>
      <c r="DG47" s="19" t="n">
        <f aca="false">MAX(0,MIN($B47,$A47*'1 Inputs'!$B$6-41*$B47))*'1 Inputs'!$B$7*'1 Inputs'!$B$8*'1 Inputs'!$B$9*'1 Inputs'!$B$10*'1 Inputs'!$B$11</f>
        <v>0</v>
      </c>
      <c r="DH47" s="19" t="n">
        <f aca="false">MAX(0,MIN($B47,$A47*'1 Inputs'!$B$6-42*$B47))*'1 Inputs'!$B$7*'1 Inputs'!$B$8*'1 Inputs'!$B$9*'1 Inputs'!$B$10*'1 Inputs'!$B$11</f>
        <v>0</v>
      </c>
      <c r="DI47" s="19" t="n">
        <f aca="false">MAX(0,MIN($B47,$A47*'1 Inputs'!$B$6-43*$B47))*'1 Inputs'!$B$7*'1 Inputs'!$B$8*'1 Inputs'!$B$9*'1 Inputs'!$B$10*'1 Inputs'!$B$11</f>
        <v>0</v>
      </c>
      <c r="DJ47" s="19" t="n">
        <f aca="false">MAX(0,MIN($B47,$A47*'1 Inputs'!$B$6-44*$B47))*'1 Inputs'!$B$7*'1 Inputs'!$B$8*'1 Inputs'!$B$9*'1 Inputs'!$B$10*'1 Inputs'!$B$11</f>
        <v>0</v>
      </c>
      <c r="DK47" s="19" t="n">
        <f aca="false">MAX(0,MIN($B47,$A47*'1 Inputs'!$B$6-45*$B47))*'1 Inputs'!$B$7*'1 Inputs'!$B$8*'1 Inputs'!$B$9*'1 Inputs'!$B$10*'1 Inputs'!$B$11</f>
        <v>0</v>
      </c>
      <c r="DL47" s="19" t="n">
        <f aca="false">MAX(0,MIN($B47,$A47*'1 Inputs'!$B$6-46*$B47))*'1 Inputs'!$B$7*'1 Inputs'!$B$8*'1 Inputs'!$B$9*'1 Inputs'!$B$10*'1 Inputs'!$B$11</f>
        <v>0</v>
      </c>
      <c r="DM47" s="19" t="n">
        <f aca="false">MAX(0,MIN($B47,$A47*'1 Inputs'!$B$6-47*$B47))*'1 Inputs'!$B$7*'1 Inputs'!$B$8*'1 Inputs'!$B$9*'1 Inputs'!$B$10*'1 Inputs'!$B$11</f>
        <v>0</v>
      </c>
      <c r="DN47" s="19" t="n">
        <f aca="false">MAX(0,MIN($B47,$A47*'1 Inputs'!$B$6-48*$B47))*'1 Inputs'!$B$7*'1 Inputs'!$B$8*'1 Inputs'!$B$9*'1 Inputs'!$B$10*'1 Inputs'!$B$11</f>
        <v>0</v>
      </c>
      <c r="DO47" s="19" t="n">
        <f aca="false">MAX(0,MIN($B47,$A47*'1 Inputs'!$B$6-49*$B47))*'1 Inputs'!$B$7*'1 Inputs'!$B$8*'1 Inputs'!$B$9*'1 Inputs'!$B$10*'1 Inputs'!$B$11</f>
        <v>0</v>
      </c>
      <c r="DP47" s="19" t="n">
        <f aca="false">MAX(0,MIN($B47,$A47*'1 Inputs'!$B$6-50*$B47))*'1 Inputs'!$B$7*'1 Inputs'!$B$8*'1 Inputs'!$B$9*'1 Inputs'!$B$10*'1 Inputs'!$B$11</f>
        <v>0</v>
      </c>
      <c r="DQ47" s="19" t="n">
        <f aca="false">MAX(0,MIN($B47,$A47*'1 Inputs'!$B$6-51*$B47))*'1 Inputs'!$B$7*'1 Inputs'!$B$8*'1 Inputs'!$B$9*'1 Inputs'!$B$10*'1 Inputs'!$B$11</f>
        <v>0</v>
      </c>
      <c r="DR47" s="19" t="n">
        <f aca="false">MAX(0,MIN($B47,$A47*'1 Inputs'!$B$6-52*$B47))*'1 Inputs'!$B$7*'1 Inputs'!$B$8*'1 Inputs'!$B$9*'1 Inputs'!$B$10*'1 Inputs'!$B$11</f>
        <v>0</v>
      </c>
      <c r="DS47" s="19" t="n">
        <f aca="false">MAX(0,MIN($B47,$A47*'1 Inputs'!$B$6-53*$B47))*'1 Inputs'!$B$7*'1 Inputs'!$B$8*'1 Inputs'!$B$9*'1 Inputs'!$B$10*'1 Inputs'!$B$11</f>
        <v>0</v>
      </c>
      <c r="DT47" s="19" t="n">
        <f aca="false">MAX(0,MIN($B47,$A47*'1 Inputs'!$B$6-54*$B47))*'1 Inputs'!$B$7*'1 Inputs'!$B$8*'1 Inputs'!$B$9*'1 Inputs'!$B$10*'1 Inputs'!$B$11</f>
        <v>0</v>
      </c>
      <c r="DU47" s="19" t="n">
        <f aca="false">MAX(0,MIN($B47,$A47*'1 Inputs'!$B$6-55*$B47))*'1 Inputs'!$B$7*'1 Inputs'!$B$8*'1 Inputs'!$B$9*'1 Inputs'!$B$10*'1 Inputs'!$B$11</f>
        <v>0</v>
      </c>
      <c r="DV47" s="19" t="n">
        <f aca="false">MAX(0,MIN($B47,$A47*'1 Inputs'!$B$6-56*$B47))*'1 Inputs'!$B$7*'1 Inputs'!$B$8*'1 Inputs'!$B$9*'1 Inputs'!$B$10*'1 Inputs'!$B$11</f>
        <v>0</v>
      </c>
      <c r="DW47" s="19" t="n">
        <f aca="false">MAX(0,MIN($B47,$A47*'1 Inputs'!$B$6-57*$B47))*'1 Inputs'!$B$7*'1 Inputs'!$B$8*'1 Inputs'!$B$9*'1 Inputs'!$B$10*'1 Inputs'!$B$11</f>
        <v>0</v>
      </c>
      <c r="DX47" s="19" t="n">
        <f aca="false">MAX(0,MIN($B47,$A47*'1 Inputs'!$B$6-58*$B47))*'1 Inputs'!$B$7*'1 Inputs'!$B$8*'1 Inputs'!$B$9*'1 Inputs'!$B$10*'1 Inputs'!$B$11</f>
        <v>0</v>
      </c>
      <c r="DY47" s="19" t="n">
        <f aca="false">MAX(0,MIN($B47,$A47*'1 Inputs'!$B$6-59*$B47))*'1 Inputs'!$B$7*'1 Inputs'!$B$8*'1 Inputs'!$B$9*'1 Inputs'!$B$10*'1 Inputs'!$B$11</f>
        <v>0</v>
      </c>
    </row>
    <row r="48" customFormat="false" ht="15" hidden="false" customHeight="false" outlineLevel="0" collapsed="false">
      <c r="A48" s="0" t="n">
        <v>240</v>
      </c>
      <c r="B48" s="0" t="n">
        <v>10</v>
      </c>
      <c r="C48" s="12" t="n">
        <f aca="false">SUMIF(J48:BQ48,"&lt;="&amp;('1 Inputs'!$B$21+52),BR48:DY48)</f>
        <v>125000000</v>
      </c>
      <c r="J48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48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48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48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48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48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48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48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48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48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48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48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48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48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48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48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48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48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48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48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48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48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48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48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48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48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48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48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48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48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48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48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48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48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48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48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48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48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48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48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48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48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48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48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48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48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48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48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48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48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48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48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48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48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48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48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48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48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48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48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48" s="19" t="n">
        <f aca="false">MAX(0,MIN($B48,$A48*'1 Inputs'!$B$6-0*$B48))*'1 Inputs'!$B$7*'1 Inputs'!$B$8*'1 Inputs'!$B$9*'1 Inputs'!$B$10*'1 Inputs'!$B$11</f>
        <v>10416666.6666667</v>
      </c>
      <c r="BS48" s="19" t="n">
        <f aca="false">MAX(0,MIN($B48,$A48*'1 Inputs'!$B$6-1*$B48))*'1 Inputs'!$B$7*'1 Inputs'!$B$8*'1 Inputs'!$B$9*'1 Inputs'!$B$10*'1 Inputs'!$B$11</f>
        <v>10416666.6666667</v>
      </c>
      <c r="BT48" s="19" t="n">
        <f aca="false">MAX(0,MIN($B48,$A48*'1 Inputs'!$B$6-2*$B48))*'1 Inputs'!$B$7*'1 Inputs'!$B$8*'1 Inputs'!$B$9*'1 Inputs'!$B$10*'1 Inputs'!$B$11</f>
        <v>10416666.6666667</v>
      </c>
      <c r="BU48" s="19" t="n">
        <f aca="false">MAX(0,MIN($B48,$A48*'1 Inputs'!$B$6-3*$B48))*'1 Inputs'!$B$7*'1 Inputs'!$B$8*'1 Inputs'!$B$9*'1 Inputs'!$B$10*'1 Inputs'!$B$11</f>
        <v>10416666.6666667</v>
      </c>
      <c r="BV48" s="19" t="n">
        <f aca="false">MAX(0,MIN($B48,$A48*'1 Inputs'!$B$6-4*$B48))*'1 Inputs'!$B$7*'1 Inputs'!$B$8*'1 Inputs'!$B$9*'1 Inputs'!$B$10*'1 Inputs'!$B$11</f>
        <v>10416666.6666667</v>
      </c>
      <c r="BW48" s="19" t="n">
        <f aca="false">MAX(0,MIN($B48,$A48*'1 Inputs'!$B$6-5*$B48))*'1 Inputs'!$B$7*'1 Inputs'!$B$8*'1 Inputs'!$B$9*'1 Inputs'!$B$10*'1 Inputs'!$B$11</f>
        <v>10416666.6666667</v>
      </c>
      <c r="BX48" s="19" t="n">
        <f aca="false">MAX(0,MIN($B48,$A48*'1 Inputs'!$B$6-6*$B48))*'1 Inputs'!$B$7*'1 Inputs'!$B$8*'1 Inputs'!$B$9*'1 Inputs'!$B$10*'1 Inputs'!$B$11</f>
        <v>10416666.6666667</v>
      </c>
      <c r="BY48" s="19" t="n">
        <f aca="false">MAX(0,MIN($B48,$A48*'1 Inputs'!$B$6-7*$B48))*'1 Inputs'!$B$7*'1 Inputs'!$B$8*'1 Inputs'!$B$9*'1 Inputs'!$B$10*'1 Inputs'!$B$11</f>
        <v>10416666.6666667</v>
      </c>
      <c r="BZ48" s="19" t="n">
        <f aca="false">MAX(0,MIN($B48,$A48*'1 Inputs'!$B$6-8*$B48))*'1 Inputs'!$B$7*'1 Inputs'!$B$8*'1 Inputs'!$B$9*'1 Inputs'!$B$10*'1 Inputs'!$B$11</f>
        <v>10416666.6666667</v>
      </c>
      <c r="CA48" s="19" t="n">
        <f aca="false">MAX(0,MIN($B48,$A48*'1 Inputs'!$B$6-9*$B48))*'1 Inputs'!$B$7*'1 Inputs'!$B$8*'1 Inputs'!$B$9*'1 Inputs'!$B$10*'1 Inputs'!$B$11</f>
        <v>10416666.6666667</v>
      </c>
      <c r="CB48" s="19" t="n">
        <f aca="false">MAX(0,MIN($B48,$A48*'1 Inputs'!$B$6-10*$B48))*'1 Inputs'!$B$7*'1 Inputs'!$B$8*'1 Inputs'!$B$9*'1 Inputs'!$B$10*'1 Inputs'!$B$11</f>
        <v>10416666.6666667</v>
      </c>
      <c r="CC48" s="19" t="n">
        <f aca="false">MAX(0,MIN($B48,$A48*'1 Inputs'!$B$6-11*$B48))*'1 Inputs'!$B$7*'1 Inputs'!$B$8*'1 Inputs'!$B$9*'1 Inputs'!$B$10*'1 Inputs'!$B$11</f>
        <v>10416666.6666667</v>
      </c>
      <c r="CD48" s="19" t="n">
        <f aca="false">MAX(0,MIN($B48,$A48*'1 Inputs'!$B$6-12*$B48))*'1 Inputs'!$B$7*'1 Inputs'!$B$8*'1 Inputs'!$B$9*'1 Inputs'!$B$10*'1 Inputs'!$B$11</f>
        <v>0</v>
      </c>
      <c r="CE48" s="19" t="n">
        <f aca="false">MAX(0,MIN($B48,$A48*'1 Inputs'!$B$6-13*$B48))*'1 Inputs'!$B$7*'1 Inputs'!$B$8*'1 Inputs'!$B$9*'1 Inputs'!$B$10*'1 Inputs'!$B$11</f>
        <v>0</v>
      </c>
      <c r="CF48" s="19" t="n">
        <f aca="false">MAX(0,MIN($B48,$A48*'1 Inputs'!$B$6-14*$B48))*'1 Inputs'!$B$7*'1 Inputs'!$B$8*'1 Inputs'!$B$9*'1 Inputs'!$B$10*'1 Inputs'!$B$11</f>
        <v>0</v>
      </c>
      <c r="CG48" s="19" t="n">
        <f aca="false">MAX(0,MIN($B48,$A48*'1 Inputs'!$B$6-15*$B48))*'1 Inputs'!$B$7*'1 Inputs'!$B$8*'1 Inputs'!$B$9*'1 Inputs'!$B$10*'1 Inputs'!$B$11</f>
        <v>0</v>
      </c>
      <c r="CH48" s="19" t="n">
        <f aca="false">MAX(0,MIN($B48,$A48*'1 Inputs'!$B$6-16*$B48))*'1 Inputs'!$B$7*'1 Inputs'!$B$8*'1 Inputs'!$B$9*'1 Inputs'!$B$10*'1 Inputs'!$B$11</f>
        <v>0</v>
      </c>
      <c r="CI48" s="19" t="n">
        <f aca="false">MAX(0,MIN($B48,$A48*'1 Inputs'!$B$6-17*$B48))*'1 Inputs'!$B$7*'1 Inputs'!$B$8*'1 Inputs'!$B$9*'1 Inputs'!$B$10*'1 Inputs'!$B$11</f>
        <v>0</v>
      </c>
      <c r="CJ48" s="19" t="n">
        <f aca="false">MAX(0,MIN($B48,$A48*'1 Inputs'!$B$6-18*$B48))*'1 Inputs'!$B$7*'1 Inputs'!$B$8*'1 Inputs'!$B$9*'1 Inputs'!$B$10*'1 Inputs'!$B$11</f>
        <v>0</v>
      </c>
      <c r="CK48" s="19" t="n">
        <f aca="false">MAX(0,MIN($B48,$A48*'1 Inputs'!$B$6-19*$B48))*'1 Inputs'!$B$7*'1 Inputs'!$B$8*'1 Inputs'!$B$9*'1 Inputs'!$B$10*'1 Inputs'!$B$11</f>
        <v>0</v>
      </c>
      <c r="CL48" s="19" t="n">
        <f aca="false">MAX(0,MIN($B48,$A48*'1 Inputs'!$B$6-20*$B48))*'1 Inputs'!$B$7*'1 Inputs'!$B$8*'1 Inputs'!$B$9*'1 Inputs'!$B$10*'1 Inputs'!$B$11</f>
        <v>0</v>
      </c>
      <c r="CM48" s="19" t="n">
        <f aca="false">MAX(0,MIN($B48,$A48*'1 Inputs'!$B$6-21*$B48))*'1 Inputs'!$B$7*'1 Inputs'!$B$8*'1 Inputs'!$B$9*'1 Inputs'!$B$10*'1 Inputs'!$B$11</f>
        <v>0</v>
      </c>
      <c r="CN48" s="19" t="n">
        <f aca="false">MAX(0,MIN($B48,$A48*'1 Inputs'!$B$6-22*$B48))*'1 Inputs'!$B$7*'1 Inputs'!$B$8*'1 Inputs'!$B$9*'1 Inputs'!$B$10*'1 Inputs'!$B$11</f>
        <v>0</v>
      </c>
      <c r="CO48" s="19" t="n">
        <f aca="false">MAX(0,MIN($B48,$A48*'1 Inputs'!$B$6-23*$B48))*'1 Inputs'!$B$7*'1 Inputs'!$B$8*'1 Inputs'!$B$9*'1 Inputs'!$B$10*'1 Inputs'!$B$11</f>
        <v>0</v>
      </c>
      <c r="CP48" s="19" t="n">
        <f aca="false">MAX(0,MIN($B48,$A48*'1 Inputs'!$B$6-24*$B48))*'1 Inputs'!$B$7*'1 Inputs'!$B$8*'1 Inputs'!$B$9*'1 Inputs'!$B$10*'1 Inputs'!$B$11</f>
        <v>0</v>
      </c>
      <c r="CQ48" s="19" t="n">
        <f aca="false">MAX(0,MIN($B48,$A48*'1 Inputs'!$B$6-25*$B48))*'1 Inputs'!$B$7*'1 Inputs'!$B$8*'1 Inputs'!$B$9*'1 Inputs'!$B$10*'1 Inputs'!$B$11</f>
        <v>0</v>
      </c>
      <c r="CR48" s="19" t="n">
        <f aca="false">MAX(0,MIN($B48,$A48*'1 Inputs'!$B$6-26*$B48))*'1 Inputs'!$B$7*'1 Inputs'!$B$8*'1 Inputs'!$B$9*'1 Inputs'!$B$10*'1 Inputs'!$B$11</f>
        <v>0</v>
      </c>
      <c r="CS48" s="19" t="n">
        <f aca="false">MAX(0,MIN($B48,$A48*'1 Inputs'!$B$6-27*$B48))*'1 Inputs'!$B$7*'1 Inputs'!$B$8*'1 Inputs'!$B$9*'1 Inputs'!$B$10*'1 Inputs'!$B$11</f>
        <v>0</v>
      </c>
      <c r="CT48" s="19" t="n">
        <f aca="false">MAX(0,MIN($B48,$A48*'1 Inputs'!$B$6-28*$B48))*'1 Inputs'!$B$7*'1 Inputs'!$B$8*'1 Inputs'!$B$9*'1 Inputs'!$B$10*'1 Inputs'!$B$11</f>
        <v>0</v>
      </c>
      <c r="CU48" s="19" t="n">
        <f aca="false">MAX(0,MIN($B48,$A48*'1 Inputs'!$B$6-29*$B48))*'1 Inputs'!$B$7*'1 Inputs'!$B$8*'1 Inputs'!$B$9*'1 Inputs'!$B$10*'1 Inputs'!$B$11</f>
        <v>0</v>
      </c>
      <c r="CV48" s="19" t="n">
        <f aca="false">MAX(0,MIN($B48,$A48*'1 Inputs'!$B$6-30*$B48))*'1 Inputs'!$B$7*'1 Inputs'!$B$8*'1 Inputs'!$B$9*'1 Inputs'!$B$10*'1 Inputs'!$B$11</f>
        <v>0</v>
      </c>
      <c r="CW48" s="19" t="n">
        <f aca="false">MAX(0,MIN($B48,$A48*'1 Inputs'!$B$6-31*$B48))*'1 Inputs'!$B$7*'1 Inputs'!$B$8*'1 Inputs'!$B$9*'1 Inputs'!$B$10*'1 Inputs'!$B$11</f>
        <v>0</v>
      </c>
      <c r="CX48" s="19" t="n">
        <f aca="false">MAX(0,MIN($B48,$A48*'1 Inputs'!$B$6-32*$B48))*'1 Inputs'!$B$7*'1 Inputs'!$B$8*'1 Inputs'!$B$9*'1 Inputs'!$B$10*'1 Inputs'!$B$11</f>
        <v>0</v>
      </c>
      <c r="CY48" s="19" t="n">
        <f aca="false">MAX(0,MIN($B48,$A48*'1 Inputs'!$B$6-33*$B48))*'1 Inputs'!$B$7*'1 Inputs'!$B$8*'1 Inputs'!$B$9*'1 Inputs'!$B$10*'1 Inputs'!$B$11</f>
        <v>0</v>
      </c>
      <c r="CZ48" s="19" t="n">
        <f aca="false">MAX(0,MIN($B48,$A48*'1 Inputs'!$B$6-34*$B48))*'1 Inputs'!$B$7*'1 Inputs'!$B$8*'1 Inputs'!$B$9*'1 Inputs'!$B$10*'1 Inputs'!$B$11</f>
        <v>0</v>
      </c>
      <c r="DA48" s="19" t="n">
        <f aca="false">MAX(0,MIN($B48,$A48*'1 Inputs'!$B$6-35*$B48))*'1 Inputs'!$B$7*'1 Inputs'!$B$8*'1 Inputs'!$B$9*'1 Inputs'!$B$10*'1 Inputs'!$B$11</f>
        <v>0</v>
      </c>
      <c r="DB48" s="19" t="n">
        <f aca="false">MAX(0,MIN($B48,$A48*'1 Inputs'!$B$6-36*$B48))*'1 Inputs'!$B$7*'1 Inputs'!$B$8*'1 Inputs'!$B$9*'1 Inputs'!$B$10*'1 Inputs'!$B$11</f>
        <v>0</v>
      </c>
      <c r="DC48" s="19" t="n">
        <f aca="false">MAX(0,MIN($B48,$A48*'1 Inputs'!$B$6-37*$B48))*'1 Inputs'!$B$7*'1 Inputs'!$B$8*'1 Inputs'!$B$9*'1 Inputs'!$B$10*'1 Inputs'!$B$11</f>
        <v>0</v>
      </c>
      <c r="DD48" s="19" t="n">
        <f aca="false">MAX(0,MIN($B48,$A48*'1 Inputs'!$B$6-38*$B48))*'1 Inputs'!$B$7*'1 Inputs'!$B$8*'1 Inputs'!$B$9*'1 Inputs'!$B$10*'1 Inputs'!$B$11</f>
        <v>0</v>
      </c>
      <c r="DE48" s="19" t="n">
        <f aca="false">MAX(0,MIN($B48,$A48*'1 Inputs'!$B$6-39*$B48))*'1 Inputs'!$B$7*'1 Inputs'!$B$8*'1 Inputs'!$B$9*'1 Inputs'!$B$10*'1 Inputs'!$B$11</f>
        <v>0</v>
      </c>
      <c r="DF48" s="19" t="n">
        <f aca="false">MAX(0,MIN($B48,$A48*'1 Inputs'!$B$6-40*$B48))*'1 Inputs'!$B$7*'1 Inputs'!$B$8*'1 Inputs'!$B$9*'1 Inputs'!$B$10*'1 Inputs'!$B$11</f>
        <v>0</v>
      </c>
      <c r="DG48" s="19" t="n">
        <f aca="false">MAX(0,MIN($B48,$A48*'1 Inputs'!$B$6-41*$B48))*'1 Inputs'!$B$7*'1 Inputs'!$B$8*'1 Inputs'!$B$9*'1 Inputs'!$B$10*'1 Inputs'!$B$11</f>
        <v>0</v>
      </c>
      <c r="DH48" s="19" t="n">
        <f aca="false">MAX(0,MIN($B48,$A48*'1 Inputs'!$B$6-42*$B48))*'1 Inputs'!$B$7*'1 Inputs'!$B$8*'1 Inputs'!$B$9*'1 Inputs'!$B$10*'1 Inputs'!$B$11</f>
        <v>0</v>
      </c>
      <c r="DI48" s="19" t="n">
        <f aca="false">MAX(0,MIN($B48,$A48*'1 Inputs'!$B$6-43*$B48))*'1 Inputs'!$B$7*'1 Inputs'!$B$8*'1 Inputs'!$B$9*'1 Inputs'!$B$10*'1 Inputs'!$B$11</f>
        <v>0</v>
      </c>
      <c r="DJ48" s="19" t="n">
        <f aca="false">MAX(0,MIN($B48,$A48*'1 Inputs'!$B$6-44*$B48))*'1 Inputs'!$B$7*'1 Inputs'!$B$8*'1 Inputs'!$B$9*'1 Inputs'!$B$10*'1 Inputs'!$B$11</f>
        <v>0</v>
      </c>
      <c r="DK48" s="19" t="n">
        <f aca="false">MAX(0,MIN($B48,$A48*'1 Inputs'!$B$6-45*$B48))*'1 Inputs'!$B$7*'1 Inputs'!$B$8*'1 Inputs'!$B$9*'1 Inputs'!$B$10*'1 Inputs'!$B$11</f>
        <v>0</v>
      </c>
      <c r="DL48" s="19" t="n">
        <f aca="false">MAX(0,MIN($B48,$A48*'1 Inputs'!$B$6-46*$B48))*'1 Inputs'!$B$7*'1 Inputs'!$B$8*'1 Inputs'!$B$9*'1 Inputs'!$B$10*'1 Inputs'!$B$11</f>
        <v>0</v>
      </c>
      <c r="DM48" s="19" t="n">
        <f aca="false">MAX(0,MIN($B48,$A48*'1 Inputs'!$B$6-47*$B48))*'1 Inputs'!$B$7*'1 Inputs'!$B$8*'1 Inputs'!$B$9*'1 Inputs'!$B$10*'1 Inputs'!$B$11</f>
        <v>0</v>
      </c>
      <c r="DN48" s="19" t="n">
        <f aca="false">MAX(0,MIN($B48,$A48*'1 Inputs'!$B$6-48*$B48))*'1 Inputs'!$B$7*'1 Inputs'!$B$8*'1 Inputs'!$B$9*'1 Inputs'!$B$10*'1 Inputs'!$B$11</f>
        <v>0</v>
      </c>
      <c r="DO48" s="19" t="n">
        <f aca="false">MAX(0,MIN($B48,$A48*'1 Inputs'!$B$6-49*$B48))*'1 Inputs'!$B$7*'1 Inputs'!$B$8*'1 Inputs'!$B$9*'1 Inputs'!$B$10*'1 Inputs'!$B$11</f>
        <v>0</v>
      </c>
      <c r="DP48" s="19" t="n">
        <f aca="false">MAX(0,MIN($B48,$A48*'1 Inputs'!$B$6-50*$B48))*'1 Inputs'!$B$7*'1 Inputs'!$B$8*'1 Inputs'!$B$9*'1 Inputs'!$B$10*'1 Inputs'!$B$11</f>
        <v>0</v>
      </c>
      <c r="DQ48" s="19" t="n">
        <f aca="false">MAX(0,MIN($B48,$A48*'1 Inputs'!$B$6-51*$B48))*'1 Inputs'!$B$7*'1 Inputs'!$B$8*'1 Inputs'!$B$9*'1 Inputs'!$B$10*'1 Inputs'!$B$11</f>
        <v>0</v>
      </c>
      <c r="DR48" s="19" t="n">
        <f aca="false">MAX(0,MIN($B48,$A48*'1 Inputs'!$B$6-52*$B48))*'1 Inputs'!$B$7*'1 Inputs'!$B$8*'1 Inputs'!$B$9*'1 Inputs'!$B$10*'1 Inputs'!$B$11</f>
        <v>0</v>
      </c>
      <c r="DS48" s="19" t="n">
        <f aca="false">MAX(0,MIN($B48,$A48*'1 Inputs'!$B$6-53*$B48))*'1 Inputs'!$B$7*'1 Inputs'!$B$8*'1 Inputs'!$B$9*'1 Inputs'!$B$10*'1 Inputs'!$B$11</f>
        <v>0</v>
      </c>
      <c r="DT48" s="19" t="n">
        <f aca="false">MAX(0,MIN($B48,$A48*'1 Inputs'!$B$6-54*$B48))*'1 Inputs'!$B$7*'1 Inputs'!$B$8*'1 Inputs'!$B$9*'1 Inputs'!$B$10*'1 Inputs'!$B$11</f>
        <v>0</v>
      </c>
      <c r="DU48" s="19" t="n">
        <f aca="false">MAX(0,MIN($B48,$A48*'1 Inputs'!$B$6-55*$B48))*'1 Inputs'!$B$7*'1 Inputs'!$B$8*'1 Inputs'!$B$9*'1 Inputs'!$B$10*'1 Inputs'!$B$11</f>
        <v>0</v>
      </c>
      <c r="DV48" s="19" t="n">
        <f aca="false">MAX(0,MIN($B48,$A48*'1 Inputs'!$B$6-56*$B48))*'1 Inputs'!$B$7*'1 Inputs'!$B$8*'1 Inputs'!$B$9*'1 Inputs'!$B$10*'1 Inputs'!$B$11</f>
        <v>0</v>
      </c>
      <c r="DW48" s="19" t="n">
        <f aca="false">MAX(0,MIN($B48,$A48*'1 Inputs'!$B$6-57*$B48))*'1 Inputs'!$B$7*'1 Inputs'!$B$8*'1 Inputs'!$B$9*'1 Inputs'!$B$10*'1 Inputs'!$B$11</f>
        <v>0</v>
      </c>
      <c r="DX48" s="19" t="n">
        <f aca="false">MAX(0,MIN($B48,$A48*'1 Inputs'!$B$6-58*$B48))*'1 Inputs'!$B$7*'1 Inputs'!$B$8*'1 Inputs'!$B$9*'1 Inputs'!$B$10*'1 Inputs'!$B$11</f>
        <v>0</v>
      </c>
      <c r="DY48" s="19" t="n">
        <f aca="false">MAX(0,MIN($B48,$A48*'1 Inputs'!$B$6-59*$B48))*'1 Inputs'!$B$7*'1 Inputs'!$B$8*'1 Inputs'!$B$9*'1 Inputs'!$B$10*'1 Inputs'!$B$11</f>
        <v>0</v>
      </c>
    </row>
    <row r="49" customFormat="false" ht="15" hidden="false" customHeight="false" outlineLevel="0" collapsed="false">
      <c r="A49" s="0" t="n">
        <v>240</v>
      </c>
      <c r="B49" s="0" t="n">
        <v>12</v>
      </c>
      <c r="C49" s="12" t="n">
        <f aca="false">SUMIF(J49:BQ49,"&lt;="&amp;('1 Inputs'!$B$21+52),BR49:DY49)</f>
        <v>125000000</v>
      </c>
      <c r="J49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49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49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49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49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49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49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49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49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49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49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49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49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49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49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49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49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49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49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49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49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49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49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49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49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49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49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49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49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49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49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49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49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49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49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49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49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49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49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49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49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49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49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49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49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49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49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49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49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49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49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49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49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49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49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49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49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49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49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49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49" s="19" t="n">
        <f aca="false">MAX(0,MIN($B49,$A49*'1 Inputs'!$B$6-0*$B49))*'1 Inputs'!$B$7*'1 Inputs'!$B$8*'1 Inputs'!$B$9*'1 Inputs'!$B$10*'1 Inputs'!$B$11</f>
        <v>12500000</v>
      </c>
      <c r="BS49" s="19" t="n">
        <f aca="false">MAX(0,MIN($B49,$A49*'1 Inputs'!$B$6-1*$B49))*'1 Inputs'!$B$7*'1 Inputs'!$B$8*'1 Inputs'!$B$9*'1 Inputs'!$B$10*'1 Inputs'!$B$11</f>
        <v>12500000</v>
      </c>
      <c r="BT49" s="19" t="n">
        <f aca="false">MAX(0,MIN($B49,$A49*'1 Inputs'!$B$6-2*$B49))*'1 Inputs'!$B$7*'1 Inputs'!$B$8*'1 Inputs'!$B$9*'1 Inputs'!$B$10*'1 Inputs'!$B$11</f>
        <v>12500000</v>
      </c>
      <c r="BU49" s="19" t="n">
        <f aca="false">MAX(0,MIN($B49,$A49*'1 Inputs'!$B$6-3*$B49))*'1 Inputs'!$B$7*'1 Inputs'!$B$8*'1 Inputs'!$B$9*'1 Inputs'!$B$10*'1 Inputs'!$B$11</f>
        <v>12500000</v>
      </c>
      <c r="BV49" s="19" t="n">
        <f aca="false">MAX(0,MIN($B49,$A49*'1 Inputs'!$B$6-4*$B49))*'1 Inputs'!$B$7*'1 Inputs'!$B$8*'1 Inputs'!$B$9*'1 Inputs'!$B$10*'1 Inputs'!$B$11</f>
        <v>12500000</v>
      </c>
      <c r="BW49" s="19" t="n">
        <f aca="false">MAX(0,MIN($B49,$A49*'1 Inputs'!$B$6-5*$B49))*'1 Inputs'!$B$7*'1 Inputs'!$B$8*'1 Inputs'!$B$9*'1 Inputs'!$B$10*'1 Inputs'!$B$11</f>
        <v>12500000</v>
      </c>
      <c r="BX49" s="19" t="n">
        <f aca="false">MAX(0,MIN($B49,$A49*'1 Inputs'!$B$6-6*$B49))*'1 Inputs'!$B$7*'1 Inputs'!$B$8*'1 Inputs'!$B$9*'1 Inputs'!$B$10*'1 Inputs'!$B$11</f>
        <v>12500000</v>
      </c>
      <c r="BY49" s="19" t="n">
        <f aca="false">MAX(0,MIN($B49,$A49*'1 Inputs'!$B$6-7*$B49))*'1 Inputs'!$B$7*'1 Inputs'!$B$8*'1 Inputs'!$B$9*'1 Inputs'!$B$10*'1 Inputs'!$B$11</f>
        <v>12500000</v>
      </c>
      <c r="BZ49" s="19" t="n">
        <f aca="false">MAX(0,MIN($B49,$A49*'1 Inputs'!$B$6-8*$B49))*'1 Inputs'!$B$7*'1 Inputs'!$B$8*'1 Inputs'!$B$9*'1 Inputs'!$B$10*'1 Inputs'!$B$11</f>
        <v>12500000</v>
      </c>
      <c r="CA49" s="19" t="n">
        <f aca="false">MAX(0,MIN($B49,$A49*'1 Inputs'!$B$6-9*$B49))*'1 Inputs'!$B$7*'1 Inputs'!$B$8*'1 Inputs'!$B$9*'1 Inputs'!$B$10*'1 Inputs'!$B$11</f>
        <v>12500000</v>
      </c>
      <c r="CB49" s="19" t="n">
        <f aca="false">MAX(0,MIN($B49,$A49*'1 Inputs'!$B$6-10*$B49))*'1 Inputs'!$B$7*'1 Inputs'!$B$8*'1 Inputs'!$B$9*'1 Inputs'!$B$10*'1 Inputs'!$B$11</f>
        <v>0</v>
      </c>
      <c r="CC49" s="19" t="n">
        <f aca="false">MAX(0,MIN($B49,$A49*'1 Inputs'!$B$6-11*$B49))*'1 Inputs'!$B$7*'1 Inputs'!$B$8*'1 Inputs'!$B$9*'1 Inputs'!$B$10*'1 Inputs'!$B$11</f>
        <v>0</v>
      </c>
      <c r="CD49" s="19" t="n">
        <f aca="false">MAX(0,MIN($B49,$A49*'1 Inputs'!$B$6-12*$B49))*'1 Inputs'!$B$7*'1 Inputs'!$B$8*'1 Inputs'!$B$9*'1 Inputs'!$B$10*'1 Inputs'!$B$11</f>
        <v>0</v>
      </c>
      <c r="CE49" s="19" t="n">
        <f aca="false">MAX(0,MIN($B49,$A49*'1 Inputs'!$B$6-13*$B49))*'1 Inputs'!$B$7*'1 Inputs'!$B$8*'1 Inputs'!$B$9*'1 Inputs'!$B$10*'1 Inputs'!$B$11</f>
        <v>0</v>
      </c>
      <c r="CF49" s="19" t="n">
        <f aca="false">MAX(0,MIN($B49,$A49*'1 Inputs'!$B$6-14*$B49))*'1 Inputs'!$B$7*'1 Inputs'!$B$8*'1 Inputs'!$B$9*'1 Inputs'!$B$10*'1 Inputs'!$B$11</f>
        <v>0</v>
      </c>
      <c r="CG49" s="19" t="n">
        <f aca="false">MAX(0,MIN($B49,$A49*'1 Inputs'!$B$6-15*$B49))*'1 Inputs'!$B$7*'1 Inputs'!$B$8*'1 Inputs'!$B$9*'1 Inputs'!$B$10*'1 Inputs'!$B$11</f>
        <v>0</v>
      </c>
      <c r="CH49" s="19" t="n">
        <f aca="false">MAX(0,MIN($B49,$A49*'1 Inputs'!$B$6-16*$B49))*'1 Inputs'!$B$7*'1 Inputs'!$B$8*'1 Inputs'!$B$9*'1 Inputs'!$B$10*'1 Inputs'!$B$11</f>
        <v>0</v>
      </c>
      <c r="CI49" s="19" t="n">
        <f aca="false">MAX(0,MIN($B49,$A49*'1 Inputs'!$B$6-17*$B49))*'1 Inputs'!$B$7*'1 Inputs'!$B$8*'1 Inputs'!$B$9*'1 Inputs'!$B$10*'1 Inputs'!$B$11</f>
        <v>0</v>
      </c>
      <c r="CJ49" s="19" t="n">
        <f aca="false">MAX(0,MIN($B49,$A49*'1 Inputs'!$B$6-18*$B49))*'1 Inputs'!$B$7*'1 Inputs'!$B$8*'1 Inputs'!$B$9*'1 Inputs'!$B$10*'1 Inputs'!$B$11</f>
        <v>0</v>
      </c>
      <c r="CK49" s="19" t="n">
        <f aca="false">MAX(0,MIN($B49,$A49*'1 Inputs'!$B$6-19*$B49))*'1 Inputs'!$B$7*'1 Inputs'!$B$8*'1 Inputs'!$B$9*'1 Inputs'!$B$10*'1 Inputs'!$B$11</f>
        <v>0</v>
      </c>
      <c r="CL49" s="19" t="n">
        <f aca="false">MAX(0,MIN($B49,$A49*'1 Inputs'!$B$6-20*$B49))*'1 Inputs'!$B$7*'1 Inputs'!$B$8*'1 Inputs'!$B$9*'1 Inputs'!$B$10*'1 Inputs'!$B$11</f>
        <v>0</v>
      </c>
      <c r="CM49" s="19" t="n">
        <f aca="false">MAX(0,MIN($B49,$A49*'1 Inputs'!$B$6-21*$B49))*'1 Inputs'!$B$7*'1 Inputs'!$B$8*'1 Inputs'!$B$9*'1 Inputs'!$B$10*'1 Inputs'!$B$11</f>
        <v>0</v>
      </c>
      <c r="CN49" s="19" t="n">
        <f aca="false">MAX(0,MIN($B49,$A49*'1 Inputs'!$B$6-22*$B49))*'1 Inputs'!$B$7*'1 Inputs'!$B$8*'1 Inputs'!$B$9*'1 Inputs'!$B$10*'1 Inputs'!$B$11</f>
        <v>0</v>
      </c>
      <c r="CO49" s="19" t="n">
        <f aca="false">MAX(0,MIN($B49,$A49*'1 Inputs'!$B$6-23*$B49))*'1 Inputs'!$B$7*'1 Inputs'!$B$8*'1 Inputs'!$B$9*'1 Inputs'!$B$10*'1 Inputs'!$B$11</f>
        <v>0</v>
      </c>
      <c r="CP49" s="19" t="n">
        <f aca="false">MAX(0,MIN($B49,$A49*'1 Inputs'!$B$6-24*$B49))*'1 Inputs'!$B$7*'1 Inputs'!$B$8*'1 Inputs'!$B$9*'1 Inputs'!$B$10*'1 Inputs'!$B$11</f>
        <v>0</v>
      </c>
      <c r="CQ49" s="19" t="n">
        <f aca="false">MAX(0,MIN($B49,$A49*'1 Inputs'!$B$6-25*$B49))*'1 Inputs'!$B$7*'1 Inputs'!$B$8*'1 Inputs'!$B$9*'1 Inputs'!$B$10*'1 Inputs'!$B$11</f>
        <v>0</v>
      </c>
      <c r="CR49" s="19" t="n">
        <f aca="false">MAX(0,MIN($B49,$A49*'1 Inputs'!$B$6-26*$B49))*'1 Inputs'!$B$7*'1 Inputs'!$B$8*'1 Inputs'!$B$9*'1 Inputs'!$B$10*'1 Inputs'!$B$11</f>
        <v>0</v>
      </c>
      <c r="CS49" s="19" t="n">
        <f aca="false">MAX(0,MIN($B49,$A49*'1 Inputs'!$B$6-27*$B49))*'1 Inputs'!$B$7*'1 Inputs'!$B$8*'1 Inputs'!$B$9*'1 Inputs'!$B$10*'1 Inputs'!$B$11</f>
        <v>0</v>
      </c>
      <c r="CT49" s="19" t="n">
        <f aca="false">MAX(0,MIN($B49,$A49*'1 Inputs'!$B$6-28*$B49))*'1 Inputs'!$B$7*'1 Inputs'!$B$8*'1 Inputs'!$B$9*'1 Inputs'!$B$10*'1 Inputs'!$B$11</f>
        <v>0</v>
      </c>
      <c r="CU49" s="19" t="n">
        <f aca="false">MAX(0,MIN($B49,$A49*'1 Inputs'!$B$6-29*$B49))*'1 Inputs'!$B$7*'1 Inputs'!$B$8*'1 Inputs'!$B$9*'1 Inputs'!$B$10*'1 Inputs'!$B$11</f>
        <v>0</v>
      </c>
      <c r="CV49" s="19" t="n">
        <f aca="false">MAX(0,MIN($B49,$A49*'1 Inputs'!$B$6-30*$B49))*'1 Inputs'!$B$7*'1 Inputs'!$B$8*'1 Inputs'!$B$9*'1 Inputs'!$B$10*'1 Inputs'!$B$11</f>
        <v>0</v>
      </c>
      <c r="CW49" s="19" t="n">
        <f aca="false">MAX(0,MIN($B49,$A49*'1 Inputs'!$B$6-31*$B49))*'1 Inputs'!$B$7*'1 Inputs'!$B$8*'1 Inputs'!$B$9*'1 Inputs'!$B$10*'1 Inputs'!$B$11</f>
        <v>0</v>
      </c>
      <c r="CX49" s="19" t="n">
        <f aca="false">MAX(0,MIN($B49,$A49*'1 Inputs'!$B$6-32*$B49))*'1 Inputs'!$B$7*'1 Inputs'!$B$8*'1 Inputs'!$B$9*'1 Inputs'!$B$10*'1 Inputs'!$B$11</f>
        <v>0</v>
      </c>
      <c r="CY49" s="19" t="n">
        <f aca="false">MAX(0,MIN($B49,$A49*'1 Inputs'!$B$6-33*$B49))*'1 Inputs'!$B$7*'1 Inputs'!$B$8*'1 Inputs'!$B$9*'1 Inputs'!$B$10*'1 Inputs'!$B$11</f>
        <v>0</v>
      </c>
      <c r="CZ49" s="19" t="n">
        <f aca="false">MAX(0,MIN($B49,$A49*'1 Inputs'!$B$6-34*$B49))*'1 Inputs'!$B$7*'1 Inputs'!$B$8*'1 Inputs'!$B$9*'1 Inputs'!$B$10*'1 Inputs'!$B$11</f>
        <v>0</v>
      </c>
      <c r="DA49" s="19" t="n">
        <f aca="false">MAX(0,MIN($B49,$A49*'1 Inputs'!$B$6-35*$B49))*'1 Inputs'!$B$7*'1 Inputs'!$B$8*'1 Inputs'!$B$9*'1 Inputs'!$B$10*'1 Inputs'!$B$11</f>
        <v>0</v>
      </c>
      <c r="DB49" s="19" t="n">
        <f aca="false">MAX(0,MIN($B49,$A49*'1 Inputs'!$B$6-36*$B49))*'1 Inputs'!$B$7*'1 Inputs'!$B$8*'1 Inputs'!$B$9*'1 Inputs'!$B$10*'1 Inputs'!$B$11</f>
        <v>0</v>
      </c>
      <c r="DC49" s="19" t="n">
        <f aca="false">MAX(0,MIN($B49,$A49*'1 Inputs'!$B$6-37*$B49))*'1 Inputs'!$B$7*'1 Inputs'!$B$8*'1 Inputs'!$B$9*'1 Inputs'!$B$10*'1 Inputs'!$B$11</f>
        <v>0</v>
      </c>
      <c r="DD49" s="19" t="n">
        <f aca="false">MAX(0,MIN($B49,$A49*'1 Inputs'!$B$6-38*$B49))*'1 Inputs'!$B$7*'1 Inputs'!$B$8*'1 Inputs'!$B$9*'1 Inputs'!$B$10*'1 Inputs'!$B$11</f>
        <v>0</v>
      </c>
      <c r="DE49" s="19" t="n">
        <f aca="false">MAX(0,MIN($B49,$A49*'1 Inputs'!$B$6-39*$B49))*'1 Inputs'!$B$7*'1 Inputs'!$B$8*'1 Inputs'!$B$9*'1 Inputs'!$B$10*'1 Inputs'!$B$11</f>
        <v>0</v>
      </c>
      <c r="DF49" s="19" t="n">
        <f aca="false">MAX(0,MIN($B49,$A49*'1 Inputs'!$B$6-40*$B49))*'1 Inputs'!$B$7*'1 Inputs'!$B$8*'1 Inputs'!$B$9*'1 Inputs'!$B$10*'1 Inputs'!$B$11</f>
        <v>0</v>
      </c>
      <c r="DG49" s="19" t="n">
        <f aca="false">MAX(0,MIN($B49,$A49*'1 Inputs'!$B$6-41*$B49))*'1 Inputs'!$B$7*'1 Inputs'!$B$8*'1 Inputs'!$B$9*'1 Inputs'!$B$10*'1 Inputs'!$B$11</f>
        <v>0</v>
      </c>
      <c r="DH49" s="19" t="n">
        <f aca="false">MAX(0,MIN($B49,$A49*'1 Inputs'!$B$6-42*$B49))*'1 Inputs'!$B$7*'1 Inputs'!$B$8*'1 Inputs'!$B$9*'1 Inputs'!$B$10*'1 Inputs'!$B$11</f>
        <v>0</v>
      </c>
      <c r="DI49" s="19" t="n">
        <f aca="false">MAX(0,MIN($B49,$A49*'1 Inputs'!$B$6-43*$B49))*'1 Inputs'!$B$7*'1 Inputs'!$B$8*'1 Inputs'!$B$9*'1 Inputs'!$B$10*'1 Inputs'!$B$11</f>
        <v>0</v>
      </c>
      <c r="DJ49" s="19" t="n">
        <f aca="false">MAX(0,MIN($B49,$A49*'1 Inputs'!$B$6-44*$B49))*'1 Inputs'!$B$7*'1 Inputs'!$B$8*'1 Inputs'!$B$9*'1 Inputs'!$B$10*'1 Inputs'!$B$11</f>
        <v>0</v>
      </c>
      <c r="DK49" s="19" t="n">
        <f aca="false">MAX(0,MIN($B49,$A49*'1 Inputs'!$B$6-45*$B49))*'1 Inputs'!$B$7*'1 Inputs'!$B$8*'1 Inputs'!$B$9*'1 Inputs'!$B$10*'1 Inputs'!$B$11</f>
        <v>0</v>
      </c>
      <c r="DL49" s="19" t="n">
        <f aca="false">MAX(0,MIN($B49,$A49*'1 Inputs'!$B$6-46*$B49))*'1 Inputs'!$B$7*'1 Inputs'!$B$8*'1 Inputs'!$B$9*'1 Inputs'!$B$10*'1 Inputs'!$B$11</f>
        <v>0</v>
      </c>
      <c r="DM49" s="19" t="n">
        <f aca="false">MAX(0,MIN($B49,$A49*'1 Inputs'!$B$6-47*$B49))*'1 Inputs'!$B$7*'1 Inputs'!$B$8*'1 Inputs'!$B$9*'1 Inputs'!$B$10*'1 Inputs'!$B$11</f>
        <v>0</v>
      </c>
      <c r="DN49" s="19" t="n">
        <f aca="false">MAX(0,MIN($B49,$A49*'1 Inputs'!$B$6-48*$B49))*'1 Inputs'!$B$7*'1 Inputs'!$B$8*'1 Inputs'!$B$9*'1 Inputs'!$B$10*'1 Inputs'!$B$11</f>
        <v>0</v>
      </c>
      <c r="DO49" s="19" t="n">
        <f aca="false">MAX(0,MIN($B49,$A49*'1 Inputs'!$B$6-49*$B49))*'1 Inputs'!$B$7*'1 Inputs'!$B$8*'1 Inputs'!$B$9*'1 Inputs'!$B$10*'1 Inputs'!$B$11</f>
        <v>0</v>
      </c>
      <c r="DP49" s="19" t="n">
        <f aca="false">MAX(0,MIN($B49,$A49*'1 Inputs'!$B$6-50*$B49))*'1 Inputs'!$B$7*'1 Inputs'!$B$8*'1 Inputs'!$B$9*'1 Inputs'!$B$10*'1 Inputs'!$B$11</f>
        <v>0</v>
      </c>
      <c r="DQ49" s="19" t="n">
        <f aca="false">MAX(0,MIN($B49,$A49*'1 Inputs'!$B$6-51*$B49))*'1 Inputs'!$B$7*'1 Inputs'!$B$8*'1 Inputs'!$B$9*'1 Inputs'!$B$10*'1 Inputs'!$B$11</f>
        <v>0</v>
      </c>
      <c r="DR49" s="19" t="n">
        <f aca="false">MAX(0,MIN($B49,$A49*'1 Inputs'!$B$6-52*$B49))*'1 Inputs'!$B$7*'1 Inputs'!$B$8*'1 Inputs'!$B$9*'1 Inputs'!$B$10*'1 Inputs'!$B$11</f>
        <v>0</v>
      </c>
      <c r="DS49" s="19" t="n">
        <f aca="false">MAX(0,MIN($B49,$A49*'1 Inputs'!$B$6-53*$B49))*'1 Inputs'!$B$7*'1 Inputs'!$B$8*'1 Inputs'!$B$9*'1 Inputs'!$B$10*'1 Inputs'!$B$11</f>
        <v>0</v>
      </c>
      <c r="DT49" s="19" t="n">
        <f aca="false">MAX(0,MIN($B49,$A49*'1 Inputs'!$B$6-54*$B49))*'1 Inputs'!$B$7*'1 Inputs'!$B$8*'1 Inputs'!$B$9*'1 Inputs'!$B$10*'1 Inputs'!$B$11</f>
        <v>0</v>
      </c>
      <c r="DU49" s="19" t="n">
        <f aca="false">MAX(0,MIN($B49,$A49*'1 Inputs'!$B$6-55*$B49))*'1 Inputs'!$B$7*'1 Inputs'!$B$8*'1 Inputs'!$B$9*'1 Inputs'!$B$10*'1 Inputs'!$B$11</f>
        <v>0</v>
      </c>
      <c r="DV49" s="19" t="n">
        <f aca="false">MAX(0,MIN($B49,$A49*'1 Inputs'!$B$6-56*$B49))*'1 Inputs'!$B$7*'1 Inputs'!$B$8*'1 Inputs'!$B$9*'1 Inputs'!$B$10*'1 Inputs'!$B$11</f>
        <v>0</v>
      </c>
      <c r="DW49" s="19" t="n">
        <f aca="false">MAX(0,MIN($B49,$A49*'1 Inputs'!$B$6-57*$B49))*'1 Inputs'!$B$7*'1 Inputs'!$B$8*'1 Inputs'!$B$9*'1 Inputs'!$B$10*'1 Inputs'!$B$11</f>
        <v>0</v>
      </c>
      <c r="DX49" s="19" t="n">
        <f aca="false">MAX(0,MIN($B49,$A49*'1 Inputs'!$B$6-58*$B49))*'1 Inputs'!$B$7*'1 Inputs'!$B$8*'1 Inputs'!$B$9*'1 Inputs'!$B$10*'1 Inputs'!$B$11</f>
        <v>0</v>
      </c>
      <c r="DY49" s="19" t="n">
        <f aca="false">MAX(0,MIN($B49,$A49*'1 Inputs'!$B$6-59*$B49))*'1 Inputs'!$B$7*'1 Inputs'!$B$8*'1 Inputs'!$B$9*'1 Inputs'!$B$10*'1 Inputs'!$B$11</f>
        <v>0</v>
      </c>
    </row>
    <row r="50" customFormat="false" ht="15" hidden="false" customHeight="false" outlineLevel="0" collapsed="false">
      <c r="A50" s="0" t="n">
        <v>300</v>
      </c>
      <c r="B50" s="0" t="n">
        <v>4</v>
      </c>
      <c r="C50" s="12" t="n">
        <f aca="false">SUMIF(J50:BQ50,"&lt;="&amp;('1 Inputs'!$B$21+52),BR50:DY50)</f>
        <v>75000000</v>
      </c>
      <c r="J50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50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50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50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50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50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50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50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50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50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50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50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50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50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50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50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50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50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50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50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50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50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50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50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50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50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50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50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50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50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50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50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50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50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50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50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50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50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50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50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50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50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50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50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50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50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50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50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50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50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50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50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50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50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50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50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50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50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50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50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50" s="19" t="n">
        <f aca="false">MAX(0,MIN($B50,$A50*'1 Inputs'!$B$6-0*$B50))*'1 Inputs'!$B$7*'1 Inputs'!$B$8*'1 Inputs'!$B$9*'1 Inputs'!$B$10*'1 Inputs'!$B$11</f>
        <v>4166666.66666667</v>
      </c>
      <c r="BS50" s="19" t="n">
        <f aca="false">MAX(0,MIN($B50,$A50*'1 Inputs'!$B$6-1*$B50))*'1 Inputs'!$B$7*'1 Inputs'!$B$8*'1 Inputs'!$B$9*'1 Inputs'!$B$10*'1 Inputs'!$B$11</f>
        <v>4166666.66666667</v>
      </c>
      <c r="BT50" s="19" t="n">
        <f aca="false">MAX(0,MIN($B50,$A50*'1 Inputs'!$B$6-2*$B50))*'1 Inputs'!$B$7*'1 Inputs'!$B$8*'1 Inputs'!$B$9*'1 Inputs'!$B$10*'1 Inputs'!$B$11</f>
        <v>4166666.66666667</v>
      </c>
      <c r="BU50" s="19" t="n">
        <f aca="false">MAX(0,MIN($B50,$A50*'1 Inputs'!$B$6-3*$B50))*'1 Inputs'!$B$7*'1 Inputs'!$B$8*'1 Inputs'!$B$9*'1 Inputs'!$B$10*'1 Inputs'!$B$11</f>
        <v>4166666.66666667</v>
      </c>
      <c r="BV50" s="19" t="n">
        <f aca="false">MAX(0,MIN($B50,$A50*'1 Inputs'!$B$6-4*$B50))*'1 Inputs'!$B$7*'1 Inputs'!$B$8*'1 Inputs'!$B$9*'1 Inputs'!$B$10*'1 Inputs'!$B$11</f>
        <v>4166666.66666667</v>
      </c>
      <c r="BW50" s="19" t="n">
        <f aca="false">MAX(0,MIN($B50,$A50*'1 Inputs'!$B$6-5*$B50))*'1 Inputs'!$B$7*'1 Inputs'!$B$8*'1 Inputs'!$B$9*'1 Inputs'!$B$10*'1 Inputs'!$B$11</f>
        <v>4166666.66666667</v>
      </c>
      <c r="BX50" s="19" t="n">
        <f aca="false">MAX(0,MIN($B50,$A50*'1 Inputs'!$B$6-6*$B50))*'1 Inputs'!$B$7*'1 Inputs'!$B$8*'1 Inputs'!$B$9*'1 Inputs'!$B$10*'1 Inputs'!$B$11</f>
        <v>4166666.66666667</v>
      </c>
      <c r="BY50" s="19" t="n">
        <f aca="false">MAX(0,MIN($B50,$A50*'1 Inputs'!$B$6-7*$B50))*'1 Inputs'!$B$7*'1 Inputs'!$B$8*'1 Inputs'!$B$9*'1 Inputs'!$B$10*'1 Inputs'!$B$11</f>
        <v>4166666.66666667</v>
      </c>
      <c r="BZ50" s="19" t="n">
        <f aca="false">MAX(0,MIN($B50,$A50*'1 Inputs'!$B$6-8*$B50))*'1 Inputs'!$B$7*'1 Inputs'!$B$8*'1 Inputs'!$B$9*'1 Inputs'!$B$10*'1 Inputs'!$B$11</f>
        <v>4166666.66666667</v>
      </c>
      <c r="CA50" s="19" t="n">
        <f aca="false">MAX(0,MIN($B50,$A50*'1 Inputs'!$B$6-9*$B50))*'1 Inputs'!$B$7*'1 Inputs'!$B$8*'1 Inputs'!$B$9*'1 Inputs'!$B$10*'1 Inputs'!$B$11</f>
        <v>4166666.66666667</v>
      </c>
      <c r="CB50" s="19" t="n">
        <f aca="false">MAX(0,MIN($B50,$A50*'1 Inputs'!$B$6-10*$B50))*'1 Inputs'!$B$7*'1 Inputs'!$B$8*'1 Inputs'!$B$9*'1 Inputs'!$B$10*'1 Inputs'!$B$11</f>
        <v>4166666.66666667</v>
      </c>
      <c r="CC50" s="19" t="n">
        <f aca="false">MAX(0,MIN($B50,$A50*'1 Inputs'!$B$6-11*$B50))*'1 Inputs'!$B$7*'1 Inputs'!$B$8*'1 Inputs'!$B$9*'1 Inputs'!$B$10*'1 Inputs'!$B$11</f>
        <v>4166666.66666667</v>
      </c>
      <c r="CD50" s="19" t="n">
        <f aca="false">MAX(0,MIN($B50,$A50*'1 Inputs'!$B$6-12*$B50))*'1 Inputs'!$B$7*'1 Inputs'!$B$8*'1 Inputs'!$B$9*'1 Inputs'!$B$10*'1 Inputs'!$B$11</f>
        <v>4166666.66666667</v>
      </c>
      <c r="CE50" s="19" t="n">
        <f aca="false">MAX(0,MIN($B50,$A50*'1 Inputs'!$B$6-13*$B50))*'1 Inputs'!$B$7*'1 Inputs'!$B$8*'1 Inputs'!$B$9*'1 Inputs'!$B$10*'1 Inputs'!$B$11</f>
        <v>4166666.66666667</v>
      </c>
      <c r="CF50" s="19" t="n">
        <f aca="false">MAX(0,MIN($B50,$A50*'1 Inputs'!$B$6-14*$B50))*'1 Inputs'!$B$7*'1 Inputs'!$B$8*'1 Inputs'!$B$9*'1 Inputs'!$B$10*'1 Inputs'!$B$11</f>
        <v>4166666.66666667</v>
      </c>
      <c r="CG50" s="19" t="n">
        <f aca="false">MAX(0,MIN($B50,$A50*'1 Inputs'!$B$6-15*$B50))*'1 Inputs'!$B$7*'1 Inputs'!$B$8*'1 Inputs'!$B$9*'1 Inputs'!$B$10*'1 Inputs'!$B$11</f>
        <v>4166666.66666667</v>
      </c>
      <c r="CH50" s="19" t="n">
        <f aca="false">MAX(0,MIN($B50,$A50*'1 Inputs'!$B$6-16*$B50))*'1 Inputs'!$B$7*'1 Inputs'!$B$8*'1 Inputs'!$B$9*'1 Inputs'!$B$10*'1 Inputs'!$B$11</f>
        <v>4166666.66666667</v>
      </c>
      <c r="CI50" s="19" t="n">
        <f aca="false">MAX(0,MIN($B50,$A50*'1 Inputs'!$B$6-17*$B50))*'1 Inputs'!$B$7*'1 Inputs'!$B$8*'1 Inputs'!$B$9*'1 Inputs'!$B$10*'1 Inputs'!$B$11</f>
        <v>4166666.66666667</v>
      </c>
      <c r="CJ50" s="19" t="n">
        <f aca="false">MAX(0,MIN($B50,$A50*'1 Inputs'!$B$6-18*$B50))*'1 Inputs'!$B$7*'1 Inputs'!$B$8*'1 Inputs'!$B$9*'1 Inputs'!$B$10*'1 Inputs'!$B$11</f>
        <v>4166666.66666667</v>
      </c>
      <c r="CK50" s="19" t="n">
        <f aca="false">MAX(0,MIN($B50,$A50*'1 Inputs'!$B$6-19*$B50))*'1 Inputs'!$B$7*'1 Inputs'!$B$8*'1 Inputs'!$B$9*'1 Inputs'!$B$10*'1 Inputs'!$B$11</f>
        <v>4166666.66666667</v>
      </c>
      <c r="CL50" s="19" t="n">
        <f aca="false">MAX(0,MIN($B50,$A50*'1 Inputs'!$B$6-20*$B50))*'1 Inputs'!$B$7*'1 Inputs'!$B$8*'1 Inputs'!$B$9*'1 Inputs'!$B$10*'1 Inputs'!$B$11</f>
        <v>4166666.66666667</v>
      </c>
      <c r="CM50" s="19" t="n">
        <f aca="false">MAX(0,MIN($B50,$A50*'1 Inputs'!$B$6-21*$B50))*'1 Inputs'!$B$7*'1 Inputs'!$B$8*'1 Inputs'!$B$9*'1 Inputs'!$B$10*'1 Inputs'!$B$11</f>
        <v>4166666.66666667</v>
      </c>
      <c r="CN50" s="19" t="n">
        <f aca="false">MAX(0,MIN($B50,$A50*'1 Inputs'!$B$6-22*$B50))*'1 Inputs'!$B$7*'1 Inputs'!$B$8*'1 Inputs'!$B$9*'1 Inputs'!$B$10*'1 Inputs'!$B$11</f>
        <v>4166666.66666667</v>
      </c>
      <c r="CO50" s="19" t="n">
        <f aca="false">MAX(0,MIN($B50,$A50*'1 Inputs'!$B$6-23*$B50))*'1 Inputs'!$B$7*'1 Inputs'!$B$8*'1 Inputs'!$B$9*'1 Inputs'!$B$10*'1 Inputs'!$B$11</f>
        <v>4166666.66666667</v>
      </c>
      <c r="CP50" s="19" t="n">
        <f aca="false">MAX(0,MIN($B50,$A50*'1 Inputs'!$B$6-24*$B50))*'1 Inputs'!$B$7*'1 Inputs'!$B$8*'1 Inputs'!$B$9*'1 Inputs'!$B$10*'1 Inputs'!$B$11</f>
        <v>4166666.66666667</v>
      </c>
      <c r="CQ50" s="19" t="n">
        <f aca="false">MAX(0,MIN($B50,$A50*'1 Inputs'!$B$6-25*$B50))*'1 Inputs'!$B$7*'1 Inputs'!$B$8*'1 Inputs'!$B$9*'1 Inputs'!$B$10*'1 Inputs'!$B$11</f>
        <v>4166666.66666667</v>
      </c>
      <c r="CR50" s="19" t="n">
        <f aca="false">MAX(0,MIN($B50,$A50*'1 Inputs'!$B$6-26*$B50))*'1 Inputs'!$B$7*'1 Inputs'!$B$8*'1 Inputs'!$B$9*'1 Inputs'!$B$10*'1 Inputs'!$B$11</f>
        <v>4166666.66666667</v>
      </c>
      <c r="CS50" s="19" t="n">
        <f aca="false">MAX(0,MIN($B50,$A50*'1 Inputs'!$B$6-27*$B50))*'1 Inputs'!$B$7*'1 Inputs'!$B$8*'1 Inputs'!$B$9*'1 Inputs'!$B$10*'1 Inputs'!$B$11</f>
        <v>4166666.66666667</v>
      </c>
      <c r="CT50" s="19" t="n">
        <f aca="false">MAX(0,MIN($B50,$A50*'1 Inputs'!$B$6-28*$B50))*'1 Inputs'!$B$7*'1 Inputs'!$B$8*'1 Inputs'!$B$9*'1 Inputs'!$B$10*'1 Inputs'!$B$11</f>
        <v>4166666.66666667</v>
      </c>
      <c r="CU50" s="19" t="n">
        <f aca="false">MAX(0,MIN($B50,$A50*'1 Inputs'!$B$6-29*$B50))*'1 Inputs'!$B$7*'1 Inputs'!$B$8*'1 Inputs'!$B$9*'1 Inputs'!$B$10*'1 Inputs'!$B$11</f>
        <v>4166666.66666667</v>
      </c>
      <c r="CV50" s="19" t="n">
        <f aca="false">MAX(0,MIN($B50,$A50*'1 Inputs'!$B$6-30*$B50))*'1 Inputs'!$B$7*'1 Inputs'!$B$8*'1 Inputs'!$B$9*'1 Inputs'!$B$10*'1 Inputs'!$B$11</f>
        <v>4166666.66666667</v>
      </c>
      <c r="CW50" s="19" t="n">
        <f aca="false">MAX(0,MIN($B50,$A50*'1 Inputs'!$B$6-31*$B50))*'1 Inputs'!$B$7*'1 Inputs'!$B$8*'1 Inputs'!$B$9*'1 Inputs'!$B$10*'1 Inputs'!$B$11</f>
        <v>4166666.66666667</v>
      </c>
      <c r="CX50" s="19" t="n">
        <f aca="false">MAX(0,MIN($B50,$A50*'1 Inputs'!$B$6-32*$B50))*'1 Inputs'!$B$7*'1 Inputs'!$B$8*'1 Inputs'!$B$9*'1 Inputs'!$B$10*'1 Inputs'!$B$11</f>
        <v>4166666.66666667</v>
      </c>
      <c r="CY50" s="19" t="n">
        <f aca="false">MAX(0,MIN($B50,$A50*'1 Inputs'!$B$6-33*$B50))*'1 Inputs'!$B$7*'1 Inputs'!$B$8*'1 Inputs'!$B$9*'1 Inputs'!$B$10*'1 Inputs'!$B$11</f>
        <v>4166666.66666667</v>
      </c>
      <c r="CZ50" s="19" t="n">
        <f aca="false">MAX(0,MIN($B50,$A50*'1 Inputs'!$B$6-34*$B50))*'1 Inputs'!$B$7*'1 Inputs'!$B$8*'1 Inputs'!$B$9*'1 Inputs'!$B$10*'1 Inputs'!$B$11</f>
        <v>4166666.66666667</v>
      </c>
      <c r="DA50" s="19" t="n">
        <f aca="false">MAX(0,MIN($B50,$A50*'1 Inputs'!$B$6-35*$B50))*'1 Inputs'!$B$7*'1 Inputs'!$B$8*'1 Inputs'!$B$9*'1 Inputs'!$B$10*'1 Inputs'!$B$11</f>
        <v>4166666.66666667</v>
      </c>
      <c r="DB50" s="19" t="n">
        <f aca="false">MAX(0,MIN($B50,$A50*'1 Inputs'!$B$6-36*$B50))*'1 Inputs'!$B$7*'1 Inputs'!$B$8*'1 Inputs'!$B$9*'1 Inputs'!$B$10*'1 Inputs'!$B$11</f>
        <v>4166666.66666667</v>
      </c>
      <c r="DC50" s="19" t="n">
        <f aca="false">MAX(0,MIN($B50,$A50*'1 Inputs'!$B$6-37*$B50))*'1 Inputs'!$B$7*'1 Inputs'!$B$8*'1 Inputs'!$B$9*'1 Inputs'!$B$10*'1 Inputs'!$B$11</f>
        <v>2083333.33333333</v>
      </c>
      <c r="DD50" s="19" t="n">
        <f aca="false">MAX(0,MIN($B50,$A50*'1 Inputs'!$B$6-38*$B50))*'1 Inputs'!$B$7*'1 Inputs'!$B$8*'1 Inputs'!$B$9*'1 Inputs'!$B$10*'1 Inputs'!$B$11</f>
        <v>0</v>
      </c>
      <c r="DE50" s="19" t="n">
        <f aca="false">MAX(0,MIN($B50,$A50*'1 Inputs'!$B$6-39*$B50))*'1 Inputs'!$B$7*'1 Inputs'!$B$8*'1 Inputs'!$B$9*'1 Inputs'!$B$10*'1 Inputs'!$B$11</f>
        <v>0</v>
      </c>
      <c r="DF50" s="19" t="n">
        <f aca="false">MAX(0,MIN($B50,$A50*'1 Inputs'!$B$6-40*$B50))*'1 Inputs'!$B$7*'1 Inputs'!$B$8*'1 Inputs'!$B$9*'1 Inputs'!$B$10*'1 Inputs'!$B$11</f>
        <v>0</v>
      </c>
      <c r="DG50" s="19" t="n">
        <f aca="false">MAX(0,MIN($B50,$A50*'1 Inputs'!$B$6-41*$B50))*'1 Inputs'!$B$7*'1 Inputs'!$B$8*'1 Inputs'!$B$9*'1 Inputs'!$B$10*'1 Inputs'!$B$11</f>
        <v>0</v>
      </c>
      <c r="DH50" s="19" t="n">
        <f aca="false">MAX(0,MIN($B50,$A50*'1 Inputs'!$B$6-42*$B50))*'1 Inputs'!$B$7*'1 Inputs'!$B$8*'1 Inputs'!$B$9*'1 Inputs'!$B$10*'1 Inputs'!$B$11</f>
        <v>0</v>
      </c>
      <c r="DI50" s="19" t="n">
        <f aca="false">MAX(0,MIN($B50,$A50*'1 Inputs'!$B$6-43*$B50))*'1 Inputs'!$B$7*'1 Inputs'!$B$8*'1 Inputs'!$B$9*'1 Inputs'!$B$10*'1 Inputs'!$B$11</f>
        <v>0</v>
      </c>
      <c r="DJ50" s="19" t="n">
        <f aca="false">MAX(0,MIN($B50,$A50*'1 Inputs'!$B$6-44*$B50))*'1 Inputs'!$B$7*'1 Inputs'!$B$8*'1 Inputs'!$B$9*'1 Inputs'!$B$10*'1 Inputs'!$B$11</f>
        <v>0</v>
      </c>
      <c r="DK50" s="19" t="n">
        <f aca="false">MAX(0,MIN($B50,$A50*'1 Inputs'!$B$6-45*$B50))*'1 Inputs'!$B$7*'1 Inputs'!$B$8*'1 Inputs'!$B$9*'1 Inputs'!$B$10*'1 Inputs'!$B$11</f>
        <v>0</v>
      </c>
      <c r="DL50" s="19" t="n">
        <f aca="false">MAX(0,MIN($B50,$A50*'1 Inputs'!$B$6-46*$B50))*'1 Inputs'!$B$7*'1 Inputs'!$B$8*'1 Inputs'!$B$9*'1 Inputs'!$B$10*'1 Inputs'!$B$11</f>
        <v>0</v>
      </c>
      <c r="DM50" s="19" t="n">
        <f aca="false">MAX(0,MIN($B50,$A50*'1 Inputs'!$B$6-47*$B50))*'1 Inputs'!$B$7*'1 Inputs'!$B$8*'1 Inputs'!$B$9*'1 Inputs'!$B$10*'1 Inputs'!$B$11</f>
        <v>0</v>
      </c>
      <c r="DN50" s="19" t="n">
        <f aca="false">MAX(0,MIN($B50,$A50*'1 Inputs'!$B$6-48*$B50))*'1 Inputs'!$B$7*'1 Inputs'!$B$8*'1 Inputs'!$B$9*'1 Inputs'!$B$10*'1 Inputs'!$B$11</f>
        <v>0</v>
      </c>
      <c r="DO50" s="19" t="n">
        <f aca="false">MAX(0,MIN($B50,$A50*'1 Inputs'!$B$6-49*$B50))*'1 Inputs'!$B$7*'1 Inputs'!$B$8*'1 Inputs'!$B$9*'1 Inputs'!$B$10*'1 Inputs'!$B$11</f>
        <v>0</v>
      </c>
      <c r="DP50" s="19" t="n">
        <f aca="false">MAX(0,MIN($B50,$A50*'1 Inputs'!$B$6-50*$B50))*'1 Inputs'!$B$7*'1 Inputs'!$B$8*'1 Inputs'!$B$9*'1 Inputs'!$B$10*'1 Inputs'!$B$11</f>
        <v>0</v>
      </c>
      <c r="DQ50" s="19" t="n">
        <f aca="false">MAX(0,MIN($B50,$A50*'1 Inputs'!$B$6-51*$B50))*'1 Inputs'!$B$7*'1 Inputs'!$B$8*'1 Inputs'!$B$9*'1 Inputs'!$B$10*'1 Inputs'!$B$11</f>
        <v>0</v>
      </c>
      <c r="DR50" s="19" t="n">
        <f aca="false">MAX(0,MIN($B50,$A50*'1 Inputs'!$B$6-52*$B50))*'1 Inputs'!$B$7*'1 Inputs'!$B$8*'1 Inputs'!$B$9*'1 Inputs'!$B$10*'1 Inputs'!$B$11</f>
        <v>0</v>
      </c>
      <c r="DS50" s="19" t="n">
        <f aca="false">MAX(0,MIN($B50,$A50*'1 Inputs'!$B$6-53*$B50))*'1 Inputs'!$B$7*'1 Inputs'!$B$8*'1 Inputs'!$B$9*'1 Inputs'!$B$10*'1 Inputs'!$B$11</f>
        <v>0</v>
      </c>
      <c r="DT50" s="19" t="n">
        <f aca="false">MAX(0,MIN($B50,$A50*'1 Inputs'!$B$6-54*$B50))*'1 Inputs'!$B$7*'1 Inputs'!$B$8*'1 Inputs'!$B$9*'1 Inputs'!$B$10*'1 Inputs'!$B$11</f>
        <v>0</v>
      </c>
      <c r="DU50" s="19" t="n">
        <f aca="false">MAX(0,MIN($B50,$A50*'1 Inputs'!$B$6-55*$B50))*'1 Inputs'!$B$7*'1 Inputs'!$B$8*'1 Inputs'!$B$9*'1 Inputs'!$B$10*'1 Inputs'!$B$11</f>
        <v>0</v>
      </c>
      <c r="DV50" s="19" t="n">
        <f aca="false">MAX(0,MIN($B50,$A50*'1 Inputs'!$B$6-56*$B50))*'1 Inputs'!$B$7*'1 Inputs'!$B$8*'1 Inputs'!$B$9*'1 Inputs'!$B$10*'1 Inputs'!$B$11</f>
        <v>0</v>
      </c>
      <c r="DW50" s="19" t="n">
        <f aca="false">MAX(0,MIN($B50,$A50*'1 Inputs'!$B$6-57*$B50))*'1 Inputs'!$B$7*'1 Inputs'!$B$8*'1 Inputs'!$B$9*'1 Inputs'!$B$10*'1 Inputs'!$B$11</f>
        <v>0</v>
      </c>
      <c r="DX50" s="19" t="n">
        <f aca="false">MAX(0,MIN($B50,$A50*'1 Inputs'!$B$6-58*$B50))*'1 Inputs'!$B$7*'1 Inputs'!$B$8*'1 Inputs'!$B$9*'1 Inputs'!$B$10*'1 Inputs'!$B$11</f>
        <v>0</v>
      </c>
      <c r="DY50" s="19" t="n">
        <f aca="false">MAX(0,MIN($B50,$A50*'1 Inputs'!$B$6-59*$B50))*'1 Inputs'!$B$7*'1 Inputs'!$B$8*'1 Inputs'!$B$9*'1 Inputs'!$B$10*'1 Inputs'!$B$11</f>
        <v>0</v>
      </c>
    </row>
    <row r="51" customFormat="false" ht="15" hidden="false" customHeight="false" outlineLevel="0" collapsed="false">
      <c r="A51" s="0" t="n">
        <v>300</v>
      </c>
      <c r="B51" s="0" t="n">
        <v>6</v>
      </c>
      <c r="C51" s="12" t="n">
        <f aca="false">SUMIF(J51:BQ51,"&lt;="&amp;('1 Inputs'!$B$21+52),BR51:DY51)</f>
        <v>112500000</v>
      </c>
      <c r="J51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51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51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51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51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51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51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51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51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51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51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51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51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51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51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51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51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51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51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51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51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51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51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51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51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51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51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51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51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51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51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51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51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51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51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51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51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51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51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51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51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51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51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51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51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51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51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51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51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51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51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51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51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51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51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51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51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51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51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51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51" s="19" t="n">
        <f aca="false">MAX(0,MIN($B51,$A51*'1 Inputs'!$B$6-0*$B51))*'1 Inputs'!$B$7*'1 Inputs'!$B$8*'1 Inputs'!$B$9*'1 Inputs'!$B$10*'1 Inputs'!$B$11</f>
        <v>6250000</v>
      </c>
      <c r="BS51" s="19" t="n">
        <f aca="false">MAX(0,MIN($B51,$A51*'1 Inputs'!$B$6-1*$B51))*'1 Inputs'!$B$7*'1 Inputs'!$B$8*'1 Inputs'!$B$9*'1 Inputs'!$B$10*'1 Inputs'!$B$11</f>
        <v>6250000</v>
      </c>
      <c r="BT51" s="19" t="n">
        <f aca="false">MAX(0,MIN($B51,$A51*'1 Inputs'!$B$6-2*$B51))*'1 Inputs'!$B$7*'1 Inputs'!$B$8*'1 Inputs'!$B$9*'1 Inputs'!$B$10*'1 Inputs'!$B$11</f>
        <v>6250000</v>
      </c>
      <c r="BU51" s="19" t="n">
        <f aca="false">MAX(0,MIN($B51,$A51*'1 Inputs'!$B$6-3*$B51))*'1 Inputs'!$B$7*'1 Inputs'!$B$8*'1 Inputs'!$B$9*'1 Inputs'!$B$10*'1 Inputs'!$B$11</f>
        <v>6250000</v>
      </c>
      <c r="BV51" s="19" t="n">
        <f aca="false">MAX(0,MIN($B51,$A51*'1 Inputs'!$B$6-4*$B51))*'1 Inputs'!$B$7*'1 Inputs'!$B$8*'1 Inputs'!$B$9*'1 Inputs'!$B$10*'1 Inputs'!$B$11</f>
        <v>6250000</v>
      </c>
      <c r="BW51" s="19" t="n">
        <f aca="false">MAX(0,MIN($B51,$A51*'1 Inputs'!$B$6-5*$B51))*'1 Inputs'!$B$7*'1 Inputs'!$B$8*'1 Inputs'!$B$9*'1 Inputs'!$B$10*'1 Inputs'!$B$11</f>
        <v>6250000</v>
      </c>
      <c r="BX51" s="19" t="n">
        <f aca="false">MAX(0,MIN($B51,$A51*'1 Inputs'!$B$6-6*$B51))*'1 Inputs'!$B$7*'1 Inputs'!$B$8*'1 Inputs'!$B$9*'1 Inputs'!$B$10*'1 Inputs'!$B$11</f>
        <v>6250000</v>
      </c>
      <c r="BY51" s="19" t="n">
        <f aca="false">MAX(0,MIN($B51,$A51*'1 Inputs'!$B$6-7*$B51))*'1 Inputs'!$B$7*'1 Inputs'!$B$8*'1 Inputs'!$B$9*'1 Inputs'!$B$10*'1 Inputs'!$B$11</f>
        <v>6250000</v>
      </c>
      <c r="BZ51" s="19" t="n">
        <f aca="false">MAX(0,MIN($B51,$A51*'1 Inputs'!$B$6-8*$B51))*'1 Inputs'!$B$7*'1 Inputs'!$B$8*'1 Inputs'!$B$9*'1 Inputs'!$B$10*'1 Inputs'!$B$11</f>
        <v>6250000</v>
      </c>
      <c r="CA51" s="19" t="n">
        <f aca="false">MAX(0,MIN($B51,$A51*'1 Inputs'!$B$6-9*$B51))*'1 Inputs'!$B$7*'1 Inputs'!$B$8*'1 Inputs'!$B$9*'1 Inputs'!$B$10*'1 Inputs'!$B$11</f>
        <v>6250000</v>
      </c>
      <c r="CB51" s="19" t="n">
        <f aca="false">MAX(0,MIN($B51,$A51*'1 Inputs'!$B$6-10*$B51))*'1 Inputs'!$B$7*'1 Inputs'!$B$8*'1 Inputs'!$B$9*'1 Inputs'!$B$10*'1 Inputs'!$B$11</f>
        <v>6250000</v>
      </c>
      <c r="CC51" s="19" t="n">
        <f aca="false">MAX(0,MIN($B51,$A51*'1 Inputs'!$B$6-11*$B51))*'1 Inputs'!$B$7*'1 Inputs'!$B$8*'1 Inputs'!$B$9*'1 Inputs'!$B$10*'1 Inputs'!$B$11</f>
        <v>6250000</v>
      </c>
      <c r="CD51" s="19" t="n">
        <f aca="false">MAX(0,MIN($B51,$A51*'1 Inputs'!$B$6-12*$B51))*'1 Inputs'!$B$7*'1 Inputs'!$B$8*'1 Inputs'!$B$9*'1 Inputs'!$B$10*'1 Inputs'!$B$11</f>
        <v>6250000</v>
      </c>
      <c r="CE51" s="19" t="n">
        <f aca="false">MAX(0,MIN($B51,$A51*'1 Inputs'!$B$6-13*$B51))*'1 Inputs'!$B$7*'1 Inputs'!$B$8*'1 Inputs'!$B$9*'1 Inputs'!$B$10*'1 Inputs'!$B$11</f>
        <v>6250000</v>
      </c>
      <c r="CF51" s="19" t="n">
        <f aca="false">MAX(0,MIN($B51,$A51*'1 Inputs'!$B$6-14*$B51))*'1 Inputs'!$B$7*'1 Inputs'!$B$8*'1 Inputs'!$B$9*'1 Inputs'!$B$10*'1 Inputs'!$B$11</f>
        <v>6250000</v>
      </c>
      <c r="CG51" s="19" t="n">
        <f aca="false">MAX(0,MIN($B51,$A51*'1 Inputs'!$B$6-15*$B51))*'1 Inputs'!$B$7*'1 Inputs'!$B$8*'1 Inputs'!$B$9*'1 Inputs'!$B$10*'1 Inputs'!$B$11</f>
        <v>6250000</v>
      </c>
      <c r="CH51" s="19" t="n">
        <f aca="false">MAX(0,MIN($B51,$A51*'1 Inputs'!$B$6-16*$B51))*'1 Inputs'!$B$7*'1 Inputs'!$B$8*'1 Inputs'!$B$9*'1 Inputs'!$B$10*'1 Inputs'!$B$11</f>
        <v>6250000</v>
      </c>
      <c r="CI51" s="19" t="n">
        <f aca="false">MAX(0,MIN($B51,$A51*'1 Inputs'!$B$6-17*$B51))*'1 Inputs'!$B$7*'1 Inputs'!$B$8*'1 Inputs'!$B$9*'1 Inputs'!$B$10*'1 Inputs'!$B$11</f>
        <v>6250000</v>
      </c>
      <c r="CJ51" s="19" t="n">
        <f aca="false">MAX(0,MIN($B51,$A51*'1 Inputs'!$B$6-18*$B51))*'1 Inputs'!$B$7*'1 Inputs'!$B$8*'1 Inputs'!$B$9*'1 Inputs'!$B$10*'1 Inputs'!$B$11</f>
        <v>6250000</v>
      </c>
      <c r="CK51" s="19" t="n">
        <f aca="false">MAX(0,MIN($B51,$A51*'1 Inputs'!$B$6-19*$B51))*'1 Inputs'!$B$7*'1 Inputs'!$B$8*'1 Inputs'!$B$9*'1 Inputs'!$B$10*'1 Inputs'!$B$11</f>
        <v>6250000</v>
      </c>
      <c r="CL51" s="19" t="n">
        <f aca="false">MAX(0,MIN($B51,$A51*'1 Inputs'!$B$6-20*$B51))*'1 Inputs'!$B$7*'1 Inputs'!$B$8*'1 Inputs'!$B$9*'1 Inputs'!$B$10*'1 Inputs'!$B$11</f>
        <v>6250000</v>
      </c>
      <c r="CM51" s="19" t="n">
        <f aca="false">MAX(0,MIN($B51,$A51*'1 Inputs'!$B$6-21*$B51))*'1 Inputs'!$B$7*'1 Inputs'!$B$8*'1 Inputs'!$B$9*'1 Inputs'!$B$10*'1 Inputs'!$B$11</f>
        <v>6250000</v>
      </c>
      <c r="CN51" s="19" t="n">
        <f aca="false">MAX(0,MIN($B51,$A51*'1 Inputs'!$B$6-22*$B51))*'1 Inputs'!$B$7*'1 Inputs'!$B$8*'1 Inputs'!$B$9*'1 Inputs'!$B$10*'1 Inputs'!$B$11</f>
        <v>6250000</v>
      </c>
      <c r="CO51" s="19" t="n">
        <f aca="false">MAX(0,MIN($B51,$A51*'1 Inputs'!$B$6-23*$B51))*'1 Inputs'!$B$7*'1 Inputs'!$B$8*'1 Inputs'!$B$9*'1 Inputs'!$B$10*'1 Inputs'!$B$11</f>
        <v>6250000</v>
      </c>
      <c r="CP51" s="19" t="n">
        <f aca="false">MAX(0,MIN($B51,$A51*'1 Inputs'!$B$6-24*$B51))*'1 Inputs'!$B$7*'1 Inputs'!$B$8*'1 Inputs'!$B$9*'1 Inputs'!$B$10*'1 Inputs'!$B$11</f>
        <v>6250000</v>
      </c>
      <c r="CQ51" s="19" t="n">
        <f aca="false">MAX(0,MIN($B51,$A51*'1 Inputs'!$B$6-25*$B51))*'1 Inputs'!$B$7*'1 Inputs'!$B$8*'1 Inputs'!$B$9*'1 Inputs'!$B$10*'1 Inputs'!$B$11</f>
        <v>0</v>
      </c>
      <c r="CR51" s="19" t="n">
        <f aca="false">MAX(0,MIN($B51,$A51*'1 Inputs'!$B$6-26*$B51))*'1 Inputs'!$B$7*'1 Inputs'!$B$8*'1 Inputs'!$B$9*'1 Inputs'!$B$10*'1 Inputs'!$B$11</f>
        <v>0</v>
      </c>
      <c r="CS51" s="19" t="n">
        <f aca="false">MAX(0,MIN($B51,$A51*'1 Inputs'!$B$6-27*$B51))*'1 Inputs'!$B$7*'1 Inputs'!$B$8*'1 Inputs'!$B$9*'1 Inputs'!$B$10*'1 Inputs'!$B$11</f>
        <v>0</v>
      </c>
      <c r="CT51" s="19" t="n">
        <f aca="false">MAX(0,MIN($B51,$A51*'1 Inputs'!$B$6-28*$B51))*'1 Inputs'!$B$7*'1 Inputs'!$B$8*'1 Inputs'!$B$9*'1 Inputs'!$B$10*'1 Inputs'!$B$11</f>
        <v>0</v>
      </c>
      <c r="CU51" s="19" t="n">
        <f aca="false">MAX(0,MIN($B51,$A51*'1 Inputs'!$B$6-29*$B51))*'1 Inputs'!$B$7*'1 Inputs'!$B$8*'1 Inputs'!$B$9*'1 Inputs'!$B$10*'1 Inputs'!$B$11</f>
        <v>0</v>
      </c>
      <c r="CV51" s="19" t="n">
        <f aca="false">MAX(0,MIN($B51,$A51*'1 Inputs'!$B$6-30*$B51))*'1 Inputs'!$B$7*'1 Inputs'!$B$8*'1 Inputs'!$B$9*'1 Inputs'!$B$10*'1 Inputs'!$B$11</f>
        <v>0</v>
      </c>
      <c r="CW51" s="19" t="n">
        <f aca="false">MAX(0,MIN($B51,$A51*'1 Inputs'!$B$6-31*$B51))*'1 Inputs'!$B$7*'1 Inputs'!$B$8*'1 Inputs'!$B$9*'1 Inputs'!$B$10*'1 Inputs'!$B$11</f>
        <v>0</v>
      </c>
      <c r="CX51" s="19" t="n">
        <f aca="false">MAX(0,MIN($B51,$A51*'1 Inputs'!$B$6-32*$B51))*'1 Inputs'!$B$7*'1 Inputs'!$B$8*'1 Inputs'!$B$9*'1 Inputs'!$B$10*'1 Inputs'!$B$11</f>
        <v>0</v>
      </c>
      <c r="CY51" s="19" t="n">
        <f aca="false">MAX(0,MIN($B51,$A51*'1 Inputs'!$B$6-33*$B51))*'1 Inputs'!$B$7*'1 Inputs'!$B$8*'1 Inputs'!$B$9*'1 Inputs'!$B$10*'1 Inputs'!$B$11</f>
        <v>0</v>
      </c>
      <c r="CZ51" s="19" t="n">
        <f aca="false">MAX(0,MIN($B51,$A51*'1 Inputs'!$B$6-34*$B51))*'1 Inputs'!$B$7*'1 Inputs'!$B$8*'1 Inputs'!$B$9*'1 Inputs'!$B$10*'1 Inputs'!$B$11</f>
        <v>0</v>
      </c>
      <c r="DA51" s="19" t="n">
        <f aca="false">MAX(0,MIN($B51,$A51*'1 Inputs'!$B$6-35*$B51))*'1 Inputs'!$B$7*'1 Inputs'!$B$8*'1 Inputs'!$B$9*'1 Inputs'!$B$10*'1 Inputs'!$B$11</f>
        <v>0</v>
      </c>
      <c r="DB51" s="19" t="n">
        <f aca="false">MAX(0,MIN($B51,$A51*'1 Inputs'!$B$6-36*$B51))*'1 Inputs'!$B$7*'1 Inputs'!$B$8*'1 Inputs'!$B$9*'1 Inputs'!$B$10*'1 Inputs'!$B$11</f>
        <v>0</v>
      </c>
      <c r="DC51" s="19" t="n">
        <f aca="false">MAX(0,MIN($B51,$A51*'1 Inputs'!$B$6-37*$B51))*'1 Inputs'!$B$7*'1 Inputs'!$B$8*'1 Inputs'!$B$9*'1 Inputs'!$B$10*'1 Inputs'!$B$11</f>
        <v>0</v>
      </c>
      <c r="DD51" s="19" t="n">
        <f aca="false">MAX(0,MIN($B51,$A51*'1 Inputs'!$B$6-38*$B51))*'1 Inputs'!$B$7*'1 Inputs'!$B$8*'1 Inputs'!$B$9*'1 Inputs'!$B$10*'1 Inputs'!$B$11</f>
        <v>0</v>
      </c>
      <c r="DE51" s="19" t="n">
        <f aca="false">MAX(0,MIN($B51,$A51*'1 Inputs'!$B$6-39*$B51))*'1 Inputs'!$B$7*'1 Inputs'!$B$8*'1 Inputs'!$B$9*'1 Inputs'!$B$10*'1 Inputs'!$B$11</f>
        <v>0</v>
      </c>
      <c r="DF51" s="19" t="n">
        <f aca="false">MAX(0,MIN($B51,$A51*'1 Inputs'!$B$6-40*$B51))*'1 Inputs'!$B$7*'1 Inputs'!$B$8*'1 Inputs'!$B$9*'1 Inputs'!$B$10*'1 Inputs'!$B$11</f>
        <v>0</v>
      </c>
      <c r="DG51" s="19" t="n">
        <f aca="false">MAX(0,MIN($B51,$A51*'1 Inputs'!$B$6-41*$B51))*'1 Inputs'!$B$7*'1 Inputs'!$B$8*'1 Inputs'!$B$9*'1 Inputs'!$B$10*'1 Inputs'!$B$11</f>
        <v>0</v>
      </c>
      <c r="DH51" s="19" t="n">
        <f aca="false">MAX(0,MIN($B51,$A51*'1 Inputs'!$B$6-42*$B51))*'1 Inputs'!$B$7*'1 Inputs'!$B$8*'1 Inputs'!$B$9*'1 Inputs'!$B$10*'1 Inputs'!$B$11</f>
        <v>0</v>
      </c>
      <c r="DI51" s="19" t="n">
        <f aca="false">MAX(0,MIN($B51,$A51*'1 Inputs'!$B$6-43*$B51))*'1 Inputs'!$B$7*'1 Inputs'!$B$8*'1 Inputs'!$B$9*'1 Inputs'!$B$10*'1 Inputs'!$B$11</f>
        <v>0</v>
      </c>
      <c r="DJ51" s="19" t="n">
        <f aca="false">MAX(0,MIN($B51,$A51*'1 Inputs'!$B$6-44*$B51))*'1 Inputs'!$B$7*'1 Inputs'!$B$8*'1 Inputs'!$B$9*'1 Inputs'!$B$10*'1 Inputs'!$B$11</f>
        <v>0</v>
      </c>
      <c r="DK51" s="19" t="n">
        <f aca="false">MAX(0,MIN($B51,$A51*'1 Inputs'!$B$6-45*$B51))*'1 Inputs'!$B$7*'1 Inputs'!$B$8*'1 Inputs'!$B$9*'1 Inputs'!$B$10*'1 Inputs'!$B$11</f>
        <v>0</v>
      </c>
      <c r="DL51" s="19" t="n">
        <f aca="false">MAX(0,MIN($B51,$A51*'1 Inputs'!$B$6-46*$B51))*'1 Inputs'!$B$7*'1 Inputs'!$B$8*'1 Inputs'!$B$9*'1 Inputs'!$B$10*'1 Inputs'!$B$11</f>
        <v>0</v>
      </c>
      <c r="DM51" s="19" t="n">
        <f aca="false">MAX(0,MIN($B51,$A51*'1 Inputs'!$B$6-47*$B51))*'1 Inputs'!$B$7*'1 Inputs'!$B$8*'1 Inputs'!$B$9*'1 Inputs'!$B$10*'1 Inputs'!$B$11</f>
        <v>0</v>
      </c>
      <c r="DN51" s="19" t="n">
        <f aca="false">MAX(0,MIN($B51,$A51*'1 Inputs'!$B$6-48*$B51))*'1 Inputs'!$B$7*'1 Inputs'!$B$8*'1 Inputs'!$B$9*'1 Inputs'!$B$10*'1 Inputs'!$B$11</f>
        <v>0</v>
      </c>
      <c r="DO51" s="19" t="n">
        <f aca="false">MAX(0,MIN($B51,$A51*'1 Inputs'!$B$6-49*$B51))*'1 Inputs'!$B$7*'1 Inputs'!$B$8*'1 Inputs'!$B$9*'1 Inputs'!$B$10*'1 Inputs'!$B$11</f>
        <v>0</v>
      </c>
      <c r="DP51" s="19" t="n">
        <f aca="false">MAX(0,MIN($B51,$A51*'1 Inputs'!$B$6-50*$B51))*'1 Inputs'!$B$7*'1 Inputs'!$B$8*'1 Inputs'!$B$9*'1 Inputs'!$B$10*'1 Inputs'!$B$11</f>
        <v>0</v>
      </c>
      <c r="DQ51" s="19" t="n">
        <f aca="false">MAX(0,MIN($B51,$A51*'1 Inputs'!$B$6-51*$B51))*'1 Inputs'!$B$7*'1 Inputs'!$B$8*'1 Inputs'!$B$9*'1 Inputs'!$B$10*'1 Inputs'!$B$11</f>
        <v>0</v>
      </c>
      <c r="DR51" s="19" t="n">
        <f aca="false">MAX(0,MIN($B51,$A51*'1 Inputs'!$B$6-52*$B51))*'1 Inputs'!$B$7*'1 Inputs'!$B$8*'1 Inputs'!$B$9*'1 Inputs'!$B$10*'1 Inputs'!$B$11</f>
        <v>0</v>
      </c>
      <c r="DS51" s="19" t="n">
        <f aca="false">MAX(0,MIN($B51,$A51*'1 Inputs'!$B$6-53*$B51))*'1 Inputs'!$B$7*'1 Inputs'!$B$8*'1 Inputs'!$B$9*'1 Inputs'!$B$10*'1 Inputs'!$B$11</f>
        <v>0</v>
      </c>
      <c r="DT51" s="19" t="n">
        <f aca="false">MAX(0,MIN($B51,$A51*'1 Inputs'!$B$6-54*$B51))*'1 Inputs'!$B$7*'1 Inputs'!$B$8*'1 Inputs'!$B$9*'1 Inputs'!$B$10*'1 Inputs'!$B$11</f>
        <v>0</v>
      </c>
      <c r="DU51" s="19" t="n">
        <f aca="false">MAX(0,MIN($B51,$A51*'1 Inputs'!$B$6-55*$B51))*'1 Inputs'!$B$7*'1 Inputs'!$B$8*'1 Inputs'!$B$9*'1 Inputs'!$B$10*'1 Inputs'!$B$11</f>
        <v>0</v>
      </c>
      <c r="DV51" s="19" t="n">
        <f aca="false">MAX(0,MIN($B51,$A51*'1 Inputs'!$B$6-56*$B51))*'1 Inputs'!$B$7*'1 Inputs'!$B$8*'1 Inputs'!$B$9*'1 Inputs'!$B$10*'1 Inputs'!$B$11</f>
        <v>0</v>
      </c>
      <c r="DW51" s="19" t="n">
        <f aca="false">MAX(0,MIN($B51,$A51*'1 Inputs'!$B$6-57*$B51))*'1 Inputs'!$B$7*'1 Inputs'!$B$8*'1 Inputs'!$B$9*'1 Inputs'!$B$10*'1 Inputs'!$B$11</f>
        <v>0</v>
      </c>
      <c r="DX51" s="19" t="n">
        <f aca="false">MAX(0,MIN($B51,$A51*'1 Inputs'!$B$6-58*$B51))*'1 Inputs'!$B$7*'1 Inputs'!$B$8*'1 Inputs'!$B$9*'1 Inputs'!$B$10*'1 Inputs'!$B$11</f>
        <v>0</v>
      </c>
      <c r="DY51" s="19" t="n">
        <f aca="false">MAX(0,MIN($B51,$A51*'1 Inputs'!$B$6-59*$B51))*'1 Inputs'!$B$7*'1 Inputs'!$B$8*'1 Inputs'!$B$9*'1 Inputs'!$B$10*'1 Inputs'!$B$11</f>
        <v>0</v>
      </c>
    </row>
    <row r="52" customFormat="false" ht="15" hidden="false" customHeight="false" outlineLevel="0" collapsed="false">
      <c r="A52" s="0" t="n">
        <v>300</v>
      </c>
      <c r="B52" s="0" t="n">
        <v>8</v>
      </c>
      <c r="C52" s="12" t="n">
        <f aca="false">SUMIF(J52:BQ52,"&lt;="&amp;('1 Inputs'!$B$21+52),BR52:DY52)</f>
        <v>150000000</v>
      </c>
      <c r="J52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52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52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52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52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52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52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52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52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52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52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52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52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52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52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52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52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52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52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52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52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52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52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52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52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52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52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52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52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52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52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52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52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52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52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52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52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52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52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52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52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52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52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52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52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52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52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52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52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52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52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52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52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52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52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52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52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52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52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52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52" s="19" t="n">
        <f aca="false">MAX(0,MIN($B52,$A52*'1 Inputs'!$B$6-0*$B52))*'1 Inputs'!$B$7*'1 Inputs'!$B$8*'1 Inputs'!$B$9*'1 Inputs'!$B$10*'1 Inputs'!$B$11</f>
        <v>8333333.33333333</v>
      </c>
      <c r="BS52" s="19" t="n">
        <f aca="false">MAX(0,MIN($B52,$A52*'1 Inputs'!$B$6-1*$B52))*'1 Inputs'!$B$7*'1 Inputs'!$B$8*'1 Inputs'!$B$9*'1 Inputs'!$B$10*'1 Inputs'!$B$11</f>
        <v>8333333.33333333</v>
      </c>
      <c r="BT52" s="19" t="n">
        <f aca="false">MAX(0,MIN($B52,$A52*'1 Inputs'!$B$6-2*$B52))*'1 Inputs'!$B$7*'1 Inputs'!$B$8*'1 Inputs'!$B$9*'1 Inputs'!$B$10*'1 Inputs'!$B$11</f>
        <v>8333333.33333333</v>
      </c>
      <c r="BU52" s="19" t="n">
        <f aca="false">MAX(0,MIN($B52,$A52*'1 Inputs'!$B$6-3*$B52))*'1 Inputs'!$B$7*'1 Inputs'!$B$8*'1 Inputs'!$B$9*'1 Inputs'!$B$10*'1 Inputs'!$B$11</f>
        <v>8333333.33333333</v>
      </c>
      <c r="BV52" s="19" t="n">
        <f aca="false">MAX(0,MIN($B52,$A52*'1 Inputs'!$B$6-4*$B52))*'1 Inputs'!$B$7*'1 Inputs'!$B$8*'1 Inputs'!$B$9*'1 Inputs'!$B$10*'1 Inputs'!$B$11</f>
        <v>8333333.33333333</v>
      </c>
      <c r="BW52" s="19" t="n">
        <f aca="false">MAX(0,MIN($B52,$A52*'1 Inputs'!$B$6-5*$B52))*'1 Inputs'!$B$7*'1 Inputs'!$B$8*'1 Inputs'!$B$9*'1 Inputs'!$B$10*'1 Inputs'!$B$11</f>
        <v>8333333.33333333</v>
      </c>
      <c r="BX52" s="19" t="n">
        <f aca="false">MAX(0,MIN($B52,$A52*'1 Inputs'!$B$6-6*$B52))*'1 Inputs'!$B$7*'1 Inputs'!$B$8*'1 Inputs'!$B$9*'1 Inputs'!$B$10*'1 Inputs'!$B$11</f>
        <v>8333333.33333333</v>
      </c>
      <c r="BY52" s="19" t="n">
        <f aca="false">MAX(0,MIN($B52,$A52*'1 Inputs'!$B$6-7*$B52))*'1 Inputs'!$B$7*'1 Inputs'!$B$8*'1 Inputs'!$B$9*'1 Inputs'!$B$10*'1 Inputs'!$B$11</f>
        <v>8333333.33333333</v>
      </c>
      <c r="BZ52" s="19" t="n">
        <f aca="false">MAX(0,MIN($B52,$A52*'1 Inputs'!$B$6-8*$B52))*'1 Inputs'!$B$7*'1 Inputs'!$B$8*'1 Inputs'!$B$9*'1 Inputs'!$B$10*'1 Inputs'!$B$11</f>
        <v>8333333.33333333</v>
      </c>
      <c r="CA52" s="19" t="n">
        <f aca="false">MAX(0,MIN($B52,$A52*'1 Inputs'!$B$6-9*$B52))*'1 Inputs'!$B$7*'1 Inputs'!$B$8*'1 Inputs'!$B$9*'1 Inputs'!$B$10*'1 Inputs'!$B$11</f>
        <v>8333333.33333333</v>
      </c>
      <c r="CB52" s="19" t="n">
        <f aca="false">MAX(0,MIN($B52,$A52*'1 Inputs'!$B$6-10*$B52))*'1 Inputs'!$B$7*'1 Inputs'!$B$8*'1 Inputs'!$B$9*'1 Inputs'!$B$10*'1 Inputs'!$B$11</f>
        <v>8333333.33333333</v>
      </c>
      <c r="CC52" s="19" t="n">
        <f aca="false">MAX(0,MIN($B52,$A52*'1 Inputs'!$B$6-11*$B52))*'1 Inputs'!$B$7*'1 Inputs'!$B$8*'1 Inputs'!$B$9*'1 Inputs'!$B$10*'1 Inputs'!$B$11</f>
        <v>8333333.33333333</v>
      </c>
      <c r="CD52" s="19" t="n">
        <f aca="false">MAX(0,MIN($B52,$A52*'1 Inputs'!$B$6-12*$B52))*'1 Inputs'!$B$7*'1 Inputs'!$B$8*'1 Inputs'!$B$9*'1 Inputs'!$B$10*'1 Inputs'!$B$11</f>
        <v>8333333.33333333</v>
      </c>
      <c r="CE52" s="19" t="n">
        <f aca="false">MAX(0,MIN($B52,$A52*'1 Inputs'!$B$6-13*$B52))*'1 Inputs'!$B$7*'1 Inputs'!$B$8*'1 Inputs'!$B$9*'1 Inputs'!$B$10*'1 Inputs'!$B$11</f>
        <v>8333333.33333333</v>
      </c>
      <c r="CF52" s="19" t="n">
        <f aca="false">MAX(0,MIN($B52,$A52*'1 Inputs'!$B$6-14*$B52))*'1 Inputs'!$B$7*'1 Inputs'!$B$8*'1 Inputs'!$B$9*'1 Inputs'!$B$10*'1 Inputs'!$B$11</f>
        <v>8333333.33333333</v>
      </c>
      <c r="CG52" s="19" t="n">
        <f aca="false">MAX(0,MIN($B52,$A52*'1 Inputs'!$B$6-15*$B52))*'1 Inputs'!$B$7*'1 Inputs'!$B$8*'1 Inputs'!$B$9*'1 Inputs'!$B$10*'1 Inputs'!$B$11</f>
        <v>8333333.33333333</v>
      </c>
      <c r="CH52" s="19" t="n">
        <f aca="false">MAX(0,MIN($B52,$A52*'1 Inputs'!$B$6-16*$B52))*'1 Inputs'!$B$7*'1 Inputs'!$B$8*'1 Inputs'!$B$9*'1 Inputs'!$B$10*'1 Inputs'!$B$11</f>
        <v>8333333.33333333</v>
      </c>
      <c r="CI52" s="19" t="n">
        <f aca="false">MAX(0,MIN($B52,$A52*'1 Inputs'!$B$6-17*$B52))*'1 Inputs'!$B$7*'1 Inputs'!$B$8*'1 Inputs'!$B$9*'1 Inputs'!$B$10*'1 Inputs'!$B$11</f>
        <v>8333333.33333333</v>
      </c>
      <c r="CJ52" s="19" t="n">
        <f aca="false">MAX(0,MIN($B52,$A52*'1 Inputs'!$B$6-18*$B52))*'1 Inputs'!$B$7*'1 Inputs'!$B$8*'1 Inputs'!$B$9*'1 Inputs'!$B$10*'1 Inputs'!$B$11</f>
        <v>6250000</v>
      </c>
      <c r="CK52" s="19" t="n">
        <f aca="false">MAX(0,MIN($B52,$A52*'1 Inputs'!$B$6-19*$B52))*'1 Inputs'!$B$7*'1 Inputs'!$B$8*'1 Inputs'!$B$9*'1 Inputs'!$B$10*'1 Inputs'!$B$11</f>
        <v>0</v>
      </c>
      <c r="CL52" s="19" t="n">
        <f aca="false">MAX(0,MIN($B52,$A52*'1 Inputs'!$B$6-20*$B52))*'1 Inputs'!$B$7*'1 Inputs'!$B$8*'1 Inputs'!$B$9*'1 Inputs'!$B$10*'1 Inputs'!$B$11</f>
        <v>0</v>
      </c>
      <c r="CM52" s="19" t="n">
        <f aca="false">MAX(0,MIN($B52,$A52*'1 Inputs'!$B$6-21*$B52))*'1 Inputs'!$B$7*'1 Inputs'!$B$8*'1 Inputs'!$B$9*'1 Inputs'!$B$10*'1 Inputs'!$B$11</f>
        <v>0</v>
      </c>
      <c r="CN52" s="19" t="n">
        <f aca="false">MAX(0,MIN($B52,$A52*'1 Inputs'!$B$6-22*$B52))*'1 Inputs'!$B$7*'1 Inputs'!$B$8*'1 Inputs'!$B$9*'1 Inputs'!$B$10*'1 Inputs'!$B$11</f>
        <v>0</v>
      </c>
      <c r="CO52" s="19" t="n">
        <f aca="false">MAX(0,MIN($B52,$A52*'1 Inputs'!$B$6-23*$B52))*'1 Inputs'!$B$7*'1 Inputs'!$B$8*'1 Inputs'!$B$9*'1 Inputs'!$B$10*'1 Inputs'!$B$11</f>
        <v>0</v>
      </c>
      <c r="CP52" s="19" t="n">
        <f aca="false">MAX(0,MIN($B52,$A52*'1 Inputs'!$B$6-24*$B52))*'1 Inputs'!$B$7*'1 Inputs'!$B$8*'1 Inputs'!$B$9*'1 Inputs'!$B$10*'1 Inputs'!$B$11</f>
        <v>0</v>
      </c>
      <c r="CQ52" s="19" t="n">
        <f aca="false">MAX(0,MIN($B52,$A52*'1 Inputs'!$B$6-25*$B52))*'1 Inputs'!$B$7*'1 Inputs'!$B$8*'1 Inputs'!$B$9*'1 Inputs'!$B$10*'1 Inputs'!$B$11</f>
        <v>0</v>
      </c>
      <c r="CR52" s="19" t="n">
        <f aca="false">MAX(0,MIN($B52,$A52*'1 Inputs'!$B$6-26*$B52))*'1 Inputs'!$B$7*'1 Inputs'!$B$8*'1 Inputs'!$B$9*'1 Inputs'!$B$10*'1 Inputs'!$B$11</f>
        <v>0</v>
      </c>
      <c r="CS52" s="19" t="n">
        <f aca="false">MAX(0,MIN($B52,$A52*'1 Inputs'!$B$6-27*$B52))*'1 Inputs'!$B$7*'1 Inputs'!$B$8*'1 Inputs'!$B$9*'1 Inputs'!$B$10*'1 Inputs'!$B$11</f>
        <v>0</v>
      </c>
      <c r="CT52" s="19" t="n">
        <f aca="false">MAX(0,MIN($B52,$A52*'1 Inputs'!$B$6-28*$B52))*'1 Inputs'!$B$7*'1 Inputs'!$B$8*'1 Inputs'!$B$9*'1 Inputs'!$B$10*'1 Inputs'!$B$11</f>
        <v>0</v>
      </c>
      <c r="CU52" s="19" t="n">
        <f aca="false">MAX(0,MIN($B52,$A52*'1 Inputs'!$B$6-29*$B52))*'1 Inputs'!$B$7*'1 Inputs'!$B$8*'1 Inputs'!$B$9*'1 Inputs'!$B$10*'1 Inputs'!$B$11</f>
        <v>0</v>
      </c>
      <c r="CV52" s="19" t="n">
        <f aca="false">MAX(0,MIN($B52,$A52*'1 Inputs'!$B$6-30*$B52))*'1 Inputs'!$B$7*'1 Inputs'!$B$8*'1 Inputs'!$B$9*'1 Inputs'!$B$10*'1 Inputs'!$B$11</f>
        <v>0</v>
      </c>
      <c r="CW52" s="19" t="n">
        <f aca="false">MAX(0,MIN($B52,$A52*'1 Inputs'!$B$6-31*$B52))*'1 Inputs'!$B$7*'1 Inputs'!$B$8*'1 Inputs'!$B$9*'1 Inputs'!$B$10*'1 Inputs'!$B$11</f>
        <v>0</v>
      </c>
      <c r="CX52" s="19" t="n">
        <f aca="false">MAX(0,MIN($B52,$A52*'1 Inputs'!$B$6-32*$B52))*'1 Inputs'!$B$7*'1 Inputs'!$B$8*'1 Inputs'!$B$9*'1 Inputs'!$B$10*'1 Inputs'!$B$11</f>
        <v>0</v>
      </c>
      <c r="CY52" s="19" t="n">
        <f aca="false">MAX(0,MIN($B52,$A52*'1 Inputs'!$B$6-33*$B52))*'1 Inputs'!$B$7*'1 Inputs'!$B$8*'1 Inputs'!$B$9*'1 Inputs'!$B$10*'1 Inputs'!$B$11</f>
        <v>0</v>
      </c>
      <c r="CZ52" s="19" t="n">
        <f aca="false">MAX(0,MIN($B52,$A52*'1 Inputs'!$B$6-34*$B52))*'1 Inputs'!$B$7*'1 Inputs'!$B$8*'1 Inputs'!$B$9*'1 Inputs'!$B$10*'1 Inputs'!$B$11</f>
        <v>0</v>
      </c>
      <c r="DA52" s="19" t="n">
        <f aca="false">MAX(0,MIN($B52,$A52*'1 Inputs'!$B$6-35*$B52))*'1 Inputs'!$B$7*'1 Inputs'!$B$8*'1 Inputs'!$B$9*'1 Inputs'!$B$10*'1 Inputs'!$B$11</f>
        <v>0</v>
      </c>
      <c r="DB52" s="19" t="n">
        <f aca="false">MAX(0,MIN($B52,$A52*'1 Inputs'!$B$6-36*$B52))*'1 Inputs'!$B$7*'1 Inputs'!$B$8*'1 Inputs'!$B$9*'1 Inputs'!$B$10*'1 Inputs'!$B$11</f>
        <v>0</v>
      </c>
      <c r="DC52" s="19" t="n">
        <f aca="false">MAX(0,MIN($B52,$A52*'1 Inputs'!$B$6-37*$B52))*'1 Inputs'!$B$7*'1 Inputs'!$B$8*'1 Inputs'!$B$9*'1 Inputs'!$B$10*'1 Inputs'!$B$11</f>
        <v>0</v>
      </c>
      <c r="DD52" s="19" t="n">
        <f aca="false">MAX(0,MIN($B52,$A52*'1 Inputs'!$B$6-38*$B52))*'1 Inputs'!$B$7*'1 Inputs'!$B$8*'1 Inputs'!$B$9*'1 Inputs'!$B$10*'1 Inputs'!$B$11</f>
        <v>0</v>
      </c>
      <c r="DE52" s="19" t="n">
        <f aca="false">MAX(0,MIN($B52,$A52*'1 Inputs'!$B$6-39*$B52))*'1 Inputs'!$B$7*'1 Inputs'!$B$8*'1 Inputs'!$B$9*'1 Inputs'!$B$10*'1 Inputs'!$B$11</f>
        <v>0</v>
      </c>
      <c r="DF52" s="19" t="n">
        <f aca="false">MAX(0,MIN($B52,$A52*'1 Inputs'!$B$6-40*$B52))*'1 Inputs'!$B$7*'1 Inputs'!$B$8*'1 Inputs'!$B$9*'1 Inputs'!$B$10*'1 Inputs'!$B$11</f>
        <v>0</v>
      </c>
      <c r="DG52" s="19" t="n">
        <f aca="false">MAX(0,MIN($B52,$A52*'1 Inputs'!$B$6-41*$B52))*'1 Inputs'!$B$7*'1 Inputs'!$B$8*'1 Inputs'!$B$9*'1 Inputs'!$B$10*'1 Inputs'!$B$11</f>
        <v>0</v>
      </c>
      <c r="DH52" s="19" t="n">
        <f aca="false">MAX(0,MIN($B52,$A52*'1 Inputs'!$B$6-42*$B52))*'1 Inputs'!$B$7*'1 Inputs'!$B$8*'1 Inputs'!$B$9*'1 Inputs'!$B$10*'1 Inputs'!$B$11</f>
        <v>0</v>
      </c>
      <c r="DI52" s="19" t="n">
        <f aca="false">MAX(0,MIN($B52,$A52*'1 Inputs'!$B$6-43*$B52))*'1 Inputs'!$B$7*'1 Inputs'!$B$8*'1 Inputs'!$B$9*'1 Inputs'!$B$10*'1 Inputs'!$B$11</f>
        <v>0</v>
      </c>
      <c r="DJ52" s="19" t="n">
        <f aca="false">MAX(0,MIN($B52,$A52*'1 Inputs'!$B$6-44*$B52))*'1 Inputs'!$B$7*'1 Inputs'!$B$8*'1 Inputs'!$B$9*'1 Inputs'!$B$10*'1 Inputs'!$B$11</f>
        <v>0</v>
      </c>
      <c r="DK52" s="19" t="n">
        <f aca="false">MAX(0,MIN($B52,$A52*'1 Inputs'!$B$6-45*$B52))*'1 Inputs'!$B$7*'1 Inputs'!$B$8*'1 Inputs'!$B$9*'1 Inputs'!$B$10*'1 Inputs'!$B$11</f>
        <v>0</v>
      </c>
      <c r="DL52" s="19" t="n">
        <f aca="false">MAX(0,MIN($B52,$A52*'1 Inputs'!$B$6-46*$B52))*'1 Inputs'!$B$7*'1 Inputs'!$B$8*'1 Inputs'!$B$9*'1 Inputs'!$B$10*'1 Inputs'!$B$11</f>
        <v>0</v>
      </c>
      <c r="DM52" s="19" t="n">
        <f aca="false">MAX(0,MIN($B52,$A52*'1 Inputs'!$B$6-47*$B52))*'1 Inputs'!$B$7*'1 Inputs'!$B$8*'1 Inputs'!$B$9*'1 Inputs'!$B$10*'1 Inputs'!$B$11</f>
        <v>0</v>
      </c>
      <c r="DN52" s="19" t="n">
        <f aca="false">MAX(0,MIN($B52,$A52*'1 Inputs'!$B$6-48*$B52))*'1 Inputs'!$B$7*'1 Inputs'!$B$8*'1 Inputs'!$B$9*'1 Inputs'!$B$10*'1 Inputs'!$B$11</f>
        <v>0</v>
      </c>
      <c r="DO52" s="19" t="n">
        <f aca="false">MAX(0,MIN($B52,$A52*'1 Inputs'!$B$6-49*$B52))*'1 Inputs'!$B$7*'1 Inputs'!$B$8*'1 Inputs'!$B$9*'1 Inputs'!$B$10*'1 Inputs'!$B$11</f>
        <v>0</v>
      </c>
      <c r="DP52" s="19" t="n">
        <f aca="false">MAX(0,MIN($B52,$A52*'1 Inputs'!$B$6-50*$B52))*'1 Inputs'!$B$7*'1 Inputs'!$B$8*'1 Inputs'!$B$9*'1 Inputs'!$B$10*'1 Inputs'!$B$11</f>
        <v>0</v>
      </c>
      <c r="DQ52" s="19" t="n">
        <f aca="false">MAX(0,MIN($B52,$A52*'1 Inputs'!$B$6-51*$B52))*'1 Inputs'!$B$7*'1 Inputs'!$B$8*'1 Inputs'!$B$9*'1 Inputs'!$B$10*'1 Inputs'!$B$11</f>
        <v>0</v>
      </c>
      <c r="DR52" s="19" t="n">
        <f aca="false">MAX(0,MIN($B52,$A52*'1 Inputs'!$B$6-52*$B52))*'1 Inputs'!$B$7*'1 Inputs'!$B$8*'1 Inputs'!$B$9*'1 Inputs'!$B$10*'1 Inputs'!$B$11</f>
        <v>0</v>
      </c>
      <c r="DS52" s="19" t="n">
        <f aca="false">MAX(0,MIN($B52,$A52*'1 Inputs'!$B$6-53*$B52))*'1 Inputs'!$B$7*'1 Inputs'!$B$8*'1 Inputs'!$B$9*'1 Inputs'!$B$10*'1 Inputs'!$B$11</f>
        <v>0</v>
      </c>
      <c r="DT52" s="19" t="n">
        <f aca="false">MAX(0,MIN($B52,$A52*'1 Inputs'!$B$6-54*$B52))*'1 Inputs'!$B$7*'1 Inputs'!$B$8*'1 Inputs'!$B$9*'1 Inputs'!$B$10*'1 Inputs'!$B$11</f>
        <v>0</v>
      </c>
      <c r="DU52" s="19" t="n">
        <f aca="false">MAX(0,MIN($B52,$A52*'1 Inputs'!$B$6-55*$B52))*'1 Inputs'!$B$7*'1 Inputs'!$B$8*'1 Inputs'!$B$9*'1 Inputs'!$B$10*'1 Inputs'!$B$11</f>
        <v>0</v>
      </c>
      <c r="DV52" s="19" t="n">
        <f aca="false">MAX(0,MIN($B52,$A52*'1 Inputs'!$B$6-56*$B52))*'1 Inputs'!$B$7*'1 Inputs'!$B$8*'1 Inputs'!$B$9*'1 Inputs'!$B$10*'1 Inputs'!$B$11</f>
        <v>0</v>
      </c>
      <c r="DW52" s="19" t="n">
        <f aca="false">MAX(0,MIN($B52,$A52*'1 Inputs'!$B$6-57*$B52))*'1 Inputs'!$B$7*'1 Inputs'!$B$8*'1 Inputs'!$B$9*'1 Inputs'!$B$10*'1 Inputs'!$B$11</f>
        <v>0</v>
      </c>
      <c r="DX52" s="19" t="n">
        <f aca="false">MAX(0,MIN($B52,$A52*'1 Inputs'!$B$6-58*$B52))*'1 Inputs'!$B$7*'1 Inputs'!$B$8*'1 Inputs'!$B$9*'1 Inputs'!$B$10*'1 Inputs'!$B$11</f>
        <v>0</v>
      </c>
      <c r="DY52" s="19" t="n">
        <f aca="false">MAX(0,MIN($B52,$A52*'1 Inputs'!$B$6-59*$B52))*'1 Inputs'!$B$7*'1 Inputs'!$B$8*'1 Inputs'!$B$9*'1 Inputs'!$B$10*'1 Inputs'!$B$11</f>
        <v>0</v>
      </c>
    </row>
    <row r="53" customFormat="false" ht="15" hidden="false" customHeight="false" outlineLevel="0" collapsed="false">
      <c r="A53" s="0" t="n">
        <v>300</v>
      </c>
      <c r="B53" s="0" t="n">
        <v>10</v>
      </c>
      <c r="C53" s="12" t="n">
        <f aca="false">SUMIF(J53:BQ53,"&lt;="&amp;('1 Inputs'!$B$21+52),BR53:DY53)</f>
        <v>156250000</v>
      </c>
      <c r="J53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53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53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53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53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53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53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53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53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53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53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53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53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53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53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53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53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53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53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53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53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53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53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53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53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53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53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53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53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53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53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53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53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53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53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53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53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53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53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53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53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53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53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53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53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53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53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53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53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53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53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53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53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53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53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53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53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53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53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53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53" s="19" t="n">
        <f aca="false">MAX(0,MIN($B53,$A53*'1 Inputs'!$B$6-0*$B53))*'1 Inputs'!$B$7*'1 Inputs'!$B$8*'1 Inputs'!$B$9*'1 Inputs'!$B$10*'1 Inputs'!$B$11</f>
        <v>10416666.6666667</v>
      </c>
      <c r="BS53" s="19" t="n">
        <f aca="false">MAX(0,MIN($B53,$A53*'1 Inputs'!$B$6-1*$B53))*'1 Inputs'!$B$7*'1 Inputs'!$B$8*'1 Inputs'!$B$9*'1 Inputs'!$B$10*'1 Inputs'!$B$11</f>
        <v>10416666.6666667</v>
      </c>
      <c r="BT53" s="19" t="n">
        <f aca="false">MAX(0,MIN($B53,$A53*'1 Inputs'!$B$6-2*$B53))*'1 Inputs'!$B$7*'1 Inputs'!$B$8*'1 Inputs'!$B$9*'1 Inputs'!$B$10*'1 Inputs'!$B$11</f>
        <v>10416666.6666667</v>
      </c>
      <c r="BU53" s="19" t="n">
        <f aca="false">MAX(0,MIN($B53,$A53*'1 Inputs'!$B$6-3*$B53))*'1 Inputs'!$B$7*'1 Inputs'!$B$8*'1 Inputs'!$B$9*'1 Inputs'!$B$10*'1 Inputs'!$B$11</f>
        <v>10416666.6666667</v>
      </c>
      <c r="BV53" s="19" t="n">
        <f aca="false">MAX(0,MIN($B53,$A53*'1 Inputs'!$B$6-4*$B53))*'1 Inputs'!$B$7*'1 Inputs'!$B$8*'1 Inputs'!$B$9*'1 Inputs'!$B$10*'1 Inputs'!$B$11</f>
        <v>10416666.6666667</v>
      </c>
      <c r="BW53" s="19" t="n">
        <f aca="false">MAX(0,MIN($B53,$A53*'1 Inputs'!$B$6-5*$B53))*'1 Inputs'!$B$7*'1 Inputs'!$B$8*'1 Inputs'!$B$9*'1 Inputs'!$B$10*'1 Inputs'!$B$11</f>
        <v>10416666.6666667</v>
      </c>
      <c r="BX53" s="19" t="n">
        <f aca="false">MAX(0,MIN($B53,$A53*'1 Inputs'!$B$6-6*$B53))*'1 Inputs'!$B$7*'1 Inputs'!$B$8*'1 Inputs'!$B$9*'1 Inputs'!$B$10*'1 Inputs'!$B$11</f>
        <v>10416666.6666667</v>
      </c>
      <c r="BY53" s="19" t="n">
        <f aca="false">MAX(0,MIN($B53,$A53*'1 Inputs'!$B$6-7*$B53))*'1 Inputs'!$B$7*'1 Inputs'!$B$8*'1 Inputs'!$B$9*'1 Inputs'!$B$10*'1 Inputs'!$B$11</f>
        <v>10416666.6666667</v>
      </c>
      <c r="BZ53" s="19" t="n">
        <f aca="false">MAX(0,MIN($B53,$A53*'1 Inputs'!$B$6-8*$B53))*'1 Inputs'!$B$7*'1 Inputs'!$B$8*'1 Inputs'!$B$9*'1 Inputs'!$B$10*'1 Inputs'!$B$11</f>
        <v>10416666.6666667</v>
      </c>
      <c r="CA53" s="19" t="n">
        <f aca="false">MAX(0,MIN($B53,$A53*'1 Inputs'!$B$6-9*$B53))*'1 Inputs'!$B$7*'1 Inputs'!$B$8*'1 Inputs'!$B$9*'1 Inputs'!$B$10*'1 Inputs'!$B$11</f>
        <v>10416666.6666667</v>
      </c>
      <c r="CB53" s="19" t="n">
        <f aca="false">MAX(0,MIN($B53,$A53*'1 Inputs'!$B$6-10*$B53))*'1 Inputs'!$B$7*'1 Inputs'!$B$8*'1 Inputs'!$B$9*'1 Inputs'!$B$10*'1 Inputs'!$B$11</f>
        <v>10416666.6666667</v>
      </c>
      <c r="CC53" s="19" t="n">
        <f aca="false">MAX(0,MIN($B53,$A53*'1 Inputs'!$B$6-11*$B53))*'1 Inputs'!$B$7*'1 Inputs'!$B$8*'1 Inputs'!$B$9*'1 Inputs'!$B$10*'1 Inputs'!$B$11</f>
        <v>10416666.6666667</v>
      </c>
      <c r="CD53" s="19" t="n">
        <f aca="false">MAX(0,MIN($B53,$A53*'1 Inputs'!$B$6-12*$B53))*'1 Inputs'!$B$7*'1 Inputs'!$B$8*'1 Inputs'!$B$9*'1 Inputs'!$B$10*'1 Inputs'!$B$11</f>
        <v>10416666.6666667</v>
      </c>
      <c r="CE53" s="19" t="n">
        <f aca="false">MAX(0,MIN($B53,$A53*'1 Inputs'!$B$6-13*$B53))*'1 Inputs'!$B$7*'1 Inputs'!$B$8*'1 Inputs'!$B$9*'1 Inputs'!$B$10*'1 Inputs'!$B$11</f>
        <v>10416666.6666667</v>
      </c>
      <c r="CF53" s="19" t="n">
        <f aca="false">MAX(0,MIN($B53,$A53*'1 Inputs'!$B$6-14*$B53))*'1 Inputs'!$B$7*'1 Inputs'!$B$8*'1 Inputs'!$B$9*'1 Inputs'!$B$10*'1 Inputs'!$B$11</f>
        <v>10416666.6666667</v>
      </c>
      <c r="CG53" s="19" t="n">
        <f aca="false">MAX(0,MIN($B53,$A53*'1 Inputs'!$B$6-15*$B53))*'1 Inputs'!$B$7*'1 Inputs'!$B$8*'1 Inputs'!$B$9*'1 Inputs'!$B$10*'1 Inputs'!$B$11</f>
        <v>0</v>
      </c>
      <c r="CH53" s="19" t="n">
        <f aca="false">MAX(0,MIN($B53,$A53*'1 Inputs'!$B$6-16*$B53))*'1 Inputs'!$B$7*'1 Inputs'!$B$8*'1 Inputs'!$B$9*'1 Inputs'!$B$10*'1 Inputs'!$B$11</f>
        <v>0</v>
      </c>
      <c r="CI53" s="19" t="n">
        <f aca="false">MAX(0,MIN($B53,$A53*'1 Inputs'!$B$6-17*$B53))*'1 Inputs'!$B$7*'1 Inputs'!$B$8*'1 Inputs'!$B$9*'1 Inputs'!$B$10*'1 Inputs'!$B$11</f>
        <v>0</v>
      </c>
      <c r="CJ53" s="19" t="n">
        <f aca="false">MAX(0,MIN($B53,$A53*'1 Inputs'!$B$6-18*$B53))*'1 Inputs'!$B$7*'1 Inputs'!$B$8*'1 Inputs'!$B$9*'1 Inputs'!$B$10*'1 Inputs'!$B$11</f>
        <v>0</v>
      </c>
      <c r="CK53" s="19" t="n">
        <f aca="false">MAX(0,MIN($B53,$A53*'1 Inputs'!$B$6-19*$B53))*'1 Inputs'!$B$7*'1 Inputs'!$B$8*'1 Inputs'!$B$9*'1 Inputs'!$B$10*'1 Inputs'!$B$11</f>
        <v>0</v>
      </c>
      <c r="CL53" s="19" t="n">
        <f aca="false">MAX(0,MIN($B53,$A53*'1 Inputs'!$B$6-20*$B53))*'1 Inputs'!$B$7*'1 Inputs'!$B$8*'1 Inputs'!$B$9*'1 Inputs'!$B$10*'1 Inputs'!$B$11</f>
        <v>0</v>
      </c>
      <c r="CM53" s="19" t="n">
        <f aca="false">MAX(0,MIN($B53,$A53*'1 Inputs'!$B$6-21*$B53))*'1 Inputs'!$B$7*'1 Inputs'!$B$8*'1 Inputs'!$B$9*'1 Inputs'!$B$10*'1 Inputs'!$B$11</f>
        <v>0</v>
      </c>
      <c r="CN53" s="19" t="n">
        <f aca="false">MAX(0,MIN($B53,$A53*'1 Inputs'!$B$6-22*$B53))*'1 Inputs'!$B$7*'1 Inputs'!$B$8*'1 Inputs'!$B$9*'1 Inputs'!$B$10*'1 Inputs'!$B$11</f>
        <v>0</v>
      </c>
      <c r="CO53" s="19" t="n">
        <f aca="false">MAX(0,MIN($B53,$A53*'1 Inputs'!$B$6-23*$B53))*'1 Inputs'!$B$7*'1 Inputs'!$B$8*'1 Inputs'!$B$9*'1 Inputs'!$B$10*'1 Inputs'!$B$11</f>
        <v>0</v>
      </c>
      <c r="CP53" s="19" t="n">
        <f aca="false">MAX(0,MIN($B53,$A53*'1 Inputs'!$B$6-24*$B53))*'1 Inputs'!$B$7*'1 Inputs'!$B$8*'1 Inputs'!$B$9*'1 Inputs'!$B$10*'1 Inputs'!$B$11</f>
        <v>0</v>
      </c>
      <c r="CQ53" s="19" t="n">
        <f aca="false">MAX(0,MIN($B53,$A53*'1 Inputs'!$B$6-25*$B53))*'1 Inputs'!$B$7*'1 Inputs'!$B$8*'1 Inputs'!$B$9*'1 Inputs'!$B$10*'1 Inputs'!$B$11</f>
        <v>0</v>
      </c>
      <c r="CR53" s="19" t="n">
        <f aca="false">MAX(0,MIN($B53,$A53*'1 Inputs'!$B$6-26*$B53))*'1 Inputs'!$B$7*'1 Inputs'!$B$8*'1 Inputs'!$B$9*'1 Inputs'!$B$10*'1 Inputs'!$B$11</f>
        <v>0</v>
      </c>
      <c r="CS53" s="19" t="n">
        <f aca="false">MAX(0,MIN($B53,$A53*'1 Inputs'!$B$6-27*$B53))*'1 Inputs'!$B$7*'1 Inputs'!$B$8*'1 Inputs'!$B$9*'1 Inputs'!$B$10*'1 Inputs'!$B$11</f>
        <v>0</v>
      </c>
      <c r="CT53" s="19" t="n">
        <f aca="false">MAX(0,MIN($B53,$A53*'1 Inputs'!$B$6-28*$B53))*'1 Inputs'!$B$7*'1 Inputs'!$B$8*'1 Inputs'!$B$9*'1 Inputs'!$B$10*'1 Inputs'!$B$11</f>
        <v>0</v>
      </c>
      <c r="CU53" s="19" t="n">
        <f aca="false">MAX(0,MIN($B53,$A53*'1 Inputs'!$B$6-29*$B53))*'1 Inputs'!$B$7*'1 Inputs'!$B$8*'1 Inputs'!$B$9*'1 Inputs'!$B$10*'1 Inputs'!$B$11</f>
        <v>0</v>
      </c>
      <c r="CV53" s="19" t="n">
        <f aca="false">MAX(0,MIN($B53,$A53*'1 Inputs'!$B$6-30*$B53))*'1 Inputs'!$B$7*'1 Inputs'!$B$8*'1 Inputs'!$B$9*'1 Inputs'!$B$10*'1 Inputs'!$B$11</f>
        <v>0</v>
      </c>
      <c r="CW53" s="19" t="n">
        <f aca="false">MAX(0,MIN($B53,$A53*'1 Inputs'!$B$6-31*$B53))*'1 Inputs'!$B$7*'1 Inputs'!$B$8*'1 Inputs'!$B$9*'1 Inputs'!$B$10*'1 Inputs'!$B$11</f>
        <v>0</v>
      </c>
      <c r="CX53" s="19" t="n">
        <f aca="false">MAX(0,MIN($B53,$A53*'1 Inputs'!$B$6-32*$B53))*'1 Inputs'!$B$7*'1 Inputs'!$B$8*'1 Inputs'!$B$9*'1 Inputs'!$B$10*'1 Inputs'!$B$11</f>
        <v>0</v>
      </c>
      <c r="CY53" s="19" t="n">
        <f aca="false">MAX(0,MIN($B53,$A53*'1 Inputs'!$B$6-33*$B53))*'1 Inputs'!$B$7*'1 Inputs'!$B$8*'1 Inputs'!$B$9*'1 Inputs'!$B$10*'1 Inputs'!$B$11</f>
        <v>0</v>
      </c>
      <c r="CZ53" s="19" t="n">
        <f aca="false">MAX(0,MIN($B53,$A53*'1 Inputs'!$B$6-34*$B53))*'1 Inputs'!$B$7*'1 Inputs'!$B$8*'1 Inputs'!$B$9*'1 Inputs'!$B$10*'1 Inputs'!$B$11</f>
        <v>0</v>
      </c>
      <c r="DA53" s="19" t="n">
        <f aca="false">MAX(0,MIN($B53,$A53*'1 Inputs'!$B$6-35*$B53))*'1 Inputs'!$B$7*'1 Inputs'!$B$8*'1 Inputs'!$B$9*'1 Inputs'!$B$10*'1 Inputs'!$B$11</f>
        <v>0</v>
      </c>
      <c r="DB53" s="19" t="n">
        <f aca="false">MAX(0,MIN($B53,$A53*'1 Inputs'!$B$6-36*$B53))*'1 Inputs'!$B$7*'1 Inputs'!$B$8*'1 Inputs'!$B$9*'1 Inputs'!$B$10*'1 Inputs'!$B$11</f>
        <v>0</v>
      </c>
      <c r="DC53" s="19" t="n">
        <f aca="false">MAX(0,MIN($B53,$A53*'1 Inputs'!$B$6-37*$B53))*'1 Inputs'!$B$7*'1 Inputs'!$B$8*'1 Inputs'!$B$9*'1 Inputs'!$B$10*'1 Inputs'!$B$11</f>
        <v>0</v>
      </c>
      <c r="DD53" s="19" t="n">
        <f aca="false">MAX(0,MIN($B53,$A53*'1 Inputs'!$B$6-38*$B53))*'1 Inputs'!$B$7*'1 Inputs'!$B$8*'1 Inputs'!$B$9*'1 Inputs'!$B$10*'1 Inputs'!$B$11</f>
        <v>0</v>
      </c>
      <c r="DE53" s="19" t="n">
        <f aca="false">MAX(0,MIN($B53,$A53*'1 Inputs'!$B$6-39*$B53))*'1 Inputs'!$B$7*'1 Inputs'!$B$8*'1 Inputs'!$B$9*'1 Inputs'!$B$10*'1 Inputs'!$B$11</f>
        <v>0</v>
      </c>
      <c r="DF53" s="19" t="n">
        <f aca="false">MAX(0,MIN($B53,$A53*'1 Inputs'!$B$6-40*$B53))*'1 Inputs'!$B$7*'1 Inputs'!$B$8*'1 Inputs'!$B$9*'1 Inputs'!$B$10*'1 Inputs'!$B$11</f>
        <v>0</v>
      </c>
      <c r="DG53" s="19" t="n">
        <f aca="false">MAX(0,MIN($B53,$A53*'1 Inputs'!$B$6-41*$B53))*'1 Inputs'!$B$7*'1 Inputs'!$B$8*'1 Inputs'!$B$9*'1 Inputs'!$B$10*'1 Inputs'!$B$11</f>
        <v>0</v>
      </c>
      <c r="DH53" s="19" t="n">
        <f aca="false">MAX(0,MIN($B53,$A53*'1 Inputs'!$B$6-42*$B53))*'1 Inputs'!$B$7*'1 Inputs'!$B$8*'1 Inputs'!$B$9*'1 Inputs'!$B$10*'1 Inputs'!$B$11</f>
        <v>0</v>
      </c>
      <c r="DI53" s="19" t="n">
        <f aca="false">MAX(0,MIN($B53,$A53*'1 Inputs'!$B$6-43*$B53))*'1 Inputs'!$B$7*'1 Inputs'!$B$8*'1 Inputs'!$B$9*'1 Inputs'!$B$10*'1 Inputs'!$B$11</f>
        <v>0</v>
      </c>
      <c r="DJ53" s="19" t="n">
        <f aca="false">MAX(0,MIN($B53,$A53*'1 Inputs'!$B$6-44*$B53))*'1 Inputs'!$B$7*'1 Inputs'!$B$8*'1 Inputs'!$B$9*'1 Inputs'!$B$10*'1 Inputs'!$B$11</f>
        <v>0</v>
      </c>
      <c r="DK53" s="19" t="n">
        <f aca="false">MAX(0,MIN($B53,$A53*'1 Inputs'!$B$6-45*$B53))*'1 Inputs'!$B$7*'1 Inputs'!$B$8*'1 Inputs'!$B$9*'1 Inputs'!$B$10*'1 Inputs'!$B$11</f>
        <v>0</v>
      </c>
      <c r="DL53" s="19" t="n">
        <f aca="false">MAX(0,MIN($B53,$A53*'1 Inputs'!$B$6-46*$B53))*'1 Inputs'!$B$7*'1 Inputs'!$B$8*'1 Inputs'!$B$9*'1 Inputs'!$B$10*'1 Inputs'!$B$11</f>
        <v>0</v>
      </c>
      <c r="DM53" s="19" t="n">
        <f aca="false">MAX(0,MIN($B53,$A53*'1 Inputs'!$B$6-47*$B53))*'1 Inputs'!$B$7*'1 Inputs'!$B$8*'1 Inputs'!$B$9*'1 Inputs'!$B$10*'1 Inputs'!$B$11</f>
        <v>0</v>
      </c>
      <c r="DN53" s="19" t="n">
        <f aca="false">MAX(0,MIN($B53,$A53*'1 Inputs'!$B$6-48*$B53))*'1 Inputs'!$B$7*'1 Inputs'!$B$8*'1 Inputs'!$B$9*'1 Inputs'!$B$10*'1 Inputs'!$B$11</f>
        <v>0</v>
      </c>
      <c r="DO53" s="19" t="n">
        <f aca="false">MAX(0,MIN($B53,$A53*'1 Inputs'!$B$6-49*$B53))*'1 Inputs'!$B$7*'1 Inputs'!$B$8*'1 Inputs'!$B$9*'1 Inputs'!$B$10*'1 Inputs'!$B$11</f>
        <v>0</v>
      </c>
      <c r="DP53" s="19" t="n">
        <f aca="false">MAX(0,MIN($B53,$A53*'1 Inputs'!$B$6-50*$B53))*'1 Inputs'!$B$7*'1 Inputs'!$B$8*'1 Inputs'!$B$9*'1 Inputs'!$B$10*'1 Inputs'!$B$11</f>
        <v>0</v>
      </c>
      <c r="DQ53" s="19" t="n">
        <f aca="false">MAX(0,MIN($B53,$A53*'1 Inputs'!$B$6-51*$B53))*'1 Inputs'!$B$7*'1 Inputs'!$B$8*'1 Inputs'!$B$9*'1 Inputs'!$B$10*'1 Inputs'!$B$11</f>
        <v>0</v>
      </c>
      <c r="DR53" s="19" t="n">
        <f aca="false">MAX(0,MIN($B53,$A53*'1 Inputs'!$B$6-52*$B53))*'1 Inputs'!$B$7*'1 Inputs'!$B$8*'1 Inputs'!$B$9*'1 Inputs'!$B$10*'1 Inputs'!$B$11</f>
        <v>0</v>
      </c>
      <c r="DS53" s="19" t="n">
        <f aca="false">MAX(0,MIN($B53,$A53*'1 Inputs'!$B$6-53*$B53))*'1 Inputs'!$B$7*'1 Inputs'!$B$8*'1 Inputs'!$B$9*'1 Inputs'!$B$10*'1 Inputs'!$B$11</f>
        <v>0</v>
      </c>
      <c r="DT53" s="19" t="n">
        <f aca="false">MAX(0,MIN($B53,$A53*'1 Inputs'!$B$6-54*$B53))*'1 Inputs'!$B$7*'1 Inputs'!$B$8*'1 Inputs'!$B$9*'1 Inputs'!$B$10*'1 Inputs'!$B$11</f>
        <v>0</v>
      </c>
      <c r="DU53" s="19" t="n">
        <f aca="false">MAX(0,MIN($B53,$A53*'1 Inputs'!$B$6-55*$B53))*'1 Inputs'!$B$7*'1 Inputs'!$B$8*'1 Inputs'!$B$9*'1 Inputs'!$B$10*'1 Inputs'!$B$11</f>
        <v>0</v>
      </c>
      <c r="DV53" s="19" t="n">
        <f aca="false">MAX(0,MIN($B53,$A53*'1 Inputs'!$B$6-56*$B53))*'1 Inputs'!$B$7*'1 Inputs'!$B$8*'1 Inputs'!$B$9*'1 Inputs'!$B$10*'1 Inputs'!$B$11</f>
        <v>0</v>
      </c>
      <c r="DW53" s="19" t="n">
        <f aca="false">MAX(0,MIN($B53,$A53*'1 Inputs'!$B$6-57*$B53))*'1 Inputs'!$B$7*'1 Inputs'!$B$8*'1 Inputs'!$B$9*'1 Inputs'!$B$10*'1 Inputs'!$B$11</f>
        <v>0</v>
      </c>
      <c r="DX53" s="19" t="n">
        <f aca="false">MAX(0,MIN($B53,$A53*'1 Inputs'!$B$6-58*$B53))*'1 Inputs'!$B$7*'1 Inputs'!$B$8*'1 Inputs'!$B$9*'1 Inputs'!$B$10*'1 Inputs'!$B$11</f>
        <v>0</v>
      </c>
      <c r="DY53" s="19" t="n">
        <f aca="false">MAX(0,MIN($B53,$A53*'1 Inputs'!$B$6-59*$B53))*'1 Inputs'!$B$7*'1 Inputs'!$B$8*'1 Inputs'!$B$9*'1 Inputs'!$B$10*'1 Inputs'!$B$11</f>
        <v>0</v>
      </c>
    </row>
    <row r="54" customFormat="false" ht="15" hidden="false" customHeight="false" outlineLevel="0" collapsed="false">
      <c r="A54" s="0" t="n">
        <v>300</v>
      </c>
      <c r="B54" s="0" t="n">
        <v>12</v>
      </c>
      <c r="C54" s="12" t="n">
        <f aca="false">SUMIF(J54:BQ54,"&lt;="&amp;('1 Inputs'!$B$21+52),BR54:DY54)</f>
        <v>156250000</v>
      </c>
      <c r="J54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54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54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54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54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54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54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54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54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54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54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54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54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54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54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54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54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54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54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54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54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54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54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54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54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54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54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54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54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54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54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54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54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54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54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54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54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54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54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54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54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54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54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54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54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54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54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54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54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54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54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54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54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54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54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54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54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54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54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54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54" s="19" t="n">
        <f aca="false">MAX(0,MIN($B54,$A54*'1 Inputs'!$B$6-0*$B54))*'1 Inputs'!$B$7*'1 Inputs'!$B$8*'1 Inputs'!$B$9*'1 Inputs'!$B$10*'1 Inputs'!$B$11</f>
        <v>12500000</v>
      </c>
      <c r="BS54" s="19" t="n">
        <f aca="false">MAX(0,MIN($B54,$A54*'1 Inputs'!$B$6-1*$B54))*'1 Inputs'!$B$7*'1 Inputs'!$B$8*'1 Inputs'!$B$9*'1 Inputs'!$B$10*'1 Inputs'!$B$11</f>
        <v>12500000</v>
      </c>
      <c r="BT54" s="19" t="n">
        <f aca="false">MAX(0,MIN($B54,$A54*'1 Inputs'!$B$6-2*$B54))*'1 Inputs'!$B$7*'1 Inputs'!$B$8*'1 Inputs'!$B$9*'1 Inputs'!$B$10*'1 Inputs'!$B$11</f>
        <v>12500000</v>
      </c>
      <c r="BU54" s="19" t="n">
        <f aca="false">MAX(0,MIN($B54,$A54*'1 Inputs'!$B$6-3*$B54))*'1 Inputs'!$B$7*'1 Inputs'!$B$8*'1 Inputs'!$B$9*'1 Inputs'!$B$10*'1 Inputs'!$B$11</f>
        <v>12500000</v>
      </c>
      <c r="BV54" s="19" t="n">
        <f aca="false">MAX(0,MIN($B54,$A54*'1 Inputs'!$B$6-4*$B54))*'1 Inputs'!$B$7*'1 Inputs'!$B$8*'1 Inputs'!$B$9*'1 Inputs'!$B$10*'1 Inputs'!$B$11</f>
        <v>12500000</v>
      </c>
      <c r="BW54" s="19" t="n">
        <f aca="false">MAX(0,MIN($B54,$A54*'1 Inputs'!$B$6-5*$B54))*'1 Inputs'!$B$7*'1 Inputs'!$B$8*'1 Inputs'!$B$9*'1 Inputs'!$B$10*'1 Inputs'!$B$11</f>
        <v>12500000</v>
      </c>
      <c r="BX54" s="19" t="n">
        <f aca="false">MAX(0,MIN($B54,$A54*'1 Inputs'!$B$6-6*$B54))*'1 Inputs'!$B$7*'1 Inputs'!$B$8*'1 Inputs'!$B$9*'1 Inputs'!$B$10*'1 Inputs'!$B$11</f>
        <v>12500000</v>
      </c>
      <c r="BY54" s="19" t="n">
        <f aca="false">MAX(0,MIN($B54,$A54*'1 Inputs'!$B$6-7*$B54))*'1 Inputs'!$B$7*'1 Inputs'!$B$8*'1 Inputs'!$B$9*'1 Inputs'!$B$10*'1 Inputs'!$B$11</f>
        <v>12500000</v>
      </c>
      <c r="BZ54" s="19" t="n">
        <f aca="false">MAX(0,MIN($B54,$A54*'1 Inputs'!$B$6-8*$B54))*'1 Inputs'!$B$7*'1 Inputs'!$B$8*'1 Inputs'!$B$9*'1 Inputs'!$B$10*'1 Inputs'!$B$11</f>
        <v>12500000</v>
      </c>
      <c r="CA54" s="19" t="n">
        <f aca="false">MAX(0,MIN($B54,$A54*'1 Inputs'!$B$6-9*$B54))*'1 Inputs'!$B$7*'1 Inputs'!$B$8*'1 Inputs'!$B$9*'1 Inputs'!$B$10*'1 Inputs'!$B$11</f>
        <v>12500000</v>
      </c>
      <c r="CB54" s="19" t="n">
        <f aca="false">MAX(0,MIN($B54,$A54*'1 Inputs'!$B$6-10*$B54))*'1 Inputs'!$B$7*'1 Inputs'!$B$8*'1 Inputs'!$B$9*'1 Inputs'!$B$10*'1 Inputs'!$B$11</f>
        <v>12500000</v>
      </c>
      <c r="CC54" s="19" t="n">
        <f aca="false">MAX(0,MIN($B54,$A54*'1 Inputs'!$B$6-11*$B54))*'1 Inputs'!$B$7*'1 Inputs'!$B$8*'1 Inputs'!$B$9*'1 Inputs'!$B$10*'1 Inputs'!$B$11</f>
        <v>12500000</v>
      </c>
      <c r="CD54" s="19" t="n">
        <f aca="false">MAX(0,MIN($B54,$A54*'1 Inputs'!$B$6-12*$B54))*'1 Inputs'!$B$7*'1 Inputs'!$B$8*'1 Inputs'!$B$9*'1 Inputs'!$B$10*'1 Inputs'!$B$11</f>
        <v>6250000</v>
      </c>
      <c r="CE54" s="19" t="n">
        <f aca="false">MAX(0,MIN($B54,$A54*'1 Inputs'!$B$6-13*$B54))*'1 Inputs'!$B$7*'1 Inputs'!$B$8*'1 Inputs'!$B$9*'1 Inputs'!$B$10*'1 Inputs'!$B$11</f>
        <v>0</v>
      </c>
      <c r="CF54" s="19" t="n">
        <f aca="false">MAX(0,MIN($B54,$A54*'1 Inputs'!$B$6-14*$B54))*'1 Inputs'!$B$7*'1 Inputs'!$B$8*'1 Inputs'!$B$9*'1 Inputs'!$B$10*'1 Inputs'!$B$11</f>
        <v>0</v>
      </c>
      <c r="CG54" s="19" t="n">
        <f aca="false">MAX(0,MIN($B54,$A54*'1 Inputs'!$B$6-15*$B54))*'1 Inputs'!$B$7*'1 Inputs'!$B$8*'1 Inputs'!$B$9*'1 Inputs'!$B$10*'1 Inputs'!$B$11</f>
        <v>0</v>
      </c>
      <c r="CH54" s="19" t="n">
        <f aca="false">MAX(0,MIN($B54,$A54*'1 Inputs'!$B$6-16*$B54))*'1 Inputs'!$B$7*'1 Inputs'!$B$8*'1 Inputs'!$B$9*'1 Inputs'!$B$10*'1 Inputs'!$B$11</f>
        <v>0</v>
      </c>
      <c r="CI54" s="19" t="n">
        <f aca="false">MAX(0,MIN($B54,$A54*'1 Inputs'!$B$6-17*$B54))*'1 Inputs'!$B$7*'1 Inputs'!$B$8*'1 Inputs'!$B$9*'1 Inputs'!$B$10*'1 Inputs'!$B$11</f>
        <v>0</v>
      </c>
      <c r="CJ54" s="19" t="n">
        <f aca="false">MAX(0,MIN($B54,$A54*'1 Inputs'!$B$6-18*$B54))*'1 Inputs'!$B$7*'1 Inputs'!$B$8*'1 Inputs'!$B$9*'1 Inputs'!$B$10*'1 Inputs'!$B$11</f>
        <v>0</v>
      </c>
      <c r="CK54" s="19" t="n">
        <f aca="false">MAX(0,MIN($B54,$A54*'1 Inputs'!$B$6-19*$B54))*'1 Inputs'!$B$7*'1 Inputs'!$B$8*'1 Inputs'!$B$9*'1 Inputs'!$B$10*'1 Inputs'!$B$11</f>
        <v>0</v>
      </c>
      <c r="CL54" s="19" t="n">
        <f aca="false">MAX(0,MIN($B54,$A54*'1 Inputs'!$B$6-20*$B54))*'1 Inputs'!$B$7*'1 Inputs'!$B$8*'1 Inputs'!$B$9*'1 Inputs'!$B$10*'1 Inputs'!$B$11</f>
        <v>0</v>
      </c>
      <c r="CM54" s="19" t="n">
        <f aca="false">MAX(0,MIN($B54,$A54*'1 Inputs'!$B$6-21*$B54))*'1 Inputs'!$B$7*'1 Inputs'!$B$8*'1 Inputs'!$B$9*'1 Inputs'!$B$10*'1 Inputs'!$B$11</f>
        <v>0</v>
      </c>
      <c r="CN54" s="19" t="n">
        <f aca="false">MAX(0,MIN($B54,$A54*'1 Inputs'!$B$6-22*$B54))*'1 Inputs'!$B$7*'1 Inputs'!$B$8*'1 Inputs'!$B$9*'1 Inputs'!$B$10*'1 Inputs'!$B$11</f>
        <v>0</v>
      </c>
      <c r="CO54" s="19" t="n">
        <f aca="false">MAX(0,MIN($B54,$A54*'1 Inputs'!$B$6-23*$B54))*'1 Inputs'!$B$7*'1 Inputs'!$B$8*'1 Inputs'!$B$9*'1 Inputs'!$B$10*'1 Inputs'!$B$11</f>
        <v>0</v>
      </c>
      <c r="CP54" s="19" t="n">
        <f aca="false">MAX(0,MIN($B54,$A54*'1 Inputs'!$B$6-24*$B54))*'1 Inputs'!$B$7*'1 Inputs'!$B$8*'1 Inputs'!$B$9*'1 Inputs'!$B$10*'1 Inputs'!$B$11</f>
        <v>0</v>
      </c>
      <c r="CQ54" s="19" t="n">
        <f aca="false">MAX(0,MIN($B54,$A54*'1 Inputs'!$B$6-25*$B54))*'1 Inputs'!$B$7*'1 Inputs'!$B$8*'1 Inputs'!$B$9*'1 Inputs'!$B$10*'1 Inputs'!$B$11</f>
        <v>0</v>
      </c>
      <c r="CR54" s="19" t="n">
        <f aca="false">MAX(0,MIN($B54,$A54*'1 Inputs'!$B$6-26*$B54))*'1 Inputs'!$B$7*'1 Inputs'!$B$8*'1 Inputs'!$B$9*'1 Inputs'!$B$10*'1 Inputs'!$B$11</f>
        <v>0</v>
      </c>
      <c r="CS54" s="19" t="n">
        <f aca="false">MAX(0,MIN($B54,$A54*'1 Inputs'!$B$6-27*$B54))*'1 Inputs'!$B$7*'1 Inputs'!$B$8*'1 Inputs'!$B$9*'1 Inputs'!$B$10*'1 Inputs'!$B$11</f>
        <v>0</v>
      </c>
      <c r="CT54" s="19" t="n">
        <f aca="false">MAX(0,MIN($B54,$A54*'1 Inputs'!$B$6-28*$B54))*'1 Inputs'!$B$7*'1 Inputs'!$B$8*'1 Inputs'!$B$9*'1 Inputs'!$B$10*'1 Inputs'!$B$11</f>
        <v>0</v>
      </c>
      <c r="CU54" s="19" t="n">
        <f aca="false">MAX(0,MIN($B54,$A54*'1 Inputs'!$B$6-29*$B54))*'1 Inputs'!$B$7*'1 Inputs'!$B$8*'1 Inputs'!$B$9*'1 Inputs'!$B$10*'1 Inputs'!$B$11</f>
        <v>0</v>
      </c>
      <c r="CV54" s="19" t="n">
        <f aca="false">MAX(0,MIN($B54,$A54*'1 Inputs'!$B$6-30*$B54))*'1 Inputs'!$B$7*'1 Inputs'!$B$8*'1 Inputs'!$B$9*'1 Inputs'!$B$10*'1 Inputs'!$B$11</f>
        <v>0</v>
      </c>
      <c r="CW54" s="19" t="n">
        <f aca="false">MAX(0,MIN($B54,$A54*'1 Inputs'!$B$6-31*$B54))*'1 Inputs'!$B$7*'1 Inputs'!$B$8*'1 Inputs'!$B$9*'1 Inputs'!$B$10*'1 Inputs'!$B$11</f>
        <v>0</v>
      </c>
      <c r="CX54" s="19" t="n">
        <f aca="false">MAX(0,MIN($B54,$A54*'1 Inputs'!$B$6-32*$B54))*'1 Inputs'!$B$7*'1 Inputs'!$B$8*'1 Inputs'!$B$9*'1 Inputs'!$B$10*'1 Inputs'!$B$11</f>
        <v>0</v>
      </c>
      <c r="CY54" s="19" t="n">
        <f aca="false">MAX(0,MIN($B54,$A54*'1 Inputs'!$B$6-33*$B54))*'1 Inputs'!$B$7*'1 Inputs'!$B$8*'1 Inputs'!$B$9*'1 Inputs'!$B$10*'1 Inputs'!$B$11</f>
        <v>0</v>
      </c>
      <c r="CZ54" s="19" t="n">
        <f aca="false">MAX(0,MIN($B54,$A54*'1 Inputs'!$B$6-34*$B54))*'1 Inputs'!$B$7*'1 Inputs'!$B$8*'1 Inputs'!$B$9*'1 Inputs'!$B$10*'1 Inputs'!$B$11</f>
        <v>0</v>
      </c>
      <c r="DA54" s="19" t="n">
        <f aca="false">MAX(0,MIN($B54,$A54*'1 Inputs'!$B$6-35*$B54))*'1 Inputs'!$B$7*'1 Inputs'!$B$8*'1 Inputs'!$B$9*'1 Inputs'!$B$10*'1 Inputs'!$B$11</f>
        <v>0</v>
      </c>
      <c r="DB54" s="19" t="n">
        <f aca="false">MAX(0,MIN($B54,$A54*'1 Inputs'!$B$6-36*$B54))*'1 Inputs'!$B$7*'1 Inputs'!$B$8*'1 Inputs'!$B$9*'1 Inputs'!$B$10*'1 Inputs'!$B$11</f>
        <v>0</v>
      </c>
      <c r="DC54" s="19" t="n">
        <f aca="false">MAX(0,MIN($B54,$A54*'1 Inputs'!$B$6-37*$B54))*'1 Inputs'!$B$7*'1 Inputs'!$B$8*'1 Inputs'!$B$9*'1 Inputs'!$B$10*'1 Inputs'!$B$11</f>
        <v>0</v>
      </c>
      <c r="DD54" s="19" t="n">
        <f aca="false">MAX(0,MIN($B54,$A54*'1 Inputs'!$B$6-38*$B54))*'1 Inputs'!$B$7*'1 Inputs'!$B$8*'1 Inputs'!$B$9*'1 Inputs'!$B$10*'1 Inputs'!$B$11</f>
        <v>0</v>
      </c>
      <c r="DE54" s="19" t="n">
        <f aca="false">MAX(0,MIN($B54,$A54*'1 Inputs'!$B$6-39*$B54))*'1 Inputs'!$B$7*'1 Inputs'!$B$8*'1 Inputs'!$B$9*'1 Inputs'!$B$10*'1 Inputs'!$B$11</f>
        <v>0</v>
      </c>
      <c r="DF54" s="19" t="n">
        <f aca="false">MAX(0,MIN($B54,$A54*'1 Inputs'!$B$6-40*$B54))*'1 Inputs'!$B$7*'1 Inputs'!$B$8*'1 Inputs'!$B$9*'1 Inputs'!$B$10*'1 Inputs'!$B$11</f>
        <v>0</v>
      </c>
      <c r="DG54" s="19" t="n">
        <f aca="false">MAX(0,MIN($B54,$A54*'1 Inputs'!$B$6-41*$B54))*'1 Inputs'!$B$7*'1 Inputs'!$B$8*'1 Inputs'!$B$9*'1 Inputs'!$B$10*'1 Inputs'!$B$11</f>
        <v>0</v>
      </c>
      <c r="DH54" s="19" t="n">
        <f aca="false">MAX(0,MIN($B54,$A54*'1 Inputs'!$B$6-42*$B54))*'1 Inputs'!$B$7*'1 Inputs'!$B$8*'1 Inputs'!$B$9*'1 Inputs'!$B$10*'1 Inputs'!$B$11</f>
        <v>0</v>
      </c>
      <c r="DI54" s="19" t="n">
        <f aca="false">MAX(0,MIN($B54,$A54*'1 Inputs'!$B$6-43*$B54))*'1 Inputs'!$B$7*'1 Inputs'!$B$8*'1 Inputs'!$B$9*'1 Inputs'!$B$10*'1 Inputs'!$B$11</f>
        <v>0</v>
      </c>
      <c r="DJ54" s="19" t="n">
        <f aca="false">MAX(0,MIN($B54,$A54*'1 Inputs'!$B$6-44*$B54))*'1 Inputs'!$B$7*'1 Inputs'!$B$8*'1 Inputs'!$B$9*'1 Inputs'!$B$10*'1 Inputs'!$B$11</f>
        <v>0</v>
      </c>
      <c r="DK54" s="19" t="n">
        <f aca="false">MAX(0,MIN($B54,$A54*'1 Inputs'!$B$6-45*$B54))*'1 Inputs'!$B$7*'1 Inputs'!$B$8*'1 Inputs'!$B$9*'1 Inputs'!$B$10*'1 Inputs'!$B$11</f>
        <v>0</v>
      </c>
      <c r="DL54" s="19" t="n">
        <f aca="false">MAX(0,MIN($B54,$A54*'1 Inputs'!$B$6-46*$B54))*'1 Inputs'!$B$7*'1 Inputs'!$B$8*'1 Inputs'!$B$9*'1 Inputs'!$B$10*'1 Inputs'!$B$11</f>
        <v>0</v>
      </c>
      <c r="DM54" s="19" t="n">
        <f aca="false">MAX(0,MIN($B54,$A54*'1 Inputs'!$B$6-47*$B54))*'1 Inputs'!$B$7*'1 Inputs'!$B$8*'1 Inputs'!$B$9*'1 Inputs'!$B$10*'1 Inputs'!$B$11</f>
        <v>0</v>
      </c>
      <c r="DN54" s="19" t="n">
        <f aca="false">MAX(0,MIN($B54,$A54*'1 Inputs'!$B$6-48*$B54))*'1 Inputs'!$B$7*'1 Inputs'!$B$8*'1 Inputs'!$B$9*'1 Inputs'!$B$10*'1 Inputs'!$B$11</f>
        <v>0</v>
      </c>
      <c r="DO54" s="19" t="n">
        <f aca="false">MAX(0,MIN($B54,$A54*'1 Inputs'!$B$6-49*$B54))*'1 Inputs'!$B$7*'1 Inputs'!$B$8*'1 Inputs'!$B$9*'1 Inputs'!$B$10*'1 Inputs'!$B$11</f>
        <v>0</v>
      </c>
      <c r="DP54" s="19" t="n">
        <f aca="false">MAX(0,MIN($B54,$A54*'1 Inputs'!$B$6-50*$B54))*'1 Inputs'!$B$7*'1 Inputs'!$B$8*'1 Inputs'!$B$9*'1 Inputs'!$B$10*'1 Inputs'!$B$11</f>
        <v>0</v>
      </c>
      <c r="DQ54" s="19" t="n">
        <f aca="false">MAX(0,MIN($B54,$A54*'1 Inputs'!$B$6-51*$B54))*'1 Inputs'!$B$7*'1 Inputs'!$B$8*'1 Inputs'!$B$9*'1 Inputs'!$B$10*'1 Inputs'!$B$11</f>
        <v>0</v>
      </c>
      <c r="DR54" s="19" t="n">
        <f aca="false">MAX(0,MIN($B54,$A54*'1 Inputs'!$B$6-52*$B54))*'1 Inputs'!$B$7*'1 Inputs'!$B$8*'1 Inputs'!$B$9*'1 Inputs'!$B$10*'1 Inputs'!$B$11</f>
        <v>0</v>
      </c>
      <c r="DS54" s="19" t="n">
        <f aca="false">MAX(0,MIN($B54,$A54*'1 Inputs'!$B$6-53*$B54))*'1 Inputs'!$B$7*'1 Inputs'!$B$8*'1 Inputs'!$B$9*'1 Inputs'!$B$10*'1 Inputs'!$B$11</f>
        <v>0</v>
      </c>
      <c r="DT54" s="19" t="n">
        <f aca="false">MAX(0,MIN($B54,$A54*'1 Inputs'!$B$6-54*$B54))*'1 Inputs'!$B$7*'1 Inputs'!$B$8*'1 Inputs'!$B$9*'1 Inputs'!$B$10*'1 Inputs'!$B$11</f>
        <v>0</v>
      </c>
      <c r="DU54" s="19" t="n">
        <f aca="false">MAX(0,MIN($B54,$A54*'1 Inputs'!$B$6-55*$B54))*'1 Inputs'!$B$7*'1 Inputs'!$B$8*'1 Inputs'!$B$9*'1 Inputs'!$B$10*'1 Inputs'!$B$11</f>
        <v>0</v>
      </c>
      <c r="DV54" s="19" t="n">
        <f aca="false">MAX(0,MIN($B54,$A54*'1 Inputs'!$B$6-56*$B54))*'1 Inputs'!$B$7*'1 Inputs'!$B$8*'1 Inputs'!$B$9*'1 Inputs'!$B$10*'1 Inputs'!$B$11</f>
        <v>0</v>
      </c>
      <c r="DW54" s="19" t="n">
        <f aca="false">MAX(0,MIN($B54,$A54*'1 Inputs'!$B$6-57*$B54))*'1 Inputs'!$B$7*'1 Inputs'!$B$8*'1 Inputs'!$B$9*'1 Inputs'!$B$10*'1 Inputs'!$B$11</f>
        <v>0</v>
      </c>
      <c r="DX54" s="19" t="n">
        <f aca="false">MAX(0,MIN($B54,$A54*'1 Inputs'!$B$6-58*$B54))*'1 Inputs'!$B$7*'1 Inputs'!$B$8*'1 Inputs'!$B$9*'1 Inputs'!$B$10*'1 Inputs'!$B$11</f>
        <v>0</v>
      </c>
      <c r="DY54" s="19" t="n">
        <f aca="false">MAX(0,MIN($B54,$A54*'1 Inputs'!$B$6-59*$B54))*'1 Inputs'!$B$7*'1 Inputs'!$B$8*'1 Inputs'!$B$9*'1 Inputs'!$B$10*'1 Inputs'!$B$11</f>
        <v>0</v>
      </c>
    </row>
    <row r="55" customFormat="false" ht="15" hidden="false" customHeight="false" outlineLevel="0" collapsed="false">
      <c r="A55" s="0" t="n">
        <v>360</v>
      </c>
      <c r="B55" s="0" t="n">
        <v>4</v>
      </c>
      <c r="C55" s="12" t="n">
        <f aca="false">SUMIF(J55:BQ55,"&lt;="&amp;('1 Inputs'!$B$21+52),BR55:DY55)</f>
        <v>75000000</v>
      </c>
      <c r="J55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55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55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55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55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55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55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55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55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55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55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55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55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55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55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55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55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55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55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55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55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55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55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55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55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55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55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55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55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55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55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55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55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55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55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55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55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55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55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55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55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55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55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55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55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55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55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55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55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55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55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55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55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55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55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55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55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55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55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55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55" s="19" t="n">
        <f aca="false">MAX(0,MIN($B55,$A55*'1 Inputs'!$B$6-0*$B55))*'1 Inputs'!$B$7*'1 Inputs'!$B$8*'1 Inputs'!$B$9*'1 Inputs'!$B$10*'1 Inputs'!$B$11</f>
        <v>4166666.66666667</v>
      </c>
      <c r="BS55" s="19" t="n">
        <f aca="false">MAX(0,MIN($B55,$A55*'1 Inputs'!$B$6-1*$B55))*'1 Inputs'!$B$7*'1 Inputs'!$B$8*'1 Inputs'!$B$9*'1 Inputs'!$B$10*'1 Inputs'!$B$11</f>
        <v>4166666.66666667</v>
      </c>
      <c r="BT55" s="19" t="n">
        <f aca="false">MAX(0,MIN($B55,$A55*'1 Inputs'!$B$6-2*$B55))*'1 Inputs'!$B$7*'1 Inputs'!$B$8*'1 Inputs'!$B$9*'1 Inputs'!$B$10*'1 Inputs'!$B$11</f>
        <v>4166666.66666667</v>
      </c>
      <c r="BU55" s="19" t="n">
        <f aca="false">MAX(0,MIN($B55,$A55*'1 Inputs'!$B$6-3*$B55))*'1 Inputs'!$B$7*'1 Inputs'!$B$8*'1 Inputs'!$B$9*'1 Inputs'!$B$10*'1 Inputs'!$B$11</f>
        <v>4166666.66666667</v>
      </c>
      <c r="BV55" s="19" t="n">
        <f aca="false">MAX(0,MIN($B55,$A55*'1 Inputs'!$B$6-4*$B55))*'1 Inputs'!$B$7*'1 Inputs'!$B$8*'1 Inputs'!$B$9*'1 Inputs'!$B$10*'1 Inputs'!$B$11</f>
        <v>4166666.66666667</v>
      </c>
      <c r="BW55" s="19" t="n">
        <f aca="false">MAX(0,MIN($B55,$A55*'1 Inputs'!$B$6-5*$B55))*'1 Inputs'!$B$7*'1 Inputs'!$B$8*'1 Inputs'!$B$9*'1 Inputs'!$B$10*'1 Inputs'!$B$11</f>
        <v>4166666.66666667</v>
      </c>
      <c r="BX55" s="19" t="n">
        <f aca="false">MAX(0,MIN($B55,$A55*'1 Inputs'!$B$6-6*$B55))*'1 Inputs'!$B$7*'1 Inputs'!$B$8*'1 Inputs'!$B$9*'1 Inputs'!$B$10*'1 Inputs'!$B$11</f>
        <v>4166666.66666667</v>
      </c>
      <c r="BY55" s="19" t="n">
        <f aca="false">MAX(0,MIN($B55,$A55*'1 Inputs'!$B$6-7*$B55))*'1 Inputs'!$B$7*'1 Inputs'!$B$8*'1 Inputs'!$B$9*'1 Inputs'!$B$10*'1 Inputs'!$B$11</f>
        <v>4166666.66666667</v>
      </c>
      <c r="BZ55" s="19" t="n">
        <f aca="false">MAX(0,MIN($B55,$A55*'1 Inputs'!$B$6-8*$B55))*'1 Inputs'!$B$7*'1 Inputs'!$B$8*'1 Inputs'!$B$9*'1 Inputs'!$B$10*'1 Inputs'!$B$11</f>
        <v>4166666.66666667</v>
      </c>
      <c r="CA55" s="19" t="n">
        <f aca="false">MAX(0,MIN($B55,$A55*'1 Inputs'!$B$6-9*$B55))*'1 Inputs'!$B$7*'1 Inputs'!$B$8*'1 Inputs'!$B$9*'1 Inputs'!$B$10*'1 Inputs'!$B$11</f>
        <v>4166666.66666667</v>
      </c>
      <c r="CB55" s="19" t="n">
        <f aca="false">MAX(0,MIN($B55,$A55*'1 Inputs'!$B$6-10*$B55))*'1 Inputs'!$B$7*'1 Inputs'!$B$8*'1 Inputs'!$B$9*'1 Inputs'!$B$10*'1 Inputs'!$B$11</f>
        <v>4166666.66666667</v>
      </c>
      <c r="CC55" s="19" t="n">
        <f aca="false">MAX(0,MIN($B55,$A55*'1 Inputs'!$B$6-11*$B55))*'1 Inputs'!$B$7*'1 Inputs'!$B$8*'1 Inputs'!$B$9*'1 Inputs'!$B$10*'1 Inputs'!$B$11</f>
        <v>4166666.66666667</v>
      </c>
      <c r="CD55" s="19" t="n">
        <f aca="false">MAX(0,MIN($B55,$A55*'1 Inputs'!$B$6-12*$B55))*'1 Inputs'!$B$7*'1 Inputs'!$B$8*'1 Inputs'!$B$9*'1 Inputs'!$B$10*'1 Inputs'!$B$11</f>
        <v>4166666.66666667</v>
      </c>
      <c r="CE55" s="19" t="n">
        <f aca="false">MAX(0,MIN($B55,$A55*'1 Inputs'!$B$6-13*$B55))*'1 Inputs'!$B$7*'1 Inputs'!$B$8*'1 Inputs'!$B$9*'1 Inputs'!$B$10*'1 Inputs'!$B$11</f>
        <v>4166666.66666667</v>
      </c>
      <c r="CF55" s="19" t="n">
        <f aca="false">MAX(0,MIN($B55,$A55*'1 Inputs'!$B$6-14*$B55))*'1 Inputs'!$B$7*'1 Inputs'!$B$8*'1 Inputs'!$B$9*'1 Inputs'!$B$10*'1 Inputs'!$B$11</f>
        <v>4166666.66666667</v>
      </c>
      <c r="CG55" s="19" t="n">
        <f aca="false">MAX(0,MIN($B55,$A55*'1 Inputs'!$B$6-15*$B55))*'1 Inputs'!$B$7*'1 Inputs'!$B$8*'1 Inputs'!$B$9*'1 Inputs'!$B$10*'1 Inputs'!$B$11</f>
        <v>4166666.66666667</v>
      </c>
      <c r="CH55" s="19" t="n">
        <f aca="false">MAX(0,MIN($B55,$A55*'1 Inputs'!$B$6-16*$B55))*'1 Inputs'!$B$7*'1 Inputs'!$B$8*'1 Inputs'!$B$9*'1 Inputs'!$B$10*'1 Inputs'!$B$11</f>
        <v>4166666.66666667</v>
      </c>
      <c r="CI55" s="19" t="n">
        <f aca="false">MAX(0,MIN($B55,$A55*'1 Inputs'!$B$6-17*$B55))*'1 Inputs'!$B$7*'1 Inputs'!$B$8*'1 Inputs'!$B$9*'1 Inputs'!$B$10*'1 Inputs'!$B$11</f>
        <v>4166666.66666667</v>
      </c>
      <c r="CJ55" s="19" t="n">
        <f aca="false">MAX(0,MIN($B55,$A55*'1 Inputs'!$B$6-18*$B55))*'1 Inputs'!$B$7*'1 Inputs'!$B$8*'1 Inputs'!$B$9*'1 Inputs'!$B$10*'1 Inputs'!$B$11</f>
        <v>4166666.66666667</v>
      </c>
      <c r="CK55" s="19" t="n">
        <f aca="false">MAX(0,MIN($B55,$A55*'1 Inputs'!$B$6-19*$B55))*'1 Inputs'!$B$7*'1 Inputs'!$B$8*'1 Inputs'!$B$9*'1 Inputs'!$B$10*'1 Inputs'!$B$11</f>
        <v>4166666.66666667</v>
      </c>
      <c r="CL55" s="19" t="n">
        <f aca="false">MAX(0,MIN($B55,$A55*'1 Inputs'!$B$6-20*$B55))*'1 Inputs'!$B$7*'1 Inputs'!$B$8*'1 Inputs'!$B$9*'1 Inputs'!$B$10*'1 Inputs'!$B$11</f>
        <v>4166666.66666667</v>
      </c>
      <c r="CM55" s="19" t="n">
        <f aca="false">MAX(0,MIN($B55,$A55*'1 Inputs'!$B$6-21*$B55))*'1 Inputs'!$B$7*'1 Inputs'!$B$8*'1 Inputs'!$B$9*'1 Inputs'!$B$10*'1 Inputs'!$B$11</f>
        <v>4166666.66666667</v>
      </c>
      <c r="CN55" s="19" t="n">
        <f aca="false">MAX(0,MIN($B55,$A55*'1 Inputs'!$B$6-22*$B55))*'1 Inputs'!$B$7*'1 Inputs'!$B$8*'1 Inputs'!$B$9*'1 Inputs'!$B$10*'1 Inputs'!$B$11</f>
        <v>4166666.66666667</v>
      </c>
      <c r="CO55" s="19" t="n">
        <f aca="false">MAX(0,MIN($B55,$A55*'1 Inputs'!$B$6-23*$B55))*'1 Inputs'!$B$7*'1 Inputs'!$B$8*'1 Inputs'!$B$9*'1 Inputs'!$B$10*'1 Inputs'!$B$11</f>
        <v>4166666.66666667</v>
      </c>
      <c r="CP55" s="19" t="n">
        <f aca="false">MAX(0,MIN($B55,$A55*'1 Inputs'!$B$6-24*$B55))*'1 Inputs'!$B$7*'1 Inputs'!$B$8*'1 Inputs'!$B$9*'1 Inputs'!$B$10*'1 Inputs'!$B$11</f>
        <v>4166666.66666667</v>
      </c>
      <c r="CQ55" s="19" t="n">
        <f aca="false">MAX(0,MIN($B55,$A55*'1 Inputs'!$B$6-25*$B55))*'1 Inputs'!$B$7*'1 Inputs'!$B$8*'1 Inputs'!$B$9*'1 Inputs'!$B$10*'1 Inputs'!$B$11</f>
        <v>4166666.66666667</v>
      </c>
      <c r="CR55" s="19" t="n">
        <f aca="false">MAX(0,MIN($B55,$A55*'1 Inputs'!$B$6-26*$B55))*'1 Inputs'!$B$7*'1 Inputs'!$B$8*'1 Inputs'!$B$9*'1 Inputs'!$B$10*'1 Inputs'!$B$11</f>
        <v>4166666.66666667</v>
      </c>
      <c r="CS55" s="19" t="n">
        <f aca="false">MAX(0,MIN($B55,$A55*'1 Inputs'!$B$6-27*$B55))*'1 Inputs'!$B$7*'1 Inputs'!$B$8*'1 Inputs'!$B$9*'1 Inputs'!$B$10*'1 Inputs'!$B$11</f>
        <v>4166666.66666667</v>
      </c>
      <c r="CT55" s="19" t="n">
        <f aca="false">MAX(0,MIN($B55,$A55*'1 Inputs'!$B$6-28*$B55))*'1 Inputs'!$B$7*'1 Inputs'!$B$8*'1 Inputs'!$B$9*'1 Inputs'!$B$10*'1 Inputs'!$B$11</f>
        <v>4166666.66666667</v>
      </c>
      <c r="CU55" s="19" t="n">
        <f aca="false">MAX(0,MIN($B55,$A55*'1 Inputs'!$B$6-29*$B55))*'1 Inputs'!$B$7*'1 Inputs'!$B$8*'1 Inputs'!$B$9*'1 Inputs'!$B$10*'1 Inputs'!$B$11</f>
        <v>4166666.66666667</v>
      </c>
      <c r="CV55" s="19" t="n">
        <f aca="false">MAX(0,MIN($B55,$A55*'1 Inputs'!$B$6-30*$B55))*'1 Inputs'!$B$7*'1 Inputs'!$B$8*'1 Inputs'!$B$9*'1 Inputs'!$B$10*'1 Inputs'!$B$11</f>
        <v>4166666.66666667</v>
      </c>
      <c r="CW55" s="19" t="n">
        <f aca="false">MAX(0,MIN($B55,$A55*'1 Inputs'!$B$6-31*$B55))*'1 Inputs'!$B$7*'1 Inputs'!$B$8*'1 Inputs'!$B$9*'1 Inputs'!$B$10*'1 Inputs'!$B$11</f>
        <v>4166666.66666667</v>
      </c>
      <c r="CX55" s="19" t="n">
        <f aca="false">MAX(0,MIN($B55,$A55*'1 Inputs'!$B$6-32*$B55))*'1 Inputs'!$B$7*'1 Inputs'!$B$8*'1 Inputs'!$B$9*'1 Inputs'!$B$10*'1 Inputs'!$B$11</f>
        <v>4166666.66666667</v>
      </c>
      <c r="CY55" s="19" t="n">
        <f aca="false">MAX(0,MIN($B55,$A55*'1 Inputs'!$B$6-33*$B55))*'1 Inputs'!$B$7*'1 Inputs'!$B$8*'1 Inputs'!$B$9*'1 Inputs'!$B$10*'1 Inputs'!$B$11</f>
        <v>4166666.66666667</v>
      </c>
      <c r="CZ55" s="19" t="n">
        <f aca="false">MAX(0,MIN($B55,$A55*'1 Inputs'!$B$6-34*$B55))*'1 Inputs'!$B$7*'1 Inputs'!$B$8*'1 Inputs'!$B$9*'1 Inputs'!$B$10*'1 Inputs'!$B$11</f>
        <v>4166666.66666667</v>
      </c>
      <c r="DA55" s="19" t="n">
        <f aca="false">MAX(0,MIN($B55,$A55*'1 Inputs'!$B$6-35*$B55))*'1 Inputs'!$B$7*'1 Inputs'!$B$8*'1 Inputs'!$B$9*'1 Inputs'!$B$10*'1 Inputs'!$B$11</f>
        <v>4166666.66666667</v>
      </c>
      <c r="DB55" s="19" t="n">
        <f aca="false">MAX(0,MIN($B55,$A55*'1 Inputs'!$B$6-36*$B55))*'1 Inputs'!$B$7*'1 Inputs'!$B$8*'1 Inputs'!$B$9*'1 Inputs'!$B$10*'1 Inputs'!$B$11</f>
        <v>4166666.66666667</v>
      </c>
      <c r="DC55" s="19" t="n">
        <f aca="false">MAX(0,MIN($B55,$A55*'1 Inputs'!$B$6-37*$B55))*'1 Inputs'!$B$7*'1 Inputs'!$B$8*'1 Inputs'!$B$9*'1 Inputs'!$B$10*'1 Inputs'!$B$11</f>
        <v>4166666.66666667</v>
      </c>
      <c r="DD55" s="19" t="n">
        <f aca="false">MAX(0,MIN($B55,$A55*'1 Inputs'!$B$6-38*$B55))*'1 Inputs'!$B$7*'1 Inputs'!$B$8*'1 Inputs'!$B$9*'1 Inputs'!$B$10*'1 Inputs'!$B$11</f>
        <v>4166666.66666667</v>
      </c>
      <c r="DE55" s="19" t="n">
        <f aca="false">MAX(0,MIN($B55,$A55*'1 Inputs'!$B$6-39*$B55))*'1 Inputs'!$B$7*'1 Inputs'!$B$8*'1 Inputs'!$B$9*'1 Inputs'!$B$10*'1 Inputs'!$B$11</f>
        <v>4166666.66666667</v>
      </c>
      <c r="DF55" s="19" t="n">
        <f aca="false">MAX(0,MIN($B55,$A55*'1 Inputs'!$B$6-40*$B55))*'1 Inputs'!$B$7*'1 Inputs'!$B$8*'1 Inputs'!$B$9*'1 Inputs'!$B$10*'1 Inputs'!$B$11</f>
        <v>4166666.66666667</v>
      </c>
      <c r="DG55" s="19" t="n">
        <f aca="false">MAX(0,MIN($B55,$A55*'1 Inputs'!$B$6-41*$B55))*'1 Inputs'!$B$7*'1 Inputs'!$B$8*'1 Inputs'!$B$9*'1 Inputs'!$B$10*'1 Inputs'!$B$11</f>
        <v>4166666.66666667</v>
      </c>
      <c r="DH55" s="19" t="n">
        <f aca="false">MAX(0,MIN($B55,$A55*'1 Inputs'!$B$6-42*$B55))*'1 Inputs'!$B$7*'1 Inputs'!$B$8*'1 Inputs'!$B$9*'1 Inputs'!$B$10*'1 Inputs'!$B$11</f>
        <v>4166666.66666667</v>
      </c>
      <c r="DI55" s="19" t="n">
        <f aca="false">MAX(0,MIN($B55,$A55*'1 Inputs'!$B$6-43*$B55))*'1 Inputs'!$B$7*'1 Inputs'!$B$8*'1 Inputs'!$B$9*'1 Inputs'!$B$10*'1 Inputs'!$B$11</f>
        <v>4166666.66666667</v>
      </c>
      <c r="DJ55" s="19" t="n">
        <f aca="false">MAX(0,MIN($B55,$A55*'1 Inputs'!$B$6-44*$B55))*'1 Inputs'!$B$7*'1 Inputs'!$B$8*'1 Inputs'!$B$9*'1 Inputs'!$B$10*'1 Inputs'!$B$11</f>
        <v>4166666.66666667</v>
      </c>
      <c r="DK55" s="19" t="n">
        <f aca="false">MAX(0,MIN($B55,$A55*'1 Inputs'!$B$6-45*$B55))*'1 Inputs'!$B$7*'1 Inputs'!$B$8*'1 Inputs'!$B$9*'1 Inputs'!$B$10*'1 Inputs'!$B$11</f>
        <v>0</v>
      </c>
      <c r="DL55" s="19" t="n">
        <f aca="false">MAX(0,MIN($B55,$A55*'1 Inputs'!$B$6-46*$B55))*'1 Inputs'!$B$7*'1 Inputs'!$B$8*'1 Inputs'!$B$9*'1 Inputs'!$B$10*'1 Inputs'!$B$11</f>
        <v>0</v>
      </c>
      <c r="DM55" s="19" t="n">
        <f aca="false">MAX(0,MIN($B55,$A55*'1 Inputs'!$B$6-47*$B55))*'1 Inputs'!$B$7*'1 Inputs'!$B$8*'1 Inputs'!$B$9*'1 Inputs'!$B$10*'1 Inputs'!$B$11</f>
        <v>0</v>
      </c>
      <c r="DN55" s="19" t="n">
        <f aca="false">MAX(0,MIN($B55,$A55*'1 Inputs'!$B$6-48*$B55))*'1 Inputs'!$B$7*'1 Inputs'!$B$8*'1 Inputs'!$B$9*'1 Inputs'!$B$10*'1 Inputs'!$B$11</f>
        <v>0</v>
      </c>
      <c r="DO55" s="19" t="n">
        <f aca="false">MAX(0,MIN($B55,$A55*'1 Inputs'!$B$6-49*$B55))*'1 Inputs'!$B$7*'1 Inputs'!$B$8*'1 Inputs'!$B$9*'1 Inputs'!$B$10*'1 Inputs'!$B$11</f>
        <v>0</v>
      </c>
      <c r="DP55" s="19" t="n">
        <f aca="false">MAX(0,MIN($B55,$A55*'1 Inputs'!$B$6-50*$B55))*'1 Inputs'!$B$7*'1 Inputs'!$B$8*'1 Inputs'!$B$9*'1 Inputs'!$B$10*'1 Inputs'!$B$11</f>
        <v>0</v>
      </c>
      <c r="DQ55" s="19" t="n">
        <f aca="false">MAX(0,MIN($B55,$A55*'1 Inputs'!$B$6-51*$B55))*'1 Inputs'!$B$7*'1 Inputs'!$B$8*'1 Inputs'!$B$9*'1 Inputs'!$B$10*'1 Inputs'!$B$11</f>
        <v>0</v>
      </c>
      <c r="DR55" s="19" t="n">
        <f aca="false">MAX(0,MIN($B55,$A55*'1 Inputs'!$B$6-52*$B55))*'1 Inputs'!$B$7*'1 Inputs'!$B$8*'1 Inputs'!$B$9*'1 Inputs'!$B$10*'1 Inputs'!$B$11</f>
        <v>0</v>
      </c>
      <c r="DS55" s="19" t="n">
        <f aca="false">MAX(0,MIN($B55,$A55*'1 Inputs'!$B$6-53*$B55))*'1 Inputs'!$B$7*'1 Inputs'!$B$8*'1 Inputs'!$B$9*'1 Inputs'!$B$10*'1 Inputs'!$B$11</f>
        <v>0</v>
      </c>
      <c r="DT55" s="19" t="n">
        <f aca="false">MAX(0,MIN($B55,$A55*'1 Inputs'!$B$6-54*$B55))*'1 Inputs'!$B$7*'1 Inputs'!$B$8*'1 Inputs'!$B$9*'1 Inputs'!$B$10*'1 Inputs'!$B$11</f>
        <v>0</v>
      </c>
      <c r="DU55" s="19" t="n">
        <f aca="false">MAX(0,MIN($B55,$A55*'1 Inputs'!$B$6-55*$B55))*'1 Inputs'!$B$7*'1 Inputs'!$B$8*'1 Inputs'!$B$9*'1 Inputs'!$B$10*'1 Inputs'!$B$11</f>
        <v>0</v>
      </c>
      <c r="DV55" s="19" t="n">
        <f aca="false">MAX(0,MIN($B55,$A55*'1 Inputs'!$B$6-56*$B55))*'1 Inputs'!$B$7*'1 Inputs'!$B$8*'1 Inputs'!$B$9*'1 Inputs'!$B$10*'1 Inputs'!$B$11</f>
        <v>0</v>
      </c>
      <c r="DW55" s="19" t="n">
        <f aca="false">MAX(0,MIN($B55,$A55*'1 Inputs'!$B$6-57*$B55))*'1 Inputs'!$B$7*'1 Inputs'!$B$8*'1 Inputs'!$B$9*'1 Inputs'!$B$10*'1 Inputs'!$B$11</f>
        <v>0</v>
      </c>
      <c r="DX55" s="19" t="n">
        <f aca="false">MAX(0,MIN($B55,$A55*'1 Inputs'!$B$6-58*$B55))*'1 Inputs'!$B$7*'1 Inputs'!$B$8*'1 Inputs'!$B$9*'1 Inputs'!$B$10*'1 Inputs'!$B$11</f>
        <v>0</v>
      </c>
      <c r="DY55" s="19" t="n">
        <f aca="false">MAX(0,MIN($B55,$A55*'1 Inputs'!$B$6-59*$B55))*'1 Inputs'!$B$7*'1 Inputs'!$B$8*'1 Inputs'!$B$9*'1 Inputs'!$B$10*'1 Inputs'!$B$11</f>
        <v>0</v>
      </c>
    </row>
    <row r="56" customFormat="false" ht="15" hidden="false" customHeight="false" outlineLevel="0" collapsed="false">
      <c r="A56" s="0" t="n">
        <v>360</v>
      </c>
      <c r="B56" s="0" t="n">
        <v>6</v>
      </c>
      <c r="C56" s="12" t="n">
        <f aca="false">SUMIF(J56:BQ56,"&lt;="&amp;('1 Inputs'!$B$21+52),BR56:DY56)</f>
        <v>112500000</v>
      </c>
      <c r="J56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56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56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56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56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56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56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56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56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56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56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56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56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56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56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56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56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56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56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56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56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56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56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56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56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56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56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56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56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56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56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56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56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56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56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56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56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56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56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56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56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56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56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56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56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56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56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56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56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56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56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56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56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56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56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56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56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56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56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56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56" s="19" t="n">
        <f aca="false">MAX(0,MIN($B56,$A56*'1 Inputs'!$B$6-0*$B56))*'1 Inputs'!$B$7*'1 Inputs'!$B$8*'1 Inputs'!$B$9*'1 Inputs'!$B$10*'1 Inputs'!$B$11</f>
        <v>6250000</v>
      </c>
      <c r="BS56" s="19" t="n">
        <f aca="false">MAX(0,MIN($B56,$A56*'1 Inputs'!$B$6-1*$B56))*'1 Inputs'!$B$7*'1 Inputs'!$B$8*'1 Inputs'!$B$9*'1 Inputs'!$B$10*'1 Inputs'!$B$11</f>
        <v>6250000</v>
      </c>
      <c r="BT56" s="19" t="n">
        <f aca="false">MAX(0,MIN($B56,$A56*'1 Inputs'!$B$6-2*$B56))*'1 Inputs'!$B$7*'1 Inputs'!$B$8*'1 Inputs'!$B$9*'1 Inputs'!$B$10*'1 Inputs'!$B$11</f>
        <v>6250000</v>
      </c>
      <c r="BU56" s="19" t="n">
        <f aca="false">MAX(0,MIN($B56,$A56*'1 Inputs'!$B$6-3*$B56))*'1 Inputs'!$B$7*'1 Inputs'!$B$8*'1 Inputs'!$B$9*'1 Inputs'!$B$10*'1 Inputs'!$B$11</f>
        <v>6250000</v>
      </c>
      <c r="BV56" s="19" t="n">
        <f aca="false">MAX(0,MIN($B56,$A56*'1 Inputs'!$B$6-4*$B56))*'1 Inputs'!$B$7*'1 Inputs'!$B$8*'1 Inputs'!$B$9*'1 Inputs'!$B$10*'1 Inputs'!$B$11</f>
        <v>6250000</v>
      </c>
      <c r="BW56" s="19" t="n">
        <f aca="false">MAX(0,MIN($B56,$A56*'1 Inputs'!$B$6-5*$B56))*'1 Inputs'!$B$7*'1 Inputs'!$B$8*'1 Inputs'!$B$9*'1 Inputs'!$B$10*'1 Inputs'!$B$11</f>
        <v>6250000</v>
      </c>
      <c r="BX56" s="19" t="n">
        <f aca="false">MAX(0,MIN($B56,$A56*'1 Inputs'!$B$6-6*$B56))*'1 Inputs'!$B$7*'1 Inputs'!$B$8*'1 Inputs'!$B$9*'1 Inputs'!$B$10*'1 Inputs'!$B$11</f>
        <v>6250000</v>
      </c>
      <c r="BY56" s="19" t="n">
        <f aca="false">MAX(0,MIN($B56,$A56*'1 Inputs'!$B$6-7*$B56))*'1 Inputs'!$B$7*'1 Inputs'!$B$8*'1 Inputs'!$B$9*'1 Inputs'!$B$10*'1 Inputs'!$B$11</f>
        <v>6250000</v>
      </c>
      <c r="BZ56" s="19" t="n">
        <f aca="false">MAX(0,MIN($B56,$A56*'1 Inputs'!$B$6-8*$B56))*'1 Inputs'!$B$7*'1 Inputs'!$B$8*'1 Inputs'!$B$9*'1 Inputs'!$B$10*'1 Inputs'!$B$11</f>
        <v>6250000</v>
      </c>
      <c r="CA56" s="19" t="n">
        <f aca="false">MAX(0,MIN($B56,$A56*'1 Inputs'!$B$6-9*$B56))*'1 Inputs'!$B$7*'1 Inputs'!$B$8*'1 Inputs'!$B$9*'1 Inputs'!$B$10*'1 Inputs'!$B$11</f>
        <v>6250000</v>
      </c>
      <c r="CB56" s="19" t="n">
        <f aca="false">MAX(0,MIN($B56,$A56*'1 Inputs'!$B$6-10*$B56))*'1 Inputs'!$B$7*'1 Inputs'!$B$8*'1 Inputs'!$B$9*'1 Inputs'!$B$10*'1 Inputs'!$B$11</f>
        <v>6250000</v>
      </c>
      <c r="CC56" s="19" t="n">
        <f aca="false">MAX(0,MIN($B56,$A56*'1 Inputs'!$B$6-11*$B56))*'1 Inputs'!$B$7*'1 Inputs'!$B$8*'1 Inputs'!$B$9*'1 Inputs'!$B$10*'1 Inputs'!$B$11</f>
        <v>6250000</v>
      </c>
      <c r="CD56" s="19" t="n">
        <f aca="false">MAX(0,MIN($B56,$A56*'1 Inputs'!$B$6-12*$B56))*'1 Inputs'!$B$7*'1 Inputs'!$B$8*'1 Inputs'!$B$9*'1 Inputs'!$B$10*'1 Inputs'!$B$11</f>
        <v>6250000</v>
      </c>
      <c r="CE56" s="19" t="n">
        <f aca="false">MAX(0,MIN($B56,$A56*'1 Inputs'!$B$6-13*$B56))*'1 Inputs'!$B$7*'1 Inputs'!$B$8*'1 Inputs'!$B$9*'1 Inputs'!$B$10*'1 Inputs'!$B$11</f>
        <v>6250000</v>
      </c>
      <c r="CF56" s="19" t="n">
        <f aca="false">MAX(0,MIN($B56,$A56*'1 Inputs'!$B$6-14*$B56))*'1 Inputs'!$B$7*'1 Inputs'!$B$8*'1 Inputs'!$B$9*'1 Inputs'!$B$10*'1 Inputs'!$B$11</f>
        <v>6250000</v>
      </c>
      <c r="CG56" s="19" t="n">
        <f aca="false">MAX(0,MIN($B56,$A56*'1 Inputs'!$B$6-15*$B56))*'1 Inputs'!$B$7*'1 Inputs'!$B$8*'1 Inputs'!$B$9*'1 Inputs'!$B$10*'1 Inputs'!$B$11</f>
        <v>6250000</v>
      </c>
      <c r="CH56" s="19" t="n">
        <f aca="false">MAX(0,MIN($B56,$A56*'1 Inputs'!$B$6-16*$B56))*'1 Inputs'!$B$7*'1 Inputs'!$B$8*'1 Inputs'!$B$9*'1 Inputs'!$B$10*'1 Inputs'!$B$11</f>
        <v>6250000</v>
      </c>
      <c r="CI56" s="19" t="n">
        <f aca="false">MAX(0,MIN($B56,$A56*'1 Inputs'!$B$6-17*$B56))*'1 Inputs'!$B$7*'1 Inputs'!$B$8*'1 Inputs'!$B$9*'1 Inputs'!$B$10*'1 Inputs'!$B$11</f>
        <v>6250000</v>
      </c>
      <c r="CJ56" s="19" t="n">
        <f aca="false">MAX(0,MIN($B56,$A56*'1 Inputs'!$B$6-18*$B56))*'1 Inputs'!$B$7*'1 Inputs'!$B$8*'1 Inputs'!$B$9*'1 Inputs'!$B$10*'1 Inputs'!$B$11</f>
        <v>6250000</v>
      </c>
      <c r="CK56" s="19" t="n">
        <f aca="false">MAX(0,MIN($B56,$A56*'1 Inputs'!$B$6-19*$B56))*'1 Inputs'!$B$7*'1 Inputs'!$B$8*'1 Inputs'!$B$9*'1 Inputs'!$B$10*'1 Inputs'!$B$11</f>
        <v>6250000</v>
      </c>
      <c r="CL56" s="19" t="n">
        <f aca="false">MAX(0,MIN($B56,$A56*'1 Inputs'!$B$6-20*$B56))*'1 Inputs'!$B$7*'1 Inputs'!$B$8*'1 Inputs'!$B$9*'1 Inputs'!$B$10*'1 Inputs'!$B$11</f>
        <v>6250000</v>
      </c>
      <c r="CM56" s="19" t="n">
        <f aca="false">MAX(0,MIN($B56,$A56*'1 Inputs'!$B$6-21*$B56))*'1 Inputs'!$B$7*'1 Inputs'!$B$8*'1 Inputs'!$B$9*'1 Inputs'!$B$10*'1 Inputs'!$B$11</f>
        <v>6250000</v>
      </c>
      <c r="CN56" s="19" t="n">
        <f aca="false">MAX(0,MIN($B56,$A56*'1 Inputs'!$B$6-22*$B56))*'1 Inputs'!$B$7*'1 Inputs'!$B$8*'1 Inputs'!$B$9*'1 Inputs'!$B$10*'1 Inputs'!$B$11</f>
        <v>6250000</v>
      </c>
      <c r="CO56" s="19" t="n">
        <f aca="false">MAX(0,MIN($B56,$A56*'1 Inputs'!$B$6-23*$B56))*'1 Inputs'!$B$7*'1 Inputs'!$B$8*'1 Inputs'!$B$9*'1 Inputs'!$B$10*'1 Inputs'!$B$11</f>
        <v>6250000</v>
      </c>
      <c r="CP56" s="19" t="n">
        <f aca="false">MAX(0,MIN($B56,$A56*'1 Inputs'!$B$6-24*$B56))*'1 Inputs'!$B$7*'1 Inputs'!$B$8*'1 Inputs'!$B$9*'1 Inputs'!$B$10*'1 Inputs'!$B$11</f>
        <v>6250000</v>
      </c>
      <c r="CQ56" s="19" t="n">
        <f aca="false">MAX(0,MIN($B56,$A56*'1 Inputs'!$B$6-25*$B56))*'1 Inputs'!$B$7*'1 Inputs'!$B$8*'1 Inputs'!$B$9*'1 Inputs'!$B$10*'1 Inputs'!$B$11</f>
        <v>6250000</v>
      </c>
      <c r="CR56" s="19" t="n">
        <f aca="false">MAX(0,MIN($B56,$A56*'1 Inputs'!$B$6-26*$B56))*'1 Inputs'!$B$7*'1 Inputs'!$B$8*'1 Inputs'!$B$9*'1 Inputs'!$B$10*'1 Inputs'!$B$11</f>
        <v>6250000</v>
      </c>
      <c r="CS56" s="19" t="n">
        <f aca="false">MAX(0,MIN($B56,$A56*'1 Inputs'!$B$6-27*$B56))*'1 Inputs'!$B$7*'1 Inputs'!$B$8*'1 Inputs'!$B$9*'1 Inputs'!$B$10*'1 Inputs'!$B$11</f>
        <v>6250000</v>
      </c>
      <c r="CT56" s="19" t="n">
        <f aca="false">MAX(0,MIN($B56,$A56*'1 Inputs'!$B$6-28*$B56))*'1 Inputs'!$B$7*'1 Inputs'!$B$8*'1 Inputs'!$B$9*'1 Inputs'!$B$10*'1 Inputs'!$B$11</f>
        <v>6250000</v>
      </c>
      <c r="CU56" s="19" t="n">
        <f aca="false">MAX(0,MIN($B56,$A56*'1 Inputs'!$B$6-29*$B56))*'1 Inputs'!$B$7*'1 Inputs'!$B$8*'1 Inputs'!$B$9*'1 Inputs'!$B$10*'1 Inputs'!$B$11</f>
        <v>6250000</v>
      </c>
      <c r="CV56" s="19" t="n">
        <f aca="false">MAX(0,MIN($B56,$A56*'1 Inputs'!$B$6-30*$B56))*'1 Inputs'!$B$7*'1 Inputs'!$B$8*'1 Inputs'!$B$9*'1 Inputs'!$B$10*'1 Inputs'!$B$11</f>
        <v>0</v>
      </c>
      <c r="CW56" s="19" t="n">
        <f aca="false">MAX(0,MIN($B56,$A56*'1 Inputs'!$B$6-31*$B56))*'1 Inputs'!$B$7*'1 Inputs'!$B$8*'1 Inputs'!$B$9*'1 Inputs'!$B$10*'1 Inputs'!$B$11</f>
        <v>0</v>
      </c>
      <c r="CX56" s="19" t="n">
        <f aca="false">MAX(0,MIN($B56,$A56*'1 Inputs'!$B$6-32*$B56))*'1 Inputs'!$B$7*'1 Inputs'!$B$8*'1 Inputs'!$B$9*'1 Inputs'!$B$10*'1 Inputs'!$B$11</f>
        <v>0</v>
      </c>
      <c r="CY56" s="19" t="n">
        <f aca="false">MAX(0,MIN($B56,$A56*'1 Inputs'!$B$6-33*$B56))*'1 Inputs'!$B$7*'1 Inputs'!$B$8*'1 Inputs'!$B$9*'1 Inputs'!$B$10*'1 Inputs'!$B$11</f>
        <v>0</v>
      </c>
      <c r="CZ56" s="19" t="n">
        <f aca="false">MAX(0,MIN($B56,$A56*'1 Inputs'!$B$6-34*$B56))*'1 Inputs'!$B$7*'1 Inputs'!$B$8*'1 Inputs'!$B$9*'1 Inputs'!$B$10*'1 Inputs'!$B$11</f>
        <v>0</v>
      </c>
      <c r="DA56" s="19" t="n">
        <f aca="false">MAX(0,MIN($B56,$A56*'1 Inputs'!$B$6-35*$B56))*'1 Inputs'!$B$7*'1 Inputs'!$B$8*'1 Inputs'!$B$9*'1 Inputs'!$B$10*'1 Inputs'!$B$11</f>
        <v>0</v>
      </c>
      <c r="DB56" s="19" t="n">
        <f aca="false">MAX(0,MIN($B56,$A56*'1 Inputs'!$B$6-36*$B56))*'1 Inputs'!$B$7*'1 Inputs'!$B$8*'1 Inputs'!$B$9*'1 Inputs'!$B$10*'1 Inputs'!$B$11</f>
        <v>0</v>
      </c>
      <c r="DC56" s="19" t="n">
        <f aca="false">MAX(0,MIN($B56,$A56*'1 Inputs'!$B$6-37*$B56))*'1 Inputs'!$B$7*'1 Inputs'!$B$8*'1 Inputs'!$B$9*'1 Inputs'!$B$10*'1 Inputs'!$B$11</f>
        <v>0</v>
      </c>
      <c r="DD56" s="19" t="n">
        <f aca="false">MAX(0,MIN($B56,$A56*'1 Inputs'!$B$6-38*$B56))*'1 Inputs'!$B$7*'1 Inputs'!$B$8*'1 Inputs'!$B$9*'1 Inputs'!$B$10*'1 Inputs'!$B$11</f>
        <v>0</v>
      </c>
      <c r="DE56" s="19" t="n">
        <f aca="false">MAX(0,MIN($B56,$A56*'1 Inputs'!$B$6-39*$B56))*'1 Inputs'!$B$7*'1 Inputs'!$B$8*'1 Inputs'!$B$9*'1 Inputs'!$B$10*'1 Inputs'!$B$11</f>
        <v>0</v>
      </c>
      <c r="DF56" s="19" t="n">
        <f aca="false">MAX(0,MIN($B56,$A56*'1 Inputs'!$B$6-40*$B56))*'1 Inputs'!$B$7*'1 Inputs'!$B$8*'1 Inputs'!$B$9*'1 Inputs'!$B$10*'1 Inputs'!$B$11</f>
        <v>0</v>
      </c>
      <c r="DG56" s="19" t="n">
        <f aca="false">MAX(0,MIN($B56,$A56*'1 Inputs'!$B$6-41*$B56))*'1 Inputs'!$B$7*'1 Inputs'!$B$8*'1 Inputs'!$B$9*'1 Inputs'!$B$10*'1 Inputs'!$B$11</f>
        <v>0</v>
      </c>
      <c r="DH56" s="19" t="n">
        <f aca="false">MAX(0,MIN($B56,$A56*'1 Inputs'!$B$6-42*$B56))*'1 Inputs'!$B$7*'1 Inputs'!$B$8*'1 Inputs'!$B$9*'1 Inputs'!$B$10*'1 Inputs'!$B$11</f>
        <v>0</v>
      </c>
      <c r="DI56" s="19" t="n">
        <f aca="false">MAX(0,MIN($B56,$A56*'1 Inputs'!$B$6-43*$B56))*'1 Inputs'!$B$7*'1 Inputs'!$B$8*'1 Inputs'!$B$9*'1 Inputs'!$B$10*'1 Inputs'!$B$11</f>
        <v>0</v>
      </c>
      <c r="DJ56" s="19" t="n">
        <f aca="false">MAX(0,MIN($B56,$A56*'1 Inputs'!$B$6-44*$B56))*'1 Inputs'!$B$7*'1 Inputs'!$B$8*'1 Inputs'!$B$9*'1 Inputs'!$B$10*'1 Inputs'!$B$11</f>
        <v>0</v>
      </c>
      <c r="DK56" s="19" t="n">
        <f aca="false">MAX(0,MIN($B56,$A56*'1 Inputs'!$B$6-45*$B56))*'1 Inputs'!$B$7*'1 Inputs'!$B$8*'1 Inputs'!$B$9*'1 Inputs'!$B$10*'1 Inputs'!$B$11</f>
        <v>0</v>
      </c>
      <c r="DL56" s="19" t="n">
        <f aca="false">MAX(0,MIN($B56,$A56*'1 Inputs'!$B$6-46*$B56))*'1 Inputs'!$B$7*'1 Inputs'!$B$8*'1 Inputs'!$B$9*'1 Inputs'!$B$10*'1 Inputs'!$B$11</f>
        <v>0</v>
      </c>
      <c r="DM56" s="19" t="n">
        <f aca="false">MAX(0,MIN($B56,$A56*'1 Inputs'!$B$6-47*$B56))*'1 Inputs'!$B$7*'1 Inputs'!$B$8*'1 Inputs'!$B$9*'1 Inputs'!$B$10*'1 Inputs'!$B$11</f>
        <v>0</v>
      </c>
      <c r="DN56" s="19" t="n">
        <f aca="false">MAX(0,MIN($B56,$A56*'1 Inputs'!$B$6-48*$B56))*'1 Inputs'!$B$7*'1 Inputs'!$B$8*'1 Inputs'!$B$9*'1 Inputs'!$B$10*'1 Inputs'!$B$11</f>
        <v>0</v>
      </c>
      <c r="DO56" s="19" t="n">
        <f aca="false">MAX(0,MIN($B56,$A56*'1 Inputs'!$B$6-49*$B56))*'1 Inputs'!$B$7*'1 Inputs'!$B$8*'1 Inputs'!$B$9*'1 Inputs'!$B$10*'1 Inputs'!$B$11</f>
        <v>0</v>
      </c>
      <c r="DP56" s="19" t="n">
        <f aca="false">MAX(0,MIN($B56,$A56*'1 Inputs'!$B$6-50*$B56))*'1 Inputs'!$B$7*'1 Inputs'!$B$8*'1 Inputs'!$B$9*'1 Inputs'!$B$10*'1 Inputs'!$B$11</f>
        <v>0</v>
      </c>
      <c r="DQ56" s="19" t="n">
        <f aca="false">MAX(0,MIN($B56,$A56*'1 Inputs'!$B$6-51*$B56))*'1 Inputs'!$B$7*'1 Inputs'!$B$8*'1 Inputs'!$B$9*'1 Inputs'!$B$10*'1 Inputs'!$B$11</f>
        <v>0</v>
      </c>
      <c r="DR56" s="19" t="n">
        <f aca="false">MAX(0,MIN($B56,$A56*'1 Inputs'!$B$6-52*$B56))*'1 Inputs'!$B$7*'1 Inputs'!$B$8*'1 Inputs'!$B$9*'1 Inputs'!$B$10*'1 Inputs'!$B$11</f>
        <v>0</v>
      </c>
      <c r="DS56" s="19" t="n">
        <f aca="false">MAX(0,MIN($B56,$A56*'1 Inputs'!$B$6-53*$B56))*'1 Inputs'!$B$7*'1 Inputs'!$B$8*'1 Inputs'!$B$9*'1 Inputs'!$B$10*'1 Inputs'!$B$11</f>
        <v>0</v>
      </c>
      <c r="DT56" s="19" t="n">
        <f aca="false">MAX(0,MIN($B56,$A56*'1 Inputs'!$B$6-54*$B56))*'1 Inputs'!$B$7*'1 Inputs'!$B$8*'1 Inputs'!$B$9*'1 Inputs'!$B$10*'1 Inputs'!$B$11</f>
        <v>0</v>
      </c>
      <c r="DU56" s="19" t="n">
        <f aca="false">MAX(0,MIN($B56,$A56*'1 Inputs'!$B$6-55*$B56))*'1 Inputs'!$B$7*'1 Inputs'!$B$8*'1 Inputs'!$B$9*'1 Inputs'!$B$10*'1 Inputs'!$B$11</f>
        <v>0</v>
      </c>
      <c r="DV56" s="19" t="n">
        <f aca="false">MAX(0,MIN($B56,$A56*'1 Inputs'!$B$6-56*$B56))*'1 Inputs'!$B$7*'1 Inputs'!$B$8*'1 Inputs'!$B$9*'1 Inputs'!$B$10*'1 Inputs'!$B$11</f>
        <v>0</v>
      </c>
      <c r="DW56" s="19" t="n">
        <f aca="false">MAX(0,MIN($B56,$A56*'1 Inputs'!$B$6-57*$B56))*'1 Inputs'!$B$7*'1 Inputs'!$B$8*'1 Inputs'!$B$9*'1 Inputs'!$B$10*'1 Inputs'!$B$11</f>
        <v>0</v>
      </c>
      <c r="DX56" s="19" t="n">
        <f aca="false">MAX(0,MIN($B56,$A56*'1 Inputs'!$B$6-58*$B56))*'1 Inputs'!$B$7*'1 Inputs'!$B$8*'1 Inputs'!$B$9*'1 Inputs'!$B$10*'1 Inputs'!$B$11</f>
        <v>0</v>
      </c>
      <c r="DY56" s="19" t="n">
        <f aca="false">MAX(0,MIN($B56,$A56*'1 Inputs'!$B$6-59*$B56))*'1 Inputs'!$B$7*'1 Inputs'!$B$8*'1 Inputs'!$B$9*'1 Inputs'!$B$10*'1 Inputs'!$B$11</f>
        <v>0</v>
      </c>
    </row>
    <row r="57" customFormat="false" ht="15" hidden="false" customHeight="false" outlineLevel="0" collapsed="false">
      <c r="A57" s="0" t="n">
        <v>360</v>
      </c>
      <c r="B57" s="0" t="n">
        <v>8</v>
      </c>
      <c r="C57" s="12" t="n">
        <f aca="false">SUMIF(J57:BQ57,"&lt;="&amp;('1 Inputs'!$B$21+52),BR57:DY57)</f>
        <v>150000000</v>
      </c>
      <c r="J57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57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57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57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57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57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57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57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57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57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57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57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57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57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57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57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57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57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57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57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57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57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57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57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57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57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57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57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57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57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57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57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57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57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57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57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57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57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57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57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57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57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57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57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57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57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57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57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57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57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57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57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57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57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57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57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57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57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57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57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57" s="19" t="n">
        <f aca="false">MAX(0,MIN($B57,$A57*'1 Inputs'!$B$6-0*$B57))*'1 Inputs'!$B$7*'1 Inputs'!$B$8*'1 Inputs'!$B$9*'1 Inputs'!$B$10*'1 Inputs'!$B$11</f>
        <v>8333333.33333333</v>
      </c>
      <c r="BS57" s="19" t="n">
        <f aca="false">MAX(0,MIN($B57,$A57*'1 Inputs'!$B$6-1*$B57))*'1 Inputs'!$B$7*'1 Inputs'!$B$8*'1 Inputs'!$B$9*'1 Inputs'!$B$10*'1 Inputs'!$B$11</f>
        <v>8333333.33333333</v>
      </c>
      <c r="BT57" s="19" t="n">
        <f aca="false">MAX(0,MIN($B57,$A57*'1 Inputs'!$B$6-2*$B57))*'1 Inputs'!$B$7*'1 Inputs'!$B$8*'1 Inputs'!$B$9*'1 Inputs'!$B$10*'1 Inputs'!$B$11</f>
        <v>8333333.33333333</v>
      </c>
      <c r="BU57" s="19" t="n">
        <f aca="false">MAX(0,MIN($B57,$A57*'1 Inputs'!$B$6-3*$B57))*'1 Inputs'!$B$7*'1 Inputs'!$B$8*'1 Inputs'!$B$9*'1 Inputs'!$B$10*'1 Inputs'!$B$11</f>
        <v>8333333.33333333</v>
      </c>
      <c r="BV57" s="19" t="n">
        <f aca="false">MAX(0,MIN($B57,$A57*'1 Inputs'!$B$6-4*$B57))*'1 Inputs'!$B$7*'1 Inputs'!$B$8*'1 Inputs'!$B$9*'1 Inputs'!$B$10*'1 Inputs'!$B$11</f>
        <v>8333333.33333333</v>
      </c>
      <c r="BW57" s="19" t="n">
        <f aca="false">MAX(0,MIN($B57,$A57*'1 Inputs'!$B$6-5*$B57))*'1 Inputs'!$B$7*'1 Inputs'!$B$8*'1 Inputs'!$B$9*'1 Inputs'!$B$10*'1 Inputs'!$B$11</f>
        <v>8333333.33333333</v>
      </c>
      <c r="BX57" s="19" t="n">
        <f aca="false">MAX(0,MIN($B57,$A57*'1 Inputs'!$B$6-6*$B57))*'1 Inputs'!$B$7*'1 Inputs'!$B$8*'1 Inputs'!$B$9*'1 Inputs'!$B$10*'1 Inputs'!$B$11</f>
        <v>8333333.33333333</v>
      </c>
      <c r="BY57" s="19" t="n">
        <f aca="false">MAX(0,MIN($B57,$A57*'1 Inputs'!$B$6-7*$B57))*'1 Inputs'!$B$7*'1 Inputs'!$B$8*'1 Inputs'!$B$9*'1 Inputs'!$B$10*'1 Inputs'!$B$11</f>
        <v>8333333.33333333</v>
      </c>
      <c r="BZ57" s="19" t="n">
        <f aca="false">MAX(0,MIN($B57,$A57*'1 Inputs'!$B$6-8*$B57))*'1 Inputs'!$B$7*'1 Inputs'!$B$8*'1 Inputs'!$B$9*'1 Inputs'!$B$10*'1 Inputs'!$B$11</f>
        <v>8333333.33333333</v>
      </c>
      <c r="CA57" s="19" t="n">
        <f aca="false">MAX(0,MIN($B57,$A57*'1 Inputs'!$B$6-9*$B57))*'1 Inputs'!$B$7*'1 Inputs'!$B$8*'1 Inputs'!$B$9*'1 Inputs'!$B$10*'1 Inputs'!$B$11</f>
        <v>8333333.33333333</v>
      </c>
      <c r="CB57" s="19" t="n">
        <f aca="false">MAX(0,MIN($B57,$A57*'1 Inputs'!$B$6-10*$B57))*'1 Inputs'!$B$7*'1 Inputs'!$B$8*'1 Inputs'!$B$9*'1 Inputs'!$B$10*'1 Inputs'!$B$11</f>
        <v>8333333.33333333</v>
      </c>
      <c r="CC57" s="19" t="n">
        <f aca="false">MAX(0,MIN($B57,$A57*'1 Inputs'!$B$6-11*$B57))*'1 Inputs'!$B$7*'1 Inputs'!$B$8*'1 Inputs'!$B$9*'1 Inputs'!$B$10*'1 Inputs'!$B$11</f>
        <v>8333333.33333333</v>
      </c>
      <c r="CD57" s="19" t="n">
        <f aca="false">MAX(0,MIN($B57,$A57*'1 Inputs'!$B$6-12*$B57))*'1 Inputs'!$B$7*'1 Inputs'!$B$8*'1 Inputs'!$B$9*'1 Inputs'!$B$10*'1 Inputs'!$B$11</f>
        <v>8333333.33333333</v>
      </c>
      <c r="CE57" s="19" t="n">
        <f aca="false">MAX(0,MIN($B57,$A57*'1 Inputs'!$B$6-13*$B57))*'1 Inputs'!$B$7*'1 Inputs'!$B$8*'1 Inputs'!$B$9*'1 Inputs'!$B$10*'1 Inputs'!$B$11</f>
        <v>8333333.33333333</v>
      </c>
      <c r="CF57" s="19" t="n">
        <f aca="false">MAX(0,MIN($B57,$A57*'1 Inputs'!$B$6-14*$B57))*'1 Inputs'!$B$7*'1 Inputs'!$B$8*'1 Inputs'!$B$9*'1 Inputs'!$B$10*'1 Inputs'!$B$11</f>
        <v>8333333.33333333</v>
      </c>
      <c r="CG57" s="19" t="n">
        <f aca="false">MAX(0,MIN($B57,$A57*'1 Inputs'!$B$6-15*$B57))*'1 Inputs'!$B$7*'1 Inputs'!$B$8*'1 Inputs'!$B$9*'1 Inputs'!$B$10*'1 Inputs'!$B$11</f>
        <v>8333333.33333333</v>
      </c>
      <c r="CH57" s="19" t="n">
        <f aca="false">MAX(0,MIN($B57,$A57*'1 Inputs'!$B$6-16*$B57))*'1 Inputs'!$B$7*'1 Inputs'!$B$8*'1 Inputs'!$B$9*'1 Inputs'!$B$10*'1 Inputs'!$B$11</f>
        <v>8333333.33333333</v>
      </c>
      <c r="CI57" s="19" t="n">
        <f aca="false">MAX(0,MIN($B57,$A57*'1 Inputs'!$B$6-17*$B57))*'1 Inputs'!$B$7*'1 Inputs'!$B$8*'1 Inputs'!$B$9*'1 Inputs'!$B$10*'1 Inputs'!$B$11</f>
        <v>8333333.33333333</v>
      </c>
      <c r="CJ57" s="19" t="n">
        <f aca="false">MAX(0,MIN($B57,$A57*'1 Inputs'!$B$6-18*$B57))*'1 Inputs'!$B$7*'1 Inputs'!$B$8*'1 Inputs'!$B$9*'1 Inputs'!$B$10*'1 Inputs'!$B$11</f>
        <v>8333333.33333333</v>
      </c>
      <c r="CK57" s="19" t="n">
        <f aca="false">MAX(0,MIN($B57,$A57*'1 Inputs'!$B$6-19*$B57))*'1 Inputs'!$B$7*'1 Inputs'!$B$8*'1 Inputs'!$B$9*'1 Inputs'!$B$10*'1 Inputs'!$B$11</f>
        <v>8333333.33333333</v>
      </c>
      <c r="CL57" s="19" t="n">
        <f aca="false">MAX(0,MIN($B57,$A57*'1 Inputs'!$B$6-20*$B57))*'1 Inputs'!$B$7*'1 Inputs'!$B$8*'1 Inputs'!$B$9*'1 Inputs'!$B$10*'1 Inputs'!$B$11</f>
        <v>8333333.33333333</v>
      </c>
      <c r="CM57" s="19" t="n">
        <f aca="false">MAX(0,MIN($B57,$A57*'1 Inputs'!$B$6-21*$B57))*'1 Inputs'!$B$7*'1 Inputs'!$B$8*'1 Inputs'!$B$9*'1 Inputs'!$B$10*'1 Inputs'!$B$11</f>
        <v>8333333.33333333</v>
      </c>
      <c r="CN57" s="19" t="n">
        <f aca="false">MAX(0,MIN($B57,$A57*'1 Inputs'!$B$6-22*$B57))*'1 Inputs'!$B$7*'1 Inputs'!$B$8*'1 Inputs'!$B$9*'1 Inputs'!$B$10*'1 Inputs'!$B$11</f>
        <v>4166666.66666667</v>
      </c>
      <c r="CO57" s="19" t="n">
        <f aca="false">MAX(0,MIN($B57,$A57*'1 Inputs'!$B$6-23*$B57))*'1 Inputs'!$B$7*'1 Inputs'!$B$8*'1 Inputs'!$B$9*'1 Inputs'!$B$10*'1 Inputs'!$B$11</f>
        <v>0</v>
      </c>
      <c r="CP57" s="19" t="n">
        <f aca="false">MAX(0,MIN($B57,$A57*'1 Inputs'!$B$6-24*$B57))*'1 Inputs'!$B$7*'1 Inputs'!$B$8*'1 Inputs'!$B$9*'1 Inputs'!$B$10*'1 Inputs'!$B$11</f>
        <v>0</v>
      </c>
      <c r="CQ57" s="19" t="n">
        <f aca="false">MAX(0,MIN($B57,$A57*'1 Inputs'!$B$6-25*$B57))*'1 Inputs'!$B$7*'1 Inputs'!$B$8*'1 Inputs'!$B$9*'1 Inputs'!$B$10*'1 Inputs'!$B$11</f>
        <v>0</v>
      </c>
      <c r="CR57" s="19" t="n">
        <f aca="false">MAX(0,MIN($B57,$A57*'1 Inputs'!$B$6-26*$B57))*'1 Inputs'!$B$7*'1 Inputs'!$B$8*'1 Inputs'!$B$9*'1 Inputs'!$B$10*'1 Inputs'!$B$11</f>
        <v>0</v>
      </c>
      <c r="CS57" s="19" t="n">
        <f aca="false">MAX(0,MIN($B57,$A57*'1 Inputs'!$B$6-27*$B57))*'1 Inputs'!$B$7*'1 Inputs'!$B$8*'1 Inputs'!$B$9*'1 Inputs'!$B$10*'1 Inputs'!$B$11</f>
        <v>0</v>
      </c>
      <c r="CT57" s="19" t="n">
        <f aca="false">MAX(0,MIN($B57,$A57*'1 Inputs'!$B$6-28*$B57))*'1 Inputs'!$B$7*'1 Inputs'!$B$8*'1 Inputs'!$B$9*'1 Inputs'!$B$10*'1 Inputs'!$B$11</f>
        <v>0</v>
      </c>
      <c r="CU57" s="19" t="n">
        <f aca="false">MAX(0,MIN($B57,$A57*'1 Inputs'!$B$6-29*$B57))*'1 Inputs'!$B$7*'1 Inputs'!$B$8*'1 Inputs'!$B$9*'1 Inputs'!$B$10*'1 Inputs'!$B$11</f>
        <v>0</v>
      </c>
      <c r="CV57" s="19" t="n">
        <f aca="false">MAX(0,MIN($B57,$A57*'1 Inputs'!$B$6-30*$B57))*'1 Inputs'!$B$7*'1 Inputs'!$B$8*'1 Inputs'!$B$9*'1 Inputs'!$B$10*'1 Inputs'!$B$11</f>
        <v>0</v>
      </c>
      <c r="CW57" s="19" t="n">
        <f aca="false">MAX(0,MIN($B57,$A57*'1 Inputs'!$B$6-31*$B57))*'1 Inputs'!$B$7*'1 Inputs'!$B$8*'1 Inputs'!$B$9*'1 Inputs'!$B$10*'1 Inputs'!$B$11</f>
        <v>0</v>
      </c>
      <c r="CX57" s="19" t="n">
        <f aca="false">MAX(0,MIN($B57,$A57*'1 Inputs'!$B$6-32*$B57))*'1 Inputs'!$B$7*'1 Inputs'!$B$8*'1 Inputs'!$B$9*'1 Inputs'!$B$10*'1 Inputs'!$B$11</f>
        <v>0</v>
      </c>
      <c r="CY57" s="19" t="n">
        <f aca="false">MAX(0,MIN($B57,$A57*'1 Inputs'!$B$6-33*$B57))*'1 Inputs'!$B$7*'1 Inputs'!$B$8*'1 Inputs'!$B$9*'1 Inputs'!$B$10*'1 Inputs'!$B$11</f>
        <v>0</v>
      </c>
      <c r="CZ57" s="19" t="n">
        <f aca="false">MAX(0,MIN($B57,$A57*'1 Inputs'!$B$6-34*$B57))*'1 Inputs'!$B$7*'1 Inputs'!$B$8*'1 Inputs'!$B$9*'1 Inputs'!$B$10*'1 Inputs'!$B$11</f>
        <v>0</v>
      </c>
      <c r="DA57" s="19" t="n">
        <f aca="false">MAX(0,MIN($B57,$A57*'1 Inputs'!$B$6-35*$B57))*'1 Inputs'!$B$7*'1 Inputs'!$B$8*'1 Inputs'!$B$9*'1 Inputs'!$B$10*'1 Inputs'!$B$11</f>
        <v>0</v>
      </c>
      <c r="DB57" s="19" t="n">
        <f aca="false">MAX(0,MIN($B57,$A57*'1 Inputs'!$B$6-36*$B57))*'1 Inputs'!$B$7*'1 Inputs'!$B$8*'1 Inputs'!$B$9*'1 Inputs'!$B$10*'1 Inputs'!$B$11</f>
        <v>0</v>
      </c>
      <c r="DC57" s="19" t="n">
        <f aca="false">MAX(0,MIN($B57,$A57*'1 Inputs'!$B$6-37*$B57))*'1 Inputs'!$B$7*'1 Inputs'!$B$8*'1 Inputs'!$B$9*'1 Inputs'!$B$10*'1 Inputs'!$B$11</f>
        <v>0</v>
      </c>
      <c r="DD57" s="19" t="n">
        <f aca="false">MAX(0,MIN($B57,$A57*'1 Inputs'!$B$6-38*$B57))*'1 Inputs'!$B$7*'1 Inputs'!$B$8*'1 Inputs'!$B$9*'1 Inputs'!$B$10*'1 Inputs'!$B$11</f>
        <v>0</v>
      </c>
      <c r="DE57" s="19" t="n">
        <f aca="false">MAX(0,MIN($B57,$A57*'1 Inputs'!$B$6-39*$B57))*'1 Inputs'!$B$7*'1 Inputs'!$B$8*'1 Inputs'!$B$9*'1 Inputs'!$B$10*'1 Inputs'!$B$11</f>
        <v>0</v>
      </c>
      <c r="DF57" s="19" t="n">
        <f aca="false">MAX(0,MIN($B57,$A57*'1 Inputs'!$B$6-40*$B57))*'1 Inputs'!$B$7*'1 Inputs'!$B$8*'1 Inputs'!$B$9*'1 Inputs'!$B$10*'1 Inputs'!$B$11</f>
        <v>0</v>
      </c>
      <c r="DG57" s="19" t="n">
        <f aca="false">MAX(0,MIN($B57,$A57*'1 Inputs'!$B$6-41*$B57))*'1 Inputs'!$B$7*'1 Inputs'!$B$8*'1 Inputs'!$B$9*'1 Inputs'!$B$10*'1 Inputs'!$B$11</f>
        <v>0</v>
      </c>
      <c r="DH57" s="19" t="n">
        <f aca="false">MAX(0,MIN($B57,$A57*'1 Inputs'!$B$6-42*$B57))*'1 Inputs'!$B$7*'1 Inputs'!$B$8*'1 Inputs'!$B$9*'1 Inputs'!$B$10*'1 Inputs'!$B$11</f>
        <v>0</v>
      </c>
      <c r="DI57" s="19" t="n">
        <f aca="false">MAX(0,MIN($B57,$A57*'1 Inputs'!$B$6-43*$B57))*'1 Inputs'!$B$7*'1 Inputs'!$B$8*'1 Inputs'!$B$9*'1 Inputs'!$B$10*'1 Inputs'!$B$11</f>
        <v>0</v>
      </c>
      <c r="DJ57" s="19" t="n">
        <f aca="false">MAX(0,MIN($B57,$A57*'1 Inputs'!$B$6-44*$B57))*'1 Inputs'!$B$7*'1 Inputs'!$B$8*'1 Inputs'!$B$9*'1 Inputs'!$B$10*'1 Inputs'!$B$11</f>
        <v>0</v>
      </c>
      <c r="DK57" s="19" t="n">
        <f aca="false">MAX(0,MIN($B57,$A57*'1 Inputs'!$B$6-45*$B57))*'1 Inputs'!$B$7*'1 Inputs'!$B$8*'1 Inputs'!$B$9*'1 Inputs'!$B$10*'1 Inputs'!$B$11</f>
        <v>0</v>
      </c>
      <c r="DL57" s="19" t="n">
        <f aca="false">MAX(0,MIN($B57,$A57*'1 Inputs'!$B$6-46*$B57))*'1 Inputs'!$B$7*'1 Inputs'!$B$8*'1 Inputs'!$B$9*'1 Inputs'!$B$10*'1 Inputs'!$B$11</f>
        <v>0</v>
      </c>
      <c r="DM57" s="19" t="n">
        <f aca="false">MAX(0,MIN($B57,$A57*'1 Inputs'!$B$6-47*$B57))*'1 Inputs'!$B$7*'1 Inputs'!$B$8*'1 Inputs'!$B$9*'1 Inputs'!$B$10*'1 Inputs'!$B$11</f>
        <v>0</v>
      </c>
      <c r="DN57" s="19" t="n">
        <f aca="false">MAX(0,MIN($B57,$A57*'1 Inputs'!$B$6-48*$B57))*'1 Inputs'!$B$7*'1 Inputs'!$B$8*'1 Inputs'!$B$9*'1 Inputs'!$B$10*'1 Inputs'!$B$11</f>
        <v>0</v>
      </c>
      <c r="DO57" s="19" t="n">
        <f aca="false">MAX(0,MIN($B57,$A57*'1 Inputs'!$B$6-49*$B57))*'1 Inputs'!$B$7*'1 Inputs'!$B$8*'1 Inputs'!$B$9*'1 Inputs'!$B$10*'1 Inputs'!$B$11</f>
        <v>0</v>
      </c>
      <c r="DP57" s="19" t="n">
        <f aca="false">MAX(0,MIN($B57,$A57*'1 Inputs'!$B$6-50*$B57))*'1 Inputs'!$B$7*'1 Inputs'!$B$8*'1 Inputs'!$B$9*'1 Inputs'!$B$10*'1 Inputs'!$B$11</f>
        <v>0</v>
      </c>
      <c r="DQ57" s="19" t="n">
        <f aca="false">MAX(0,MIN($B57,$A57*'1 Inputs'!$B$6-51*$B57))*'1 Inputs'!$B$7*'1 Inputs'!$B$8*'1 Inputs'!$B$9*'1 Inputs'!$B$10*'1 Inputs'!$B$11</f>
        <v>0</v>
      </c>
      <c r="DR57" s="19" t="n">
        <f aca="false">MAX(0,MIN($B57,$A57*'1 Inputs'!$B$6-52*$B57))*'1 Inputs'!$B$7*'1 Inputs'!$B$8*'1 Inputs'!$B$9*'1 Inputs'!$B$10*'1 Inputs'!$B$11</f>
        <v>0</v>
      </c>
      <c r="DS57" s="19" t="n">
        <f aca="false">MAX(0,MIN($B57,$A57*'1 Inputs'!$B$6-53*$B57))*'1 Inputs'!$B$7*'1 Inputs'!$B$8*'1 Inputs'!$B$9*'1 Inputs'!$B$10*'1 Inputs'!$B$11</f>
        <v>0</v>
      </c>
      <c r="DT57" s="19" t="n">
        <f aca="false">MAX(0,MIN($B57,$A57*'1 Inputs'!$B$6-54*$B57))*'1 Inputs'!$B$7*'1 Inputs'!$B$8*'1 Inputs'!$B$9*'1 Inputs'!$B$10*'1 Inputs'!$B$11</f>
        <v>0</v>
      </c>
      <c r="DU57" s="19" t="n">
        <f aca="false">MAX(0,MIN($B57,$A57*'1 Inputs'!$B$6-55*$B57))*'1 Inputs'!$B$7*'1 Inputs'!$B$8*'1 Inputs'!$B$9*'1 Inputs'!$B$10*'1 Inputs'!$B$11</f>
        <v>0</v>
      </c>
      <c r="DV57" s="19" t="n">
        <f aca="false">MAX(0,MIN($B57,$A57*'1 Inputs'!$B$6-56*$B57))*'1 Inputs'!$B$7*'1 Inputs'!$B$8*'1 Inputs'!$B$9*'1 Inputs'!$B$10*'1 Inputs'!$B$11</f>
        <v>0</v>
      </c>
      <c r="DW57" s="19" t="n">
        <f aca="false">MAX(0,MIN($B57,$A57*'1 Inputs'!$B$6-57*$B57))*'1 Inputs'!$B$7*'1 Inputs'!$B$8*'1 Inputs'!$B$9*'1 Inputs'!$B$10*'1 Inputs'!$B$11</f>
        <v>0</v>
      </c>
      <c r="DX57" s="19" t="n">
        <f aca="false">MAX(0,MIN($B57,$A57*'1 Inputs'!$B$6-58*$B57))*'1 Inputs'!$B$7*'1 Inputs'!$B$8*'1 Inputs'!$B$9*'1 Inputs'!$B$10*'1 Inputs'!$B$11</f>
        <v>0</v>
      </c>
      <c r="DY57" s="19" t="n">
        <f aca="false">MAX(0,MIN($B57,$A57*'1 Inputs'!$B$6-59*$B57))*'1 Inputs'!$B$7*'1 Inputs'!$B$8*'1 Inputs'!$B$9*'1 Inputs'!$B$10*'1 Inputs'!$B$11</f>
        <v>0</v>
      </c>
    </row>
    <row r="58" customFormat="false" ht="15" hidden="false" customHeight="false" outlineLevel="0" collapsed="false">
      <c r="A58" s="0" t="n">
        <v>360</v>
      </c>
      <c r="B58" s="0" t="n">
        <v>10</v>
      </c>
      <c r="C58" s="12" t="n">
        <f aca="false">SUMIF(J58:BQ58,"&lt;="&amp;('1 Inputs'!$B$21+52),BR58:DY58)</f>
        <v>187500000</v>
      </c>
      <c r="J58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58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58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58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58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58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58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58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58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58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58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58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58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58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58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58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58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58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58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58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58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58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58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58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58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58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58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58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58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58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58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58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58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58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58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58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58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58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58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58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58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58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58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58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58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58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58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58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58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58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58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58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58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58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58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58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58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58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58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58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58" s="19" t="n">
        <f aca="false">MAX(0,MIN($B58,$A58*'1 Inputs'!$B$6-0*$B58))*'1 Inputs'!$B$7*'1 Inputs'!$B$8*'1 Inputs'!$B$9*'1 Inputs'!$B$10*'1 Inputs'!$B$11</f>
        <v>10416666.6666667</v>
      </c>
      <c r="BS58" s="19" t="n">
        <f aca="false">MAX(0,MIN($B58,$A58*'1 Inputs'!$B$6-1*$B58))*'1 Inputs'!$B$7*'1 Inputs'!$B$8*'1 Inputs'!$B$9*'1 Inputs'!$B$10*'1 Inputs'!$B$11</f>
        <v>10416666.6666667</v>
      </c>
      <c r="BT58" s="19" t="n">
        <f aca="false">MAX(0,MIN($B58,$A58*'1 Inputs'!$B$6-2*$B58))*'1 Inputs'!$B$7*'1 Inputs'!$B$8*'1 Inputs'!$B$9*'1 Inputs'!$B$10*'1 Inputs'!$B$11</f>
        <v>10416666.6666667</v>
      </c>
      <c r="BU58" s="19" t="n">
        <f aca="false">MAX(0,MIN($B58,$A58*'1 Inputs'!$B$6-3*$B58))*'1 Inputs'!$B$7*'1 Inputs'!$B$8*'1 Inputs'!$B$9*'1 Inputs'!$B$10*'1 Inputs'!$B$11</f>
        <v>10416666.6666667</v>
      </c>
      <c r="BV58" s="19" t="n">
        <f aca="false">MAX(0,MIN($B58,$A58*'1 Inputs'!$B$6-4*$B58))*'1 Inputs'!$B$7*'1 Inputs'!$B$8*'1 Inputs'!$B$9*'1 Inputs'!$B$10*'1 Inputs'!$B$11</f>
        <v>10416666.6666667</v>
      </c>
      <c r="BW58" s="19" t="n">
        <f aca="false">MAX(0,MIN($B58,$A58*'1 Inputs'!$B$6-5*$B58))*'1 Inputs'!$B$7*'1 Inputs'!$B$8*'1 Inputs'!$B$9*'1 Inputs'!$B$10*'1 Inputs'!$B$11</f>
        <v>10416666.6666667</v>
      </c>
      <c r="BX58" s="19" t="n">
        <f aca="false">MAX(0,MIN($B58,$A58*'1 Inputs'!$B$6-6*$B58))*'1 Inputs'!$B$7*'1 Inputs'!$B$8*'1 Inputs'!$B$9*'1 Inputs'!$B$10*'1 Inputs'!$B$11</f>
        <v>10416666.6666667</v>
      </c>
      <c r="BY58" s="19" t="n">
        <f aca="false">MAX(0,MIN($B58,$A58*'1 Inputs'!$B$6-7*$B58))*'1 Inputs'!$B$7*'1 Inputs'!$B$8*'1 Inputs'!$B$9*'1 Inputs'!$B$10*'1 Inputs'!$B$11</f>
        <v>10416666.6666667</v>
      </c>
      <c r="BZ58" s="19" t="n">
        <f aca="false">MAX(0,MIN($B58,$A58*'1 Inputs'!$B$6-8*$B58))*'1 Inputs'!$B$7*'1 Inputs'!$B$8*'1 Inputs'!$B$9*'1 Inputs'!$B$10*'1 Inputs'!$B$11</f>
        <v>10416666.6666667</v>
      </c>
      <c r="CA58" s="19" t="n">
        <f aca="false">MAX(0,MIN($B58,$A58*'1 Inputs'!$B$6-9*$B58))*'1 Inputs'!$B$7*'1 Inputs'!$B$8*'1 Inputs'!$B$9*'1 Inputs'!$B$10*'1 Inputs'!$B$11</f>
        <v>10416666.6666667</v>
      </c>
      <c r="CB58" s="19" t="n">
        <f aca="false">MAX(0,MIN($B58,$A58*'1 Inputs'!$B$6-10*$B58))*'1 Inputs'!$B$7*'1 Inputs'!$B$8*'1 Inputs'!$B$9*'1 Inputs'!$B$10*'1 Inputs'!$B$11</f>
        <v>10416666.6666667</v>
      </c>
      <c r="CC58" s="19" t="n">
        <f aca="false">MAX(0,MIN($B58,$A58*'1 Inputs'!$B$6-11*$B58))*'1 Inputs'!$B$7*'1 Inputs'!$B$8*'1 Inputs'!$B$9*'1 Inputs'!$B$10*'1 Inputs'!$B$11</f>
        <v>10416666.6666667</v>
      </c>
      <c r="CD58" s="19" t="n">
        <f aca="false">MAX(0,MIN($B58,$A58*'1 Inputs'!$B$6-12*$B58))*'1 Inputs'!$B$7*'1 Inputs'!$B$8*'1 Inputs'!$B$9*'1 Inputs'!$B$10*'1 Inputs'!$B$11</f>
        <v>10416666.6666667</v>
      </c>
      <c r="CE58" s="19" t="n">
        <f aca="false">MAX(0,MIN($B58,$A58*'1 Inputs'!$B$6-13*$B58))*'1 Inputs'!$B$7*'1 Inputs'!$B$8*'1 Inputs'!$B$9*'1 Inputs'!$B$10*'1 Inputs'!$B$11</f>
        <v>10416666.6666667</v>
      </c>
      <c r="CF58" s="19" t="n">
        <f aca="false">MAX(0,MIN($B58,$A58*'1 Inputs'!$B$6-14*$B58))*'1 Inputs'!$B$7*'1 Inputs'!$B$8*'1 Inputs'!$B$9*'1 Inputs'!$B$10*'1 Inputs'!$B$11</f>
        <v>10416666.6666667</v>
      </c>
      <c r="CG58" s="19" t="n">
        <f aca="false">MAX(0,MIN($B58,$A58*'1 Inputs'!$B$6-15*$B58))*'1 Inputs'!$B$7*'1 Inputs'!$B$8*'1 Inputs'!$B$9*'1 Inputs'!$B$10*'1 Inputs'!$B$11</f>
        <v>10416666.6666667</v>
      </c>
      <c r="CH58" s="19" t="n">
        <f aca="false">MAX(0,MIN($B58,$A58*'1 Inputs'!$B$6-16*$B58))*'1 Inputs'!$B$7*'1 Inputs'!$B$8*'1 Inputs'!$B$9*'1 Inputs'!$B$10*'1 Inputs'!$B$11</f>
        <v>10416666.6666667</v>
      </c>
      <c r="CI58" s="19" t="n">
        <f aca="false">MAX(0,MIN($B58,$A58*'1 Inputs'!$B$6-17*$B58))*'1 Inputs'!$B$7*'1 Inputs'!$B$8*'1 Inputs'!$B$9*'1 Inputs'!$B$10*'1 Inputs'!$B$11</f>
        <v>10416666.6666667</v>
      </c>
      <c r="CJ58" s="19" t="n">
        <f aca="false">MAX(0,MIN($B58,$A58*'1 Inputs'!$B$6-18*$B58))*'1 Inputs'!$B$7*'1 Inputs'!$B$8*'1 Inputs'!$B$9*'1 Inputs'!$B$10*'1 Inputs'!$B$11</f>
        <v>0</v>
      </c>
      <c r="CK58" s="19" t="n">
        <f aca="false">MAX(0,MIN($B58,$A58*'1 Inputs'!$B$6-19*$B58))*'1 Inputs'!$B$7*'1 Inputs'!$B$8*'1 Inputs'!$B$9*'1 Inputs'!$B$10*'1 Inputs'!$B$11</f>
        <v>0</v>
      </c>
      <c r="CL58" s="19" t="n">
        <f aca="false">MAX(0,MIN($B58,$A58*'1 Inputs'!$B$6-20*$B58))*'1 Inputs'!$B$7*'1 Inputs'!$B$8*'1 Inputs'!$B$9*'1 Inputs'!$B$10*'1 Inputs'!$B$11</f>
        <v>0</v>
      </c>
      <c r="CM58" s="19" t="n">
        <f aca="false">MAX(0,MIN($B58,$A58*'1 Inputs'!$B$6-21*$B58))*'1 Inputs'!$B$7*'1 Inputs'!$B$8*'1 Inputs'!$B$9*'1 Inputs'!$B$10*'1 Inputs'!$B$11</f>
        <v>0</v>
      </c>
      <c r="CN58" s="19" t="n">
        <f aca="false">MAX(0,MIN($B58,$A58*'1 Inputs'!$B$6-22*$B58))*'1 Inputs'!$B$7*'1 Inputs'!$B$8*'1 Inputs'!$B$9*'1 Inputs'!$B$10*'1 Inputs'!$B$11</f>
        <v>0</v>
      </c>
      <c r="CO58" s="19" t="n">
        <f aca="false">MAX(0,MIN($B58,$A58*'1 Inputs'!$B$6-23*$B58))*'1 Inputs'!$B$7*'1 Inputs'!$B$8*'1 Inputs'!$B$9*'1 Inputs'!$B$10*'1 Inputs'!$B$11</f>
        <v>0</v>
      </c>
      <c r="CP58" s="19" t="n">
        <f aca="false">MAX(0,MIN($B58,$A58*'1 Inputs'!$B$6-24*$B58))*'1 Inputs'!$B$7*'1 Inputs'!$B$8*'1 Inputs'!$B$9*'1 Inputs'!$B$10*'1 Inputs'!$B$11</f>
        <v>0</v>
      </c>
      <c r="CQ58" s="19" t="n">
        <f aca="false">MAX(0,MIN($B58,$A58*'1 Inputs'!$B$6-25*$B58))*'1 Inputs'!$B$7*'1 Inputs'!$B$8*'1 Inputs'!$B$9*'1 Inputs'!$B$10*'1 Inputs'!$B$11</f>
        <v>0</v>
      </c>
      <c r="CR58" s="19" t="n">
        <f aca="false">MAX(0,MIN($B58,$A58*'1 Inputs'!$B$6-26*$B58))*'1 Inputs'!$B$7*'1 Inputs'!$B$8*'1 Inputs'!$B$9*'1 Inputs'!$B$10*'1 Inputs'!$B$11</f>
        <v>0</v>
      </c>
      <c r="CS58" s="19" t="n">
        <f aca="false">MAX(0,MIN($B58,$A58*'1 Inputs'!$B$6-27*$B58))*'1 Inputs'!$B$7*'1 Inputs'!$B$8*'1 Inputs'!$B$9*'1 Inputs'!$B$10*'1 Inputs'!$B$11</f>
        <v>0</v>
      </c>
      <c r="CT58" s="19" t="n">
        <f aca="false">MAX(0,MIN($B58,$A58*'1 Inputs'!$B$6-28*$B58))*'1 Inputs'!$B$7*'1 Inputs'!$B$8*'1 Inputs'!$B$9*'1 Inputs'!$B$10*'1 Inputs'!$B$11</f>
        <v>0</v>
      </c>
      <c r="CU58" s="19" t="n">
        <f aca="false">MAX(0,MIN($B58,$A58*'1 Inputs'!$B$6-29*$B58))*'1 Inputs'!$B$7*'1 Inputs'!$B$8*'1 Inputs'!$B$9*'1 Inputs'!$B$10*'1 Inputs'!$B$11</f>
        <v>0</v>
      </c>
      <c r="CV58" s="19" t="n">
        <f aca="false">MAX(0,MIN($B58,$A58*'1 Inputs'!$B$6-30*$B58))*'1 Inputs'!$B$7*'1 Inputs'!$B$8*'1 Inputs'!$B$9*'1 Inputs'!$B$10*'1 Inputs'!$B$11</f>
        <v>0</v>
      </c>
      <c r="CW58" s="19" t="n">
        <f aca="false">MAX(0,MIN($B58,$A58*'1 Inputs'!$B$6-31*$B58))*'1 Inputs'!$B$7*'1 Inputs'!$B$8*'1 Inputs'!$B$9*'1 Inputs'!$B$10*'1 Inputs'!$B$11</f>
        <v>0</v>
      </c>
      <c r="CX58" s="19" t="n">
        <f aca="false">MAX(0,MIN($B58,$A58*'1 Inputs'!$B$6-32*$B58))*'1 Inputs'!$B$7*'1 Inputs'!$B$8*'1 Inputs'!$B$9*'1 Inputs'!$B$10*'1 Inputs'!$B$11</f>
        <v>0</v>
      </c>
      <c r="CY58" s="19" t="n">
        <f aca="false">MAX(0,MIN($B58,$A58*'1 Inputs'!$B$6-33*$B58))*'1 Inputs'!$B$7*'1 Inputs'!$B$8*'1 Inputs'!$B$9*'1 Inputs'!$B$10*'1 Inputs'!$B$11</f>
        <v>0</v>
      </c>
      <c r="CZ58" s="19" t="n">
        <f aca="false">MAX(0,MIN($B58,$A58*'1 Inputs'!$B$6-34*$B58))*'1 Inputs'!$B$7*'1 Inputs'!$B$8*'1 Inputs'!$B$9*'1 Inputs'!$B$10*'1 Inputs'!$B$11</f>
        <v>0</v>
      </c>
      <c r="DA58" s="19" t="n">
        <f aca="false">MAX(0,MIN($B58,$A58*'1 Inputs'!$B$6-35*$B58))*'1 Inputs'!$B$7*'1 Inputs'!$B$8*'1 Inputs'!$B$9*'1 Inputs'!$B$10*'1 Inputs'!$B$11</f>
        <v>0</v>
      </c>
      <c r="DB58" s="19" t="n">
        <f aca="false">MAX(0,MIN($B58,$A58*'1 Inputs'!$B$6-36*$B58))*'1 Inputs'!$B$7*'1 Inputs'!$B$8*'1 Inputs'!$B$9*'1 Inputs'!$B$10*'1 Inputs'!$B$11</f>
        <v>0</v>
      </c>
      <c r="DC58" s="19" t="n">
        <f aca="false">MAX(0,MIN($B58,$A58*'1 Inputs'!$B$6-37*$B58))*'1 Inputs'!$B$7*'1 Inputs'!$B$8*'1 Inputs'!$B$9*'1 Inputs'!$B$10*'1 Inputs'!$B$11</f>
        <v>0</v>
      </c>
      <c r="DD58" s="19" t="n">
        <f aca="false">MAX(0,MIN($B58,$A58*'1 Inputs'!$B$6-38*$B58))*'1 Inputs'!$B$7*'1 Inputs'!$B$8*'1 Inputs'!$B$9*'1 Inputs'!$B$10*'1 Inputs'!$B$11</f>
        <v>0</v>
      </c>
      <c r="DE58" s="19" t="n">
        <f aca="false">MAX(0,MIN($B58,$A58*'1 Inputs'!$B$6-39*$B58))*'1 Inputs'!$B$7*'1 Inputs'!$B$8*'1 Inputs'!$B$9*'1 Inputs'!$B$10*'1 Inputs'!$B$11</f>
        <v>0</v>
      </c>
      <c r="DF58" s="19" t="n">
        <f aca="false">MAX(0,MIN($B58,$A58*'1 Inputs'!$B$6-40*$B58))*'1 Inputs'!$B$7*'1 Inputs'!$B$8*'1 Inputs'!$B$9*'1 Inputs'!$B$10*'1 Inputs'!$B$11</f>
        <v>0</v>
      </c>
      <c r="DG58" s="19" t="n">
        <f aca="false">MAX(0,MIN($B58,$A58*'1 Inputs'!$B$6-41*$B58))*'1 Inputs'!$B$7*'1 Inputs'!$B$8*'1 Inputs'!$B$9*'1 Inputs'!$B$10*'1 Inputs'!$B$11</f>
        <v>0</v>
      </c>
      <c r="DH58" s="19" t="n">
        <f aca="false">MAX(0,MIN($B58,$A58*'1 Inputs'!$B$6-42*$B58))*'1 Inputs'!$B$7*'1 Inputs'!$B$8*'1 Inputs'!$B$9*'1 Inputs'!$B$10*'1 Inputs'!$B$11</f>
        <v>0</v>
      </c>
      <c r="DI58" s="19" t="n">
        <f aca="false">MAX(0,MIN($B58,$A58*'1 Inputs'!$B$6-43*$B58))*'1 Inputs'!$B$7*'1 Inputs'!$B$8*'1 Inputs'!$B$9*'1 Inputs'!$B$10*'1 Inputs'!$B$11</f>
        <v>0</v>
      </c>
      <c r="DJ58" s="19" t="n">
        <f aca="false">MAX(0,MIN($B58,$A58*'1 Inputs'!$B$6-44*$B58))*'1 Inputs'!$B$7*'1 Inputs'!$B$8*'1 Inputs'!$B$9*'1 Inputs'!$B$10*'1 Inputs'!$B$11</f>
        <v>0</v>
      </c>
      <c r="DK58" s="19" t="n">
        <f aca="false">MAX(0,MIN($B58,$A58*'1 Inputs'!$B$6-45*$B58))*'1 Inputs'!$B$7*'1 Inputs'!$B$8*'1 Inputs'!$B$9*'1 Inputs'!$B$10*'1 Inputs'!$B$11</f>
        <v>0</v>
      </c>
      <c r="DL58" s="19" t="n">
        <f aca="false">MAX(0,MIN($B58,$A58*'1 Inputs'!$B$6-46*$B58))*'1 Inputs'!$B$7*'1 Inputs'!$B$8*'1 Inputs'!$B$9*'1 Inputs'!$B$10*'1 Inputs'!$B$11</f>
        <v>0</v>
      </c>
      <c r="DM58" s="19" t="n">
        <f aca="false">MAX(0,MIN($B58,$A58*'1 Inputs'!$B$6-47*$B58))*'1 Inputs'!$B$7*'1 Inputs'!$B$8*'1 Inputs'!$B$9*'1 Inputs'!$B$10*'1 Inputs'!$B$11</f>
        <v>0</v>
      </c>
      <c r="DN58" s="19" t="n">
        <f aca="false">MAX(0,MIN($B58,$A58*'1 Inputs'!$B$6-48*$B58))*'1 Inputs'!$B$7*'1 Inputs'!$B$8*'1 Inputs'!$B$9*'1 Inputs'!$B$10*'1 Inputs'!$B$11</f>
        <v>0</v>
      </c>
      <c r="DO58" s="19" t="n">
        <f aca="false">MAX(0,MIN($B58,$A58*'1 Inputs'!$B$6-49*$B58))*'1 Inputs'!$B$7*'1 Inputs'!$B$8*'1 Inputs'!$B$9*'1 Inputs'!$B$10*'1 Inputs'!$B$11</f>
        <v>0</v>
      </c>
      <c r="DP58" s="19" t="n">
        <f aca="false">MAX(0,MIN($B58,$A58*'1 Inputs'!$B$6-50*$B58))*'1 Inputs'!$B$7*'1 Inputs'!$B$8*'1 Inputs'!$B$9*'1 Inputs'!$B$10*'1 Inputs'!$B$11</f>
        <v>0</v>
      </c>
      <c r="DQ58" s="19" t="n">
        <f aca="false">MAX(0,MIN($B58,$A58*'1 Inputs'!$B$6-51*$B58))*'1 Inputs'!$B$7*'1 Inputs'!$B$8*'1 Inputs'!$B$9*'1 Inputs'!$B$10*'1 Inputs'!$B$11</f>
        <v>0</v>
      </c>
      <c r="DR58" s="19" t="n">
        <f aca="false">MAX(0,MIN($B58,$A58*'1 Inputs'!$B$6-52*$B58))*'1 Inputs'!$B$7*'1 Inputs'!$B$8*'1 Inputs'!$B$9*'1 Inputs'!$B$10*'1 Inputs'!$B$11</f>
        <v>0</v>
      </c>
      <c r="DS58" s="19" t="n">
        <f aca="false">MAX(0,MIN($B58,$A58*'1 Inputs'!$B$6-53*$B58))*'1 Inputs'!$B$7*'1 Inputs'!$B$8*'1 Inputs'!$B$9*'1 Inputs'!$B$10*'1 Inputs'!$B$11</f>
        <v>0</v>
      </c>
      <c r="DT58" s="19" t="n">
        <f aca="false">MAX(0,MIN($B58,$A58*'1 Inputs'!$B$6-54*$B58))*'1 Inputs'!$B$7*'1 Inputs'!$B$8*'1 Inputs'!$B$9*'1 Inputs'!$B$10*'1 Inputs'!$B$11</f>
        <v>0</v>
      </c>
      <c r="DU58" s="19" t="n">
        <f aca="false">MAX(0,MIN($B58,$A58*'1 Inputs'!$B$6-55*$B58))*'1 Inputs'!$B$7*'1 Inputs'!$B$8*'1 Inputs'!$B$9*'1 Inputs'!$B$10*'1 Inputs'!$B$11</f>
        <v>0</v>
      </c>
      <c r="DV58" s="19" t="n">
        <f aca="false">MAX(0,MIN($B58,$A58*'1 Inputs'!$B$6-56*$B58))*'1 Inputs'!$B$7*'1 Inputs'!$B$8*'1 Inputs'!$B$9*'1 Inputs'!$B$10*'1 Inputs'!$B$11</f>
        <v>0</v>
      </c>
      <c r="DW58" s="19" t="n">
        <f aca="false">MAX(0,MIN($B58,$A58*'1 Inputs'!$B$6-57*$B58))*'1 Inputs'!$B$7*'1 Inputs'!$B$8*'1 Inputs'!$B$9*'1 Inputs'!$B$10*'1 Inputs'!$B$11</f>
        <v>0</v>
      </c>
      <c r="DX58" s="19" t="n">
        <f aca="false">MAX(0,MIN($B58,$A58*'1 Inputs'!$B$6-58*$B58))*'1 Inputs'!$B$7*'1 Inputs'!$B$8*'1 Inputs'!$B$9*'1 Inputs'!$B$10*'1 Inputs'!$B$11</f>
        <v>0</v>
      </c>
      <c r="DY58" s="19" t="n">
        <f aca="false">MAX(0,MIN($B58,$A58*'1 Inputs'!$B$6-59*$B58))*'1 Inputs'!$B$7*'1 Inputs'!$B$8*'1 Inputs'!$B$9*'1 Inputs'!$B$10*'1 Inputs'!$B$11</f>
        <v>0</v>
      </c>
    </row>
    <row r="59" customFormat="false" ht="15" hidden="false" customHeight="false" outlineLevel="0" collapsed="false">
      <c r="A59" s="0" t="n">
        <v>360</v>
      </c>
      <c r="B59" s="0" t="n">
        <v>12</v>
      </c>
      <c r="C59" s="12" t="n">
        <f aca="false">SUMIF(J59:BQ59,"&lt;="&amp;('1 Inputs'!$B$21+52),BR59:DY59)</f>
        <v>187500000</v>
      </c>
      <c r="J59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59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59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59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59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59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59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59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59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59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59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59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59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59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59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59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59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59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59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59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59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59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59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59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59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59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59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59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59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59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59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59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59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59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59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59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59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59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59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59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59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59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59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59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59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59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59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59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59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59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59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59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59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59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59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59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59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59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59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59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59" s="19" t="n">
        <f aca="false">MAX(0,MIN($B59,$A59*'1 Inputs'!$B$6-0*$B59))*'1 Inputs'!$B$7*'1 Inputs'!$B$8*'1 Inputs'!$B$9*'1 Inputs'!$B$10*'1 Inputs'!$B$11</f>
        <v>12500000</v>
      </c>
      <c r="BS59" s="19" t="n">
        <f aca="false">MAX(0,MIN($B59,$A59*'1 Inputs'!$B$6-1*$B59))*'1 Inputs'!$B$7*'1 Inputs'!$B$8*'1 Inputs'!$B$9*'1 Inputs'!$B$10*'1 Inputs'!$B$11</f>
        <v>12500000</v>
      </c>
      <c r="BT59" s="19" t="n">
        <f aca="false">MAX(0,MIN($B59,$A59*'1 Inputs'!$B$6-2*$B59))*'1 Inputs'!$B$7*'1 Inputs'!$B$8*'1 Inputs'!$B$9*'1 Inputs'!$B$10*'1 Inputs'!$B$11</f>
        <v>12500000</v>
      </c>
      <c r="BU59" s="19" t="n">
        <f aca="false">MAX(0,MIN($B59,$A59*'1 Inputs'!$B$6-3*$B59))*'1 Inputs'!$B$7*'1 Inputs'!$B$8*'1 Inputs'!$B$9*'1 Inputs'!$B$10*'1 Inputs'!$B$11</f>
        <v>12500000</v>
      </c>
      <c r="BV59" s="19" t="n">
        <f aca="false">MAX(0,MIN($B59,$A59*'1 Inputs'!$B$6-4*$B59))*'1 Inputs'!$B$7*'1 Inputs'!$B$8*'1 Inputs'!$B$9*'1 Inputs'!$B$10*'1 Inputs'!$B$11</f>
        <v>12500000</v>
      </c>
      <c r="BW59" s="19" t="n">
        <f aca="false">MAX(0,MIN($B59,$A59*'1 Inputs'!$B$6-5*$B59))*'1 Inputs'!$B$7*'1 Inputs'!$B$8*'1 Inputs'!$B$9*'1 Inputs'!$B$10*'1 Inputs'!$B$11</f>
        <v>12500000</v>
      </c>
      <c r="BX59" s="19" t="n">
        <f aca="false">MAX(0,MIN($B59,$A59*'1 Inputs'!$B$6-6*$B59))*'1 Inputs'!$B$7*'1 Inputs'!$B$8*'1 Inputs'!$B$9*'1 Inputs'!$B$10*'1 Inputs'!$B$11</f>
        <v>12500000</v>
      </c>
      <c r="BY59" s="19" t="n">
        <f aca="false">MAX(0,MIN($B59,$A59*'1 Inputs'!$B$6-7*$B59))*'1 Inputs'!$B$7*'1 Inputs'!$B$8*'1 Inputs'!$B$9*'1 Inputs'!$B$10*'1 Inputs'!$B$11</f>
        <v>12500000</v>
      </c>
      <c r="BZ59" s="19" t="n">
        <f aca="false">MAX(0,MIN($B59,$A59*'1 Inputs'!$B$6-8*$B59))*'1 Inputs'!$B$7*'1 Inputs'!$B$8*'1 Inputs'!$B$9*'1 Inputs'!$B$10*'1 Inputs'!$B$11</f>
        <v>12500000</v>
      </c>
      <c r="CA59" s="19" t="n">
        <f aca="false">MAX(0,MIN($B59,$A59*'1 Inputs'!$B$6-9*$B59))*'1 Inputs'!$B$7*'1 Inputs'!$B$8*'1 Inputs'!$B$9*'1 Inputs'!$B$10*'1 Inputs'!$B$11</f>
        <v>12500000</v>
      </c>
      <c r="CB59" s="19" t="n">
        <f aca="false">MAX(0,MIN($B59,$A59*'1 Inputs'!$B$6-10*$B59))*'1 Inputs'!$B$7*'1 Inputs'!$B$8*'1 Inputs'!$B$9*'1 Inputs'!$B$10*'1 Inputs'!$B$11</f>
        <v>12500000</v>
      </c>
      <c r="CC59" s="19" t="n">
        <f aca="false">MAX(0,MIN($B59,$A59*'1 Inputs'!$B$6-11*$B59))*'1 Inputs'!$B$7*'1 Inputs'!$B$8*'1 Inputs'!$B$9*'1 Inputs'!$B$10*'1 Inputs'!$B$11</f>
        <v>12500000</v>
      </c>
      <c r="CD59" s="19" t="n">
        <f aca="false">MAX(0,MIN($B59,$A59*'1 Inputs'!$B$6-12*$B59))*'1 Inputs'!$B$7*'1 Inputs'!$B$8*'1 Inputs'!$B$9*'1 Inputs'!$B$10*'1 Inputs'!$B$11</f>
        <v>12500000</v>
      </c>
      <c r="CE59" s="19" t="n">
        <f aca="false">MAX(0,MIN($B59,$A59*'1 Inputs'!$B$6-13*$B59))*'1 Inputs'!$B$7*'1 Inputs'!$B$8*'1 Inputs'!$B$9*'1 Inputs'!$B$10*'1 Inputs'!$B$11</f>
        <v>12500000</v>
      </c>
      <c r="CF59" s="19" t="n">
        <f aca="false">MAX(0,MIN($B59,$A59*'1 Inputs'!$B$6-14*$B59))*'1 Inputs'!$B$7*'1 Inputs'!$B$8*'1 Inputs'!$B$9*'1 Inputs'!$B$10*'1 Inputs'!$B$11</f>
        <v>12500000</v>
      </c>
      <c r="CG59" s="19" t="n">
        <f aca="false">MAX(0,MIN($B59,$A59*'1 Inputs'!$B$6-15*$B59))*'1 Inputs'!$B$7*'1 Inputs'!$B$8*'1 Inputs'!$B$9*'1 Inputs'!$B$10*'1 Inputs'!$B$11</f>
        <v>0</v>
      </c>
      <c r="CH59" s="19" t="n">
        <f aca="false">MAX(0,MIN($B59,$A59*'1 Inputs'!$B$6-16*$B59))*'1 Inputs'!$B$7*'1 Inputs'!$B$8*'1 Inputs'!$B$9*'1 Inputs'!$B$10*'1 Inputs'!$B$11</f>
        <v>0</v>
      </c>
      <c r="CI59" s="19" t="n">
        <f aca="false">MAX(0,MIN($B59,$A59*'1 Inputs'!$B$6-17*$B59))*'1 Inputs'!$B$7*'1 Inputs'!$B$8*'1 Inputs'!$B$9*'1 Inputs'!$B$10*'1 Inputs'!$B$11</f>
        <v>0</v>
      </c>
      <c r="CJ59" s="19" t="n">
        <f aca="false">MAX(0,MIN($B59,$A59*'1 Inputs'!$B$6-18*$B59))*'1 Inputs'!$B$7*'1 Inputs'!$B$8*'1 Inputs'!$B$9*'1 Inputs'!$B$10*'1 Inputs'!$B$11</f>
        <v>0</v>
      </c>
      <c r="CK59" s="19" t="n">
        <f aca="false">MAX(0,MIN($B59,$A59*'1 Inputs'!$B$6-19*$B59))*'1 Inputs'!$B$7*'1 Inputs'!$B$8*'1 Inputs'!$B$9*'1 Inputs'!$B$10*'1 Inputs'!$B$11</f>
        <v>0</v>
      </c>
      <c r="CL59" s="19" t="n">
        <f aca="false">MAX(0,MIN($B59,$A59*'1 Inputs'!$B$6-20*$B59))*'1 Inputs'!$B$7*'1 Inputs'!$B$8*'1 Inputs'!$B$9*'1 Inputs'!$B$10*'1 Inputs'!$B$11</f>
        <v>0</v>
      </c>
      <c r="CM59" s="19" t="n">
        <f aca="false">MAX(0,MIN($B59,$A59*'1 Inputs'!$B$6-21*$B59))*'1 Inputs'!$B$7*'1 Inputs'!$B$8*'1 Inputs'!$B$9*'1 Inputs'!$B$10*'1 Inputs'!$B$11</f>
        <v>0</v>
      </c>
      <c r="CN59" s="19" t="n">
        <f aca="false">MAX(0,MIN($B59,$A59*'1 Inputs'!$B$6-22*$B59))*'1 Inputs'!$B$7*'1 Inputs'!$B$8*'1 Inputs'!$B$9*'1 Inputs'!$B$10*'1 Inputs'!$B$11</f>
        <v>0</v>
      </c>
      <c r="CO59" s="19" t="n">
        <f aca="false">MAX(0,MIN($B59,$A59*'1 Inputs'!$B$6-23*$B59))*'1 Inputs'!$B$7*'1 Inputs'!$B$8*'1 Inputs'!$B$9*'1 Inputs'!$B$10*'1 Inputs'!$B$11</f>
        <v>0</v>
      </c>
      <c r="CP59" s="19" t="n">
        <f aca="false">MAX(0,MIN($B59,$A59*'1 Inputs'!$B$6-24*$B59))*'1 Inputs'!$B$7*'1 Inputs'!$B$8*'1 Inputs'!$B$9*'1 Inputs'!$B$10*'1 Inputs'!$B$11</f>
        <v>0</v>
      </c>
      <c r="CQ59" s="19" t="n">
        <f aca="false">MAX(0,MIN($B59,$A59*'1 Inputs'!$B$6-25*$B59))*'1 Inputs'!$B$7*'1 Inputs'!$B$8*'1 Inputs'!$B$9*'1 Inputs'!$B$10*'1 Inputs'!$B$11</f>
        <v>0</v>
      </c>
      <c r="CR59" s="19" t="n">
        <f aca="false">MAX(0,MIN($B59,$A59*'1 Inputs'!$B$6-26*$B59))*'1 Inputs'!$B$7*'1 Inputs'!$B$8*'1 Inputs'!$B$9*'1 Inputs'!$B$10*'1 Inputs'!$B$11</f>
        <v>0</v>
      </c>
      <c r="CS59" s="19" t="n">
        <f aca="false">MAX(0,MIN($B59,$A59*'1 Inputs'!$B$6-27*$B59))*'1 Inputs'!$B$7*'1 Inputs'!$B$8*'1 Inputs'!$B$9*'1 Inputs'!$B$10*'1 Inputs'!$B$11</f>
        <v>0</v>
      </c>
      <c r="CT59" s="19" t="n">
        <f aca="false">MAX(0,MIN($B59,$A59*'1 Inputs'!$B$6-28*$B59))*'1 Inputs'!$B$7*'1 Inputs'!$B$8*'1 Inputs'!$B$9*'1 Inputs'!$B$10*'1 Inputs'!$B$11</f>
        <v>0</v>
      </c>
      <c r="CU59" s="19" t="n">
        <f aca="false">MAX(0,MIN($B59,$A59*'1 Inputs'!$B$6-29*$B59))*'1 Inputs'!$B$7*'1 Inputs'!$B$8*'1 Inputs'!$B$9*'1 Inputs'!$B$10*'1 Inputs'!$B$11</f>
        <v>0</v>
      </c>
      <c r="CV59" s="19" t="n">
        <f aca="false">MAX(0,MIN($B59,$A59*'1 Inputs'!$B$6-30*$B59))*'1 Inputs'!$B$7*'1 Inputs'!$B$8*'1 Inputs'!$B$9*'1 Inputs'!$B$10*'1 Inputs'!$B$11</f>
        <v>0</v>
      </c>
      <c r="CW59" s="19" t="n">
        <f aca="false">MAX(0,MIN($B59,$A59*'1 Inputs'!$B$6-31*$B59))*'1 Inputs'!$B$7*'1 Inputs'!$B$8*'1 Inputs'!$B$9*'1 Inputs'!$B$10*'1 Inputs'!$B$11</f>
        <v>0</v>
      </c>
      <c r="CX59" s="19" t="n">
        <f aca="false">MAX(0,MIN($B59,$A59*'1 Inputs'!$B$6-32*$B59))*'1 Inputs'!$B$7*'1 Inputs'!$B$8*'1 Inputs'!$B$9*'1 Inputs'!$B$10*'1 Inputs'!$B$11</f>
        <v>0</v>
      </c>
      <c r="CY59" s="19" t="n">
        <f aca="false">MAX(0,MIN($B59,$A59*'1 Inputs'!$B$6-33*$B59))*'1 Inputs'!$B$7*'1 Inputs'!$B$8*'1 Inputs'!$B$9*'1 Inputs'!$B$10*'1 Inputs'!$B$11</f>
        <v>0</v>
      </c>
      <c r="CZ59" s="19" t="n">
        <f aca="false">MAX(0,MIN($B59,$A59*'1 Inputs'!$B$6-34*$B59))*'1 Inputs'!$B$7*'1 Inputs'!$B$8*'1 Inputs'!$B$9*'1 Inputs'!$B$10*'1 Inputs'!$B$11</f>
        <v>0</v>
      </c>
      <c r="DA59" s="19" t="n">
        <f aca="false">MAX(0,MIN($B59,$A59*'1 Inputs'!$B$6-35*$B59))*'1 Inputs'!$B$7*'1 Inputs'!$B$8*'1 Inputs'!$B$9*'1 Inputs'!$B$10*'1 Inputs'!$B$11</f>
        <v>0</v>
      </c>
      <c r="DB59" s="19" t="n">
        <f aca="false">MAX(0,MIN($B59,$A59*'1 Inputs'!$B$6-36*$B59))*'1 Inputs'!$B$7*'1 Inputs'!$B$8*'1 Inputs'!$B$9*'1 Inputs'!$B$10*'1 Inputs'!$B$11</f>
        <v>0</v>
      </c>
      <c r="DC59" s="19" t="n">
        <f aca="false">MAX(0,MIN($B59,$A59*'1 Inputs'!$B$6-37*$B59))*'1 Inputs'!$B$7*'1 Inputs'!$B$8*'1 Inputs'!$B$9*'1 Inputs'!$B$10*'1 Inputs'!$B$11</f>
        <v>0</v>
      </c>
      <c r="DD59" s="19" t="n">
        <f aca="false">MAX(0,MIN($B59,$A59*'1 Inputs'!$B$6-38*$B59))*'1 Inputs'!$B$7*'1 Inputs'!$B$8*'1 Inputs'!$B$9*'1 Inputs'!$B$10*'1 Inputs'!$B$11</f>
        <v>0</v>
      </c>
      <c r="DE59" s="19" t="n">
        <f aca="false">MAX(0,MIN($B59,$A59*'1 Inputs'!$B$6-39*$B59))*'1 Inputs'!$B$7*'1 Inputs'!$B$8*'1 Inputs'!$B$9*'1 Inputs'!$B$10*'1 Inputs'!$B$11</f>
        <v>0</v>
      </c>
      <c r="DF59" s="19" t="n">
        <f aca="false">MAX(0,MIN($B59,$A59*'1 Inputs'!$B$6-40*$B59))*'1 Inputs'!$B$7*'1 Inputs'!$B$8*'1 Inputs'!$B$9*'1 Inputs'!$B$10*'1 Inputs'!$B$11</f>
        <v>0</v>
      </c>
      <c r="DG59" s="19" t="n">
        <f aca="false">MAX(0,MIN($B59,$A59*'1 Inputs'!$B$6-41*$B59))*'1 Inputs'!$B$7*'1 Inputs'!$B$8*'1 Inputs'!$B$9*'1 Inputs'!$B$10*'1 Inputs'!$B$11</f>
        <v>0</v>
      </c>
      <c r="DH59" s="19" t="n">
        <f aca="false">MAX(0,MIN($B59,$A59*'1 Inputs'!$B$6-42*$B59))*'1 Inputs'!$B$7*'1 Inputs'!$B$8*'1 Inputs'!$B$9*'1 Inputs'!$B$10*'1 Inputs'!$B$11</f>
        <v>0</v>
      </c>
      <c r="DI59" s="19" t="n">
        <f aca="false">MAX(0,MIN($B59,$A59*'1 Inputs'!$B$6-43*$B59))*'1 Inputs'!$B$7*'1 Inputs'!$B$8*'1 Inputs'!$B$9*'1 Inputs'!$B$10*'1 Inputs'!$B$11</f>
        <v>0</v>
      </c>
      <c r="DJ59" s="19" t="n">
        <f aca="false">MAX(0,MIN($B59,$A59*'1 Inputs'!$B$6-44*$B59))*'1 Inputs'!$B$7*'1 Inputs'!$B$8*'1 Inputs'!$B$9*'1 Inputs'!$B$10*'1 Inputs'!$B$11</f>
        <v>0</v>
      </c>
      <c r="DK59" s="19" t="n">
        <f aca="false">MAX(0,MIN($B59,$A59*'1 Inputs'!$B$6-45*$B59))*'1 Inputs'!$B$7*'1 Inputs'!$B$8*'1 Inputs'!$B$9*'1 Inputs'!$B$10*'1 Inputs'!$B$11</f>
        <v>0</v>
      </c>
      <c r="DL59" s="19" t="n">
        <f aca="false">MAX(0,MIN($B59,$A59*'1 Inputs'!$B$6-46*$B59))*'1 Inputs'!$B$7*'1 Inputs'!$B$8*'1 Inputs'!$B$9*'1 Inputs'!$B$10*'1 Inputs'!$B$11</f>
        <v>0</v>
      </c>
      <c r="DM59" s="19" t="n">
        <f aca="false">MAX(0,MIN($B59,$A59*'1 Inputs'!$B$6-47*$B59))*'1 Inputs'!$B$7*'1 Inputs'!$B$8*'1 Inputs'!$B$9*'1 Inputs'!$B$10*'1 Inputs'!$B$11</f>
        <v>0</v>
      </c>
      <c r="DN59" s="19" t="n">
        <f aca="false">MAX(0,MIN($B59,$A59*'1 Inputs'!$B$6-48*$B59))*'1 Inputs'!$B$7*'1 Inputs'!$B$8*'1 Inputs'!$B$9*'1 Inputs'!$B$10*'1 Inputs'!$B$11</f>
        <v>0</v>
      </c>
      <c r="DO59" s="19" t="n">
        <f aca="false">MAX(0,MIN($B59,$A59*'1 Inputs'!$B$6-49*$B59))*'1 Inputs'!$B$7*'1 Inputs'!$B$8*'1 Inputs'!$B$9*'1 Inputs'!$B$10*'1 Inputs'!$B$11</f>
        <v>0</v>
      </c>
      <c r="DP59" s="19" t="n">
        <f aca="false">MAX(0,MIN($B59,$A59*'1 Inputs'!$B$6-50*$B59))*'1 Inputs'!$B$7*'1 Inputs'!$B$8*'1 Inputs'!$B$9*'1 Inputs'!$B$10*'1 Inputs'!$B$11</f>
        <v>0</v>
      </c>
      <c r="DQ59" s="19" t="n">
        <f aca="false">MAX(0,MIN($B59,$A59*'1 Inputs'!$B$6-51*$B59))*'1 Inputs'!$B$7*'1 Inputs'!$B$8*'1 Inputs'!$B$9*'1 Inputs'!$B$10*'1 Inputs'!$B$11</f>
        <v>0</v>
      </c>
      <c r="DR59" s="19" t="n">
        <f aca="false">MAX(0,MIN($B59,$A59*'1 Inputs'!$B$6-52*$B59))*'1 Inputs'!$B$7*'1 Inputs'!$B$8*'1 Inputs'!$B$9*'1 Inputs'!$B$10*'1 Inputs'!$B$11</f>
        <v>0</v>
      </c>
      <c r="DS59" s="19" t="n">
        <f aca="false">MAX(0,MIN($B59,$A59*'1 Inputs'!$B$6-53*$B59))*'1 Inputs'!$B$7*'1 Inputs'!$B$8*'1 Inputs'!$B$9*'1 Inputs'!$B$10*'1 Inputs'!$B$11</f>
        <v>0</v>
      </c>
      <c r="DT59" s="19" t="n">
        <f aca="false">MAX(0,MIN($B59,$A59*'1 Inputs'!$B$6-54*$B59))*'1 Inputs'!$B$7*'1 Inputs'!$B$8*'1 Inputs'!$B$9*'1 Inputs'!$B$10*'1 Inputs'!$B$11</f>
        <v>0</v>
      </c>
      <c r="DU59" s="19" t="n">
        <f aca="false">MAX(0,MIN($B59,$A59*'1 Inputs'!$B$6-55*$B59))*'1 Inputs'!$B$7*'1 Inputs'!$B$8*'1 Inputs'!$B$9*'1 Inputs'!$B$10*'1 Inputs'!$B$11</f>
        <v>0</v>
      </c>
      <c r="DV59" s="19" t="n">
        <f aca="false">MAX(0,MIN($B59,$A59*'1 Inputs'!$B$6-56*$B59))*'1 Inputs'!$B$7*'1 Inputs'!$B$8*'1 Inputs'!$B$9*'1 Inputs'!$B$10*'1 Inputs'!$B$11</f>
        <v>0</v>
      </c>
      <c r="DW59" s="19" t="n">
        <f aca="false">MAX(0,MIN($B59,$A59*'1 Inputs'!$B$6-57*$B59))*'1 Inputs'!$B$7*'1 Inputs'!$B$8*'1 Inputs'!$B$9*'1 Inputs'!$B$10*'1 Inputs'!$B$11</f>
        <v>0</v>
      </c>
      <c r="DX59" s="19" t="n">
        <f aca="false">MAX(0,MIN($B59,$A59*'1 Inputs'!$B$6-58*$B59))*'1 Inputs'!$B$7*'1 Inputs'!$B$8*'1 Inputs'!$B$9*'1 Inputs'!$B$10*'1 Inputs'!$B$11</f>
        <v>0</v>
      </c>
      <c r="DY59" s="19" t="n">
        <f aca="false">MAX(0,MIN($B59,$A59*'1 Inputs'!$B$6-59*$B59))*'1 Inputs'!$B$7*'1 Inputs'!$B$8*'1 Inputs'!$B$9*'1 Inputs'!$B$10*'1 Inputs'!$B$11</f>
        <v>0</v>
      </c>
    </row>
    <row r="60" customFormat="false" ht="15" hidden="false" customHeight="false" outlineLevel="0" collapsed="false">
      <c r="A60" s="0" t="n">
        <v>420</v>
      </c>
      <c r="B60" s="0" t="n">
        <v>4</v>
      </c>
      <c r="C60" s="12" t="n">
        <f aca="false">SUMIF(J60:BQ60,"&lt;="&amp;('1 Inputs'!$B$21+52),BR60:DY60)</f>
        <v>75000000</v>
      </c>
      <c r="J60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60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60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60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60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60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60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60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60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60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60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60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60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60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60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60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60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60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60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60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60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60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60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60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60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60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60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60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60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60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60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60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60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60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60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60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60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60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60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60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60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60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60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60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60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60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60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60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60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60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60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60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60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60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60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60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60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60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60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60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60" s="19" t="n">
        <f aca="false">MAX(0,MIN($B60,$A60*'1 Inputs'!$B$6-0*$B60))*'1 Inputs'!$B$7*'1 Inputs'!$B$8*'1 Inputs'!$B$9*'1 Inputs'!$B$10*'1 Inputs'!$B$11</f>
        <v>4166666.66666667</v>
      </c>
      <c r="BS60" s="19" t="n">
        <f aca="false">MAX(0,MIN($B60,$A60*'1 Inputs'!$B$6-1*$B60))*'1 Inputs'!$B$7*'1 Inputs'!$B$8*'1 Inputs'!$B$9*'1 Inputs'!$B$10*'1 Inputs'!$B$11</f>
        <v>4166666.66666667</v>
      </c>
      <c r="BT60" s="19" t="n">
        <f aca="false">MAX(0,MIN($B60,$A60*'1 Inputs'!$B$6-2*$B60))*'1 Inputs'!$B$7*'1 Inputs'!$B$8*'1 Inputs'!$B$9*'1 Inputs'!$B$10*'1 Inputs'!$B$11</f>
        <v>4166666.66666667</v>
      </c>
      <c r="BU60" s="19" t="n">
        <f aca="false">MAX(0,MIN($B60,$A60*'1 Inputs'!$B$6-3*$B60))*'1 Inputs'!$B$7*'1 Inputs'!$B$8*'1 Inputs'!$B$9*'1 Inputs'!$B$10*'1 Inputs'!$B$11</f>
        <v>4166666.66666667</v>
      </c>
      <c r="BV60" s="19" t="n">
        <f aca="false">MAX(0,MIN($B60,$A60*'1 Inputs'!$B$6-4*$B60))*'1 Inputs'!$B$7*'1 Inputs'!$B$8*'1 Inputs'!$B$9*'1 Inputs'!$B$10*'1 Inputs'!$B$11</f>
        <v>4166666.66666667</v>
      </c>
      <c r="BW60" s="19" t="n">
        <f aca="false">MAX(0,MIN($B60,$A60*'1 Inputs'!$B$6-5*$B60))*'1 Inputs'!$B$7*'1 Inputs'!$B$8*'1 Inputs'!$B$9*'1 Inputs'!$B$10*'1 Inputs'!$B$11</f>
        <v>4166666.66666667</v>
      </c>
      <c r="BX60" s="19" t="n">
        <f aca="false">MAX(0,MIN($B60,$A60*'1 Inputs'!$B$6-6*$B60))*'1 Inputs'!$B$7*'1 Inputs'!$B$8*'1 Inputs'!$B$9*'1 Inputs'!$B$10*'1 Inputs'!$B$11</f>
        <v>4166666.66666667</v>
      </c>
      <c r="BY60" s="19" t="n">
        <f aca="false">MAX(0,MIN($B60,$A60*'1 Inputs'!$B$6-7*$B60))*'1 Inputs'!$B$7*'1 Inputs'!$B$8*'1 Inputs'!$B$9*'1 Inputs'!$B$10*'1 Inputs'!$B$11</f>
        <v>4166666.66666667</v>
      </c>
      <c r="BZ60" s="19" t="n">
        <f aca="false">MAX(0,MIN($B60,$A60*'1 Inputs'!$B$6-8*$B60))*'1 Inputs'!$B$7*'1 Inputs'!$B$8*'1 Inputs'!$B$9*'1 Inputs'!$B$10*'1 Inputs'!$B$11</f>
        <v>4166666.66666667</v>
      </c>
      <c r="CA60" s="19" t="n">
        <f aca="false">MAX(0,MIN($B60,$A60*'1 Inputs'!$B$6-9*$B60))*'1 Inputs'!$B$7*'1 Inputs'!$B$8*'1 Inputs'!$B$9*'1 Inputs'!$B$10*'1 Inputs'!$B$11</f>
        <v>4166666.66666667</v>
      </c>
      <c r="CB60" s="19" t="n">
        <f aca="false">MAX(0,MIN($B60,$A60*'1 Inputs'!$B$6-10*$B60))*'1 Inputs'!$B$7*'1 Inputs'!$B$8*'1 Inputs'!$B$9*'1 Inputs'!$B$10*'1 Inputs'!$B$11</f>
        <v>4166666.66666667</v>
      </c>
      <c r="CC60" s="19" t="n">
        <f aca="false">MAX(0,MIN($B60,$A60*'1 Inputs'!$B$6-11*$B60))*'1 Inputs'!$B$7*'1 Inputs'!$B$8*'1 Inputs'!$B$9*'1 Inputs'!$B$10*'1 Inputs'!$B$11</f>
        <v>4166666.66666667</v>
      </c>
      <c r="CD60" s="19" t="n">
        <f aca="false">MAX(0,MIN($B60,$A60*'1 Inputs'!$B$6-12*$B60))*'1 Inputs'!$B$7*'1 Inputs'!$B$8*'1 Inputs'!$B$9*'1 Inputs'!$B$10*'1 Inputs'!$B$11</f>
        <v>4166666.66666667</v>
      </c>
      <c r="CE60" s="19" t="n">
        <f aca="false">MAX(0,MIN($B60,$A60*'1 Inputs'!$B$6-13*$B60))*'1 Inputs'!$B$7*'1 Inputs'!$B$8*'1 Inputs'!$B$9*'1 Inputs'!$B$10*'1 Inputs'!$B$11</f>
        <v>4166666.66666667</v>
      </c>
      <c r="CF60" s="19" t="n">
        <f aca="false">MAX(0,MIN($B60,$A60*'1 Inputs'!$B$6-14*$B60))*'1 Inputs'!$B$7*'1 Inputs'!$B$8*'1 Inputs'!$B$9*'1 Inputs'!$B$10*'1 Inputs'!$B$11</f>
        <v>4166666.66666667</v>
      </c>
      <c r="CG60" s="19" t="n">
        <f aca="false">MAX(0,MIN($B60,$A60*'1 Inputs'!$B$6-15*$B60))*'1 Inputs'!$B$7*'1 Inputs'!$B$8*'1 Inputs'!$B$9*'1 Inputs'!$B$10*'1 Inputs'!$B$11</f>
        <v>4166666.66666667</v>
      </c>
      <c r="CH60" s="19" t="n">
        <f aca="false">MAX(0,MIN($B60,$A60*'1 Inputs'!$B$6-16*$B60))*'1 Inputs'!$B$7*'1 Inputs'!$B$8*'1 Inputs'!$B$9*'1 Inputs'!$B$10*'1 Inputs'!$B$11</f>
        <v>4166666.66666667</v>
      </c>
      <c r="CI60" s="19" t="n">
        <f aca="false">MAX(0,MIN($B60,$A60*'1 Inputs'!$B$6-17*$B60))*'1 Inputs'!$B$7*'1 Inputs'!$B$8*'1 Inputs'!$B$9*'1 Inputs'!$B$10*'1 Inputs'!$B$11</f>
        <v>4166666.66666667</v>
      </c>
      <c r="CJ60" s="19" t="n">
        <f aca="false">MAX(0,MIN($B60,$A60*'1 Inputs'!$B$6-18*$B60))*'1 Inputs'!$B$7*'1 Inputs'!$B$8*'1 Inputs'!$B$9*'1 Inputs'!$B$10*'1 Inputs'!$B$11</f>
        <v>4166666.66666667</v>
      </c>
      <c r="CK60" s="19" t="n">
        <f aca="false">MAX(0,MIN($B60,$A60*'1 Inputs'!$B$6-19*$B60))*'1 Inputs'!$B$7*'1 Inputs'!$B$8*'1 Inputs'!$B$9*'1 Inputs'!$B$10*'1 Inputs'!$B$11</f>
        <v>4166666.66666667</v>
      </c>
      <c r="CL60" s="19" t="n">
        <f aca="false">MAX(0,MIN($B60,$A60*'1 Inputs'!$B$6-20*$B60))*'1 Inputs'!$B$7*'1 Inputs'!$B$8*'1 Inputs'!$B$9*'1 Inputs'!$B$10*'1 Inputs'!$B$11</f>
        <v>4166666.66666667</v>
      </c>
      <c r="CM60" s="19" t="n">
        <f aca="false">MAX(0,MIN($B60,$A60*'1 Inputs'!$B$6-21*$B60))*'1 Inputs'!$B$7*'1 Inputs'!$B$8*'1 Inputs'!$B$9*'1 Inputs'!$B$10*'1 Inputs'!$B$11</f>
        <v>4166666.66666667</v>
      </c>
      <c r="CN60" s="19" t="n">
        <f aca="false">MAX(0,MIN($B60,$A60*'1 Inputs'!$B$6-22*$B60))*'1 Inputs'!$B$7*'1 Inputs'!$B$8*'1 Inputs'!$B$9*'1 Inputs'!$B$10*'1 Inputs'!$B$11</f>
        <v>4166666.66666667</v>
      </c>
      <c r="CO60" s="19" t="n">
        <f aca="false">MAX(0,MIN($B60,$A60*'1 Inputs'!$B$6-23*$B60))*'1 Inputs'!$B$7*'1 Inputs'!$B$8*'1 Inputs'!$B$9*'1 Inputs'!$B$10*'1 Inputs'!$B$11</f>
        <v>4166666.66666667</v>
      </c>
      <c r="CP60" s="19" t="n">
        <f aca="false">MAX(0,MIN($B60,$A60*'1 Inputs'!$B$6-24*$B60))*'1 Inputs'!$B$7*'1 Inputs'!$B$8*'1 Inputs'!$B$9*'1 Inputs'!$B$10*'1 Inputs'!$B$11</f>
        <v>4166666.66666667</v>
      </c>
      <c r="CQ60" s="19" t="n">
        <f aca="false">MAX(0,MIN($B60,$A60*'1 Inputs'!$B$6-25*$B60))*'1 Inputs'!$B$7*'1 Inputs'!$B$8*'1 Inputs'!$B$9*'1 Inputs'!$B$10*'1 Inputs'!$B$11</f>
        <v>4166666.66666667</v>
      </c>
      <c r="CR60" s="19" t="n">
        <f aca="false">MAX(0,MIN($B60,$A60*'1 Inputs'!$B$6-26*$B60))*'1 Inputs'!$B$7*'1 Inputs'!$B$8*'1 Inputs'!$B$9*'1 Inputs'!$B$10*'1 Inputs'!$B$11</f>
        <v>4166666.66666667</v>
      </c>
      <c r="CS60" s="19" t="n">
        <f aca="false">MAX(0,MIN($B60,$A60*'1 Inputs'!$B$6-27*$B60))*'1 Inputs'!$B$7*'1 Inputs'!$B$8*'1 Inputs'!$B$9*'1 Inputs'!$B$10*'1 Inputs'!$B$11</f>
        <v>4166666.66666667</v>
      </c>
      <c r="CT60" s="19" t="n">
        <f aca="false">MAX(0,MIN($B60,$A60*'1 Inputs'!$B$6-28*$B60))*'1 Inputs'!$B$7*'1 Inputs'!$B$8*'1 Inputs'!$B$9*'1 Inputs'!$B$10*'1 Inputs'!$B$11</f>
        <v>4166666.66666667</v>
      </c>
      <c r="CU60" s="19" t="n">
        <f aca="false">MAX(0,MIN($B60,$A60*'1 Inputs'!$B$6-29*$B60))*'1 Inputs'!$B$7*'1 Inputs'!$B$8*'1 Inputs'!$B$9*'1 Inputs'!$B$10*'1 Inputs'!$B$11</f>
        <v>4166666.66666667</v>
      </c>
      <c r="CV60" s="19" t="n">
        <f aca="false">MAX(0,MIN($B60,$A60*'1 Inputs'!$B$6-30*$B60))*'1 Inputs'!$B$7*'1 Inputs'!$B$8*'1 Inputs'!$B$9*'1 Inputs'!$B$10*'1 Inputs'!$B$11</f>
        <v>4166666.66666667</v>
      </c>
      <c r="CW60" s="19" t="n">
        <f aca="false">MAX(0,MIN($B60,$A60*'1 Inputs'!$B$6-31*$B60))*'1 Inputs'!$B$7*'1 Inputs'!$B$8*'1 Inputs'!$B$9*'1 Inputs'!$B$10*'1 Inputs'!$B$11</f>
        <v>4166666.66666667</v>
      </c>
      <c r="CX60" s="19" t="n">
        <f aca="false">MAX(0,MIN($B60,$A60*'1 Inputs'!$B$6-32*$B60))*'1 Inputs'!$B$7*'1 Inputs'!$B$8*'1 Inputs'!$B$9*'1 Inputs'!$B$10*'1 Inputs'!$B$11</f>
        <v>4166666.66666667</v>
      </c>
      <c r="CY60" s="19" t="n">
        <f aca="false">MAX(0,MIN($B60,$A60*'1 Inputs'!$B$6-33*$B60))*'1 Inputs'!$B$7*'1 Inputs'!$B$8*'1 Inputs'!$B$9*'1 Inputs'!$B$10*'1 Inputs'!$B$11</f>
        <v>4166666.66666667</v>
      </c>
      <c r="CZ60" s="19" t="n">
        <f aca="false">MAX(0,MIN($B60,$A60*'1 Inputs'!$B$6-34*$B60))*'1 Inputs'!$B$7*'1 Inputs'!$B$8*'1 Inputs'!$B$9*'1 Inputs'!$B$10*'1 Inputs'!$B$11</f>
        <v>4166666.66666667</v>
      </c>
      <c r="DA60" s="19" t="n">
        <f aca="false">MAX(0,MIN($B60,$A60*'1 Inputs'!$B$6-35*$B60))*'1 Inputs'!$B$7*'1 Inputs'!$B$8*'1 Inputs'!$B$9*'1 Inputs'!$B$10*'1 Inputs'!$B$11</f>
        <v>4166666.66666667</v>
      </c>
      <c r="DB60" s="19" t="n">
        <f aca="false">MAX(0,MIN($B60,$A60*'1 Inputs'!$B$6-36*$B60))*'1 Inputs'!$B$7*'1 Inputs'!$B$8*'1 Inputs'!$B$9*'1 Inputs'!$B$10*'1 Inputs'!$B$11</f>
        <v>4166666.66666667</v>
      </c>
      <c r="DC60" s="19" t="n">
        <f aca="false">MAX(0,MIN($B60,$A60*'1 Inputs'!$B$6-37*$B60))*'1 Inputs'!$B$7*'1 Inputs'!$B$8*'1 Inputs'!$B$9*'1 Inputs'!$B$10*'1 Inputs'!$B$11</f>
        <v>4166666.66666667</v>
      </c>
      <c r="DD60" s="19" t="n">
        <f aca="false">MAX(0,MIN($B60,$A60*'1 Inputs'!$B$6-38*$B60))*'1 Inputs'!$B$7*'1 Inputs'!$B$8*'1 Inputs'!$B$9*'1 Inputs'!$B$10*'1 Inputs'!$B$11</f>
        <v>4166666.66666667</v>
      </c>
      <c r="DE60" s="19" t="n">
        <f aca="false">MAX(0,MIN($B60,$A60*'1 Inputs'!$B$6-39*$B60))*'1 Inputs'!$B$7*'1 Inputs'!$B$8*'1 Inputs'!$B$9*'1 Inputs'!$B$10*'1 Inputs'!$B$11</f>
        <v>4166666.66666667</v>
      </c>
      <c r="DF60" s="19" t="n">
        <f aca="false">MAX(0,MIN($B60,$A60*'1 Inputs'!$B$6-40*$B60))*'1 Inputs'!$B$7*'1 Inputs'!$B$8*'1 Inputs'!$B$9*'1 Inputs'!$B$10*'1 Inputs'!$B$11</f>
        <v>4166666.66666667</v>
      </c>
      <c r="DG60" s="19" t="n">
        <f aca="false">MAX(0,MIN($B60,$A60*'1 Inputs'!$B$6-41*$B60))*'1 Inputs'!$B$7*'1 Inputs'!$B$8*'1 Inputs'!$B$9*'1 Inputs'!$B$10*'1 Inputs'!$B$11</f>
        <v>4166666.66666667</v>
      </c>
      <c r="DH60" s="19" t="n">
        <f aca="false">MAX(0,MIN($B60,$A60*'1 Inputs'!$B$6-42*$B60))*'1 Inputs'!$B$7*'1 Inputs'!$B$8*'1 Inputs'!$B$9*'1 Inputs'!$B$10*'1 Inputs'!$B$11</f>
        <v>4166666.66666667</v>
      </c>
      <c r="DI60" s="19" t="n">
        <f aca="false">MAX(0,MIN($B60,$A60*'1 Inputs'!$B$6-43*$B60))*'1 Inputs'!$B$7*'1 Inputs'!$B$8*'1 Inputs'!$B$9*'1 Inputs'!$B$10*'1 Inputs'!$B$11</f>
        <v>4166666.66666667</v>
      </c>
      <c r="DJ60" s="19" t="n">
        <f aca="false">MAX(0,MIN($B60,$A60*'1 Inputs'!$B$6-44*$B60))*'1 Inputs'!$B$7*'1 Inputs'!$B$8*'1 Inputs'!$B$9*'1 Inputs'!$B$10*'1 Inputs'!$B$11</f>
        <v>4166666.66666667</v>
      </c>
      <c r="DK60" s="19" t="n">
        <f aca="false">MAX(0,MIN($B60,$A60*'1 Inputs'!$B$6-45*$B60))*'1 Inputs'!$B$7*'1 Inputs'!$B$8*'1 Inputs'!$B$9*'1 Inputs'!$B$10*'1 Inputs'!$B$11</f>
        <v>4166666.66666667</v>
      </c>
      <c r="DL60" s="19" t="n">
        <f aca="false">MAX(0,MIN($B60,$A60*'1 Inputs'!$B$6-46*$B60))*'1 Inputs'!$B$7*'1 Inputs'!$B$8*'1 Inputs'!$B$9*'1 Inputs'!$B$10*'1 Inputs'!$B$11</f>
        <v>4166666.66666667</v>
      </c>
      <c r="DM60" s="19" t="n">
        <f aca="false">MAX(0,MIN($B60,$A60*'1 Inputs'!$B$6-47*$B60))*'1 Inputs'!$B$7*'1 Inputs'!$B$8*'1 Inputs'!$B$9*'1 Inputs'!$B$10*'1 Inputs'!$B$11</f>
        <v>4166666.66666667</v>
      </c>
      <c r="DN60" s="19" t="n">
        <f aca="false">MAX(0,MIN($B60,$A60*'1 Inputs'!$B$6-48*$B60))*'1 Inputs'!$B$7*'1 Inputs'!$B$8*'1 Inputs'!$B$9*'1 Inputs'!$B$10*'1 Inputs'!$B$11</f>
        <v>4166666.66666667</v>
      </c>
      <c r="DO60" s="19" t="n">
        <f aca="false">MAX(0,MIN($B60,$A60*'1 Inputs'!$B$6-49*$B60))*'1 Inputs'!$B$7*'1 Inputs'!$B$8*'1 Inputs'!$B$9*'1 Inputs'!$B$10*'1 Inputs'!$B$11</f>
        <v>4166666.66666667</v>
      </c>
      <c r="DP60" s="19" t="n">
        <f aca="false">MAX(0,MIN($B60,$A60*'1 Inputs'!$B$6-50*$B60))*'1 Inputs'!$B$7*'1 Inputs'!$B$8*'1 Inputs'!$B$9*'1 Inputs'!$B$10*'1 Inputs'!$B$11</f>
        <v>4166666.66666667</v>
      </c>
      <c r="DQ60" s="19" t="n">
        <f aca="false">MAX(0,MIN($B60,$A60*'1 Inputs'!$B$6-51*$B60))*'1 Inputs'!$B$7*'1 Inputs'!$B$8*'1 Inputs'!$B$9*'1 Inputs'!$B$10*'1 Inputs'!$B$11</f>
        <v>4166666.66666667</v>
      </c>
      <c r="DR60" s="19" t="n">
        <f aca="false">MAX(0,MIN($B60,$A60*'1 Inputs'!$B$6-52*$B60))*'1 Inputs'!$B$7*'1 Inputs'!$B$8*'1 Inputs'!$B$9*'1 Inputs'!$B$10*'1 Inputs'!$B$11</f>
        <v>2083333.33333333</v>
      </c>
      <c r="DS60" s="19" t="n">
        <f aca="false">MAX(0,MIN($B60,$A60*'1 Inputs'!$B$6-53*$B60))*'1 Inputs'!$B$7*'1 Inputs'!$B$8*'1 Inputs'!$B$9*'1 Inputs'!$B$10*'1 Inputs'!$B$11</f>
        <v>0</v>
      </c>
      <c r="DT60" s="19" t="n">
        <f aca="false">MAX(0,MIN($B60,$A60*'1 Inputs'!$B$6-54*$B60))*'1 Inputs'!$B$7*'1 Inputs'!$B$8*'1 Inputs'!$B$9*'1 Inputs'!$B$10*'1 Inputs'!$B$11</f>
        <v>0</v>
      </c>
      <c r="DU60" s="19" t="n">
        <f aca="false">MAX(0,MIN($B60,$A60*'1 Inputs'!$B$6-55*$B60))*'1 Inputs'!$B$7*'1 Inputs'!$B$8*'1 Inputs'!$B$9*'1 Inputs'!$B$10*'1 Inputs'!$B$11</f>
        <v>0</v>
      </c>
      <c r="DV60" s="19" t="n">
        <f aca="false">MAX(0,MIN($B60,$A60*'1 Inputs'!$B$6-56*$B60))*'1 Inputs'!$B$7*'1 Inputs'!$B$8*'1 Inputs'!$B$9*'1 Inputs'!$B$10*'1 Inputs'!$B$11</f>
        <v>0</v>
      </c>
      <c r="DW60" s="19" t="n">
        <f aca="false">MAX(0,MIN($B60,$A60*'1 Inputs'!$B$6-57*$B60))*'1 Inputs'!$B$7*'1 Inputs'!$B$8*'1 Inputs'!$B$9*'1 Inputs'!$B$10*'1 Inputs'!$B$11</f>
        <v>0</v>
      </c>
      <c r="DX60" s="19" t="n">
        <f aca="false">MAX(0,MIN($B60,$A60*'1 Inputs'!$B$6-58*$B60))*'1 Inputs'!$B$7*'1 Inputs'!$B$8*'1 Inputs'!$B$9*'1 Inputs'!$B$10*'1 Inputs'!$B$11</f>
        <v>0</v>
      </c>
      <c r="DY60" s="19" t="n">
        <f aca="false">MAX(0,MIN($B60,$A60*'1 Inputs'!$B$6-59*$B60))*'1 Inputs'!$B$7*'1 Inputs'!$B$8*'1 Inputs'!$B$9*'1 Inputs'!$B$10*'1 Inputs'!$B$11</f>
        <v>0</v>
      </c>
    </row>
    <row r="61" customFormat="false" ht="15" hidden="false" customHeight="false" outlineLevel="0" collapsed="false">
      <c r="A61" s="0" t="n">
        <v>420</v>
      </c>
      <c r="B61" s="0" t="n">
        <v>6</v>
      </c>
      <c r="C61" s="12" t="n">
        <f aca="false">SUMIF(J61:BQ61,"&lt;="&amp;('1 Inputs'!$B$21+52),BR61:DY61)</f>
        <v>112500000</v>
      </c>
      <c r="J61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61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61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61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61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61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61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61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61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61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61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61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61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61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61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61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61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61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61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61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61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61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61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61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61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61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61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61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61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61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61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61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61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61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61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61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61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61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61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61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61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61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61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61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61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61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61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61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61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61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61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61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61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61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61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61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61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61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61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61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61" s="19" t="n">
        <f aca="false">MAX(0,MIN($B61,$A61*'1 Inputs'!$B$6-0*$B61))*'1 Inputs'!$B$7*'1 Inputs'!$B$8*'1 Inputs'!$B$9*'1 Inputs'!$B$10*'1 Inputs'!$B$11</f>
        <v>6250000</v>
      </c>
      <c r="BS61" s="19" t="n">
        <f aca="false">MAX(0,MIN($B61,$A61*'1 Inputs'!$B$6-1*$B61))*'1 Inputs'!$B$7*'1 Inputs'!$B$8*'1 Inputs'!$B$9*'1 Inputs'!$B$10*'1 Inputs'!$B$11</f>
        <v>6250000</v>
      </c>
      <c r="BT61" s="19" t="n">
        <f aca="false">MAX(0,MIN($B61,$A61*'1 Inputs'!$B$6-2*$B61))*'1 Inputs'!$B$7*'1 Inputs'!$B$8*'1 Inputs'!$B$9*'1 Inputs'!$B$10*'1 Inputs'!$B$11</f>
        <v>6250000</v>
      </c>
      <c r="BU61" s="19" t="n">
        <f aca="false">MAX(0,MIN($B61,$A61*'1 Inputs'!$B$6-3*$B61))*'1 Inputs'!$B$7*'1 Inputs'!$B$8*'1 Inputs'!$B$9*'1 Inputs'!$B$10*'1 Inputs'!$B$11</f>
        <v>6250000</v>
      </c>
      <c r="BV61" s="19" t="n">
        <f aca="false">MAX(0,MIN($B61,$A61*'1 Inputs'!$B$6-4*$B61))*'1 Inputs'!$B$7*'1 Inputs'!$B$8*'1 Inputs'!$B$9*'1 Inputs'!$B$10*'1 Inputs'!$B$11</f>
        <v>6250000</v>
      </c>
      <c r="BW61" s="19" t="n">
        <f aca="false">MAX(0,MIN($B61,$A61*'1 Inputs'!$B$6-5*$B61))*'1 Inputs'!$B$7*'1 Inputs'!$B$8*'1 Inputs'!$B$9*'1 Inputs'!$B$10*'1 Inputs'!$B$11</f>
        <v>6250000</v>
      </c>
      <c r="BX61" s="19" t="n">
        <f aca="false">MAX(0,MIN($B61,$A61*'1 Inputs'!$B$6-6*$B61))*'1 Inputs'!$B$7*'1 Inputs'!$B$8*'1 Inputs'!$B$9*'1 Inputs'!$B$10*'1 Inputs'!$B$11</f>
        <v>6250000</v>
      </c>
      <c r="BY61" s="19" t="n">
        <f aca="false">MAX(0,MIN($B61,$A61*'1 Inputs'!$B$6-7*$B61))*'1 Inputs'!$B$7*'1 Inputs'!$B$8*'1 Inputs'!$B$9*'1 Inputs'!$B$10*'1 Inputs'!$B$11</f>
        <v>6250000</v>
      </c>
      <c r="BZ61" s="19" t="n">
        <f aca="false">MAX(0,MIN($B61,$A61*'1 Inputs'!$B$6-8*$B61))*'1 Inputs'!$B$7*'1 Inputs'!$B$8*'1 Inputs'!$B$9*'1 Inputs'!$B$10*'1 Inputs'!$B$11</f>
        <v>6250000</v>
      </c>
      <c r="CA61" s="19" t="n">
        <f aca="false">MAX(0,MIN($B61,$A61*'1 Inputs'!$B$6-9*$B61))*'1 Inputs'!$B$7*'1 Inputs'!$B$8*'1 Inputs'!$B$9*'1 Inputs'!$B$10*'1 Inputs'!$B$11</f>
        <v>6250000</v>
      </c>
      <c r="CB61" s="19" t="n">
        <f aca="false">MAX(0,MIN($B61,$A61*'1 Inputs'!$B$6-10*$B61))*'1 Inputs'!$B$7*'1 Inputs'!$B$8*'1 Inputs'!$B$9*'1 Inputs'!$B$10*'1 Inputs'!$B$11</f>
        <v>6250000</v>
      </c>
      <c r="CC61" s="19" t="n">
        <f aca="false">MAX(0,MIN($B61,$A61*'1 Inputs'!$B$6-11*$B61))*'1 Inputs'!$B$7*'1 Inputs'!$B$8*'1 Inputs'!$B$9*'1 Inputs'!$B$10*'1 Inputs'!$B$11</f>
        <v>6250000</v>
      </c>
      <c r="CD61" s="19" t="n">
        <f aca="false">MAX(0,MIN($B61,$A61*'1 Inputs'!$B$6-12*$B61))*'1 Inputs'!$B$7*'1 Inputs'!$B$8*'1 Inputs'!$B$9*'1 Inputs'!$B$10*'1 Inputs'!$B$11</f>
        <v>6250000</v>
      </c>
      <c r="CE61" s="19" t="n">
        <f aca="false">MAX(0,MIN($B61,$A61*'1 Inputs'!$B$6-13*$B61))*'1 Inputs'!$B$7*'1 Inputs'!$B$8*'1 Inputs'!$B$9*'1 Inputs'!$B$10*'1 Inputs'!$B$11</f>
        <v>6250000</v>
      </c>
      <c r="CF61" s="19" t="n">
        <f aca="false">MAX(0,MIN($B61,$A61*'1 Inputs'!$B$6-14*$B61))*'1 Inputs'!$B$7*'1 Inputs'!$B$8*'1 Inputs'!$B$9*'1 Inputs'!$B$10*'1 Inputs'!$B$11</f>
        <v>6250000</v>
      </c>
      <c r="CG61" s="19" t="n">
        <f aca="false">MAX(0,MIN($B61,$A61*'1 Inputs'!$B$6-15*$B61))*'1 Inputs'!$B$7*'1 Inputs'!$B$8*'1 Inputs'!$B$9*'1 Inputs'!$B$10*'1 Inputs'!$B$11</f>
        <v>6250000</v>
      </c>
      <c r="CH61" s="19" t="n">
        <f aca="false">MAX(0,MIN($B61,$A61*'1 Inputs'!$B$6-16*$B61))*'1 Inputs'!$B$7*'1 Inputs'!$B$8*'1 Inputs'!$B$9*'1 Inputs'!$B$10*'1 Inputs'!$B$11</f>
        <v>6250000</v>
      </c>
      <c r="CI61" s="19" t="n">
        <f aca="false">MAX(0,MIN($B61,$A61*'1 Inputs'!$B$6-17*$B61))*'1 Inputs'!$B$7*'1 Inputs'!$B$8*'1 Inputs'!$B$9*'1 Inputs'!$B$10*'1 Inputs'!$B$11</f>
        <v>6250000</v>
      </c>
      <c r="CJ61" s="19" t="n">
        <f aca="false">MAX(0,MIN($B61,$A61*'1 Inputs'!$B$6-18*$B61))*'1 Inputs'!$B$7*'1 Inputs'!$B$8*'1 Inputs'!$B$9*'1 Inputs'!$B$10*'1 Inputs'!$B$11</f>
        <v>6250000</v>
      </c>
      <c r="CK61" s="19" t="n">
        <f aca="false">MAX(0,MIN($B61,$A61*'1 Inputs'!$B$6-19*$B61))*'1 Inputs'!$B$7*'1 Inputs'!$B$8*'1 Inputs'!$B$9*'1 Inputs'!$B$10*'1 Inputs'!$B$11</f>
        <v>6250000</v>
      </c>
      <c r="CL61" s="19" t="n">
        <f aca="false">MAX(0,MIN($B61,$A61*'1 Inputs'!$B$6-20*$B61))*'1 Inputs'!$B$7*'1 Inputs'!$B$8*'1 Inputs'!$B$9*'1 Inputs'!$B$10*'1 Inputs'!$B$11</f>
        <v>6250000</v>
      </c>
      <c r="CM61" s="19" t="n">
        <f aca="false">MAX(0,MIN($B61,$A61*'1 Inputs'!$B$6-21*$B61))*'1 Inputs'!$B$7*'1 Inputs'!$B$8*'1 Inputs'!$B$9*'1 Inputs'!$B$10*'1 Inputs'!$B$11</f>
        <v>6250000</v>
      </c>
      <c r="CN61" s="19" t="n">
        <f aca="false">MAX(0,MIN($B61,$A61*'1 Inputs'!$B$6-22*$B61))*'1 Inputs'!$B$7*'1 Inputs'!$B$8*'1 Inputs'!$B$9*'1 Inputs'!$B$10*'1 Inputs'!$B$11</f>
        <v>6250000</v>
      </c>
      <c r="CO61" s="19" t="n">
        <f aca="false">MAX(0,MIN($B61,$A61*'1 Inputs'!$B$6-23*$B61))*'1 Inputs'!$B$7*'1 Inputs'!$B$8*'1 Inputs'!$B$9*'1 Inputs'!$B$10*'1 Inputs'!$B$11</f>
        <v>6250000</v>
      </c>
      <c r="CP61" s="19" t="n">
        <f aca="false">MAX(0,MIN($B61,$A61*'1 Inputs'!$B$6-24*$B61))*'1 Inputs'!$B$7*'1 Inputs'!$B$8*'1 Inputs'!$B$9*'1 Inputs'!$B$10*'1 Inputs'!$B$11</f>
        <v>6250000</v>
      </c>
      <c r="CQ61" s="19" t="n">
        <f aca="false">MAX(0,MIN($B61,$A61*'1 Inputs'!$B$6-25*$B61))*'1 Inputs'!$B$7*'1 Inputs'!$B$8*'1 Inputs'!$B$9*'1 Inputs'!$B$10*'1 Inputs'!$B$11</f>
        <v>6250000</v>
      </c>
      <c r="CR61" s="19" t="n">
        <f aca="false">MAX(0,MIN($B61,$A61*'1 Inputs'!$B$6-26*$B61))*'1 Inputs'!$B$7*'1 Inputs'!$B$8*'1 Inputs'!$B$9*'1 Inputs'!$B$10*'1 Inputs'!$B$11</f>
        <v>6250000</v>
      </c>
      <c r="CS61" s="19" t="n">
        <f aca="false">MAX(0,MIN($B61,$A61*'1 Inputs'!$B$6-27*$B61))*'1 Inputs'!$B$7*'1 Inputs'!$B$8*'1 Inputs'!$B$9*'1 Inputs'!$B$10*'1 Inputs'!$B$11</f>
        <v>6250000</v>
      </c>
      <c r="CT61" s="19" t="n">
        <f aca="false">MAX(0,MIN($B61,$A61*'1 Inputs'!$B$6-28*$B61))*'1 Inputs'!$B$7*'1 Inputs'!$B$8*'1 Inputs'!$B$9*'1 Inputs'!$B$10*'1 Inputs'!$B$11</f>
        <v>6250000</v>
      </c>
      <c r="CU61" s="19" t="n">
        <f aca="false">MAX(0,MIN($B61,$A61*'1 Inputs'!$B$6-29*$B61))*'1 Inputs'!$B$7*'1 Inputs'!$B$8*'1 Inputs'!$B$9*'1 Inputs'!$B$10*'1 Inputs'!$B$11</f>
        <v>6250000</v>
      </c>
      <c r="CV61" s="19" t="n">
        <f aca="false">MAX(0,MIN($B61,$A61*'1 Inputs'!$B$6-30*$B61))*'1 Inputs'!$B$7*'1 Inputs'!$B$8*'1 Inputs'!$B$9*'1 Inputs'!$B$10*'1 Inputs'!$B$11</f>
        <v>6250000</v>
      </c>
      <c r="CW61" s="19" t="n">
        <f aca="false">MAX(0,MIN($B61,$A61*'1 Inputs'!$B$6-31*$B61))*'1 Inputs'!$B$7*'1 Inputs'!$B$8*'1 Inputs'!$B$9*'1 Inputs'!$B$10*'1 Inputs'!$B$11</f>
        <v>6250000</v>
      </c>
      <c r="CX61" s="19" t="n">
        <f aca="false">MAX(0,MIN($B61,$A61*'1 Inputs'!$B$6-32*$B61))*'1 Inputs'!$B$7*'1 Inputs'!$B$8*'1 Inputs'!$B$9*'1 Inputs'!$B$10*'1 Inputs'!$B$11</f>
        <v>6250000</v>
      </c>
      <c r="CY61" s="19" t="n">
        <f aca="false">MAX(0,MIN($B61,$A61*'1 Inputs'!$B$6-33*$B61))*'1 Inputs'!$B$7*'1 Inputs'!$B$8*'1 Inputs'!$B$9*'1 Inputs'!$B$10*'1 Inputs'!$B$11</f>
        <v>6250000</v>
      </c>
      <c r="CZ61" s="19" t="n">
        <f aca="false">MAX(0,MIN($B61,$A61*'1 Inputs'!$B$6-34*$B61))*'1 Inputs'!$B$7*'1 Inputs'!$B$8*'1 Inputs'!$B$9*'1 Inputs'!$B$10*'1 Inputs'!$B$11</f>
        <v>6250000</v>
      </c>
      <c r="DA61" s="19" t="n">
        <f aca="false">MAX(0,MIN($B61,$A61*'1 Inputs'!$B$6-35*$B61))*'1 Inputs'!$B$7*'1 Inputs'!$B$8*'1 Inputs'!$B$9*'1 Inputs'!$B$10*'1 Inputs'!$B$11</f>
        <v>0</v>
      </c>
      <c r="DB61" s="19" t="n">
        <f aca="false">MAX(0,MIN($B61,$A61*'1 Inputs'!$B$6-36*$B61))*'1 Inputs'!$B$7*'1 Inputs'!$B$8*'1 Inputs'!$B$9*'1 Inputs'!$B$10*'1 Inputs'!$B$11</f>
        <v>0</v>
      </c>
      <c r="DC61" s="19" t="n">
        <f aca="false">MAX(0,MIN($B61,$A61*'1 Inputs'!$B$6-37*$B61))*'1 Inputs'!$B$7*'1 Inputs'!$B$8*'1 Inputs'!$B$9*'1 Inputs'!$B$10*'1 Inputs'!$B$11</f>
        <v>0</v>
      </c>
      <c r="DD61" s="19" t="n">
        <f aca="false">MAX(0,MIN($B61,$A61*'1 Inputs'!$B$6-38*$B61))*'1 Inputs'!$B$7*'1 Inputs'!$B$8*'1 Inputs'!$B$9*'1 Inputs'!$B$10*'1 Inputs'!$B$11</f>
        <v>0</v>
      </c>
      <c r="DE61" s="19" t="n">
        <f aca="false">MAX(0,MIN($B61,$A61*'1 Inputs'!$B$6-39*$B61))*'1 Inputs'!$B$7*'1 Inputs'!$B$8*'1 Inputs'!$B$9*'1 Inputs'!$B$10*'1 Inputs'!$B$11</f>
        <v>0</v>
      </c>
      <c r="DF61" s="19" t="n">
        <f aca="false">MAX(0,MIN($B61,$A61*'1 Inputs'!$B$6-40*$B61))*'1 Inputs'!$B$7*'1 Inputs'!$B$8*'1 Inputs'!$B$9*'1 Inputs'!$B$10*'1 Inputs'!$B$11</f>
        <v>0</v>
      </c>
      <c r="DG61" s="19" t="n">
        <f aca="false">MAX(0,MIN($B61,$A61*'1 Inputs'!$B$6-41*$B61))*'1 Inputs'!$B$7*'1 Inputs'!$B$8*'1 Inputs'!$B$9*'1 Inputs'!$B$10*'1 Inputs'!$B$11</f>
        <v>0</v>
      </c>
      <c r="DH61" s="19" t="n">
        <f aca="false">MAX(0,MIN($B61,$A61*'1 Inputs'!$B$6-42*$B61))*'1 Inputs'!$B$7*'1 Inputs'!$B$8*'1 Inputs'!$B$9*'1 Inputs'!$B$10*'1 Inputs'!$B$11</f>
        <v>0</v>
      </c>
      <c r="DI61" s="19" t="n">
        <f aca="false">MAX(0,MIN($B61,$A61*'1 Inputs'!$B$6-43*$B61))*'1 Inputs'!$B$7*'1 Inputs'!$B$8*'1 Inputs'!$B$9*'1 Inputs'!$B$10*'1 Inputs'!$B$11</f>
        <v>0</v>
      </c>
      <c r="DJ61" s="19" t="n">
        <f aca="false">MAX(0,MIN($B61,$A61*'1 Inputs'!$B$6-44*$B61))*'1 Inputs'!$B$7*'1 Inputs'!$B$8*'1 Inputs'!$B$9*'1 Inputs'!$B$10*'1 Inputs'!$B$11</f>
        <v>0</v>
      </c>
      <c r="DK61" s="19" t="n">
        <f aca="false">MAX(0,MIN($B61,$A61*'1 Inputs'!$B$6-45*$B61))*'1 Inputs'!$B$7*'1 Inputs'!$B$8*'1 Inputs'!$B$9*'1 Inputs'!$B$10*'1 Inputs'!$B$11</f>
        <v>0</v>
      </c>
      <c r="DL61" s="19" t="n">
        <f aca="false">MAX(0,MIN($B61,$A61*'1 Inputs'!$B$6-46*$B61))*'1 Inputs'!$B$7*'1 Inputs'!$B$8*'1 Inputs'!$B$9*'1 Inputs'!$B$10*'1 Inputs'!$B$11</f>
        <v>0</v>
      </c>
      <c r="DM61" s="19" t="n">
        <f aca="false">MAX(0,MIN($B61,$A61*'1 Inputs'!$B$6-47*$B61))*'1 Inputs'!$B$7*'1 Inputs'!$B$8*'1 Inputs'!$B$9*'1 Inputs'!$B$10*'1 Inputs'!$B$11</f>
        <v>0</v>
      </c>
      <c r="DN61" s="19" t="n">
        <f aca="false">MAX(0,MIN($B61,$A61*'1 Inputs'!$B$6-48*$B61))*'1 Inputs'!$B$7*'1 Inputs'!$B$8*'1 Inputs'!$B$9*'1 Inputs'!$B$10*'1 Inputs'!$B$11</f>
        <v>0</v>
      </c>
      <c r="DO61" s="19" t="n">
        <f aca="false">MAX(0,MIN($B61,$A61*'1 Inputs'!$B$6-49*$B61))*'1 Inputs'!$B$7*'1 Inputs'!$B$8*'1 Inputs'!$B$9*'1 Inputs'!$B$10*'1 Inputs'!$B$11</f>
        <v>0</v>
      </c>
      <c r="DP61" s="19" t="n">
        <f aca="false">MAX(0,MIN($B61,$A61*'1 Inputs'!$B$6-50*$B61))*'1 Inputs'!$B$7*'1 Inputs'!$B$8*'1 Inputs'!$B$9*'1 Inputs'!$B$10*'1 Inputs'!$B$11</f>
        <v>0</v>
      </c>
      <c r="DQ61" s="19" t="n">
        <f aca="false">MAX(0,MIN($B61,$A61*'1 Inputs'!$B$6-51*$B61))*'1 Inputs'!$B$7*'1 Inputs'!$B$8*'1 Inputs'!$B$9*'1 Inputs'!$B$10*'1 Inputs'!$B$11</f>
        <v>0</v>
      </c>
      <c r="DR61" s="19" t="n">
        <f aca="false">MAX(0,MIN($B61,$A61*'1 Inputs'!$B$6-52*$B61))*'1 Inputs'!$B$7*'1 Inputs'!$B$8*'1 Inputs'!$B$9*'1 Inputs'!$B$10*'1 Inputs'!$B$11</f>
        <v>0</v>
      </c>
      <c r="DS61" s="19" t="n">
        <f aca="false">MAX(0,MIN($B61,$A61*'1 Inputs'!$B$6-53*$B61))*'1 Inputs'!$B$7*'1 Inputs'!$B$8*'1 Inputs'!$B$9*'1 Inputs'!$B$10*'1 Inputs'!$B$11</f>
        <v>0</v>
      </c>
      <c r="DT61" s="19" t="n">
        <f aca="false">MAX(0,MIN($B61,$A61*'1 Inputs'!$B$6-54*$B61))*'1 Inputs'!$B$7*'1 Inputs'!$B$8*'1 Inputs'!$B$9*'1 Inputs'!$B$10*'1 Inputs'!$B$11</f>
        <v>0</v>
      </c>
      <c r="DU61" s="19" t="n">
        <f aca="false">MAX(0,MIN($B61,$A61*'1 Inputs'!$B$6-55*$B61))*'1 Inputs'!$B$7*'1 Inputs'!$B$8*'1 Inputs'!$B$9*'1 Inputs'!$B$10*'1 Inputs'!$B$11</f>
        <v>0</v>
      </c>
      <c r="DV61" s="19" t="n">
        <f aca="false">MAX(0,MIN($B61,$A61*'1 Inputs'!$B$6-56*$B61))*'1 Inputs'!$B$7*'1 Inputs'!$B$8*'1 Inputs'!$B$9*'1 Inputs'!$B$10*'1 Inputs'!$B$11</f>
        <v>0</v>
      </c>
      <c r="DW61" s="19" t="n">
        <f aca="false">MAX(0,MIN($B61,$A61*'1 Inputs'!$B$6-57*$B61))*'1 Inputs'!$B$7*'1 Inputs'!$B$8*'1 Inputs'!$B$9*'1 Inputs'!$B$10*'1 Inputs'!$B$11</f>
        <v>0</v>
      </c>
      <c r="DX61" s="19" t="n">
        <f aca="false">MAX(0,MIN($B61,$A61*'1 Inputs'!$B$6-58*$B61))*'1 Inputs'!$B$7*'1 Inputs'!$B$8*'1 Inputs'!$B$9*'1 Inputs'!$B$10*'1 Inputs'!$B$11</f>
        <v>0</v>
      </c>
      <c r="DY61" s="19" t="n">
        <f aca="false">MAX(0,MIN($B61,$A61*'1 Inputs'!$B$6-59*$B61))*'1 Inputs'!$B$7*'1 Inputs'!$B$8*'1 Inputs'!$B$9*'1 Inputs'!$B$10*'1 Inputs'!$B$11</f>
        <v>0</v>
      </c>
    </row>
    <row r="62" customFormat="false" ht="15" hidden="false" customHeight="false" outlineLevel="0" collapsed="false">
      <c r="A62" s="0" t="n">
        <v>420</v>
      </c>
      <c r="B62" s="0" t="n">
        <v>8</v>
      </c>
      <c r="C62" s="12" t="n">
        <f aca="false">SUMIF(J62:BQ62,"&lt;="&amp;('1 Inputs'!$B$21+52),BR62:DY62)</f>
        <v>150000000</v>
      </c>
      <c r="J62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62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62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62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62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62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62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62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62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62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62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62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62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62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62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62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62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62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62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62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62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62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62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62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62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62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62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62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62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62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62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62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62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62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62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62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62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62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62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62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62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62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62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62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62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62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62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62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62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62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62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62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62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62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62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62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62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62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62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62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62" s="19" t="n">
        <f aca="false">MAX(0,MIN($B62,$A62*'1 Inputs'!$B$6-0*$B62))*'1 Inputs'!$B$7*'1 Inputs'!$B$8*'1 Inputs'!$B$9*'1 Inputs'!$B$10*'1 Inputs'!$B$11</f>
        <v>8333333.33333333</v>
      </c>
      <c r="BS62" s="19" t="n">
        <f aca="false">MAX(0,MIN($B62,$A62*'1 Inputs'!$B$6-1*$B62))*'1 Inputs'!$B$7*'1 Inputs'!$B$8*'1 Inputs'!$B$9*'1 Inputs'!$B$10*'1 Inputs'!$B$11</f>
        <v>8333333.33333333</v>
      </c>
      <c r="BT62" s="19" t="n">
        <f aca="false">MAX(0,MIN($B62,$A62*'1 Inputs'!$B$6-2*$B62))*'1 Inputs'!$B$7*'1 Inputs'!$B$8*'1 Inputs'!$B$9*'1 Inputs'!$B$10*'1 Inputs'!$B$11</f>
        <v>8333333.33333333</v>
      </c>
      <c r="BU62" s="19" t="n">
        <f aca="false">MAX(0,MIN($B62,$A62*'1 Inputs'!$B$6-3*$B62))*'1 Inputs'!$B$7*'1 Inputs'!$B$8*'1 Inputs'!$B$9*'1 Inputs'!$B$10*'1 Inputs'!$B$11</f>
        <v>8333333.33333333</v>
      </c>
      <c r="BV62" s="19" t="n">
        <f aca="false">MAX(0,MIN($B62,$A62*'1 Inputs'!$B$6-4*$B62))*'1 Inputs'!$B$7*'1 Inputs'!$B$8*'1 Inputs'!$B$9*'1 Inputs'!$B$10*'1 Inputs'!$B$11</f>
        <v>8333333.33333333</v>
      </c>
      <c r="BW62" s="19" t="n">
        <f aca="false">MAX(0,MIN($B62,$A62*'1 Inputs'!$B$6-5*$B62))*'1 Inputs'!$B$7*'1 Inputs'!$B$8*'1 Inputs'!$B$9*'1 Inputs'!$B$10*'1 Inputs'!$B$11</f>
        <v>8333333.33333333</v>
      </c>
      <c r="BX62" s="19" t="n">
        <f aca="false">MAX(0,MIN($B62,$A62*'1 Inputs'!$B$6-6*$B62))*'1 Inputs'!$B$7*'1 Inputs'!$B$8*'1 Inputs'!$B$9*'1 Inputs'!$B$10*'1 Inputs'!$B$11</f>
        <v>8333333.33333333</v>
      </c>
      <c r="BY62" s="19" t="n">
        <f aca="false">MAX(0,MIN($B62,$A62*'1 Inputs'!$B$6-7*$B62))*'1 Inputs'!$B$7*'1 Inputs'!$B$8*'1 Inputs'!$B$9*'1 Inputs'!$B$10*'1 Inputs'!$B$11</f>
        <v>8333333.33333333</v>
      </c>
      <c r="BZ62" s="19" t="n">
        <f aca="false">MAX(0,MIN($B62,$A62*'1 Inputs'!$B$6-8*$B62))*'1 Inputs'!$B$7*'1 Inputs'!$B$8*'1 Inputs'!$B$9*'1 Inputs'!$B$10*'1 Inputs'!$B$11</f>
        <v>8333333.33333333</v>
      </c>
      <c r="CA62" s="19" t="n">
        <f aca="false">MAX(0,MIN($B62,$A62*'1 Inputs'!$B$6-9*$B62))*'1 Inputs'!$B$7*'1 Inputs'!$B$8*'1 Inputs'!$B$9*'1 Inputs'!$B$10*'1 Inputs'!$B$11</f>
        <v>8333333.33333333</v>
      </c>
      <c r="CB62" s="19" t="n">
        <f aca="false">MAX(0,MIN($B62,$A62*'1 Inputs'!$B$6-10*$B62))*'1 Inputs'!$B$7*'1 Inputs'!$B$8*'1 Inputs'!$B$9*'1 Inputs'!$B$10*'1 Inputs'!$B$11</f>
        <v>8333333.33333333</v>
      </c>
      <c r="CC62" s="19" t="n">
        <f aca="false">MAX(0,MIN($B62,$A62*'1 Inputs'!$B$6-11*$B62))*'1 Inputs'!$B$7*'1 Inputs'!$B$8*'1 Inputs'!$B$9*'1 Inputs'!$B$10*'1 Inputs'!$B$11</f>
        <v>8333333.33333333</v>
      </c>
      <c r="CD62" s="19" t="n">
        <f aca="false">MAX(0,MIN($B62,$A62*'1 Inputs'!$B$6-12*$B62))*'1 Inputs'!$B$7*'1 Inputs'!$B$8*'1 Inputs'!$B$9*'1 Inputs'!$B$10*'1 Inputs'!$B$11</f>
        <v>8333333.33333333</v>
      </c>
      <c r="CE62" s="19" t="n">
        <f aca="false">MAX(0,MIN($B62,$A62*'1 Inputs'!$B$6-13*$B62))*'1 Inputs'!$B$7*'1 Inputs'!$B$8*'1 Inputs'!$B$9*'1 Inputs'!$B$10*'1 Inputs'!$B$11</f>
        <v>8333333.33333333</v>
      </c>
      <c r="CF62" s="19" t="n">
        <f aca="false">MAX(0,MIN($B62,$A62*'1 Inputs'!$B$6-14*$B62))*'1 Inputs'!$B$7*'1 Inputs'!$B$8*'1 Inputs'!$B$9*'1 Inputs'!$B$10*'1 Inputs'!$B$11</f>
        <v>8333333.33333333</v>
      </c>
      <c r="CG62" s="19" t="n">
        <f aca="false">MAX(0,MIN($B62,$A62*'1 Inputs'!$B$6-15*$B62))*'1 Inputs'!$B$7*'1 Inputs'!$B$8*'1 Inputs'!$B$9*'1 Inputs'!$B$10*'1 Inputs'!$B$11</f>
        <v>8333333.33333333</v>
      </c>
      <c r="CH62" s="19" t="n">
        <f aca="false">MAX(0,MIN($B62,$A62*'1 Inputs'!$B$6-16*$B62))*'1 Inputs'!$B$7*'1 Inputs'!$B$8*'1 Inputs'!$B$9*'1 Inputs'!$B$10*'1 Inputs'!$B$11</f>
        <v>8333333.33333333</v>
      </c>
      <c r="CI62" s="19" t="n">
        <f aca="false">MAX(0,MIN($B62,$A62*'1 Inputs'!$B$6-17*$B62))*'1 Inputs'!$B$7*'1 Inputs'!$B$8*'1 Inputs'!$B$9*'1 Inputs'!$B$10*'1 Inputs'!$B$11</f>
        <v>8333333.33333333</v>
      </c>
      <c r="CJ62" s="19" t="n">
        <f aca="false">MAX(0,MIN($B62,$A62*'1 Inputs'!$B$6-18*$B62))*'1 Inputs'!$B$7*'1 Inputs'!$B$8*'1 Inputs'!$B$9*'1 Inputs'!$B$10*'1 Inputs'!$B$11</f>
        <v>8333333.33333333</v>
      </c>
      <c r="CK62" s="19" t="n">
        <f aca="false">MAX(0,MIN($B62,$A62*'1 Inputs'!$B$6-19*$B62))*'1 Inputs'!$B$7*'1 Inputs'!$B$8*'1 Inputs'!$B$9*'1 Inputs'!$B$10*'1 Inputs'!$B$11</f>
        <v>8333333.33333333</v>
      </c>
      <c r="CL62" s="19" t="n">
        <f aca="false">MAX(0,MIN($B62,$A62*'1 Inputs'!$B$6-20*$B62))*'1 Inputs'!$B$7*'1 Inputs'!$B$8*'1 Inputs'!$B$9*'1 Inputs'!$B$10*'1 Inputs'!$B$11</f>
        <v>8333333.33333333</v>
      </c>
      <c r="CM62" s="19" t="n">
        <f aca="false">MAX(0,MIN($B62,$A62*'1 Inputs'!$B$6-21*$B62))*'1 Inputs'!$B$7*'1 Inputs'!$B$8*'1 Inputs'!$B$9*'1 Inputs'!$B$10*'1 Inputs'!$B$11</f>
        <v>8333333.33333333</v>
      </c>
      <c r="CN62" s="19" t="n">
        <f aca="false">MAX(0,MIN($B62,$A62*'1 Inputs'!$B$6-22*$B62))*'1 Inputs'!$B$7*'1 Inputs'!$B$8*'1 Inputs'!$B$9*'1 Inputs'!$B$10*'1 Inputs'!$B$11</f>
        <v>8333333.33333333</v>
      </c>
      <c r="CO62" s="19" t="n">
        <f aca="false">MAX(0,MIN($B62,$A62*'1 Inputs'!$B$6-23*$B62))*'1 Inputs'!$B$7*'1 Inputs'!$B$8*'1 Inputs'!$B$9*'1 Inputs'!$B$10*'1 Inputs'!$B$11</f>
        <v>8333333.33333333</v>
      </c>
      <c r="CP62" s="19" t="n">
        <f aca="false">MAX(0,MIN($B62,$A62*'1 Inputs'!$B$6-24*$B62))*'1 Inputs'!$B$7*'1 Inputs'!$B$8*'1 Inputs'!$B$9*'1 Inputs'!$B$10*'1 Inputs'!$B$11</f>
        <v>8333333.33333333</v>
      </c>
      <c r="CQ62" s="19" t="n">
        <f aca="false">MAX(0,MIN($B62,$A62*'1 Inputs'!$B$6-25*$B62))*'1 Inputs'!$B$7*'1 Inputs'!$B$8*'1 Inputs'!$B$9*'1 Inputs'!$B$10*'1 Inputs'!$B$11</f>
        <v>8333333.33333333</v>
      </c>
      <c r="CR62" s="19" t="n">
        <f aca="false">MAX(0,MIN($B62,$A62*'1 Inputs'!$B$6-26*$B62))*'1 Inputs'!$B$7*'1 Inputs'!$B$8*'1 Inputs'!$B$9*'1 Inputs'!$B$10*'1 Inputs'!$B$11</f>
        <v>2083333.33333333</v>
      </c>
      <c r="CS62" s="19" t="n">
        <f aca="false">MAX(0,MIN($B62,$A62*'1 Inputs'!$B$6-27*$B62))*'1 Inputs'!$B$7*'1 Inputs'!$B$8*'1 Inputs'!$B$9*'1 Inputs'!$B$10*'1 Inputs'!$B$11</f>
        <v>0</v>
      </c>
      <c r="CT62" s="19" t="n">
        <f aca="false">MAX(0,MIN($B62,$A62*'1 Inputs'!$B$6-28*$B62))*'1 Inputs'!$B$7*'1 Inputs'!$B$8*'1 Inputs'!$B$9*'1 Inputs'!$B$10*'1 Inputs'!$B$11</f>
        <v>0</v>
      </c>
      <c r="CU62" s="19" t="n">
        <f aca="false">MAX(0,MIN($B62,$A62*'1 Inputs'!$B$6-29*$B62))*'1 Inputs'!$B$7*'1 Inputs'!$B$8*'1 Inputs'!$B$9*'1 Inputs'!$B$10*'1 Inputs'!$B$11</f>
        <v>0</v>
      </c>
      <c r="CV62" s="19" t="n">
        <f aca="false">MAX(0,MIN($B62,$A62*'1 Inputs'!$B$6-30*$B62))*'1 Inputs'!$B$7*'1 Inputs'!$B$8*'1 Inputs'!$B$9*'1 Inputs'!$B$10*'1 Inputs'!$B$11</f>
        <v>0</v>
      </c>
      <c r="CW62" s="19" t="n">
        <f aca="false">MAX(0,MIN($B62,$A62*'1 Inputs'!$B$6-31*$B62))*'1 Inputs'!$B$7*'1 Inputs'!$B$8*'1 Inputs'!$B$9*'1 Inputs'!$B$10*'1 Inputs'!$B$11</f>
        <v>0</v>
      </c>
      <c r="CX62" s="19" t="n">
        <f aca="false">MAX(0,MIN($B62,$A62*'1 Inputs'!$B$6-32*$B62))*'1 Inputs'!$B$7*'1 Inputs'!$B$8*'1 Inputs'!$B$9*'1 Inputs'!$B$10*'1 Inputs'!$B$11</f>
        <v>0</v>
      </c>
      <c r="CY62" s="19" t="n">
        <f aca="false">MAX(0,MIN($B62,$A62*'1 Inputs'!$B$6-33*$B62))*'1 Inputs'!$B$7*'1 Inputs'!$B$8*'1 Inputs'!$B$9*'1 Inputs'!$B$10*'1 Inputs'!$B$11</f>
        <v>0</v>
      </c>
      <c r="CZ62" s="19" t="n">
        <f aca="false">MAX(0,MIN($B62,$A62*'1 Inputs'!$B$6-34*$B62))*'1 Inputs'!$B$7*'1 Inputs'!$B$8*'1 Inputs'!$B$9*'1 Inputs'!$B$10*'1 Inputs'!$B$11</f>
        <v>0</v>
      </c>
      <c r="DA62" s="19" t="n">
        <f aca="false">MAX(0,MIN($B62,$A62*'1 Inputs'!$B$6-35*$B62))*'1 Inputs'!$B$7*'1 Inputs'!$B$8*'1 Inputs'!$B$9*'1 Inputs'!$B$10*'1 Inputs'!$B$11</f>
        <v>0</v>
      </c>
      <c r="DB62" s="19" t="n">
        <f aca="false">MAX(0,MIN($B62,$A62*'1 Inputs'!$B$6-36*$B62))*'1 Inputs'!$B$7*'1 Inputs'!$B$8*'1 Inputs'!$B$9*'1 Inputs'!$B$10*'1 Inputs'!$B$11</f>
        <v>0</v>
      </c>
      <c r="DC62" s="19" t="n">
        <f aca="false">MAX(0,MIN($B62,$A62*'1 Inputs'!$B$6-37*$B62))*'1 Inputs'!$B$7*'1 Inputs'!$B$8*'1 Inputs'!$B$9*'1 Inputs'!$B$10*'1 Inputs'!$B$11</f>
        <v>0</v>
      </c>
      <c r="DD62" s="19" t="n">
        <f aca="false">MAX(0,MIN($B62,$A62*'1 Inputs'!$B$6-38*$B62))*'1 Inputs'!$B$7*'1 Inputs'!$B$8*'1 Inputs'!$B$9*'1 Inputs'!$B$10*'1 Inputs'!$B$11</f>
        <v>0</v>
      </c>
      <c r="DE62" s="19" t="n">
        <f aca="false">MAX(0,MIN($B62,$A62*'1 Inputs'!$B$6-39*$B62))*'1 Inputs'!$B$7*'1 Inputs'!$B$8*'1 Inputs'!$B$9*'1 Inputs'!$B$10*'1 Inputs'!$B$11</f>
        <v>0</v>
      </c>
      <c r="DF62" s="19" t="n">
        <f aca="false">MAX(0,MIN($B62,$A62*'1 Inputs'!$B$6-40*$B62))*'1 Inputs'!$B$7*'1 Inputs'!$B$8*'1 Inputs'!$B$9*'1 Inputs'!$B$10*'1 Inputs'!$B$11</f>
        <v>0</v>
      </c>
      <c r="DG62" s="19" t="n">
        <f aca="false">MAX(0,MIN($B62,$A62*'1 Inputs'!$B$6-41*$B62))*'1 Inputs'!$B$7*'1 Inputs'!$B$8*'1 Inputs'!$B$9*'1 Inputs'!$B$10*'1 Inputs'!$B$11</f>
        <v>0</v>
      </c>
      <c r="DH62" s="19" t="n">
        <f aca="false">MAX(0,MIN($B62,$A62*'1 Inputs'!$B$6-42*$B62))*'1 Inputs'!$B$7*'1 Inputs'!$B$8*'1 Inputs'!$B$9*'1 Inputs'!$B$10*'1 Inputs'!$B$11</f>
        <v>0</v>
      </c>
      <c r="DI62" s="19" t="n">
        <f aca="false">MAX(0,MIN($B62,$A62*'1 Inputs'!$B$6-43*$B62))*'1 Inputs'!$B$7*'1 Inputs'!$B$8*'1 Inputs'!$B$9*'1 Inputs'!$B$10*'1 Inputs'!$B$11</f>
        <v>0</v>
      </c>
      <c r="DJ62" s="19" t="n">
        <f aca="false">MAX(0,MIN($B62,$A62*'1 Inputs'!$B$6-44*$B62))*'1 Inputs'!$B$7*'1 Inputs'!$B$8*'1 Inputs'!$B$9*'1 Inputs'!$B$10*'1 Inputs'!$B$11</f>
        <v>0</v>
      </c>
      <c r="DK62" s="19" t="n">
        <f aca="false">MAX(0,MIN($B62,$A62*'1 Inputs'!$B$6-45*$B62))*'1 Inputs'!$B$7*'1 Inputs'!$B$8*'1 Inputs'!$B$9*'1 Inputs'!$B$10*'1 Inputs'!$B$11</f>
        <v>0</v>
      </c>
      <c r="DL62" s="19" t="n">
        <f aca="false">MAX(0,MIN($B62,$A62*'1 Inputs'!$B$6-46*$B62))*'1 Inputs'!$B$7*'1 Inputs'!$B$8*'1 Inputs'!$B$9*'1 Inputs'!$B$10*'1 Inputs'!$B$11</f>
        <v>0</v>
      </c>
      <c r="DM62" s="19" t="n">
        <f aca="false">MAX(0,MIN($B62,$A62*'1 Inputs'!$B$6-47*$B62))*'1 Inputs'!$B$7*'1 Inputs'!$B$8*'1 Inputs'!$B$9*'1 Inputs'!$B$10*'1 Inputs'!$B$11</f>
        <v>0</v>
      </c>
      <c r="DN62" s="19" t="n">
        <f aca="false">MAX(0,MIN($B62,$A62*'1 Inputs'!$B$6-48*$B62))*'1 Inputs'!$B$7*'1 Inputs'!$B$8*'1 Inputs'!$B$9*'1 Inputs'!$B$10*'1 Inputs'!$B$11</f>
        <v>0</v>
      </c>
      <c r="DO62" s="19" t="n">
        <f aca="false">MAX(0,MIN($B62,$A62*'1 Inputs'!$B$6-49*$B62))*'1 Inputs'!$B$7*'1 Inputs'!$B$8*'1 Inputs'!$B$9*'1 Inputs'!$B$10*'1 Inputs'!$B$11</f>
        <v>0</v>
      </c>
      <c r="DP62" s="19" t="n">
        <f aca="false">MAX(0,MIN($B62,$A62*'1 Inputs'!$B$6-50*$B62))*'1 Inputs'!$B$7*'1 Inputs'!$B$8*'1 Inputs'!$B$9*'1 Inputs'!$B$10*'1 Inputs'!$B$11</f>
        <v>0</v>
      </c>
      <c r="DQ62" s="19" t="n">
        <f aca="false">MAX(0,MIN($B62,$A62*'1 Inputs'!$B$6-51*$B62))*'1 Inputs'!$B$7*'1 Inputs'!$B$8*'1 Inputs'!$B$9*'1 Inputs'!$B$10*'1 Inputs'!$B$11</f>
        <v>0</v>
      </c>
      <c r="DR62" s="19" t="n">
        <f aca="false">MAX(0,MIN($B62,$A62*'1 Inputs'!$B$6-52*$B62))*'1 Inputs'!$B$7*'1 Inputs'!$B$8*'1 Inputs'!$B$9*'1 Inputs'!$B$10*'1 Inputs'!$B$11</f>
        <v>0</v>
      </c>
      <c r="DS62" s="19" t="n">
        <f aca="false">MAX(0,MIN($B62,$A62*'1 Inputs'!$B$6-53*$B62))*'1 Inputs'!$B$7*'1 Inputs'!$B$8*'1 Inputs'!$B$9*'1 Inputs'!$B$10*'1 Inputs'!$B$11</f>
        <v>0</v>
      </c>
      <c r="DT62" s="19" t="n">
        <f aca="false">MAX(0,MIN($B62,$A62*'1 Inputs'!$B$6-54*$B62))*'1 Inputs'!$B$7*'1 Inputs'!$B$8*'1 Inputs'!$B$9*'1 Inputs'!$B$10*'1 Inputs'!$B$11</f>
        <v>0</v>
      </c>
      <c r="DU62" s="19" t="n">
        <f aca="false">MAX(0,MIN($B62,$A62*'1 Inputs'!$B$6-55*$B62))*'1 Inputs'!$B$7*'1 Inputs'!$B$8*'1 Inputs'!$B$9*'1 Inputs'!$B$10*'1 Inputs'!$B$11</f>
        <v>0</v>
      </c>
      <c r="DV62" s="19" t="n">
        <f aca="false">MAX(0,MIN($B62,$A62*'1 Inputs'!$B$6-56*$B62))*'1 Inputs'!$B$7*'1 Inputs'!$B$8*'1 Inputs'!$B$9*'1 Inputs'!$B$10*'1 Inputs'!$B$11</f>
        <v>0</v>
      </c>
      <c r="DW62" s="19" t="n">
        <f aca="false">MAX(0,MIN($B62,$A62*'1 Inputs'!$B$6-57*$B62))*'1 Inputs'!$B$7*'1 Inputs'!$B$8*'1 Inputs'!$B$9*'1 Inputs'!$B$10*'1 Inputs'!$B$11</f>
        <v>0</v>
      </c>
      <c r="DX62" s="19" t="n">
        <f aca="false">MAX(0,MIN($B62,$A62*'1 Inputs'!$B$6-58*$B62))*'1 Inputs'!$B$7*'1 Inputs'!$B$8*'1 Inputs'!$B$9*'1 Inputs'!$B$10*'1 Inputs'!$B$11</f>
        <v>0</v>
      </c>
      <c r="DY62" s="19" t="n">
        <f aca="false">MAX(0,MIN($B62,$A62*'1 Inputs'!$B$6-59*$B62))*'1 Inputs'!$B$7*'1 Inputs'!$B$8*'1 Inputs'!$B$9*'1 Inputs'!$B$10*'1 Inputs'!$B$11</f>
        <v>0</v>
      </c>
    </row>
    <row r="63" customFormat="false" ht="15" hidden="false" customHeight="false" outlineLevel="0" collapsed="false">
      <c r="A63" s="0" t="n">
        <v>420</v>
      </c>
      <c r="B63" s="0" t="n">
        <v>10</v>
      </c>
      <c r="C63" s="12" t="n">
        <f aca="false">SUMIF(J63:BQ63,"&lt;="&amp;('1 Inputs'!$B$21+52),BR63:DY63)</f>
        <v>187500000</v>
      </c>
      <c r="J63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63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63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63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63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63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63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63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63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63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63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63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63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63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63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63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63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63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63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63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63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63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63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63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63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63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63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63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63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63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63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63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63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63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63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63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63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63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63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63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63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63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63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63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63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63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63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63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63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63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63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63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63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63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63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63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63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63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63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63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63" s="19" t="n">
        <f aca="false">MAX(0,MIN($B63,$A63*'1 Inputs'!$B$6-0*$B63))*'1 Inputs'!$B$7*'1 Inputs'!$B$8*'1 Inputs'!$B$9*'1 Inputs'!$B$10*'1 Inputs'!$B$11</f>
        <v>10416666.6666667</v>
      </c>
      <c r="BS63" s="19" t="n">
        <f aca="false">MAX(0,MIN($B63,$A63*'1 Inputs'!$B$6-1*$B63))*'1 Inputs'!$B$7*'1 Inputs'!$B$8*'1 Inputs'!$B$9*'1 Inputs'!$B$10*'1 Inputs'!$B$11</f>
        <v>10416666.6666667</v>
      </c>
      <c r="BT63" s="19" t="n">
        <f aca="false">MAX(0,MIN($B63,$A63*'1 Inputs'!$B$6-2*$B63))*'1 Inputs'!$B$7*'1 Inputs'!$B$8*'1 Inputs'!$B$9*'1 Inputs'!$B$10*'1 Inputs'!$B$11</f>
        <v>10416666.6666667</v>
      </c>
      <c r="BU63" s="19" t="n">
        <f aca="false">MAX(0,MIN($B63,$A63*'1 Inputs'!$B$6-3*$B63))*'1 Inputs'!$B$7*'1 Inputs'!$B$8*'1 Inputs'!$B$9*'1 Inputs'!$B$10*'1 Inputs'!$B$11</f>
        <v>10416666.6666667</v>
      </c>
      <c r="BV63" s="19" t="n">
        <f aca="false">MAX(0,MIN($B63,$A63*'1 Inputs'!$B$6-4*$B63))*'1 Inputs'!$B$7*'1 Inputs'!$B$8*'1 Inputs'!$B$9*'1 Inputs'!$B$10*'1 Inputs'!$B$11</f>
        <v>10416666.6666667</v>
      </c>
      <c r="BW63" s="19" t="n">
        <f aca="false">MAX(0,MIN($B63,$A63*'1 Inputs'!$B$6-5*$B63))*'1 Inputs'!$B$7*'1 Inputs'!$B$8*'1 Inputs'!$B$9*'1 Inputs'!$B$10*'1 Inputs'!$B$11</f>
        <v>10416666.6666667</v>
      </c>
      <c r="BX63" s="19" t="n">
        <f aca="false">MAX(0,MIN($B63,$A63*'1 Inputs'!$B$6-6*$B63))*'1 Inputs'!$B$7*'1 Inputs'!$B$8*'1 Inputs'!$B$9*'1 Inputs'!$B$10*'1 Inputs'!$B$11</f>
        <v>10416666.6666667</v>
      </c>
      <c r="BY63" s="19" t="n">
        <f aca="false">MAX(0,MIN($B63,$A63*'1 Inputs'!$B$6-7*$B63))*'1 Inputs'!$B$7*'1 Inputs'!$B$8*'1 Inputs'!$B$9*'1 Inputs'!$B$10*'1 Inputs'!$B$11</f>
        <v>10416666.6666667</v>
      </c>
      <c r="BZ63" s="19" t="n">
        <f aca="false">MAX(0,MIN($B63,$A63*'1 Inputs'!$B$6-8*$B63))*'1 Inputs'!$B$7*'1 Inputs'!$B$8*'1 Inputs'!$B$9*'1 Inputs'!$B$10*'1 Inputs'!$B$11</f>
        <v>10416666.6666667</v>
      </c>
      <c r="CA63" s="19" t="n">
        <f aca="false">MAX(0,MIN($B63,$A63*'1 Inputs'!$B$6-9*$B63))*'1 Inputs'!$B$7*'1 Inputs'!$B$8*'1 Inputs'!$B$9*'1 Inputs'!$B$10*'1 Inputs'!$B$11</f>
        <v>10416666.6666667</v>
      </c>
      <c r="CB63" s="19" t="n">
        <f aca="false">MAX(0,MIN($B63,$A63*'1 Inputs'!$B$6-10*$B63))*'1 Inputs'!$B$7*'1 Inputs'!$B$8*'1 Inputs'!$B$9*'1 Inputs'!$B$10*'1 Inputs'!$B$11</f>
        <v>10416666.6666667</v>
      </c>
      <c r="CC63" s="19" t="n">
        <f aca="false">MAX(0,MIN($B63,$A63*'1 Inputs'!$B$6-11*$B63))*'1 Inputs'!$B$7*'1 Inputs'!$B$8*'1 Inputs'!$B$9*'1 Inputs'!$B$10*'1 Inputs'!$B$11</f>
        <v>10416666.6666667</v>
      </c>
      <c r="CD63" s="19" t="n">
        <f aca="false">MAX(0,MIN($B63,$A63*'1 Inputs'!$B$6-12*$B63))*'1 Inputs'!$B$7*'1 Inputs'!$B$8*'1 Inputs'!$B$9*'1 Inputs'!$B$10*'1 Inputs'!$B$11</f>
        <v>10416666.6666667</v>
      </c>
      <c r="CE63" s="19" t="n">
        <f aca="false">MAX(0,MIN($B63,$A63*'1 Inputs'!$B$6-13*$B63))*'1 Inputs'!$B$7*'1 Inputs'!$B$8*'1 Inputs'!$B$9*'1 Inputs'!$B$10*'1 Inputs'!$B$11</f>
        <v>10416666.6666667</v>
      </c>
      <c r="CF63" s="19" t="n">
        <f aca="false">MAX(0,MIN($B63,$A63*'1 Inputs'!$B$6-14*$B63))*'1 Inputs'!$B$7*'1 Inputs'!$B$8*'1 Inputs'!$B$9*'1 Inputs'!$B$10*'1 Inputs'!$B$11</f>
        <v>10416666.6666667</v>
      </c>
      <c r="CG63" s="19" t="n">
        <f aca="false">MAX(0,MIN($B63,$A63*'1 Inputs'!$B$6-15*$B63))*'1 Inputs'!$B$7*'1 Inputs'!$B$8*'1 Inputs'!$B$9*'1 Inputs'!$B$10*'1 Inputs'!$B$11</f>
        <v>10416666.6666667</v>
      </c>
      <c r="CH63" s="19" t="n">
        <f aca="false">MAX(0,MIN($B63,$A63*'1 Inputs'!$B$6-16*$B63))*'1 Inputs'!$B$7*'1 Inputs'!$B$8*'1 Inputs'!$B$9*'1 Inputs'!$B$10*'1 Inputs'!$B$11</f>
        <v>10416666.6666667</v>
      </c>
      <c r="CI63" s="19" t="n">
        <f aca="false">MAX(0,MIN($B63,$A63*'1 Inputs'!$B$6-17*$B63))*'1 Inputs'!$B$7*'1 Inputs'!$B$8*'1 Inputs'!$B$9*'1 Inputs'!$B$10*'1 Inputs'!$B$11</f>
        <v>10416666.6666667</v>
      </c>
      <c r="CJ63" s="19" t="n">
        <f aca="false">MAX(0,MIN($B63,$A63*'1 Inputs'!$B$6-18*$B63))*'1 Inputs'!$B$7*'1 Inputs'!$B$8*'1 Inputs'!$B$9*'1 Inputs'!$B$10*'1 Inputs'!$B$11</f>
        <v>10416666.6666667</v>
      </c>
      <c r="CK63" s="19" t="n">
        <f aca="false">MAX(0,MIN($B63,$A63*'1 Inputs'!$B$6-19*$B63))*'1 Inputs'!$B$7*'1 Inputs'!$B$8*'1 Inputs'!$B$9*'1 Inputs'!$B$10*'1 Inputs'!$B$11</f>
        <v>10416666.6666667</v>
      </c>
      <c r="CL63" s="19" t="n">
        <f aca="false">MAX(0,MIN($B63,$A63*'1 Inputs'!$B$6-20*$B63))*'1 Inputs'!$B$7*'1 Inputs'!$B$8*'1 Inputs'!$B$9*'1 Inputs'!$B$10*'1 Inputs'!$B$11</f>
        <v>10416666.6666667</v>
      </c>
      <c r="CM63" s="19" t="n">
        <f aca="false">MAX(0,MIN($B63,$A63*'1 Inputs'!$B$6-21*$B63))*'1 Inputs'!$B$7*'1 Inputs'!$B$8*'1 Inputs'!$B$9*'1 Inputs'!$B$10*'1 Inputs'!$B$11</f>
        <v>0</v>
      </c>
      <c r="CN63" s="19" t="n">
        <f aca="false">MAX(0,MIN($B63,$A63*'1 Inputs'!$B$6-22*$B63))*'1 Inputs'!$B$7*'1 Inputs'!$B$8*'1 Inputs'!$B$9*'1 Inputs'!$B$10*'1 Inputs'!$B$11</f>
        <v>0</v>
      </c>
      <c r="CO63" s="19" t="n">
        <f aca="false">MAX(0,MIN($B63,$A63*'1 Inputs'!$B$6-23*$B63))*'1 Inputs'!$B$7*'1 Inputs'!$B$8*'1 Inputs'!$B$9*'1 Inputs'!$B$10*'1 Inputs'!$B$11</f>
        <v>0</v>
      </c>
      <c r="CP63" s="19" t="n">
        <f aca="false">MAX(0,MIN($B63,$A63*'1 Inputs'!$B$6-24*$B63))*'1 Inputs'!$B$7*'1 Inputs'!$B$8*'1 Inputs'!$B$9*'1 Inputs'!$B$10*'1 Inputs'!$B$11</f>
        <v>0</v>
      </c>
      <c r="CQ63" s="19" t="n">
        <f aca="false">MAX(0,MIN($B63,$A63*'1 Inputs'!$B$6-25*$B63))*'1 Inputs'!$B$7*'1 Inputs'!$B$8*'1 Inputs'!$B$9*'1 Inputs'!$B$10*'1 Inputs'!$B$11</f>
        <v>0</v>
      </c>
      <c r="CR63" s="19" t="n">
        <f aca="false">MAX(0,MIN($B63,$A63*'1 Inputs'!$B$6-26*$B63))*'1 Inputs'!$B$7*'1 Inputs'!$B$8*'1 Inputs'!$B$9*'1 Inputs'!$B$10*'1 Inputs'!$B$11</f>
        <v>0</v>
      </c>
      <c r="CS63" s="19" t="n">
        <f aca="false">MAX(0,MIN($B63,$A63*'1 Inputs'!$B$6-27*$B63))*'1 Inputs'!$B$7*'1 Inputs'!$B$8*'1 Inputs'!$B$9*'1 Inputs'!$B$10*'1 Inputs'!$B$11</f>
        <v>0</v>
      </c>
      <c r="CT63" s="19" t="n">
        <f aca="false">MAX(0,MIN($B63,$A63*'1 Inputs'!$B$6-28*$B63))*'1 Inputs'!$B$7*'1 Inputs'!$B$8*'1 Inputs'!$B$9*'1 Inputs'!$B$10*'1 Inputs'!$B$11</f>
        <v>0</v>
      </c>
      <c r="CU63" s="19" t="n">
        <f aca="false">MAX(0,MIN($B63,$A63*'1 Inputs'!$B$6-29*$B63))*'1 Inputs'!$B$7*'1 Inputs'!$B$8*'1 Inputs'!$B$9*'1 Inputs'!$B$10*'1 Inputs'!$B$11</f>
        <v>0</v>
      </c>
      <c r="CV63" s="19" t="n">
        <f aca="false">MAX(0,MIN($B63,$A63*'1 Inputs'!$B$6-30*$B63))*'1 Inputs'!$B$7*'1 Inputs'!$B$8*'1 Inputs'!$B$9*'1 Inputs'!$B$10*'1 Inputs'!$B$11</f>
        <v>0</v>
      </c>
      <c r="CW63" s="19" t="n">
        <f aca="false">MAX(0,MIN($B63,$A63*'1 Inputs'!$B$6-31*$B63))*'1 Inputs'!$B$7*'1 Inputs'!$B$8*'1 Inputs'!$B$9*'1 Inputs'!$B$10*'1 Inputs'!$B$11</f>
        <v>0</v>
      </c>
      <c r="CX63" s="19" t="n">
        <f aca="false">MAX(0,MIN($B63,$A63*'1 Inputs'!$B$6-32*$B63))*'1 Inputs'!$B$7*'1 Inputs'!$B$8*'1 Inputs'!$B$9*'1 Inputs'!$B$10*'1 Inputs'!$B$11</f>
        <v>0</v>
      </c>
      <c r="CY63" s="19" t="n">
        <f aca="false">MAX(0,MIN($B63,$A63*'1 Inputs'!$B$6-33*$B63))*'1 Inputs'!$B$7*'1 Inputs'!$B$8*'1 Inputs'!$B$9*'1 Inputs'!$B$10*'1 Inputs'!$B$11</f>
        <v>0</v>
      </c>
      <c r="CZ63" s="19" t="n">
        <f aca="false">MAX(0,MIN($B63,$A63*'1 Inputs'!$B$6-34*$B63))*'1 Inputs'!$B$7*'1 Inputs'!$B$8*'1 Inputs'!$B$9*'1 Inputs'!$B$10*'1 Inputs'!$B$11</f>
        <v>0</v>
      </c>
      <c r="DA63" s="19" t="n">
        <f aca="false">MAX(0,MIN($B63,$A63*'1 Inputs'!$B$6-35*$B63))*'1 Inputs'!$B$7*'1 Inputs'!$B$8*'1 Inputs'!$B$9*'1 Inputs'!$B$10*'1 Inputs'!$B$11</f>
        <v>0</v>
      </c>
      <c r="DB63" s="19" t="n">
        <f aca="false">MAX(0,MIN($B63,$A63*'1 Inputs'!$B$6-36*$B63))*'1 Inputs'!$B$7*'1 Inputs'!$B$8*'1 Inputs'!$B$9*'1 Inputs'!$B$10*'1 Inputs'!$B$11</f>
        <v>0</v>
      </c>
      <c r="DC63" s="19" t="n">
        <f aca="false">MAX(0,MIN($B63,$A63*'1 Inputs'!$B$6-37*$B63))*'1 Inputs'!$B$7*'1 Inputs'!$B$8*'1 Inputs'!$B$9*'1 Inputs'!$B$10*'1 Inputs'!$B$11</f>
        <v>0</v>
      </c>
      <c r="DD63" s="19" t="n">
        <f aca="false">MAX(0,MIN($B63,$A63*'1 Inputs'!$B$6-38*$B63))*'1 Inputs'!$B$7*'1 Inputs'!$B$8*'1 Inputs'!$B$9*'1 Inputs'!$B$10*'1 Inputs'!$B$11</f>
        <v>0</v>
      </c>
      <c r="DE63" s="19" t="n">
        <f aca="false">MAX(0,MIN($B63,$A63*'1 Inputs'!$B$6-39*$B63))*'1 Inputs'!$B$7*'1 Inputs'!$B$8*'1 Inputs'!$B$9*'1 Inputs'!$B$10*'1 Inputs'!$B$11</f>
        <v>0</v>
      </c>
      <c r="DF63" s="19" t="n">
        <f aca="false">MAX(0,MIN($B63,$A63*'1 Inputs'!$B$6-40*$B63))*'1 Inputs'!$B$7*'1 Inputs'!$B$8*'1 Inputs'!$B$9*'1 Inputs'!$B$10*'1 Inputs'!$B$11</f>
        <v>0</v>
      </c>
      <c r="DG63" s="19" t="n">
        <f aca="false">MAX(0,MIN($B63,$A63*'1 Inputs'!$B$6-41*$B63))*'1 Inputs'!$B$7*'1 Inputs'!$B$8*'1 Inputs'!$B$9*'1 Inputs'!$B$10*'1 Inputs'!$B$11</f>
        <v>0</v>
      </c>
      <c r="DH63" s="19" t="n">
        <f aca="false">MAX(0,MIN($B63,$A63*'1 Inputs'!$B$6-42*$B63))*'1 Inputs'!$B$7*'1 Inputs'!$B$8*'1 Inputs'!$B$9*'1 Inputs'!$B$10*'1 Inputs'!$B$11</f>
        <v>0</v>
      </c>
      <c r="DI63" s="19" t="n">
        <f aca="false">MAX(0,MIN($B63,$A63*'1 Inputs'!$B$6-43*$B63))*'1 Inputs'!$B$7*'1 Inputs'!$B$8*'1 Inputs'!$B$9*'1 Inputs'!$B$10*'1 Inputs'!$B$11</f>
        <v>0</v>
      </c>
      <c r="DJ63" s="19" t="n">
        <f aca="false">MAX(0,MIN($B63,$A63*'1 Inputs'!$B$6-44*$B63))*'1 Inputs'!$B$7*'1 Inputs'!$B$8*'1 Inputs'!$B$9*'1 Inputs'!$B$10*'1 Inputs'!$B$11</f>
        <v>0</v>
      </c>
      <c r="DK63" s="19" t="n">
        <f aca="false">MAX(0,MIN($B63,$A63*'1 Inputs'!$B$6-45*$B63))*'1 Inputs'!$B$7*'1 Inputs'!$B$8*'1 Inputs'!$B$9*'1 Inputs'!$B$10*'1 Inputs'!$B$11</f>
        <v>0</v>
      </c>
      <c r="DL63" s="19" t="n">
        <f aca="false">MAX(0,MIN($B63,$A63*'1 Inputs'!$B$6-46*$B63))*'1 Inputs'!$B$7*'1 Inputs'!$B$8*'1 Inputs'!$B$9*'1 Inputs'!$B$10*'1 Inputs'!$B$11</f>
        <v>0</v>
      </c>
      <c r="DM63" s="19" t="n">
        <f aca="false">MAX(0,MIN($B63,$A63*'1 Inputs'!$B$6-47*$B63))*'1 Inputs'!$B$7*'1 Inputs'!$B$8*'1 Inputs'!$B$9*'1 Inputs'!$B$10*'1 Inputs'!$B$11</f>
        <v>0</v>
      </c>
      <c r="DN63" s="19" t="n">
        <f aca="false">MAX(0,MIN($B63,$A63*'1 Inputs'!$B$6-48*$B63))*'1 Inputs'!$B$7*'1 Inputs'!$B$8*'1 Inputs'!$B$9*'1 Inputs'!$B$10*'1 Inputs'!$B$11</f>
        <v>0</v>
      </c>
      <c r="DO63" s="19" t="n">
        <f aca="false">MAX(0,MIN($B63,$A63*'1 Inputs'!$B$6-49*$B63))*'1 Inputs'!$B$7*'1 Inputs'!$B$8*'1 Inputs'!$B$9*'1 Inputs'!$B$10*'1 Inputs'!$B$11</f>
        <v>0</v>
      </c>
      <c r="DP63" s="19" t="n">
        <f aca="false">MAX(0,MIN($B63,$A63*'1 Inputs'!$B$6-50*$B63))*'1 Inputs'!$B$7*'1 Inputs'!$B$8*'1 Inputs'!$B$9*'1 Inputs'!$B$10*'1 Inputs'!$B$11</f>
        <v>0</v>
      </c>
      <c r="DQ63" s="19" t="n">
        <f aca="false">MAX(0,MIN($B63,$A63*'1 Inputs'!$B$6-51*$B63))*'1 Inputs'!$B$7*'1 Inputs'!$B$8*'1 Inputs'!$B$9*'1 Inputs'!$B$10*'1 Inputs'!$B$11</f>
        <v>0</v>
      </c>
      <c r="DR63" s="19" t="n">
        <f aca="false">MAX(0,MIN($B63,$A63*'1 Inputs'!$B$6-52*$B63))*'1 Inputs'!$B$7*'1 Inputs'!$B$8*'1 Inputs'!$B$9*'1 Inputs'!$B$10*'1 Inputs'!$B$11</f>
        <v>0</v>
      </c>
      <c r="DS63" s="19" t="n">
        <f aca="false">MAX(0,MIN($B63,$A63*'1 Inputs'!$B$6-53*$B63))*'1 Inputs'!$B$7*'1 Inputs'!$B$8*'1 Inputs'!$B$9*'1 Inputs'!$B$10*'1 Inputs'!$B$11</f>
        <v>0</v>
      </c>
      <c r="DT63" s="19" t="n">
        <f aca="false">MAX(0,MIN($B63,$A63*'1 Inputs'!$B$6-54*$B63))*'1 Inputs'!$B$7*'1 Inputs'!$B$8*'1 Inputs'!$B$9*'1 Inputs'!$B$10*'1 Inputs'!$B$11</f>
        <v>0</v>
      </c>
      <c r="DU63" s="19" t="n">
        <f aca="false">MAX(0,MIN($B63,$A63*'1 Inputs'!$B$6-55*$B63))*'1 Inputs'!$B$7*'1 Inputs'!$B$8*'1 Inputs'!$B$9*'1 Inputs'!$B$10*'1 Inputs'!$B$11</f>
        <v>0</v>
      </c>
      <c r="DV63" s="19" t="n">
        <f aca="false">MAX(0,MIN($B63,$A63*'1 Inputs'!$B$6-56*$B63))*'1 Inputs'!$B$7*'1 Inputs'!$B$8*'1 Inputs'!$B$9*'1 Inputs'!$B$10*'1 Inputs'!$B$11</f>
        <v>0</v>
      </c>
      <c r="DW63" s="19" t="n">
        <f aca="false">MAX(0,MIN($B63,$A63*'1 Inputs'!$B$6-57*$B63))*'1 Inputs'!$B$7*'1 Inputs'!$B$8*'1 Inputs'!$B$9*'1 Inputs'!$B$10*'1 Inputs'!$B$11</f>
        <v>0</v>
      </c>
      <c r="DX63" s="19" t="n">
        <f aca="false">MAX(0,MIN($B63,$A63*'1 Inputs'!$B$6-58*$B63))*'1 Inputs'!$B$7*'1 Inputs'!$B$8*'1 Inputs'!$B$9*'1 Inputs'!$B$10*'1 Inputs'!$B$11</f>
        <v>0</v>
      </c>
      <c r="DY63" s="19" t="n">
        <f aca="false">MAX(0,MIN($B63,$A63*'1 Inputs'!$B$6-59*$B63))*'1 Inputs'!$B$7*'1 Inputs'!$B$8*'1 Inputs'!$B$9*'1 Inputs'!$B$10*'1 Inputs'!$B$11</f>
        <v>0</v>
      </c>
    </row>
    <row r="64" customFormat="false" ht="15" hidden="false" customHeight="false" outlineLevel="0" collapsed="false">
      <c r="A64" s="0" t="n">
        <v>420</v>
      </c>
      <c r="B64" s="0" t="n">
        <v>12</v>
      </c>
      <c r="C64" s="12" t="n">
        <f aca="false">SUMIF(J64:BQ64,"&lt;="&amp;('1 Inputs'!$B$21+52),BR64:DY64)</f>
        <v>218750000</v>
      </c>
      <c r="J64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64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64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64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64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64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64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64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64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64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64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64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64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64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64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64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64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64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64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64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64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64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64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64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64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64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64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64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64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64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64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64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64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64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64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64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64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64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64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64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64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64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64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64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64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64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64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64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64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64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64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64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64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64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64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64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64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64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64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64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64" s="19" t="n">
        <f aca="false">MAX(0,MIN($B64,$A64*'1 Inputs'!$B$6-0*$B64))*'1 Inputs'!$B$7*'1 Inputs'!$B$8*'1 Inputs'!$B$9*'1 Inputs'!$B$10*'1 Inputs'!$B$11</f>
        <v>12500000</v>
      </c>
      <c r="BS64" s="19" t="n">
        <f aca="false">MAX(0,MIN($B64,$A64*'1 Inputs'!$B$6-1*$B64))*'1 Inputs'!$B$7*'1 Inputs'!$B$8*'1 Inputs'!$B$9*'1 Inputs'!$B$10*'1 Inputs'!$B$11</f>
        <v>12500000</v>
      </c>
      <c r="BT64" s="19" t="n">
        <f aca="false">MAX(0,MIN($B64,$A64*'1 Inputs'!$B$6-2*$B64))*'1 Inputs'!$B$7*'1 Inputs'!$B$8*'1 Inputs'!$B$9*'1 Inputs'!$B$10*'1 Inputs'!$B$11</f>
        <v>12500000</v>
      </c>
      <c r="BU64" s="19" t="n">
        <f aca="false">MAX(0,MIN($B64,$A64*'1 Inputs'!$B$6-3*$B64))*'1 Inputs'!$B$7*'1 Inputs'!$B$8*'1 Inputs'!$B$9*'1 Inputs'!$B$10*'1 Inputs'!$B$11</f>
        <v>12500000</v>
      </c>
      <c r="BV64" s="19" t="n">
        <f aca="false">MAX(0,MIN($B64,$A64*'1 Inputs'!$B$6-4*$B64))*'1 Inputs'!$B$7*'1 Inputs'!$B$8*'1 Inputs'!$B$9*'1 Inputs'!$B$10*'1 Inputs'!$B$11</f>
        <v>12500000</v>
      </c>
      <c r="BW64" s="19" t="n">
        <f aca="false">MAX(0,MIN($B64,$A64*'1 Inputs'!$B$6-5*$B64))*'1 Inputs'!$B$7*'1 Inputs'!$B$8*'1 Inputs'!$B$9*'1 Inputs'!$B$10*'1 Inputs'!$B$11</f>
        <v>12500000</v>
      </c>
      <c r="BX64" s="19" t="n">
        <f aca="false">MAX(0,MIN($B64,$A64*'1 Inputs'!$B$6-6*$B64))*'1 Inputs'!$B$7*'1 Inputs'!$B$8*'1 Inputs'!$B$9*'1 Inputs'!$B$10*'1 Inputs'!$B$11</f>
        <v>12500000</v>
      </c>
      <c r="BY64" s="19" t="n">
        <f aca="false">MAX(0,MIN($B64,$A64*'1 Inputs'!$B$6-7*$B64))*'1 Inputs'!$B$7*'1 Inputs'!$B$8*'1 Inputs'!$B$9*'1 Inputs'!$B$10*'1 Inputs'!$B$11</f>
        <v>12500000</v>
      </c>
      <c r="BZ64" s="19" t="n">
        <f aca="false">MAX(0,MIN($B64,$A64*'1 Inputs'!$B$6-8*$B64))*'1 Inputs'!$B$7*'1 Inputs'!$B$8*'1 Inputs'!$B$9*'1 Inputs'!$B$10*'1 Inputs'!$B$11</f>
        <v>12500000</v>
      </c>
      <c r="CA64" s="19" t="n">
        <f aca="false">MAX(0,MIN($B64,$A64*'1 Inputs'!$B$6-9*$B64))*'1 Inputs'!$B$7*'1 Inputs'!$B$8*'1 Inputs'!$B$9*'1 Inputs'!$B$10*'1 Inputs'!$B$11</f>
        <v>12500000</v>
      </c>
      <c r="CB64" s="19" t="n">
        <f aca="false">MAX(0,MIN($B64,$A64*'1 Inputs'!$B$6-10*$B64))*'1 Inputs'!$B$7*'1 Inputs'!$B$8*'1 Inputs'!$B$9*'1 Inputs'!$B$10*'1 Inputs'!$B$11</f>
        <v>12500000</v>
      </c>
      <c r="CC64" s="19" t="n">
        <f aca="false">MAX(0,MIN($B64,$A64*'1 Inputs'!$B$6-11*$B64))*'1 Inputs'!$B$7*'1 Inputs'!$B$8*'1 Inputs'!$B$9*'1 Inputs'!$B$10*'1 Inputs'!$B$11</f>
        <v>12500000</v>
      </c>
      <c r="CD64" s="19" t="n">
        <f aca="false">MAX(0,MIN($B64,$A64*'1 Inputs'!$B$6-12*$B64))*'1 Inputs'!$B$7*'1 Inputs'!$B$8*'1 Inputs'!$B$9*'1 Inputs'!$B$10*'1 Inputs'!$B$11</f>
        <v>12500000</v>
      </c>
      <c r="CE64" s="19" t="n">
        <f aca="false">MAX(0,MIN($B64,$A64*'1 Inputs'!$B$6-13*$B64))*'1 Inputs'!$B$7*'1 Inputs'!$B$8*'1 Inputs'!$B$9*'1 Inputs'!$B$10*'1 Inputs'!$B$11</f>
        <v>12500000</v>
      </c>
      <c r="CF64" s="19" t="n">
        <f aca="false">MAX(0,MIN($B64,$A64*'1 Inputs'!$B$6-14*$B64))*'1 Inputs'!$B$7*'1 Inputs'!$B$8*'1 Inputs'!$B$9*'1 Inputs'!$B$10*'1 Inputs'!$B$11</f>
        <v>12500000</v>
      </c>
      <c r="CG64" s="19" t="n">
        <f aca="false">MAX(0,MIN($B64,$A64*'1 Inputs'!$B$6-15*$B64))*'1 Inputs'!$B$7*'1 Inputs'!$B$8*'1 Inputs'!$B$9*'1 Inputs'!$B$10*'1 Inputs'!$B$11</f>
        <v>12500000</v>
      </c>
      <c r="CH64" s="19" t="n">
        <f aca="false">MAX(0,MIN($B64,$A64*'1 Inputs'!$B$6-16*$B64))*'1 Inputs'!$B$7*'1 Inputs'!$B$8*'1 Inputs'!$B$9*'1 Inputs'!$B$10*'1 Inputs'!$B$11</f>
        <v>12500000</v>
      </c>
      <c r="CI64" s="19" t="n">
        <f aca="false">MAX(0,MIN($B64,$A64*'1 Inputs'!$B$6-17*$B64))*'1 Inputs'!$B$7*'1 Inputs'!$B$8*'1 Inputs'!$B$9*'1 Inputs'!$B$10*'1 Inputs'!$B$11</f>
        <v>6250000</v>
      </c>
      <c r="CJ64" s="19" t="n">
        <f aca="false">MAX(0,MIN($B64,$A64*'1 Inputs'!$B$6-18*$B64))*'1 Inputs'!$B$7*'1 Inputs'!$B$8*'1 Inputs'!$B$9*'1 Inputs'!$B$10*'1 Inputs'!$B$11</f>
        <v>0</v>
      </c>
      <c r="CK64" s="19" t="n">
        <f aca="false">MAX(0,MIN($B64,$A64*'1 Inputs'!$B$6-19*$B64))*'1 Inputs'!$B$7*'1 Inputs'!$B$8*'1 Inputs'!$B$9*'1 Inputs'!$B$10*'1 Inputs'!$B$11</f>
        <v>0</v>
      </c>
      <c r="CL64" s="19" t="n">
        <f aca="false">MAX(0,MIN($B64,$A64*'1 Inputs'!$B$6-20*$B64))*'1 Inputs'!$B$7*'1 Inputs'!$B$8*'1 Inputs'!$B$9*'1 Inputs'!$B$10*'1 Inputs'!$B$11</f>
        <v>0</v>
      </c>
      <c r="CM64" s="19" t="n">
        <f aca="false">MAX(0,MIN($B64,$A64*'1 Inputs'!$B$6-21*$B64))*'1 Inputs'!$B$7*'1 Inputs'!$B$8*'1 Inputs'!$B$9*'1 Inputs'!$B$10*'1 Inputs'!$B$11</f>
        <v>0</v>
      </c>
      <c r="CN64" s="19" t="n">
        <f aca="false">MAX(0,MIN($B64,$A64*'1 Inputs'!$B$6-22*$B64))*'1 Inputs'!$B$7*'1 Inputs'!$B$8*'1 Inputs'!$B$9*'1 Inputs'!$B$10*'1 Inputs'!$B$11</f>
        <v>0</v>
      </c>
      <c r="CO64" s="19" t="n">
        <f aca="false">MAX(0,MIN($B64,$A64*'1 Inputs'!$B$6-23*$B64))*'1 Inputs'!$B$7*'1 Inputs'!$B$8*'1 Inputs'!$B$9*'1 Inputs'!$B$10*'1 Inputs'!$B$11</f>
        <v>0</v>
      </c>
      <c r="CP64" s="19" t="n">
        <f aca="false">MAX(0,MIN($B64,$A64*'1 Inputs'!$B$6-24*$B64))*'1 Inputs'!$B$7*'1 Inputs'!$B$8*'1 Inputs'!$B$9*'1 Inputs'!$B$10*'1 Inputs'!$B$11</f>
        <v>0</v>
      </c>
      <c r="CQ64" s="19" t="n">
        <f aca="false">MAX(0,MIN($B64,$A64*'1 Inputs'!$B$6-25*$B64))*'1 Inputs'!$B$7*'1 Inputs'!$B$8*'1 Inputs'!$B$9*'1 Inputs'!$B$10*'1 Inputs'!$B$11</f>
        <v>0</v>
      </c>
      <c r="CR64" s="19" t="n">
        <f aca="false">MAX(0,MIN($B64,$A64*'1 Inputs'!$B$6-26*$B64))*'1 Inputs'!$B$7*'1 Inputs'!$B$8*'1 Inputs'!$B$9*'1 Inputs'!$B$10*'1 Inputs'!$B$11</f>
        <v>0</v>
      </c>
      <c r="CS64" s="19" t="n">
        <f aca="false">MAX(0,MIN($B64,$A64*'1 Inputs'!$B$6-27*$B64))*'1 Inputs'!$B$7*'1 Inputs'!$B$8*'1 Inputs'!$B$9*'1 Inputs'!$B$10*'1 Inputs'!$B$11</f>
        <v>0</v>
      </c>
      <c r="CT64" s="19" t="n">
        <f aca="false">MAX(0,MIN($B64,$A64*'1 Inputs'!$B$6-28*$B64))*'1 Inputs'!$B$7*'1 Inputs'!$B$8*'1 Inputs'!$B$9*'1 Inputs'!$B$10*'1 Inputs'!$B$11</f>
        <v>0</v>
      </c>
      <c r="CU64" s="19" t="n">
        <f aca="false">MAX(0,MIN($B64,$A64*'1 Inputs'!$B$6-29*$B64))*'1 Inputs'!$B$7*'1 Inputs'!$B$8*'1 Inputs'!$B$9*'1 Inputs'!$B$10*'1 Inputs'!$B$11</f>
        <v>0</v>
      </c>
      <c r="CV64" s="19" t="n">
        <f aca="false">MAX(0,MIN($B64,$A64*'1 Inputs'!$B$6-30*$B64))*'1 Inputs'!$B$7*'1 Inputs'!$B$8*'1 Inputs'!$B$9*'1 Inputs'!$B$10*'1 Inputs'!$B$11</f>
        <v>0</v>
      </c>
      <c r="CW64" s="19" t="n">
        <f aca="false">MAX(0,MIN($B64,$A64*'1 Inputs'!$B$6-31*$B64))*'1 Inputs'!$B$7*'1 Inputs'!$B$8*'1 Inputs'!$B$9*'1 Inputs'!$B$10*'1 Inputs'!$B$11</f>
        <v>0</v>
      </c>
      <c r="CX64" s="19" t="n">
        <f aca="false">MAX(0,MIN($B64,$A64*'1 Inputs'!$B$6-32*$B64))*'1 Inputs'!$B$7*'1 Inputs'!$B$8*'1 Inputs'!$B$9*'1 Inputs'!$B$10*'1 Inputs'!$B$11</f>
        <v>0</v>
      </c>
      <c r="CY64" s="19" t="n">
        <f aca="false">MAX(0,MIN($B64,$A64*'1 Inputs'!$B$6-33*$B64))*'1 Inputs'!$B$7*'1 Inputs'!$B$8*'1 Inputs'!$B$9*'1 Inputs'!$B$10*'1 Inputs'!$B$11</f>
        <v>0</v>
      </c>
      <c r="CZ64" s="19" t="n">
        <f aca="false">MAX(0,MIN($B64,$A64*'1 Inputs'!$B$6-34*$B64))*'1 Inputs'!$B$7*'1 Inputs'!$B$8*'1 Inputs'!$B$9*'1 Inputs'!$B$10*'1 Inputs'!$B$11</f>
        <v>0</v>
      </c>
      <c r="DA64" s="19" t="n">
        <f aca="false">MAX(0,MIN($B64,$A64*'1 Inputs'!$B$6-35*$B64))*'1 Inputs'!$B$7*'1 Inputs'!$B$8*'1 Inputs'!$B$9*'1 Inputs'!$B$10*'1 Inputs'!$B$11</f>
        <v>0</v>
      </c>
      <c r="DB64" s="19" t="n">
        <f aca="false">MAX(0,MIN($B64,$A64*'1 Inputs'!$B$6-36*$B64))*'1 Inputs'!$B$7*'1 Inputs'!$B$8*'1 Inputs'!$B$9*'1 Inputs'!$B$10*'1 Inputs'!$B$11</f>
        <v>0</v>
      </c>
      <c r="DC64" s="19" t="n">
        <f aca="false">MAX(0,MIN($B64,$A64*'1 Inputs'!$B$6-37*$B64))*'1 Inputs'!$B$7*'1 Inputs'!$B$8*'1 Inputs'!$B$9*'1 Inputs'!$B$10*'1 Inputs'!$B$11</f>
        <v>0</v>
      </c>
      <c r="DD64" s="19" t="n">
        <f aca="false">MAX(0,MIN($B64,$A64*'1 Inputs'!$B$6-38*$B64))*'1 Inputs'!$B$7*'1 Inputs'!$B$8*'1 Inputs'!$B$9*'1 Inputs'!$B$10*'1 Inputs'!$B$11</f>
        <v>0</v>
      </c>
      <c r="DE64" s="19" t="n">
        <f aca="false">MAX(0,MIN($B64,$A64*'1 Inputs'!$B$6-39*$B64))*'1 Inputs'!$B$7*'1 Inputs'!$B$8*'1 Inputs'!$B$9*'1 Inputs'!$B$10*'1 Inputs'!$B$11</f>
        <v>0</v>
      </c>
      <c r="DF64" s="19" t="n">
        <f aca="false">MAX(0,MIN($B64,$A64*'1 Inputs'!$B$6-40*$B64))*'1 Inputs'!$B$7*'1 Inputs'!$B$8*'1 Inputs'!$B$9*'1 Inputs'!$B$10*'1 Inputs'!$B$11</f>
        <v>0</v>
      </c>
      <c r="DG64" s="19" t="n">
        <f aca="false">MAX(0,MIN($B64,$A64*'1 Inputs'!$B$6-41*$B64))*'1 Inputs'!$B$7*'1 Inputs'!$B$8*'1 Inputs'!$B$9*'1 Inputs'!$B$10*'1 Inputs'!$B$11</f>
        <v>0</v>
      </c>
      <c r="DH64" s="19" t="n">
        <f aca="false">MAX(0,MIN($B64,$A64*'1 Inputs'!$B$6-42*$B64))*'1 Inputs'!$B$7*'1 Inputs'!$B$8*'1 Inputs'!$B$9*'1 Inputs'!$B$10*'1 Inputs'!$B$11</f>
        <v>0</v>
      </c>
      <c r="DI64" s="19" t="n">
        <f aca="false">MAX(0,MIN($B64,$A64*'1 Inputs'!$B$6-43*$B64))*'1 Inputs'!$B$7*'1 Inputs'!$B$8*'1 Inputs'!$B$9*'1 Inputs'!$B$10*'1 Inputs'!$B$11</f>
        <v>0</v>
      </c>
      <c r="DJ64" s="19" t="n">
        <f aca="false">MAX(0,MIN($B64,$A64*'1 Inputs'!$B$6-44*$B64))*'1 Inputs'!$B$7*'1 Inputs'!$B$8*'1 Inputs'!$B$9*'1 Inputs'!$B$10*'1 Inputs'!$B$11</f>
        <v>0</v>
      </c>
      <c r="DK64" s="19" t="n">
        <f aca="false">MAX(0,MIN($B64,$A64*'1 Inputs'!$B$6-45*$B64))*'1 Inputs'!$B$7*'1 Inputs'!$B$8*'1 Inputs'!$B$9*'1 Inputs'!$B$10*'1 Inputs'!$B$11</f>
        <v>0</v>
      </c>
      <c r="DL64" s="19" t="n">
        <f aca="false">MAX(0,MIN($B64,$A64*'1 Inputs'!$B$6-46*$B64))*'1 Inputs'!$B$7*'1 Inputs'!$B$8*'1 Inputs'!$B$9*'1 Inputs'!$B$10*'1 Inputs'!$B$11</f>
        <v>0</v>
      </c>
      <c r="DM64" s="19" t="n">
        <f aca="false">MAX(0,MIN($B64,$A64*'1 Inputs'!$B$6-47*$B64))*'1 Inputs'!$B$7*'1 Inputs'!$B$8*'1 Inputs'!$B$9*'1 Inputs'!$B$10*'1 Inputs'!$B$11</f>
        <v>0</v>
      </c>
      <c r="DN64" s="19" t="n">
        <f aca="false">MAX(0,MIN($B64,$A64*'1 Inputs'!$B$6-48*$B64))*'1 Inputs'!$B$7*'1 Inputs'!$B$8*'1 Inputs'!$B$9*'1 Inputs'!$B$10*'1 Inputs'!$B$11</f>
        <v>0</v>
      </c>
      <c r="DO64" s="19" t="n">
        <f aca="false">MAX(0,MIN($B64,$A64*'1 Inputs'!$B$6-49*$B64))*'1 Inputs'!$B$7*'1 Inputs'!$B$8*'1 Inputs'!$B$9*'1 Inputs'!$B$10*'1 Inputs'!$B$11</f>
        <v>0</v>
      </c>
      <c r="DP64" s="19" t="n">
        <f aca="false">MAX(0,MIN($B64,$A64*'1 Inputs'!$B$6-50*$B64))*'1 Inputs'!$B$7*'1 Inputs'!$B$8*'1 Inputs'!$B$9*'1 Inputs'!$B$10*'1 Inputs'!$B$11</f>
        <v>0</v>
      </c>
      <c r="DQ64" s="19" t="n">
        <f aca="false">MAX(0,MIN($B64,$A64*'1 Inputs'!$B$6-51*$B64))*'1 Inputs'!$B$7*'1 Inputs'!$B$8*'1 Inputs'!$B$9*'1 Inputs'!$B$10*'1 Inputs'!$B$11</f>
        <v>0</v>
      </c>
      <c r="DR64" s="19" t="n">
        <f aca="false">MAX(0,MIN($B64,$A64*'1 Inputs'!$B$6-52*$B64))*'1 Inputs'!$B$7*'1 Inputs'!$B$8*'1 Inputs'!$B$9*'1 Inputs'!$B$10*'1 Inputs'!$B$11</f>
        <v>0</v>
      </c>
      <c r="DS64" s="19" t="n">
        <f aca="false">MAX(0,MIN($B64,$A64*'1 Inputs'!$B$6-53*$B64))*'1 Inputs'!$B$7*'1 Inputs'!$B$8*'1 Inputs'!$B$9*'1 Inputs'!$B$10*'1 Inputs'!$B$11</f>
        <v>0</v>
      </c>
      <c r="DT64" s="19" t="n">
        <f aca="false">MAX(0,MIN($B64,$A64*'1 Inputs'!$B$6-54*$B64))*'1 Inputs'!$B$7*'1 Inputs'!$B$8*'1 Inputs'!$B$9*'1 Inputs'!$B$10*'1 Inputs'!$B$11</f>
        <v>0</v>
      </c>
      <c r="DU64" s="19" t="n">
        <f aca="false">MAX(0,MIN($B64,$A64*'1 Inputs'!$B$6-55*$B64))*'1 Inputs'!$B$7*'1 Inputs'!$B$8*'1 Inputs'!$B$9*'1 Inputs'!$B$10*'1 Inputs'!$B$11</f>
        <v>0</v>
      </c>
      <c r="DV64" s="19" t="n">
        <f aca="false">MAX(0,MIN($B64,$A64*'1 Inputs'!$B$6-56*$B64))*'1 Inputs'!$B$7*'1 Inputs'!$B$8*'1 Inputs'!$B$9*'1 Inputs'!$B$10*'1 Inputs'!$B$11</f>
        <v>0</v>
      </c>
      <c r="DW64" s="19" t="n">
        <f aca="false">MAX(0,MIN($B64,$A64*'1 Inputs'!$B$6-57*$B64))*'1 Inputs'!$B$7*'1 Inputs'!$B$8*'1 Inputs'!$B$9*'1 Inputs'!$B$10*'1 Inputs'!$B$11</f>
        <v>0</v>
      </c>
      <c r="DX64" s="19" t="n">
        <f aca="false">MAX(0,MIN($B64,$A64*'1 Inputs'!$B$6-58*$B64))*'1 Inputs'!$B$7*'1 Inputs'!$B$8*'1 Inputs'!$B$9*'1 Inputs'!$B$10*'1 Inputs'!$B$11</f>
        <v>0</v>
      </c>
      <c r="DY64" s="19" t="n">
        <f aca="false">MAX(0,MIN($B64,$A64*'1 Inputs'!$B$6-59*$B64))*'1 Inputs'!$B$7*'1 Inputs'!$B$8*'1 Inputs'!$B$9*'1 Inputs'!$B$10*'1 Inputs'!$B$11</f>
        <v>0</v>
      </c>
    </row>
    <row r="65" customFormat="false" ht="15" hidden="false" customHeight="false" outlineLevel="0" collapsed="false">
      <c r="A65" s="0" t="n">
        <v>480</v>
      </c>
      <c r="B65" s="0" t="n">
        <v>4</v>
      </c>
      <c r="C65" s="12" t="n">
        <f aca="false">SUMIF(J65:BQ65,"&lt;="&amp;('1 Inputs'!$B$21+52),BR65:DY65)</f>
        <v>75000000</v>
      </c>
      <c r="J65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65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65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65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65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65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65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65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65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65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65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65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65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65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65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65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65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65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65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65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65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65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65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65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65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65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65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65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65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65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65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65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65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65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65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65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65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65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65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65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65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65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65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65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65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65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65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65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65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65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65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65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65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65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65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65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65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65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65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65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65" s="19" t="n">
        <f aca="false">MAX(0,MIN($B65,$A65*'1 Inputs'!$B$6-0*$B65))*'1 Inputs'!$B$7*'1 Inputs'!$B$8*'1 Inputs'!$B$9*'1 Inputs'!$B$10*'1 Inputs'!$B$11</f>
        <v>4166666.66666667</v>
      </c>
      <c r="BS65" s="19" t="n">
        <f aca="false">MAX(0,MIN($B65,$A65*'1 Inputs'!$B$6-1*$B65))*'1 Inputs'!$B$7*'1 Inputs'!$B$8*'1 Inputs'!$B$9*'1 Inputs'!$B$10*'1 Inputs'!$B$11</f>
        <v>4166666.66666667</v>
      </c>
      <c r="BT65" s="19" t="n">
        <f aca="false">MAX(0,MIN($B65,$A65*'1 Inputs'!$B$6-2*$B65))*'1 Inputs'!$B$7*'1 Inputs'!$B$8*'1 Inputs'!$B$9*'1 Inputs'!$B$10*'1 Inputs'!$B$11</f>
        <v>4166666.66666667</v>
      </c>
      <c r="BU65" s="19" t="n">
        <f aca="false">MAX(0,MIN($B65,$A65*'1 Inputs'!$B$6-3*$B65))*'1 Inputs'!$B$7*'1 Inputs'!$B$8*'1 Inputs'!$B$9*'1 Inputs'!$B$10*'1 Inputs'!$B$11</f>
        <v>4166666.66666667</v>
      </c>
      <c r="BV65" s="19" t="n">
        <f aca="false">MAX(0,MIN($B65,$A65*'1 Inputs'!$B$6-4*$B65))*'1 Inputs'!$B$7*'1 Inputs'!$B$8*'1 Inputs'!$B$9*'1 Inputs'!$B$10*'1 Inputs'!$B$11</f>
        <v>4166666.66666667</v>
      </c>
      <c r="BW65" s="19" t="n">
        <f aca="false">MAX(0,MIN($B65,$A65*'1 Inputs'!$B$6-5*$B65))*'1 Inputs'!$B$7*'1 Inputs'!$B$8*'1 Inputs'!$B$9*'1 Inputs'!$B$10*'1 Inputs'!$B$11</f>
        <v>4166666.66666667</v>
      </c>
      <c r="BX65" s="19" t="n">
        <f aca="false">MAX(0,MIN($B65,$A65*'1 Inputs'!$B$6-6*$B65))*'1 Inputs'!$B$7*'1 Inputs'!$B$8*'1 Inputs'!$B$9*'1 Inputs'!$B$10*'1 Inputs'!$B$11</f>
        <v>4166666.66666667</v>
      </c>
      <c r="BY65" s="19" t="n">
        <f aca="false">MAX(0,MIN($B65,$A65*'1 Inputs'!$B$6-7*$B65))*'1 Inputs'!$B$7*'1 Inputs'!$B$8*'1 Inputs'!$B$9*'1 Inputs'!$B$10*'1 Inputs'!$B$11</f>
        <v>4166666.66666667</v>
      </c>
      <c r="BZ65" s="19" t="n">
        <f aca="false">MAX(0,MIN($B65,$A65*'1 Inputs'!$B$6-8*$B65))*'1 Inputs'!$B$7*'1 Inputs'!$B$8*'1 Inputs'!$B$9*'1 Inputs'!$B$10*'1 Inputs'!$B$11</f>
        <v>4166666.66666667</v>
      </c>
      <c r="CA65" s="19" t="n">
        <f aca="false">MAX(0,MIN($B65,$A65*'1 Inputs'!$B$6-9*$B65))*'1 Inputs'!$B$7*'1 Inputs'!$B$8*'1 Inputs'!$B$9*'1 Inputs'!$B$10*'1 Inputs'!$B$11</f>
        <v>4166666.66666667</v>
      </c>
      <c r="CB65" s="19" t="n">
        <f aca="false">MAX(0,MIN($B65,$A65*'1 Inputs'!$B$6-10*$B65))*'1 Inputs'!$B$7*'1 Inputs'!$B$8*'1 Inputs'!$B$9*'1 Inputs'!$B$10*'1 Inputs'!$B$11</f>
        <v>4166666.66666667</v>
      </c>
      <c r="CC65" s="19" t="n">
        <f aca="false">MAX(0,MIN($B65,$A65*'1 Inputs'!$B$6-11*$B65))*'1 Inputs'!$B$7*'1 Inputs'!$B$8*'1 Inputs'!$B$9*'1 Inputs'!$B$10*'1 Inputs'!$B$11</f>
        <v>4166666.66666667</v>
      </c>
      <c r="CD65" s="19" t="n">
        <f aca="false">MAX(0,MIN($B65,$A65*'1 Inputs'!$B$6-12*$B65))*'1 Inputs'!$B$7*'1 Inputs'!$B$8*'1 Inputs'!$B$9*'1 Inputs'!$B$10*'1 Inputs'!$B$11</f>
        <v>4166666.66666667</v>
      </c>
      <c r="CE65" s="19" t="n">
        <f aca="false">MAX(0,MIN($B65,$A65*'1 Inputs'!$B$6-13*$B65))*'1 Inputs'!$B$7*'1 Inputs'!$B$8*'1 Inputs'!$B$9*'1 Inputs'!$B$10*'1 Inputs'!$B$11</f>
        <v>4166666.66666667</v>
      </c>
      <c r="CF65" s="19" t="n">
        <f aca="false">MAX(0,MIN($B65,$A65*'1 Inputs'!$B$6-14*$B65))*'1 Inputs'!$B$7*'1 Inputs'!$B$8*'1 Inputs'!$B$9*'1 Inputs'!$B$10*'1 Inputs'!$B$11</f>
        <v>4166666.66666667</v>
      </c>
      <c r="CG65" s="19" t="n">
        <f aca="false">MAX(0,MIN($B65,$A65*'1 Inputs'!$B$6-15*$B65))*'1 Inputs'!$B$7*'1 Inputs'!$B$8*'1 Inputs'!$B$9*'1 Inputs'!$B$10*'1 Inputs'!$B$11</f>
        <v>4166666.66666667</v>
      </c>
      <c r="CH65" s="19" t="n">
        <f aca="false">MAX(0,MIN($B65,$A65*'1 Inputs'!$B$6-16*$B65))*'1 Inputs'!$B$7*'1 Inputs'!$B$8*'1 Inputs'!$B$9*'1 Inputs'!$B$10*'1 Inputs'!$B$11</f>
        <v>4166666.66666667</v>
      </c>
      <c r="CI65" s="19" t="n">
        <f aca="false">MAX(0,MIN($B65,$A65*'1 Inputs'!$B$6-17*$B65))*'1 Inputs'!$B$7*'1 Inputs'!$B$8*'1 Inputs'!$B$9*'1 Inputs'!$B$10*'1 Inputs'!$B$11</f>
        <v>4166666.66666667</v>
      </c>
      <c r="CJ65" s="19" t="n">
        <f aca="false">MAX(0,MIN($B65,$A65*'1 Inputs'!$B$6-18*$B65))*'1 Inputs'!$B$7*'1 Inputs'!$B$8*'1 Inputs'!$B$9*'1 Inputs'!$B$10*'1 Inputs'!$B$11</f>
        <v>4166666.66666667</v>
      </c>
      <c r="CK65" s="19" t="n">
        <f aca="false">MAX(0,MIN($B65,$A65*'1 Inputs'!$B$6-19*$B65))*'1 Inputs'!$B$7*'1 Inputs'!$B$8*'1 Inputs'!$B$9*'1 Inputs'!$B$10*'1 Inputs'!$B$11</f>
        <v>4166666.66666667</v>
      </c>
      <c r="CL65" s="19" t="n">
        <f aca="false">MAX(0,MIN($B65,$A65*'1 Inputs'!$B$6-20*$B65))*'1 Inputs'!$B$7*'1 Inputs'!$B$8*'1 Inputs'!$B$9*'1 Inputs'!$B$10*'1 Inputs'!$B$11</f>
        <v>4166666.66666667</v>
      </c>
      <c r="CM65" s="19" t="n">
        <f aca="false">MAX(0,MIN($B65,$A65*'1 Inputs'!$B$6-21*$B65))*'1 Inputs'!$B$7*'1 Inputs'!$B$8*'1 Inputs'!$B$9*'1 Inputs'!$B$10*'1 Inputs'!$B$11</f>
        <v>4166666.66666667</v>
      </c>
      <c r="CN65" s="19" t="n">
        <f aca="false">MAX(0,MIN($B65,$A65*'1 Inputs'!$B$6-22*$B65))*'1 Inputs'!$B$7*'1 Inputs'!$B$8*'1 Inputs'!$B$9*'1 Inputs'!$B$10*'1 Inputs'!$B$11</f>
        <v>4166666.66666667</v>
      </c>
      <c r="CO65" s="19" t="n">
        <f aca="false">MAX(0,MIN($B65,$A65*'1 Inputs'!$B$6-23*$B65))*'1 Inputs'!$B$7*'1 Inputs'!$B$8*'1 Inputs'!$B$9*'1 Inputs'!$B$10*'1 Inputs'!$B$11</f>
        <v>4166666.66666667</v>
      </c>
      <c r="CP65" s="19" t="n">
        <f aca="false">MAX(0,MIN($B65,$A65*'1 Inputs'!$B$6-24*$B65))*'1 Inputs'!$B$7*'1 Inputs'!$B$8*'1 Inputs'!$B$9*'1 Inputs'!$B$10*'1 Inputs'!$B$11</f>
        <v>4166666.66666667</v>
      </c>
      <c r="CQ65" s="19" t="n">
        <f aca="false">MAX(0,MIN($B65,$A65*'1 Inputs'!$B$6-25*$B65))*'1 Inputs'!$B$7*'1 Inputs'!$B$8*'1 Inputs'!$B$9*'1 Inputs'!$B$10*'1 Inputs'!$B$11</f>
        <v>4166666.66666667</v>
      </c>
      <c r="CR65" s="19" t="n">
        <f aca="false">MAX(0,MIN($B65,$A65*'1 Inputs'!$B$6-26*$B65))*'1 Inputs'!$B$7*'1 Inputs'!$B$8*'1 Inputs'!$B$9*'1 Inputs'!$B$10*'1 Inputs'!$B$11</f>
        <v>4166666.66666667</v>
      </c>
      <c r="CS65" s="19" t="n">
        <f aca="false">MAX(0,MIN($B65,$A65*'1 Inputs'!$B$6-27*$B65))*'1 Inputs'!$B$7*'1 Inputs'!$B$8*'1 Inputs'!$B$9*'1 Inputs'!$B$10*'1 Inputs'!$B$11</f>
        <v>4166666.66666667</v>
      </c>
      <c r="CT65" s="19" t="n">
        <f aca="false">MAX(0,MIN($B65,$A65*'1 Inputs'!$B$6-28*$B65))*'1 Inputs'!$B$7*'1 Inputs'!$B$8*'1 Inputs'!$B$9*'1 Inputs'!$B$10*'1 Inputs'!$B$11</f>
        <v>4166666.66666667</v>
      </c>
      <c r="CU65" s="19" t="n">
        <f aca="false">MAX(0,MIN($B65,$A65*'1 Inputs'!$B$6-29*$B65))*'1 Inputs'!$B$7*'1 Inputs'!$B$8*'1 Inputs'!$B$9*'1 Inputs'!$B$10*'1 Inputs'!$B$11</f>
        <v>4166666.66666667</v>
      </c>
      <c r="CV65" s="19" t="n">
        <f aca="false">MAX(0,MIN($B65,$A65*'1 Inputs'!$B$6-30*$B65))*'1 Inputs'!$B$7*'1 Inputs'!$B$8*'1 Inputs'!$B$9*'1 Inputs'!$B$10*'1 Inputs'!$B$11</f>
        <v>4166666.66666667</v>
      </c>
      <c r="CW65" s="19" t="n">
        <f aca="false">MAX(0,MIN($B65,$A65*'1 Inputs'!$B$6-31*$B65))*'1 Inputs'!$B$7*'1 Inputs'!$B$8*'1 Inputs'!$B$9*'1 Inputs'!$B$10*'1 Inputs'!$B$11</f>
        <v>4166666.66666667</v>
      </c>
      <c r="CX65" s="19" t="n">
        <f aca="false">MAX(0,MIN($B65,$A65*'1 Inputs'!$B$6-32*$B65))*'1 Inputs'!$B$7*'1 Inputs'!$B$8*'1 Inputs'!$B$9*'1 Inputs'!$B$10*'1 Inputs'!$B$11</f>
        <v>4166666.66666667</v>
      </c>
      <c r="CY65" s="19" t="n">
        <f aca="false">MAX(0,MIN($B65,$A65*'1 Inputs'!$B$6-33*$B65))*'1 Inputs'!$B$7*'1 Inputs'!$B$8*'1 Inputs'!$B$9*'1 Inputs'!$B$10*'1 Inputs'!$B$11</f>
        <v>4166666.66666667</v>
      </c>
      <c r="CZ65" s="19" t="n">
        <f aca="false">MAX(0,MIN($B65,$A65*'1 Inputs'!$B$6-34*$B65))*'1 Inputs'!$B$7*'1 Inputs'!$B$8*'1 Inputs'!$B$9*'1 Inputs'!$B$10*'1 Inputs'!$B$11</f>
        <v>4166666.66666667</v>
      </c>
      <c r="DA65" s="19" t="n">
        <f aca="false">MAX(0,MIN($B65,$A65*'1 Inputs'!$B$6-35*$B65))*'1 Inputs'!$B$7*'1 Inputs'!$B$8*'1 Inputs'!$B$9*'1 Inputs'!$B$10*'1 Inputs'!$B$11</f>
        <v>4166666.66666667</v>
      </c>
      <c r="DB65" s="19" t="n">
        <f aca="false">MAX(0,MIN($B65,$A65*'1 Inputs'!$B$6-36*$B65))*'1 Inputs'!$B$7*'1 Inputs'!$B$8*'1 Inputs'!$B$9*'1 Inputs'!$B$10*'1 Inputs'!$B$11</f>
        <v>4166666.66666667</v>
      </c>
      <c r="DC65" s="19" t="n">
        <f aca="false">MAX(0,MIN($B65,$A65*'1 Inputs'!$B$6-37*$B65))*'1 Inputs'!$B$7*'1 Inputs'!$B$8*'1 Inputs'!$B$9*'1 Inputs'!$B$10*'1 Inputs'!$B$11</f>
        <v>4166666.66666667</v>
      </c>
      <c r="DD65" s="19" t="n">
        <f aca="false">MAX(0,MIN($B65,$A65*'1 Inputs'!$B$6-38*$B65))*'1 Inputs'!$B$7*'1 Inputs'!$B$8*'1 Inputs'!$B$9*'1 Inputs'!$B$10*'1 Inputs'!$B$11</f>
        <v>4166666.66666667</v>
      </c>
      <c r="DE65" s="19" t="n">
        <f aca="false">MAX(0,MIN($B65,$A65*'1 Inputs'!$B$6-39*$B65))*'1 Inputs'!$B$7*'1 Inputs'!$B$8*'1 Inputs'!$B$9*'1 Inputs'!$B$10*'1 Inputs'!$B$11</f>
        <v>4166666.66666667</v>
      </c>
      <c r="DF65" s="19" t="n">
        <f aca="false">MAX(0,MIN($B65,$A65*'1 Inputs'!$B$6-40*$B65))*'1 Inputs'!$B$7*'1 Inputs'!$B$8*'1 Inputs'!$B$9*'1 Inputs'!$B$10*'1 Inputs'!$B$11</f>
        <v>4166666.66666667</v>
      </c>
      <c r="DG65" s="19" t="n">
        <f aca="false">MAX(0,MIN($B65,$A65*'1 Inputs'!$B$6-41*$B65))*'1 Inputs'!$B$7*'1 Inputs'!$B$8*'1 Inputs'!$B$9*'1 Inputs'!$B$10*'1 Inputs'!$B$11</f>
        <v>4166666.66666667</v>
      </c>
      <c r="DH65" s="19" t="n">
        <f aca="false">MAX(0,MIN($B65,$A65*'1 Inputs'!$B$6-42*$B65))*'1 Inputs'!$B$7*'1 Inputs'!$B$8*'1 Inputs'!$B$9*'1 Inputs'!$B$10*'1 Inputs'!$B$11</f>
        <v>4166666.66666667</v>
      </c>
      <c r="DI65" s="19" t="n">
        <f aca="false">MAX(0,MIN($B65,$A65*'1 Inputs'!$B$6-43*$B65))*'1 Inputs'!$B$7*'1 Inputs'!$B$8*'1 Inputs'!$B$9*'1 Inputs'!$B$10*'1 Inputs'!$B$11</f>
        <v>4166666.66666667</v>
      </c>
      <c r="DJ65" s="19" t="n">
        <f aca="false">MAX(0,MIN($B65,$A65*'1 Inputs'!$B$6-44*$B65))*'1 Inputs'!$B$7*'1 Inputs'!$B$8*'1 Inputs'!$B$9*'1 Inputs'!$B$10*'1 Inputs'!$B$11</f>
        <v>4166666.66666667</v>
      </c>
      <c r="DK65" s="19" t="n">
        <f aca="false">MAX(0,MIN($B65,$A65*'1 Inputs'!$B$6-45*$B65))*'1 Inputs'!$B$7*'1 Inputs'!$B$8*'1 Inputs'!$B$9*'1 Inputs'!$B$10*'1 Inputs'!$B$11</f>
        <v>4166666.66666667</v>
      </c>
      <c r="DL65" s="19" t="n">
        <f aca="false">MAX(0,MIN($B65,$A65*'1 Inputs'!$B$6-46*$B65))*'1 Inputs'!$B$7*'1 Inputs'!$B$8*'1 Inputs'!$B$9*'1 Inputs'!$B$10*'1 Inputs'!$B$11</f>
        <v>4166666.66666667</v>
      </c>
      <c r="DM65" s="19" t="n">
        <f aca="false">MAX(0,MIN($B65,$A65*'1 Inputs'!$B$6-47*$B65))*'1 Inputs'!$B$7*'1 Inputs'!$B$8*'1 Inputs'!$B$9*'1 Inputs'!$B$10*'1 Inputs'!$B$11</f>
        <v>4166666.66666667</v>
      </c>
      <c r="DN65" s="19" t="n">
        <f aca="false">MAX(0,MIN($B65,$A65*'1 Inputs'!$B$6-48*$B65))*'1 Inputs'!$B$7*'1 Inputs'!$B$8*'1 Inputs'!$B$9*'1 Inputs'!$B$10*'1 Inputs'!$B$11</f>
        <v>4166666.66666667</v>
      </c>
      <c r="DO65" s="19" t="n">
        <f aca="false">MAX(0,MIN($B65,$A65*'1 Inputs'!$B$6-49*$B65))*'1 Inputs'!$B$7*'1 Inputs'!$B$8*'1 Inputs'!$B$9*'1 Inputs'!$B$10*'1 Inputs'!$B$11</f>
        <v>4166666.66666667</v>
      </c>
      <c r="DP65" s="19" t="n">
        <f aca="false">MAX(0,MIN($B65,$A65*'1 Inputs'!$B$6-50*$B65))*'1 Inputs'!$B$7*'1 Inputs'!$B$8*'1 Inputs'!$B$9*'1 Inputs'!$B$10*'1 Inputs'!$B$11</f>
        <v>4166666.66666667</v>
      </c>
      <c r="DQ65" s="19" t="n">
        <f aca="false">MAX(0,MIN($B65,$A65*'1 Inputs'!$B$6-51*$B65))*'1 Inputs'!$B$7*'1 Inputs'!$B$8*'1 Inputs'!$B$9*'1 Inputs'!$B$10*'1 Inputs'!$B$11</f>
        <v>4166666.66666667</v>
      </c>
      <c r="DR65" s="19" t="n">
        <f aca="false">MAX(0,MIN($B65,$A65*'1 Inputs'!$B$6-52*$B65))*'1 Inputs'!$B$7*'1 Inputs'!$B$8*'1 Inputs'!$B$9*'1 Inputs'!$B$10*'1 Inputs'!$B$11</f>
        <v>4166666.66666667</v>
      </c>
      <c r="DS65" s="19" t="n">
        <f aca="false">MAX(0,MIN($B65,$A65*'1 Inputs'!$B$6-53*$B65))*'1 Inputs'!$B$7*'1 Inputs'!$B$8*'1 Inputs'!$B$9*'1 Inputs'!$B$10*'1 Inputs'!$B$11</f>
        <v>4166666.66666667</v>
      </c>
      <c r="DT65" s="19" t="n">
        <f aca="false">MAX(0,MIN($B65,$A65*'1 Inputs'!$B$6-54*$B65))*'1 Inputs'!$B$7*'1 Inputs'!$B$8*'1 Inputs'!$B$9*'1 Inputs'!$B$10*'1 Inputs'!$B$11</f>
        <v>4166666.66666667</v>
      </c>
      <c r="DU65" s="19" t="n">
        <f aca="false">MAX(0,MIN($B65,$A65*'1 Inputs'!$B$6-55*$B65))*'1 Inputs'!$B$7*'1 Inputs'!$B$8*'1 Inputs'!$B$9*'1 Inputs'!$B$10*'1 Inputs'!$B$11</f>
        <v>4166666.66666667</v>
      </c>
      <c r="DV65" s="19" t="n">
        <f aca="false">MAX(0,MIN($B65,$A65*'1 Inputs'!$B$6-56*$B65))*'1 Inputs'!$B$7*'1 Inputs'!$B$8*'1 Inputs'!$B$9*'1 Inputs'!$B$10*'1 Inputs'!$B$11</f>
        <v>4166666.66666667</v>
      </c>
      <c r="DW65" s="19" t="n">
        <f aca="false">MAX(0,MIN($B65,$A65*'1 Inputs'!$B$6-57*$B65))*'1 Inputs'!$B$7*'1 Inputs'!$B$8*'1 Inputs'!$B$9*'1 Inputs'!$B$10*'1 Inputs'!$B$11</f>
        <v>4166666.66666667</v>
      </c>
      <c r="DX65" s="19" t="n">
        <f aca="false">MAX(0,MIN($B65,$A65*'1 Inputs'!$B$6-58*$B65))*'1 Inputs'!$B$7*'1 Inputs'!$B$8*'1 Inputs'!$B$9*'1 Inputs'!$B$10*'1 Inputs'!$B$11</f>
        <v>4166666.66666667</v>
      </c>
      <c r="DY65" s="19" t="n">
        <f aca="false">MAX(0,MIN($B65,$A65*'1 Inputs'!$B$6-59*$B65))*'1 Inputs'!$B$7*'1 Inputs'!$B$8*'1 Inputs'!$B$9*'1 Inputs'!$B$10*'1 Inputs'!$B$11</f>
        <v>4166666.66666667</v>
      </c>
    </row>
    <row r="66" customFormat="false" ht="15" hidden="false" customHeight="false" outlineLevel="0" collapsed="false">
      <c r="A66" s="0" t="n">
        <v>480</v>
      </c>
      <c r="B66" s="0" t="n">
        <v>6</v>
      </c>
      <c r="C66" s="12" t="n">
        <f aca="false">SUMIF(J66:BQ66,"&lt;="&amp;('1 Inputs'!$B$21+52),BR66:DY66)</f>
        <v>112500000</v>
      </c>
      <c r="J66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66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66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66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66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66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66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66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66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66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66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66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66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66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66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66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66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66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66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66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66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66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66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66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66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66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66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66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66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66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66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66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66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66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66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66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66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66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66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66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66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66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66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66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66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66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66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66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66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66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66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66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66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66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66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66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66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66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66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66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66" s="19" t="n">
        <f aca="false">MAX(0,MIN($B66,$A66*'1 Inputs'!$B$6-0*$B66))*'1 Inputs'!$B$7*'1 Inputs'!$B$8*'1 Inputs'!$B$9*'1 Inputs'!$B$10*'1 Inputs'!$B$11</f>
        <v>6250000</v>
      </c>
      <c r="BS66" s="19" t="n">
        <f aca="false">MAX(0,MIN($B66,$A66*'1 Inputs'!$B$6-1*$B66))*'1 Inputs'!$B$7*'1 Inputs'!$B$8*'1 Inputs'!$B$9*'1 Inputs'!$B$10*'1 Inputs'!$B$11</f>
        <v>6250000</v>
      </c>
      <c r="BT66" s="19" t="n">
        <f aca="false">MAX(0,MIN($B66,$A66*'1 Inputs'!$B$6-2*$B66))*'1 Inputs'!$B$7*'1 Inputs'!$B$8*'1 Inputs'!$B$9*'1 Inputs'!$B$10*'1 Inputs'!$B$11</f>
        <v>6250000</v>
      </c>
      <c r="BU66" s="19" t="n">
        <f aca="false">MAX(0,MIN($B66,$A66*'1 Inputs'!$B$6-3*$B66))*'1 Inputs'!$B$7*'1 Inputs'!$B$8*'1 Inputs'!$B$9*'1 Inputs'!$B$10*'1 Inputs'!$B$11</f>
        <v>6250000</v>
      </c>
      <c r="BV66" s="19" t="n">
        <f aca="false">MAX(0,MIN($B66,$A66*'1 Inputs'!$B$6-4*$B66))*'1 Inputs'!$B$7*'1 Inputs'!$B$8*'1 Inputs'!$B$9*'1 Inputs'!$B$10*'1 Inputs'!$B$11</f>
        <v>6250000</v>
      </c>
      <c r="BW66" s="19" t="n">
        <f aca="false">MAX(0,MIN($B66,$A66*'1 Inputs'!$B$6-5*$B66))*'1 Inputs'!$B$7*'1 Inputs'!$B$8*'1 Inputs'!$B$9*'1 Inputs'!$B$10*'1 Inputs'!$B$11</f>
        <v>6250000</v>
      </c>
      <c r="BX66" s="19" t="n">
        <f aca="false">MAX(0,MIN($B66,$A66*'1 Inputs'!$B$6-6*$B66))*'1 Inputs'!$B$7*'1 Inputs'!$B$8*'1 Inputs'!$B$9*'1 Inputs'!$B$10*'1 Inputs'!$B$11</f>
        <v>6250000</v>
      </c>
      <c r="BY66" s="19" t="n">
        <f aca="false">MAX(0,MIN($B66,$A66*'1 Inputs'!$B$6-7*$B66))*'1 Inputs'!$B$7*'1 Inputs'!$B$8*'1 Inputs'!$B$9*'1 Inputs'!$B$10*'1 Inputs'!$B$11</f>
        <v>6250000</v>
      </c>
      <c r="BZ66" s="19" t="n">
        <f aca="false">MAX(0,MIN($B66,$A66*'1 Inputs'!$B$6-8*$B66))*'1 Inputs'!$B$7*'1 Inputs'!$B$8*'1 Inputs'!$B$9*'1 Inputs'!$B$10*'1 Inputs'!$B$11</f>
        <v>6250000</v>
      </c>
      <c r="CA66" s="19" t="n">
        <f aca="false">MAX(0,MIN($B66,$A66*'1 Inputs'!$B$6-9*$B66))*'1 Inputs'!$B$7*'1 Inputs'!$B$8*'1 Inputs'!$B$9*'1 Inputs'!$B$10*'1 Inputs'!$B$11</f>
        <v>6250000</v>
      </c>
      <c r="CB66" s="19" t="n">
        <f aca="false">MAX(0,MIN($B66,$A66*'1 Inputs'!$B$6-10*$B66))*'1 Inputs'!$B$7*'1 Inputs'!$B$8*'1 Inputs'!$B$9*'1 Inputs'!$B$10*'1 Inputs'!$B$11</f>
        <v>6250000</v>
      </c>
      <c r="CC66" s="19" t="n">
        <f aca="false">MAX(0,MIN($B66,$A66*'1 Inputs'!$B$6-11*$B66))*'1 Inputs'!$B$7*'1 Inputs'!$B$8*'1 Inputs'!$B$9*'1 Inputs'!$B$10*'1 Inputs'!$B$11</f>
        <v>6250000</v>
      </c>
      <c r="CD66" s="19" t="n">
        <f aca="false">MAX(0,MIN($B66,$A66*'1 Inputs'!$B$6-12*$B66))*'1 Inputs'!$B$7*'1 Inputs'!$B$8*'1 Inputs'!$B$9*'1 Inputs'!$B$10*'1 Inputs'!$B$11</f>
        <v>6250000</v>
      </c>
      <c r="CE66" s="19" t="n">
        <f aca="false">MAX(0,MIN($B66,$A66*'1 Inputs'!$B$6-13*$B66))*'1 Inputs'!$B$7*'1 Inputs'!$B$8*'1 Inputs'!$B$9*'1 Inputs'!$B$10*'1 Inputs'!$B$11</f>
        <v>6250000</v>
      </c>
      <c r="CF66" s="19" t="n">
        <f aca="false">MAX(0,MIN($B66,$A66*'1 Inputs'!$B$6-14*$B66))*'1 Inputs'!$B$7*'1 Inputs'!$B$8*'1 Inputs'!$B$9*'1 Inputs'!$B$10*'1 Inputs'!$B$11</f>
        <v>6250000</v>
      </c>
      <c r="CG66" s="19" t="n">
        <f aca="false">MAX(0,MIN($B66,$A66*'1 Inputs'!$B$6-15*$B66))*'1 Inputs'!$B$7*'1 Inputs'!$B$8*'1 Inputs'!$B$9*'1 Inputs'!$B$10*'1 Inputs'!$B$11</f>
        <v>6250000</v>
      </c>
      <c r="CH66" s="19" t="n">
        <f aca="false">MAX(0,MIN($B66,$A66*'1 Inputs'!$B$6-16*$B66))*'1 Inputs'!$B$7*'1 Inputs'!$B$8*'1 Inputs'!$B$9*'1 Inputs'!$B$10*'1 Inputs'!$B$11</f>
        <v>6250000</v>
      </c>
      <c r="CI66" s="19" t="n">
        <f aca="false">MAX(0,MIN($B66,$A66*'1 Inputs'!$B$6-17*$B66))*'1 Inputs'!$B$7*'1 Inputs'!$B$8*'1 Inputs'!$B$9*'1 Inputs'!$B$10*'1 Inputs'!$B$11</f>
        <v>6250000</v>
      </c>
      <c r="CJ66" s="19" t="n">
        <f aca="false">MAX(0,MIN($B66,$A66*'1 Inputs'!$B$6-18*$B66))*'1 Inputs'!$B$7*'1 Inputs'!$B$8*'1 Inputs'!$B$9*'1 Inputs'!$B$10*'1 Inputs'!$B$11</f>
        <v>6250000</v>
      </c>
      <c r="CK66" s="19" t="n">
        <f aca="false">MAX(0,MIN($B66,$A66*'1 Inputs'!$B$6-19*$B66))*'1 Inputs'!$B$7*'1 Inputs'!$B$8*'1 Inputs'!$B$9*'1 Inputs'!$B$10*'1 Inputs'!$B$11</f>
        <v>6250000</v>
      </c>
      <c r="CL66" s="19" t="n">
        <f aca="false">MAX(0,MIN($B66,$A66*'1 Inputs'!$B$6-20*$B66))*'1 Inputs'!$B$7*'1 Inputs'!$B$8*'1 Inputs'!$B$9*'1 Inputs'!$B$10*'1 Inputs'!$B$11</f>
        <v>6250000</v>
      </c>
      <c r="CM66" s="19" t="n">
        <f aca="false">MAX(0,MIN($B66,$A66*'1 Inputs'!$B$6-21*$B66))*'1 Inputs'!$B$7*'1 Inputs'!$B$8*'1 Inputs'!$B$9*'1 Inputs'!$B$10*'1 Inputs'!$B$11</f>
        <v>6250000</v>
      </c>
      <c r="CN66" s="19" t="n">
        <f aca="false">MAX(0,MIN($B66,$A66*'1 Inputs'!$B$6-22*$B66))*'1 Inputs'!$B$7*'1 Inputs'!$B$8*'1 Inputs'!$B$9*'1 Inputs'!$B$10*'1 Inputs'!$B$11</f>
        <v>6250000</v>
      </c>
      <c r="CO66" s="19" t="n">
        <f aca="false">MAX(0,MIN($B66,$A66*'1 Inputs'!$B$6-23*$B66))*'1 Inputs'!$B$7*'1 Inputs'!$B$8*'1 Inputs'!$B$9*'1 Inputs'!$B$10*'1 Inputs'!$B$11</f>
        <v>6250000</v>
      </c>
      <c r="CP66" s="19" t="n">
        <f aca="false">MAX(0,MIN($B66,$A66*'1 Inputs'!$B$6-24*$B66))*'1 Inputs'!$B$7*'1 Inputs'!$B$8*'1 Inputs'!$B$9*'1 Inputs'!$B$10*'1 Inputs'!$B$11</f>
        <v>6250000</v>
      </c>
      <c r="CQ66" s="19" t="n">
        <f aca="false">MAX(0,MIN($B66,$A66*'1 Inputs'!$B$6-25*$B66))*'1 Inputs'!$B$7*'1 Inputs'!$B$8*'1 Inputs'!$B$9*'1 Inputs'!$B$10*'1 Inputs'!$B$11</f>
        <v>6250000</v>
      </c>
      <c r="CR66" s="19" t="n">
        <f aca="false">MAX(0,MIN($B66,$A66*'1 Inputs'!$B$6-26*$B66))*'1 Inputs'!$B$7*'1 Inputs'!$B$8*'1 Inputs'!$B$9*'1 Inputs'!$B$10*'1 Inputs'!$B$11</f>
        <v>6250000</v>
      </c>
      <c r="CS66" s="19" t="n">
        <f aca="false">MAX(0,MIN($B66,$A66*'1 Inputs'!$B$6-27*$B66))*'1 Inputs'!$B$7*'1 Inputs'!$B$8*'1 Inputs'!$B$9*'1 Inputs'!$B$10*'1 Inputs'!$B$11</f>
        <v>6250000</v>
      </c>
      <c r="CT66" s="19" t="n">
        <f aca="false">MAX(0,MIN($B66,$A66*'1 Inputs'!$B$6-28*$B66))*'1 Inputs'!$B$7*'1 Inputs'!$B$8*'1 Inputs'!$B$9*'1 Inputs'!$B$10*'1 Inputs'!$B$11</f>
        <v>6250000</v>
      </c>
      <c r="CU66" s="19" t="n">
        <f aca="false">MAX(0,MIN($B66,$A66*'1 Inputs'!$B$6-29*$B66))*'1 Inputs'!$B$7*'1 Inputs'!$B$8*'1 Inputs'!$B$9*'1 Inputs'!$B$10*'1 Inputs'!$B$11</f>
        <v>6250000</v>
      </c>
      <c r="CV66" s="19" t="n">
        <f aca="false">MAX(0,MIN($B66,$A66*'1 Inputs'!$B$6-30*$B66))*'1 Inputs'!$B$7*'1 Inputs'!$B$8*'1 Inputs'!$B$9*'1 Inputs'!$B$10*'1 Inputs'!$B$11</f>
        <v>6250000</v>
      </c>
      <c r="CW66" s="19" t="n">
        <f aca="false">MAX(0,MIN($B66,$A66*'1 Inputs'!$B$6-31*$B66))*'1 Inputs'!$B$7*'1 Inputs'!$B$8*'1 Inputs'!$B$9*'1 Inputs'!$B$10*'1 Inputs'!$B$11</f>
        <v>6250000</v>
      </c>
      <c r="CX66" s="19" t="n">
        <f aca="false">MAX(0,MIN($B66,$A66*'1 Inputs'!$B$6-32*$B66))*'1 Inputs'!$B$7*'1 Inputs'!$B$8*'1 Inputs'!$B$9*'1 Inputs'!$B$10*'1 Inputs'!$B$11</f>
        <v>6250000</v>
      </c>
      <c r="CY66" s="19" t="n">
        <f aca="false">MAX(0,MIN($B66,$A66*'1 Inputs'!$B$6-33*$B66))*'1 Inputs'!$B$7*'1 Inputs'!$B$8*'1 Inputs'!$B$9*'1 Inputs'!$B$10*'1 Inputs'!$B$11</f>
        <v>6250000</v>
      </c>
      <c r="CZ66" s="19" t="n">
        <f aca="false">MAX(0,MIN($B66,$A66*'1 Inputs'!$B$6-34*$B66))*'1 Inputs'!$B$7*'1 Inputs'!$B$8*'1 Inputs'!$B$9*'1 Inputs'!$B$10*'1 Inputs'!$B$11</f>
        <v>6250000</v>
      </c>
      <c r="DA66" s="19" t="n">
        <f aca="false">MAX(0,MIN($B66,$A66*'1 Inputs'!$B$6-35*$B66))*'1 Inputs'!$B$7*'1 Inputs'!$B$8*'1 Inputs'!$B$9*'1 Inputs'!$B$10*'1 Inputs'!$B$11</f>
        <v>6250000</v>
      </c>
      <c r="DB66" s="19" t="n">
        <f aca="false">MAX(0,MIN($B66,$A66*'1 Inputs'!$B$6-36*$B66))*'1 Inputs'!$B$7*'1 Inputs'!$B$8*'1 Inputs'!$B$9*'1 Inputs'!$B$10*'1 Inputs'!$B$11</f>
        <v>6250000</v>
      </c>
      <c r="DC66" s="19" t="n">
        <f aca="false">MAX(0,MIN($B66,$A66*'1 Inputs'!$B$6-37*$B66))*'1 Inputs'!$B$7*'1 Inputs'!$B$8*'1 Inputs'!$B$9*'1 Inputs'!$B$10*'1 Inputs'!$B$11</f>
        <v>6250000</v>
      </c>
      <c r="DD66" s="19" t="n">
        <f aca="false">MAX(0,MIN($B66,$A66*'1 Inputs'!$B$6-38*$B66))*'1 Inputs'!$B$7*'1 Inputs'!$B$8*'1 Inputs'!$B$9*'1 Inputs'!$B$10*'1 Inputs'!$B$11</f>
        <v>6250000</v>
      </c>
      <c r="DE66" s="19" t="n">
        <f aca="false">MAX(0,MIN($B66,$A66*'1 Inputs'!$B$6-39*$B66))*'1 Inputs'!$B$7*'1 Inputs'!$B$8*'1 Inputs'!$B$9*'1 Inputs'!$B$10*'1 Inputs'!$B$11</f>
        <v>6250000</v>
      </c>
      <c r="DF66" s="19" t="n">
        <f aca="false">MAX(0,MIN($B66,$A66*'1 Inputs'!$B$6-40*$B66))*'1 Inputs'!$B$7*'1 Inputs'!$B$8*'1 Inputs'!$B$9*'1 Inputs'!$B$10*'1 Inputs'!$B$11</f>
        <v>0</v>
      </c>
      <c r="DG66" s="19" t="n">
        <f aca="false">MAX(0,MIN($B66,$A66*'1 Inputs'!$B$6-41*$B66))*'1 Inputs'!$B$7*'1 Inputs'!$B$8*'1 Inputs'!$B$9*'1 Inputs'!$B$10*'1 Inputs'!$B$11</f>
        <v>0</v>
      </c>
      <c r="DH66" s="19" t="n">
        <f aca="false">MAX(0,MIN($B66,$A66*'1 Inputs'!$B$6-42*$B66))*'1 Inputs'!$B$7*'1 Inputs'!$B$8*'1 Inputs'!$B$9*'1 Inputs'!$B$10*'1 Inputs'!$B$11</f>
        <v>0</v>
      </c>
      <c r="DI66" s="19" t="n">
        <f aca="false">MAX(0,MIN($B66,$A66*'1 Inputs'!$B$6-43*$B66))*'1 Inputs'!$B$7*'1 Inputs'!$B$8*'1 Inputs'!$B$9*'1 Inputs'!$B$10*'1 Inputs'!$B$11</f>
        <v>0</v>
      </c>
      <c r="DJ66" s="19" t="n">
        <f aca="false">MAX(0,MIN($B66,$A66*'1 Inputs'!$B$6-44*$B66))*'1 Inputs'!$B$7*'1 Inputs'!$B$8*'1 Inputs'!$B$9*'1 Inputs'!$B$10*'1 Inputs'!$B$11</f>
        <v>0</v>
      </c>
      <c r="DK66" s="19" t="n">
        <f aca="false">MAX(0,MIN($B66,$A66*'1 Inputs'!$B$6-45*$B66))*'1 Inputs'!$B$7*'1 Inputs'!$B$8*'1 Inputs'!$B$9*'1 Inputs'!$B$10*'1 Inputs'!$B$11</f>
        <v>0</v>
      </c>
      <c r="DL66" s="19" t="n">
        <f aca="false">MAX(0,MIN($B66,$A66*'1 Inputs'!$B$6-46*$B66))*'1 Inputs'!$B$7*'1 Inputs'!$B$8*'1 Inputs'!$B$9*'1 Inputs'!$B$10*'1 Inputs'!$B$11</f>
        <v>0</v>
      </c>
      <c r="DM66" s="19" t="n">
        <f aca="false">MAX(0,MIN($B66,$A66*'1 Inputs'!$B$6-47*$B66))*'1 Inputs'!$B$7*'1 Inputs'!$B$8*'1 Inputs'!$B$9*'1 Inputs'!$B$10*'1 Inputs'!$B$11</f>
        <v>0</v>
      </c>
      <c r="DN66" s="19" t="n">
        <f aca="false">MAX(0,MIN($B66,$A66*'1 Inputs'!$B$6-48*$B66))*'1 Inputs'!$B$7*'1 Inputs'!$B$8*'1 Inputs'!$B$9*'1 Inputs'!$B$10*'1 Inputs'!$B$11</f>
        <v>0</v>
      </c>
      <c r="DO66" s="19" t="n">
        <f aca="false">MAX(0,MIN($B66,$A66*'1 Inputs'!$B$6-49*$B66))*'1 Inputs'!$B$7*'1 Inputs'!$B$8*'1 Inputs'!$B$9*'1 Inputs'!$B$10*'1 Inputs'!$B$11</f>
        <v>0</v>
      </c>
      <c r="DP66" s="19" t="n">
        <f aca="false">MAX(0,MIN($B66,$A66*'1 Inputs'!$B$6-50*$B66))*'1 Inputs'!$B$7*'1 Inputs'!$B$8*'1 Inputs'!$B$9*'1 Inputs'!$B$10*'1 Inputs'!$B$11</f>
        <v>0</v>
      </c>
      <c r="DQ66" s="19" t="n">
        <f aca="false">MAX(0,MIN($B66,$A66*'1 Inputs'!$B$6-51*$B66))*'1 Inputs'!$B$7*'1 Inputs'!$B$8*'1 Inputs'!$B$9*'1 Inputs'!$B$10*'1 Inputs'!$B$11</f>
        <v>0</v>
      </c>
      <c r="DR66" s="19" t="n">
        <f aca="false">MAX(0,MIN($B66,$A66*'1 Inputs'!$B$6-52*$B66))*'1 Inputs'!$B$7*'1 Inputs'!$B$8*'1 Inputs'!$B$9*'1 Inputs'!$B$10*'1 Inputs'!$B$11</f>
        <v>0</v>
      </c>
      <c r="DS66" s="19" t="n">
        <f aca="false">MAX(0,MIN($B66,$A66*'1 Inputs'!$B$6-53*$B66))*'1 Inputs'!$B$7*'1 Inputs'!$B$8*'1 Inputs'!$B$9*'1 Inputs'!$B$10*'1 Inputs'!$B$11</f>
        <v>0</v>
      </c>
      <c r="DT66" s="19" t="n">
        <f aca="false">MAX(0,MIN($B66,$A66*'1 Inputs'!$B$6-54*$B66))*'1 Inputs'!$B$7*'1 Inputs'!$B$8*'1 Inputs'!$B$9*'1 Inputs'!$B$10*'1 Inputs'!$B$11</f>
        <v>0</v>
      </c>
      <c r="DU66" s="19" t="n">
        <f aca="false">MAX(0,MIN($B66,$A66*'1 Inputs'!$B$6-55*$B66))*'1 Inputs'!$B$7*'1 Inputs'!$B$8*'1 Inputs'!$B$9*'1 Inputs'!$B$10*'1 Inputs'!$B$11</f>
        <v>0</v>
      </c>
      <c r="DV66" s="19" t="n">
        <f aca="false">MAX(0,MIN($B66,$A66*'1 Inputs'!$B$6-56*$B66))*'1 Inputs'!$B$7*'1 Inputs'!$B$8*'1 Inputs'!$B$9*'1 Inputs'!$B$10*'1 Inputs'!$B$11</f>
        <v>0</v>
      </c>
      <c r="DW66" s="19" t="n">
        <f aca="false">MAX(0,MIN($B66,$A66*'1 Inputs'!$B$6-57*$B66))*'1 Inputs'!$B$7*'1 Inputs'!$B$8*'1 Inputs'!$B$9*'1 Inputs'!$B$10*'1 Inputs'!$B$11</f>
        <v>0</v>
      </c>
      <c r="DX66" s="19" t="n">
        <f aca="false">MAX(0,MIN($B66,$A66*'1 Inputs'!$B$6-58*$B66))*'1 Inputs'!$B$7*'1 Inputs'!$B$8*'1 Inputs'!$B$9*'1 Inputs'!$B$10*'1 Inputs'!$B$11</f>
        <v>0</v>
      </c>
      <c r="DY66" s="19" t="n">
        <f aca="false">MAX(0,MIN($B66,$A66*'1 Inputs'!$B$6-59*$B66))*'1 Inputs'!$B$7*'1 Inputs'!$B$8*'1 Inputs'!$B$9*'1 Inputs'!$B$10*'1 Inputs'!$B$11</f>
        <v>0</v>
      </c>
    </row>
    <row r="67" customFormat="false" ht="15" hidden="false" customHeight="false" outlineLevel="0" collapsed="false">
      <c r="A67" s="0" t="n">
        <v>480</v>
      </c>
      <c r="B67" s="0" t="n">
        <v>8</v>
      </c>
      <c r="C67" s="12" t="n">
        <f aca="false">SUMIF(J67:BQ67,"&lt;="&amp;('1 Inputs'!$B$21+52),BR67:DY67)</f>
        <v>150000000</v>
      </c>
      <c r="J67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67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67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67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67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67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67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67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67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67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67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67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67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67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67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67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67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67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67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67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67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67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67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67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67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67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67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67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67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67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67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67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67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67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67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67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67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67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67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67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67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67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67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67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67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67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67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67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67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67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67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67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67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67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67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67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67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67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67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67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67" s="19" t="n">
        <f aca="false">MAX(0,MIN($B67,$A67*'1 Inputs'!$B$6-0*$B67))*'1 Inputs'!$B$7*'1 Inputs'!$B$8*'1 Inputs'!$B$9*'1 Inputs'!$B$10*'1 Inputs'!$B$11</f>
        <v>8333333.33333333</v>
      </c>
      <c r="BS67" s="19" t="n">
        <f aca="false">MAX(0,MIN($B67,$A67*'1 Inputs'!$B$6-1*$B67))*'1 Inputs'!$B$7*'1 Inputs'!$B$8*'1 Inputs'!$B$9*'1 Inputs'!$B$10*'1 Inputs'!$B$11</f>
        <v>8333333.33333333</v>
      </c>
      <c r="BT67" s="19" t="n">
        <f aca="false">MAX(0,MIN($B67,$A67*'1 Inputs'!$B$6-2*$B67))*'1 Inputs'!$B$7*'1 Inputs'!$B$8*'1 Inputs'!$B$9*'1 Inputs'!$B$10*'1 Inputs'!$B$11</f>
        <v>8333333.33333333</v>
      </c>
      <c r="BU67" s="19" t="n">
        <f aca="false">MAX(0,MIN($B67,$A67*'1 Inputs'!$B$6-3*$B67))*'1 Inputs'!$B$7*'1 Inputs'!$B$8*'1 Inputs'!$B$9*'1 Inputs'!$B$10*'1 Inputs'!$B$11</f>
        <v>8333333.33333333</v>
      </c>
      <c r="BV67" s="19" t="n">
        <f aca="false">MAX(0,MIN($B67,$A67*'1 Inputs'!$B$6-4*$B67))*'1 Inputs'!$B$7*'1 Inputs'!$B$8*'1 Inputs'!$B$9*'1 Inputs'!$B$10*'1 Inputs'!$B$11</f>
        <v>8333333.33333333</v>
      </c>
      <c r="BW67" s="19" t="n">
        <f aca="false">MAX(0,MIN($B67,$A67*'1 Inputs'!$B$6-5*$B67))*'1 Inputs'!$B$7*'1 Inputs'!$B$8*'1 Inputs'!$B$9*'1 Inputs'!$B$10*'1 Inputs'!$B$11</f>
        <v>8333333.33333333</v>
      </c>
      <c r="BX67" s="19" t="n">
        <f aca="false">MAX(0,MIN($B67,$A67*'1 Inputs'!$B$6-6*$B67))*'1 Inputs'!$B$7*'1 Inputs'!$B$8*'1 Inputs'!$B$9*'1 Inputs'!$B$10*'1 Inputs'!$B$11</f>
        <v>8333333.33333333</v>
      </c>
      <c r="BY67" s="19" t="n">
        <f aca="false">MAX(0,MIN($B67,$A67*'1 Inputs'!$B$6-7*$B67))*'1 Inputs'!$B$7*'1 Inputs'!$B$8*'1 Inputs'!$B$9*'1 Inputs'!$B$10*'1 Inputs'!$B$11</f>
        <v>8333333.33333333</v>
      </c>
      <c r="BZ67" s="19" t="n">
        <f aca="false">MAX(0,MIN($B67,$A67*'1 Inputs'!$B$6-8*$B67))*'1 Inputs'!$B$7*'1 Inputs'!$B$8*'1 Inputs'!$B$9*'1 Inputs'!$B$10*'1 Inputs'!$B$11</f>
        <v>8333333.33333333</v>
      </c>
      <c r="CA67" s="19" t="n">
        <f aca="false">MAX(0,MIN($B67,$A67*'1 Inputs'!$B$6-9*$B67))*'1 Inputs'!$B$7*'1 Inputs'!$B$8*'1 Inputs'!$B$9*'1 Inputs'!$B$10*'1 Inputs'!$B$11</f>
        <v>8333333.33333333</v>
      </c>
      <c r="CB67" s="19" t="n">
        <f aca="false">MAX(0,MIN($B67,$A67*'1 Inputs'!$B$6-10*$B67))*'1 Inputs'!$B$7*'1 Inputs'!$B$8*'1 Inputs'!$B$9*'1 Inputs'!$B$10*'1 Inputs'!$B$11</f>
        <v>8333333.33333333</v>
      </c>
      <c r="CC67" s="19" t="n">
        <f aca="false">MAX(0,MIN($B67,$A67*'1 Inputs'!$B$6-11*$B67))*'1 Inputs'!$B$7*'1 Inputs'!$B$8*'1 Inputs'!$B$9*'1 Inputs'!$B$10*'1 Inputs'!$B$11</f>
        <v>8333333.33333333</v>
      </c>
      <c r="CD67" s="19" t="n">
        <f aca="false">MAX(0,MIN($B67,$A67*'1 Inputs'!$B$6-12*$B67))*'1 Inputs'!$B$7*'1 Inputs'!$B$8*'1 Inputs'!$B$9*'1 Inputs'!$B$10*'1 Inputs'!$B$11</f>
        <v>8333333.33333333</v>
      </c>
      <c r="CE67" s="19" t="n">
        <f aca="false">MAX(0,MIN($B67,$A67*'1 Inputs'!$B$6-13*$B67))*'1 Inputs'!$B$7*'1 Inputs'!$B$8*'1 Inputs'!$B$9*'1 Inputs'!$B$10*'1 Inputs'!$B$11</f>
        <v>8333333.33333333</v>
      </c>
      <c r="CF67" s="19" t="n">
        <f aca="false">MAX(0,MIN($B67,$A67*'1 Inputs'!$B$6-14*$B67))*'1 Inputs'!$B$7*'1 Inputs'!$B$8*'1 Inputs'!$B$9*'1 Inputs'!$B$10*'1 Inputs'!$B$11</f>
        <v>8333333.33333333</v>
      </c>
      <c r="CG67" s="19" t="n">
        <f aca="false">MAX(0,MIN($B67,$A67*'1 Inputs'!$B$6-15*$B67))*'1 Inputs'!$B$7*'1 Inputs'!$B$8*'1 Inputs'!$B$9*'1 Inputs'!$B$10*'1 Inputs'!$B$11</f>
        <v>8333333.33333333</v>
      </c>
      <c r="CH67" s="19" t="n">
        <f aca="false">MAX(0,MIN($B67,$A67*'1 Inputs'!$B$6-16*$B67))*'1 Inputs'!$B$7*'1 Inputs'!$B$8*'1 Inputs'!$B$9*'1 Inputs'!$B$10*'1 Inputs'!$B$11</f>
        <v>8333333.33333333</v>
      </c>
      <c r="CI67" s="19" t="n">
        <f aca="false">MAX(0,MIN($B67,$A67*'1 Inputs'!$B$6-17*$B67))*'1 Inputs'!$B$7*'1 Inputs'!$B$8*'1 Inputs'!$B$9*'1 Inputs'!$B$10*'1 Inputs'!$B$11</f>
        <v>8333333.33333333</v>
      </c>
      <c r="CJ67" s="19" t="n">
        <f aca="false">MAX(0,MIN($B67,$A67*'1 Inputs'!$B$6-18*$B67))*'1 Inputs'!$B$7*'1 Inputs'!$B$8*'1 Inputs'!$B$9*'1 Inputs'!$B$10*'1 Inputs'!$B$11</f>
        <v>8333333.33333333</v>
      </c>
      <c r="CK67" s="19" t="n">
        <f aca="false">MAX(0,MIN($B67,$A67*'1 Inputs'!$B$6-19*$B67))*'1 Inputs'!$B$7*'1 Inputs'!$B$8*'1 Inputs'!$B$9*'1 Inputs'!$B$10*'1 Inputs'!$B$11</f>
        <v>8333333.33333333</v>
      </c>
      <c r="CL67" s="19" t="n">
        <f aca="false">MAX(0,MIN($B67,$A67*'1 Inputs'!$B$6-20*$B67))*'1 Inputs'!$B$7*'1 Inputs'!$B$8*'1 Inputs'!$B$9*'1 Inputs'!$B$10*'1 Inputs'!$B$11</f>
        <v>8333333.33333333</v>
      </c>
      <c r="CM67" s="19" t="n">
        <f aca="false">MAX(0,MIN($B67,$A67*'1 Inputs'!$B$6-21*$B67))*'1 Inputs'!$B$7*'1 Inputs'!$B$8*'1 Inputs'!$B$9*'1 Inputs'!$B$10*'1 Inputs'!$B$11</f>
        <v>8333333.33333333</v>
      </c>
      <c r="CN67" s="19" t="n">
        <f aca="false">MAX(0,MIN($B67,$A67*'1 Inputs'!$B$6-22*$B67))*'1 Inputs'!$B$7*'1 Inputs'!$B$8*'1 Inputs'!$B$9*'1 Inputs'!$B$10*'1 Inputs'!$B$11</f>
        <v>8333333.33333333</v>
      </c>
      <c r="CO67" s="19" t="n">
        <f aca="false">MAX(0,MIN($B67,$A67*'1 Inputs'!$B$6-23*$B67))*'1 Inputs'!$B$7*'1 Inputs'!$B$8*'1 Inputs'!$B$9*'1 Inputs'!$B$10*'1 Inputs'!$B$11</f>
        <v>8333333.33333333</v>
      </c>
      <c r="CP67" s="19" t="n">
        <f aca="false">MAX(0,MIN($B67,$A67*'1 Inputs'!$B$6-24*$B67))*'1 Inputs'!$B$7*'1 Inputs'!$B$8*'1 Inputs'!$B$9*'1 Inputs'!$B$10*'1 Inputs'!$B$11</f>
        <v>8333333.33333333</v>
      </c>
      <c r="CQ67" s="19" t="n">
        <f aca="false">MAX(0,MIN($B67,$A67*'1 Inputs'!$B$6-25*$B67))*'1 Inputs'!$B$7*'1 Inputs'!$B$8*'1 Inputs'!$B$9*'1 Inputs'!$B$10*'1 Inputs'!$B$11</f>
        <v>8333333.33333333</v>
      </c>
      <c r="CR67" s="19" t="n">
        <f aca="false">MAX(0,MIN($B67,$A67*'1 Inputs'!$B$6-26*$B67))*'1 Inputs'!$B$7*'1 Inputs'!$B$8*'1 Inputs'!$B$9*'1 Inputs'!$B$10*'1 Inputs'!$B$11</f>
        <v>8333333.33333333</v>
      </c>
      <c r="CS67" s="19" t="n">
        <f aca="false">MAX(0,MIN($B67,$A67*'1 Inputs'!$B$6-27*$B67))*'1 Inputs'!$B$7*'1 Inputs'!$B$8*'1 Inputs'!$B$9*'1 Inputs'!$B$10*'1 Inputs'!$B$11</f>
        <v>8333333.33333333</v>
      </c>
      <c r="CT67" s="19" t="n">
        <f aca="false">MAX(0,MIN($B67,$A67*'1 Inputs'!$B$6-28*$B67))*'1 Inputs'!$B$7*'1 Inputs'!$B$8*'1 Inputs'!$B$9*'1 Inputs'!$B$10*'1 Inputs'!$B$11</f>
        <v>8333333.33333333</v>
      </c>
      <c r="CU67" s="19" t="n">
        <f aca="false">MAX(0,MIN($B67,$A67*'1 Inputs'!$B$6-29*$B67))*'1 Inputs'!$B$7*'1 Inputs'!$B$8*'1 Inputs'!$B$9*'1 Inputs'!$B$10*'1 Inputs'!$B$11</f>
        <v>8333333.33333333</v>
      </c>
      <c r="CV67" s="19" t="n">
        <f aca="false">MAX(0,MIN($B67,$A67*'1 Inputs'!$B$6-30*$B67))*'1 Inputs'!$B$7*'1 Inputs'!$B$8*'1 Inputs'!$B$9*'1 Inputs'!$B$10*'1 Inputs'!$B$11</f>
        <v>0</v>
      </c>
      <c r="CW67" s="19" t="n">
        <f aca="false">MAX(0,MIN($B67,$A67*'1 Inputs'!$B$6-31*$B67))*'1 Inputs'!$B$7*'1 Inputs'!$B$8*'1 Inputs'!$B$9*'1 Inputs'!$B$10*'1 Inputs'!$B$11</f>
        <v>0</v>
      </c>
      <c r="CX67" s="19" t="n">
        <f aca="false">MAX(0,MIN($B67,$A67*'1 Inputs'!$B$6-32*$B67))*'1 Inputs'!$B$7*'1 Inputs'!$B$8*'1 Inputs'!$B$9*'1 Inputs'!$B$10*'1 Inputs'!$B$11</f>
        <v>0</v>
      </c>
      <c r="CY67" s="19" t="n">
        <f aca="false">MAX(0,MIN($B67,$A67*'1 Inputs'!$B$6-33*$B67))*'1 Inputs'!$B$7*'1 Inputs'!$B$8*'1 Inputs'!$B$9*'1 Inputs'!$B$10*'1 Inputs'!$B$11</f>
        <v>0</v>
      </c>
      <c r="CZ67" s="19" t="n">
        <f aca="false">MAX(0,MIN($B67,$A67*'1 Inputs'!$B$6-34*$B67))*'1 Inputs'!$B$7*'1 Inputs'!$B$8*'1 Inputs'!$B$9*'1 Inputs'!$B$10*'1 Inputs'!$B$11</f>
        <v>0</v>
      </c>
      <c r="DA67" s="19" t="n">
        <f aca="false">MAX(0,MIN($B67,$A67*'1 Inputs'!$B$6-35*$B67))*'1 Inputs'!$B$7*'1 Inputs'!$B$8*'1 Inputs'!$B$9*'1 Inputs'!$B$10*'1 Inputs'!$B$11</f>
        <v>0</v>
      </c>
      <c r="DB67" s="19" t="n">
        <f aca="false">MAX(0,MIN($B67,$A67*'1 Inputs'!$B$6-36*$B67))*'1 Inputs'!$B$7*'1 Inputs'!$B$8*'1 Inputs'!$B$9*'1 Inputs'!$B$10*'1 Inputs'!$B$11</f>
        <v>0</v>
      </c>
      <c r="DC67" s="19" t="n">
        <f aca="false">MAX(0,MIN($B67,$A67*'1 Inputs'!$B$6-37*$B67))*'1 Inputs'!$B$7*'1 Inputs'!$B$8*'1 Inputs'!$B$9*'1 Inputs'!$B$10*'1 Inputs'!$B$11</f>
        <v>0</v>
      </c>
      <c r="DD67" s="19" t="n">
        <f aca="false">MAX(0,MIN($B67,$A67*'1 Inputs'!$B$6-38*$B67))*'1 Inputs'!$B$7*'1 Inputs'!$B$8*'1 Inputs'!$B$9*'1 Inputs'!$B$10*'1 Inputs'!$B$11</f>
        <v>0</v>
      </c>
      <c r="DE67" s="19" t="n">
        <f aca="false">MAX(0,MIN($B67,$A67*'1 Inputs'!$B$6-39*$B67))*'1 Inputs'!$B$7*'1 Inputs'!$B$8*'1 Inputs'!$B$9*'1 Inputs'!$B$10*'1 Inputs'!$B$11</f>
        <v>0</v>
      </c>
      <c r="DF67" s="19" t="n">
        <f aca="false">MAX(0,MIN($B67,$A67*'1 Inputs'!$B$6-40*$B67))*'1 Inputs'!$B$7*'1 Inputs'!$B$8*'1 Inputs'!$B$9*'1 Inputs'!$B$10*'1 Inputs'!$B$11</f>
        <v>0</v>
      </c>
      <c r="DG67" s="19" t="n">
        <f aca="false">MAX(0,MIN($B67,$A67*'1 Inputs'!$B$6-41*$B67))*'1 Inputs'!$B$7*'1 Inputs'!$B$8*'1 Inputs'!$B$9*'1 Inputs'!$B$10*'1 Inputs'!$B$11</f>
        <v>0</v>
      </c>
      <c r="DH67" s="19" t="n">
        <f aca="false">MAX(0,MIN($B67,$A67*'1 Inputs'!$B$6-42*$B67))*'1 Inputs'!$B$7*'1 Inputs'!$B$8*'1 Inputs'!$B$9*'1 Inputs'!$B$10*'1 Inputs'!$B$11</f>
        <v>0</v>
      </c>
      <c r="DI67" s="19" t="n">
        <f aca="false">MAX(0,MIN($B67,$A67*'1 Inputs'!$B$6-43*$B67))*'1 Inputs'!$B$7*'1 Inputs'!$B$8*'1 Inputs'!$B$9*'1 Inputs'!$B$10*'1 Inputs'!$B$11</f>
        <v>0</v>
      </c>
      <c r="DJ67" s="19" t="n">
        <f aca="false">MAX(0,MIN($B67,$A67*'1 Inputs'!$B$6-44*$B67))*'1 Inputs'!$B$7*'1 Inputs'!$B$8*'1 Inputs'!$B$9*'1 Inputs'!$B$10*'1 Inputs'!$B$11</f>
        <v>0</v>
      </c>
      <c r="DK67" s="19" t="n">
        <f aca="false">MAX(0,MIN($B67,$A67*'1 Inputs'!$B$6-45*$B67))*'1 Inputs'!$B$7*'1 Inputs'!$B$8*'1 Inputs'!$B$9*'1 Inputs'!$B$10*'1 Inputs'!$B$11</f>
        <v>0</v>
      </c>
      <c r="DL67" s="19" t="n">
        <f aca="false">MAX(0,MIN($B67,$A67*'1 Inputs'!$B$6-46*$B67))*'1 Inputs'!$B$7*'1 Inputs'!$B$8*'1 Inputs'!$B$9*'1 Inputs'!$B$10*'1 Inputs'!$B$11</f>
        <v>0</v>
      </c>
      <c r="DM67" s="19" t="n">
        <f aca="false">MAX(0,MIN($B67,$A67*'1 Inputs'!$B$6-47*$B67))*'1 Inputs'!$B$7*'1 Inputs'!$B$8*'1 Inputs'!$B$9*'1 Inputs'!$B$10*'1 Inputs'!$B$11</f>
        <v>0</v>
      </c>
      <c r="DN67" s="19" t="n">
        <f aca="false">MAX(0,MIN($B67,$A67*'1 Inputs'!$B$6-48*$B67))*'1 Inputs'!$B$7*'1 Inputs'!$B$8*'1 Inputs'!$B$9*'1 Inputs'!$B$10*'1 Inputs'!$B$11</f>
        <v>0</v>
      </c>
      <c r="DO67" s="19" t="n">
        <f aca="false">MAX(0,MIN($B67,$A67*'1 Inputs'!$B$6-49*$B67))*'1 Inputs'!$B$7*'1 Inputs'!$B$8*'1 Inputs'!$B$9*'1 Inputs'!$B$10*'1 Inputs'!$B$11</f>
        <v>0</v>
      </c>
      <c r="DP67" s="19" t="n">
        <f aca="false">MAX(0,MIN($B67,$A67*'1 Inputs'!$B$6-50*$B67))*'1 Inputs'!$B$7*'1 Inputs'!$B$8*'1 Inputs'!$B$9*'1 Inputs'!$B$10*'1 Inputs'!$B$11</f>
        <v>0</v>
      </c>
      <c r="DQ67" s="19" t="n">
        <f aca="false">MAX(0,MIN($B67,$A67*'1 Inputs'!$B$6-51*$B67))*'1 Inputs'!$B$7*'1 Inputs'!$B$8*'1 Inputs'!$B$9*'1 Inputs'!$B$10*'1 Inputs'!$B$11</f>
        <v>0</v>
      </c>
      <c r="DR67" s="19" t="n">
        <f aca="false">MAX(0,MIN($B67,$A67*'1 Inputs'!$B$6-52*$B67))*'1 Inputs'!$B$7*'1 Inputs'!$B$8*'1 Inputs'!$B$9*'1 Inputs'!$B$10*'1 Inputs'!$B$11</f>
        <v>0</v>
      </c>
      <c r="DS67" s="19" t="n">
        <f aca="false">MAX(0,MIN($B67,$A67*'1 Inputs'!$B$6-53*$B67))*'1 Inputs'!$B$7*'1 Inputs'!$B$8*'1 Inputs'!$B$9*'1 Inputs'!$B$10*'1 Inputs'!$B$11</f>
        <v>0</v>
      </c>
      <c r="DT67" s="19" t="n">
        <f aca="false">MAX(0,MIN($B67,$A67*'1 Inputs'!$B$6-54*$B67))*'1 Inputs'!$B$7*'1 Inputs'!$B$8*'1 Inputs'!$B$9*'1 Inputs'!$B$10*'1 Inputs'!$B$11</f>
        <v>0</v>
      </c>
      <c r="DU67" s="19" t="n">
        <f aca="false">MAX(0,MIN($B67,$A67*'1 Inputs'!$B$6-55*$B67))*'1 Inputs'!$B$7*'1 Inputs'!$B$8*'1 Inputs'!$B$9*'1 Inputs'!$B$10*'1 Inputs'!$B$11</f>
        <v>0</v>
      </c>
      <c r="DV67" s="19" t="n">
        <f aca="false">MAX(0,MIN($B67,$A67*'1 Inputs'!$B$6-56*$B67))*'1 Inputs'!$B$7*'1 Inputs'!$B$8*'1 Inputs'!$B$9*'1 Inputs'!$B$10*'1 Inputs'!$B$11</f>
        <v>0</v>
      </c>
      <c r="DW67" s="19" t="n">
        <f aca="false">MAX(0,MIN($B67,$A67*'1 Inputs'!$B$6-57*$B67))*'1 Inputs'!$B$7*'1 Inputs'!$B$8*'1 Inputs'!$B$9*'1 Inputs'!$B$10*'1 Inputs'!$B$11</f>
        <v>0</v>
      </c>
      <c r="DX67" s="19" t="n">
        <f aca="false">MAX(0,MIN($B67,$A67*'1 Inputs'!$B$6-58*$B67))*'1 Inputs'!$B$7*'1 Inputs'!$B$8*'1 Inputs'!$B$9*'1 Inputs'!$B$10*'1 Inputs'!$B$11</f>
        <v>0</v>
      </c>
      <c r="DY67" s="19" t="n">
        <f aca="false">MAX(0,MIN($B67,$A67*'1 Inputs'!$B$6-59*$B67))*'1 Inputs'!$B$7*'1 Inputs'!$B$8*'1 Inputs'!$B$9*'1 Inputs'!$B$10*'1 Inputs'!$B$11</f>
        <v>0</v>
      </c>
    </row>
    <row r="68" customFormat="false" ht="15" hidden="false" customHeight="false" outlineLevel="0" collapsed="false">
      <c r="A68" s="0" t="n">
        <v>480</v>
      </c>
      <c r="B68" s="0" t="n">
        <v>10</v>
      </c>
      <c r="C68" s="12" t="n">
        <f aca="false">SUMIF(J68:BQ68,"&lt;="&amp;('1 Inputs'!$B$21+52),BR68:DY68)</f>
        <v>187500000</v>
      </c>
      <c r="J68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68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68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68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68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68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68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68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68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68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68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68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68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68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68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68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68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68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68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68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68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68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68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68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68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68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68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68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68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68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68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68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68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68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68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68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68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68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68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68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68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68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68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68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68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68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68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68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68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68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68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68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68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68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68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68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68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68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68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68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68" s="19" t="n">
        <f aca="false">MAX(0,MIN($B68,$A68*'1 Inputs'!$B$6-0*$B68))*'1 Inputs'!$B$7*'1 Inputs'!$B$8*'1 Inputs'!$B$9*'1 Inputs'!$B$10*'1 Inputs'!$B$11</f>
        <v>10416666.6666667</v>
      </c>
      <c r="BS68" s="19" t="n">
        <f aca="false">MAX(0,MIN($B68,$A68*'1 Inputs'!$B$6-1*$B68))*'1 Inputs'!$B$7*'1 Inputs'!$B$8*'1 Inputs'!$B$9*'1 Inputs'!$B$10*'1 Inputs'!$B$11</f>
        <v>10416666.6666667</v>
      </c>
      <c r="BT68" s="19" t="n">
        <f aca="false">MAX(0,MIN($B68,$A68*'1 Inputs'!$B$6-2*$B68))*'1 Inputs'!$B$7*'1 Inputs'!$B$8*'1 Inputs'!$B$9*'1 Inputs'!$B$10*'1 Inputs'!$B$11</f>
        <v>10416666.6666667</v>
      </c>
      <c r="BU68" s="19" t="n">
        <f aca="false">MAX(0,MIN($B68,$A68*'1 Inputs'!$B$6-3*$B68))*'1 Inputs'!$B$7*'1 Inputs'!$B$8*'1 Inputs'!$B$9*'1 Inputs'!$B$10*'1 Inputs'!$B$11</f>
        <v>10416666.6666667</v>
      </c>
      <c r="BV68" s="19" t="n">
        <f aca="false">MAX(0,MIN($B68,$A68*'1 Inputs'!$B$6-4*$B68))*'1 Inputs'!$B$7*'1 Inputs'!$B$8*'1 Inputs'!$B$9*'1 Inputs'!$B$10*'1 Inputs'!$B$11</f>
        <v>10416666.6666667</v>
      </c>
      <c r="BW68" s="19" t="n">
        <f aca="false">MAX(0,MIN($B68,$A68*'1 Inputs'!$B$6-5*$B68))*'1 Inputs'!$B$7*'1 Inputs'!$B$8*'1 Inputs'!$B$9*'1 Inputs'!$B$10*'1 Inputs'!$B$11</f>
        <v>10416666.6666667</v>
      </c>
      <c r="BX68" s="19" t="n">
        <f aca="false">MAX(0,MIN($B68,$A68*'1 Inputs'!$B$6-6*$B68))*'1 Inputs'!$B$7*'1 Inputs'!$B$8*'1 Inputs'!$B$9*'1 Inputs'!$B$10*'1 Inputs'!$B$11</f>
        <v>10416666.6666667</v>
      </c>
      <c r="BY68" s="19" t="n">
        <f aca="false">MAX(0,MIN($B68,$A68*'1 Inputs'!$B$6-7*$B68))*'1 Inputs'!$B$7*'1 Inputs'!$B$8*'1 Inputs'!$B$9*'1 Inputs'!$B$10*'1 Inputs'!$B$11</f>
        <v>10416666.6666667</v>
      </c>
      <c r="BZ68" s="19" t="n">
        <f aca="false">MAX(0,MIN($B68,$A68*'1 Inputs'!$B$6-8*$B68))*'1 Inputs'!$B$7*'1 Inputs'!$B$8*'1 Inputs'!$B$9*'1 Inputs'!$B$10*'1 Inputs'!$B$11</f>
        <v>10416666.6666667</v>
      </c>
      <c r="CA68" s="19" t="n">
        <f aca="false">MAX(0,MIN($B68,$A68*'1 Inputs'!$B$6-9*$B68))*'1 Inputs'!$B$7*'1 Inputs'!$B$8*'1 Inputs'!$B$9*'1 Inputs'!$B$10*'1 Inputs'!$B$11</f>
        <v>10416666.6666667</v>
      </c>
      <c r="CB68" s="19" t="n">
        <f aca="false">MAX(0,MIN($B68,$A68*'1 Inputs'!$B$6-10*$B68))*'1 Inputs'!$B$7*'1 Inputs'!$B$8*'1 Inputs'!$B$9*'1 Inputs'!$B$10*'1 Inputs'!$B$11</f>
        <v>10416666.6666667</v>
      </c>
      <c r="CC68" s="19" t="n">
        <f aca="false">MAX(0,MIN($B68,$A68*'1 Inputs'!$B$6-11*$B68))*'1 Inputs'!$B$7*'1 Inputs'!$B$8*'1 Inputs'!$B$9*'1 Inputs'!$B$10*'1 Inputs'!$B$11</f>
        <v>10416666.6666667</v>
      </c>
      <c r="CD68" s="19" t="n">
        <f aca="false">MAX(0,MIN($B68,$A68*'1 Inputs'!$B$6-12*$B68))*'1 Inputs'!$B$7*'1 Inputs'!$B$8*'1 Inputs'!$B$9*'1 Inputs'!$B$10*'1 Inputs'!$B$11</f>
        <v>10416666.6666667</v>
      </c>
      <c r="CE68" s="19" t="n">
        <f aca="false">MAX(0,MIN($B68,$A68*'1 Inputs'!$B$6-13*$B68))*'1 Inputs'!$B$7*'1 Inputs'!$B$8*'1 Inputs'!$B$9*'1 Inputs'!$B$10*'1 Inputs'!$B$11</f>
        <v>10416666.6666667</v>
      </c>
      <c r="CF68" s="19" t="n">
        <f aca="false">MAX(0,MIN($B68,$A68*'1 Inputs'!$B$6-14*$B68))*'1 Inputs'!$B$7*'1 Inputs'!$B$8*'1 Inputs'!$B$9*'1 Inputs'!$B$10*'1 Inputs'!$B$11</f>
        <v>10416666.6666667</v>
      </c>
      <c r="CG68" s="19" t="n">
        <f aca="false">MAX(0,MIN($B68,$A68*'1 Inputs'!$B$6-15*$B68))*'1 Inputs'!$B$7*'1 Inputs'!$B$8*'1 Inputs'!$B$9*'1 Inputs'!$B$10*'1 Inputs'!$B$11</f>
        <v>10416666.6666667</v>
      </c>
      <c r="CH68" s="19" t="n">
        <f aca="false">MAX(0,MIN($B68,$A68*'1 Inputs'!$B$6-16*$B68))*'1 Inputs'!$B$7*'1 Inputs'!$B$8*'1 Inputs'!$B$9*'1 Inputs'!$B$10*'1 Inputs'!$B$11</f>
        <v>10416666.6666667</v>
      </c>
      <c r="CI68" s="19" t="n">
        <f aca="false">MAX(0,MIN($B68,$A68*'1 Inputs'!$B$6-17*$B68))*'1 Inputs'!$B$7*'1 Inputs'!$B$8*'1 Inputs'!$B$9*'1 Inputs'!$B$10*'1 Inputs'!$B$11</f>
        <v>10416666.6666667</v>
      </c>
      <c r="CJ68" s="19" t="n">
        <f aca="false">MAX(0,MIN($B68,$A68*'1 Inputs'!$B$6-18*$B68))*'1 Inputs'!$B$7*'1 Inputs'!$B$8*'1 Inputs'!$B$9*'1 Inputs'!$B$10*'1 Inputs'!$B$11</f>
        <v>10416666.6666667</v>
      </c>
      <c r="CK68" s="19" t="n">
        <f aca="false">MAX(0,MIN($B68,$A68*'1 Inputs'!$B$6-19*$B68))*'1 Inputs'!$B$7*'1 Inputs'!$B$8*'1 Inputs'!$B$9*'1 Inputs'!$B$10*'1 Inputs'!$B$11</f>
        <v>10416666.6666667</v>
      </c>
      <c r="CL68" s="19" t="n">
        <f aca="false">MAX(0,MIN($B68,$A68*'1 Inputs'!$B$6-20*$B68))*'1 Inputs'!$B$7*'1 Inputs'!$B$8*'1 Inputs'!$B$9*'1 Inputs'!$B$10*'1 Inputs'!$B$11</f>
        <v>10416666.6666667</v>
      </c>
      <c r="CM68" s="19" t="n">
        <f aca="false">MAX(0,MIN($B68,$A68*'1 Inputs'!$B$6-21*$B68))*'1 Inputs'!$B$7*'1 Inputs'!$B$8*'1 Inputs'!$B$9*'1 Inputs'!$B$10*'1 Inputs'!$B$11</f>
        <v>10416666.6666667</v>
      </c>
      <c r="CN68" s="19" t="n">
        <f aca="false">MAX(0,MIN($B68,$A68*'1 Inputs'!$B$6-22*$B68))*'1 Inputs'!$B$7*'1 Inputs'!$B$8*'1 Inputs'!$B$9*'1 Inputs'!$B$10*'1 Inputs'!$B$11</f>
        <v>10416666.6666667</v>
      </c>
      <c r="CO68" s="19" t="n">
        <f aca="false">MAX(0,MIN($B68,$A68*'1 Inputs'!$B$6-23*$B68))*'1 Inputs'!$B$7*'1 Inputs'!$B$8*'1 Inputs'!$B$9*'1 Inputs'!$B$10*'1 Inputs'!$B$11</f>
        <v>10416666.6666667</v>
      </c>
      <c r="CP68" s="19" t="n">
        <f aca="false">MAX(0,MIN($B68,$A68*'1 Inputs'!$B$6-24*$B68))*'1 Inputs'!$B$7*'1 Inputs'!$B$8*'1 Inputs'!$B$9*'1 Inputs'!$B$10*'1 Inputs'!$B$11</f>
        <v>0</v>
      </c>
      <c r="CQ68" s="19" t="n">
        <f aca="false">MAX(0,MIN($B68,$A68*'1 Inputs'!$B$6-25*$B68))*'1 Inputs'!$B$7*'1 Inputs'!$B$8*'1 Inputs'!$B$9*'1 Inputs'!$B$10*'1 Inputs'!$B$11</f>
        <v>0</v>
      </c>
      <c r="CR68" s="19" t="n">
        <f aca="false">MAX(0,MIN($B68,$A68*'1 Inputs'!$B$6-26*$B68))*'1 Inputs'!$B$7*'1 Inputs'!$B$8*'1 Inputs'!$B$9*'1 Inputs'!$B$10*'1 Inputs'!$B$11</f>
        <v>0</v>
      </c>
      <c r="CS68" s="19" t="n">
        <f aca="false">MAX(0,MIN($B68,$A68*'1 Inputs'!$B$6-27*$B68))*'1 Inputs'!$B$7*'1 Inputs'!$B$8*'1 Inputs'!$B$9*'1 Inputs'!$B$10*'1 Inputs'!$B$11</f>
        <v>0</v>
      </c>
      <c r="CT68" s="19" t="n">
        <f aca="false">MAX(0,MIN($B68,$A68*'1 Inputs'!$B$6-28*$B68))*'1 Inputs'!$B$7*'1 Inputs'!$B$8*'1 Inputs'!$B$9*'1 Inputs'!$B$10*'1 Inputs'!$B$11</f>
        <v>0</v>
      </c>
      <c r="CU68" s="19" t="n">
        <f aca="false">MAX(0,MIN($B68,$A68*'1 Inputs'!$B$6-29*$B68))*'1 Inputs'!$B$7*'1 Inputs'!$B$8*'1 Inputs'!$B$9*'1 Inputs'!$B$10*'1 Inputs'!$B$11</f>
        <v>0</v>
      </c>
      <c r="CV68" s="19" t="n">
        <f aca="false">MAX(0,MIN($B68,$A68*'1 Inputs'!$B$6-30*$B68))*'1 Inputs'!$B$7*'1 Inputs'!$B$8*'1 Inputs'!$B$9*'1 Inputs'!$B$10*'1 Inputs'!$B$11</f>
        <v>0</v>
      </c>
      <c r="CW68" s="19" t="n">
        <f aca="false">MAX(0,MIN($B68,$A68*'1 Inputs'!$B$6-31*$B68))*'1 Inputs'!$B$7*'1 Inputs'!$B$8*'1 Inputs'!$B$9*'1 Inputs'!$B$10*'1 Inputs'!$B$11</f>
        <v>0</v>
      </c>
      <c r="CX68" s="19" t="n">
        <f aca="false">MAX(0,MIN($B68,$A68*'1 Inputs'!$B$6-32*$B68))*'1 Inputs'!$B$7*'1 Inputs'!$B$8*'1 Inputs'!$B$9*'1 Inputs'!$B$10*'1 Inputs'!$B$11</f>
        <v>0</v>
      </c>
      <c r="CY68" s="19" t="n">
        <f aca="false">MAX(0,MIN($B68,$A68*'1 Inputs'!$B$6-33*$B68))*'1 Inputs'!$B$7*'1 Inputs'!$B$8*'1 Inputs'!$B$9*'1 Inputs'!$B$10*'1 Inputs'!$B$11</f>
        <v>0</v>
      </c>
      <c r="CZ68" s="19" t="n">
        <f aca="false">MAX(0,MIN($B68,$A68*'1 Inputs'!$B$6-34*$B68))*'1 Inputs'!$B$7*'1 Inputs'!$B$8*'1 Inputs'!$B$9*'1 Inputs'!$B$10*'1 Inputs'!$B$11</f>
        <v>0</v>
      </c>
      <c r="DA68" s="19" t="n">
        <f aca="false">MAX(0,MIN($B68,$A68*'1 Inputs'!$B$6-35*$B68))*'1 Inputs'!$B$7*'1 Inputs'!$B$8*'1 Inputs'!$B$9*'1 Inputs'!$B$10*'1 Inputs'!$B$11</f>
        <v>0</v>
      </c>
      <c r="DB68" s="19" t="n">
        <f aca="false">MAX(0,MIN($B68,$A68*'1 Inputs'!$B$6-36*$B68))*'1 Inputs'!$B$7*'1 Inputs'!$B$8*'1 Inputs'!$B$9*'1 Inputs'!$B$10*'1 Inputs'!$B$11</f>
        <v>0</v>
      </c>
      <c r="DC68" s="19" t="n">
        <f aca="false">MAX(0,MIN($B68,$A68*'1 Inputs'!$B$6-37*$B68))*'1 Inputs'!$B$7*'1 Inputs'!$B$8*'1 Inputs'!$B$9*'1 Inputs'!$B$10*'1 Inputs'!$B$11</f>
        <v>0</v>
      </c>
      <c r="DD68" s="19" t="n">
        <f aca="false">MAX(0,MIN($B68,$A68*'1 Inputs'!$B$6-38*$B68))*'1 Inputs'!$B$7*'1 Inputs'!$B$8*'1 Inputs'!$B$9*'1 Inputs'!$B$10*'1 Inputs'!$B$11</f>
        <v>0</v>
      </c>
      <c r="DE68" s="19" t="n">
        <f aca="false">MAX(0,MIN($B68,$A68*'1 Inputs'!$B$6-39*$B68))*'1 Inputs'!$B$7*'1 Inputs'!$B$8*'1 Inputs'!$B$9*'1 Inputs'!$B$10*'1 Inputs'!$B$11</f>
        <v>0</v>
      </c>
      <c r="DF68" s="19" t="n">
        <f aca="false">MAX(0,MIN($B68,$A68*'1 Inputs'!$B$6-40*$B68))*'1 Inputs'!$B$7*'1 Inputs'!$B$8*'1 Inputs'!$B$9*'1 Inputs'!$B$10*'1 Inputs'!$B$11</f>
        <v>0</v>
      </c>
      <c r="DG68" s="19" t="n">
        <f aca="false">MAX(0,MIN($B68,$A68*'1 Inputs'!$B$6-41*$B68))*'1 Inputs'!$B$7*'1 Inputs'!$B$8*'1 Inputs'!$B$9*'1 Inputs'!$B$10*'1 Inputs'!$B$11</f>
        <v>0</v>
      </c>
      <c r="DH68" s="19" t="n">
        <f aca="false">MAX(0,MIN($B68,$A68*'1 Inputs'!$B$6-42*$B68))*'1 Inputs'!$B$7*'1 Inputs'!$B$8*'1 Inputs'!$B$9*'1 Inputs'!$B$10*'1 Inputs'!$B$11</f>
        <v>0</v>
      </c>
      <c r="DI68" s="19" t="n">
        <f aca="false">MAX(0,MIN($B68,$A68*'1 Inputs'!$B$6-43*$B68))*'1 Inputs'!$B$7*'1 Inputs'!$B$8*'1 Inputs'!$B$9*'1 Inputs'!$B$10*'1 Inputs'!$B$11</f>
        <v>0</v>
      </c>
      <c r="DJ68" s="19" t="n">
        <f aca="false">MAX(0,MIN($B68,$A68*'1 Inputs'!$B$6-44*$B68))*'1 Inputs'!$B$7*'1 Inputs'!$B$8*'1 Inputs'!$B$9*'1 Inputs'!$B$10*'1 Inputs'!$B$11</f>
        <v>0</v>
      </c>
      <c r="DK68" s="19" t="n">
        <f aca="false">MAX(0,MIN($B68,$A68*'1 Inputs'!$B$6-45*$B68))*'1 Inputs'!$B$7*'1 Inputs'!$B$8*'1 Inputs'!$B$9*'1 Inputs'!$B$10*'1 Inputs'!$B$11</f>
        <v>0</v>
      </c>
      <c r="DL68" s="19" t="n">
        <f aca="false">MAX(0,MIN($B68,$A68*'1 Inputs'!$B$6-46*$B68))*'1 Inputs'!$B$7*'1 Inputs'!$B$8*'1 Inputs'!$B$9*'1 Inputs'!$B$10*'1 Inputs'!$B$11</f>
        <v>0</v>
      </c>
      <c r="DM68" s="19" t="n">
        <f aca="false">MAX(0,MIN($B68,$A68*'1 Inputs'!$B$6-47*$B68))*'1 Inputs'!$B$7*'1 Inputs'!$B$8*'1 Inputs'!$B$9*'1 Inputs'!$B$10*'1 Inputs'!$B$11</f>
        <v>0</v>
      </c>
      <c r="DN68" s="19" t="n">
        <f aca="false">MAX(0,MIN($B68,$A68*'1 Inputs'!$B$6-48*$B68))*'1 Inputs'!$B$7*'1 Inputs'!$B$8*'1 Inputs'!$B$9*'1 Inputs'!$B$10*'1 Inputs'!$B$11</f>
        <v>0</v>
      </c>
      <c r="DO68" s="19" t="n">
        <f aca="false">MAX(0,MIN($B68,$A68*'1 Inputs'!$B$6-49*$B68))*'1 Inputs'!$B$7*'1 Inputs'!$B$8*'1 Inputs'!$B$9*'1 Inputs'!$B$10*'1 Inputs'!$B$11</f>
        <v>0</v>
      </c>
      <c r="DP68" s="19" t="n">
        <f aca="false">MAX(0,MIN($B68,$A68*'1 Inputs'!$B$6-50*$B68))*'1 Inputs'!$B$7*'1 Inputs'!$B$8*'1 Inputs'!$B$9*'1 Inputs'!$B$10*'1 Inputs'!$B$11</f>
        <v>0</v>
      </c>
      <c r="DQ68" s="19" t="n">
        <f aca="false">MAX(0,MIN($B68,$A68*'1 Inputs'!$B$6-51*$B68))*'1 Inputs'!$B$7*'1 Inputs'!$B$8*'1 Inputs'!$B$9*'1 Inputs'!$B$10*'1 Inputs'!$B$11</f>
        <v>0</v>
      </c>
      <c r="DR68" s="19" t="n">
        <f aca="false">MAX(0,MIN($B68,$A68*'1 Inputs'!$B$6-52*$B68))*'1 Inputs'!$B$7*'1 Inputs'!$B$8*'1 Inputs'!$B$9*'1 Inputs'!$B$10*'1 Inputs'!$B$11</f>
        <v>0</v>
      </c>
      <c r="DS68" s="19" t="n">
        <f aca="false">MAX(0,MIN($B68,$A68*'1 Inputs'!$B$6-53*$B68))*'1 Inputs'!$B$7*'1 Inputs'!$B$8*'1 Inputs'!$B$9*'1 Inputs'!$B$10*'1 Inputs'!$B$11</f>
        <v>0</v>
      </c>
      <c r="DT68" s="19" t="n">
        <f aca="false">MAX(0,MIN($B68,$A68*'1 Inputs'!$B$6-54*$B68))*'1 Inputs'!$B$7*'1 Inputs'!$B$8*'1 Inputs'!$B$9*'1 Inputs'!$B$10*'1 Inputs'!$B$11</f>
        <v>0</v>
      </c>
      <c r="DU68" s="19" t="n">
        <f aca="false">MAX(0,MIN($B68,$A68*'1 Inputs'!$B$6-55*$B68))*'1 Inputs'!$B$7*'1 Inputs'!$B$8*'1 Inputs'!$B$9*'1 Inputs'!$B$10*'1 Inputs'!$B$11</f>
        <v>0</v>
      </c>
      <c r="DV68" s="19" t="n">
        <f aca="false">MAX(0,MIN($B68,$A68*'1 Inputs'!$B$6-56*$B68))*'1 Inputs'!$B$7*'1 Inputs'!$B$8*'1 Inputs'!$B$9*'1 Inputs'!$B$10*'1 Inputs'!$B$11</f>
        <v>0</v>
      </c>
      <c r="DW68" s="19" t="n">
        <f aca="false">MAX(0,MIN($B68,$A68*'1 Inputs'!$B$6-57*$B68))*'1 Inputs'!$B$7*'1 Inputs'!$B$8*'1 Inputs'!$B$9*'1 Inputs'!$B$10*'1 Inputs'!$B$11</f>
        <v>0</v>
      </c>
      <c r="DX68" s="19" t="n">
        <f aca="false">MAX(0,MIN($B68,$A68*'1 Inputs'!$B$6-58*$B68))*'1 Inputs'!$B$7*'1 Inputs'!$B$8*'1 Inputs'!$B$9*'1 Inputs'!$B$10*'1 Inputs'!$B$11</f>
        <v>0</v>
      </c>
      <c r="DY68" s="19" t="n">
        <f aca="false">MAX(0,MIN($B68,$A68*'1 Inputs'!$B$6-59*$B68))*'1 Inputs'!$B$7*'1 Inputs'!$B$8*'1 Inputs'!$B$9*'1 Inputs'!$B$10*'1 Inputs'!$B$11</f>
        <v>0</v>
      </c>
    </row>
    <row r="69" customFormat="false" ht="15" hidden="false" customHeight="false" outlineLevel="0" collapsed="false">
      <c r="A69" s="0" t="n">
        <v>480</v>
      </c>
      <c r="B69" s="0" t="n">
        <v>12</v>
      </c>
      <c r="C69" s="12" t="n">
        <f aca="false">SUMIF(J69:BQ69,"&lt;="&amp;('1 Inputs'!$B$21+52),BR69:DY69)</f>
        <v>225000000</v>
      </c>
      <c r="J69" s="19" t="n">
        <f aca="false">IFERROR(INDEX('4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Inputs'!$B$21-1))+0+1,'4 The queue'!$W$5:$W$212,0)),9999)+'1 Inputs'!$B$22+'1 Inputs'!$B$23+'1 Inputs'!$B$24+'1 Inputs'!$B$25),'4 The queue'!$T$5:$T$40,1))=(IFERROR(INDEX('4 The queue'!$U$5:$U$212,MATCH(IF('1 Inputs'!$B$21&lt;=1,0,INDEX('4 The queue'!$W$5:$W$212,'1 Inputs'!$B$21-1))+0+1,'4 The queue'!$W$5:$W$212,0)),9999)+'1 Inputs'!$B$22+'1 Inputs'!$B$23+'1 Inputs'!$B$24+'1 Inputs'!$B$25),0,1)),9999)+'1 Inputs'!$B$26</f>
        <v>55</v>
      </c>
      <c r="K69" s="19" t="n">
        <f aca="false">IFERROR(INDEX('4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Inputs'!$B$21-1))+1+1,'4 The queue'!$W$5:$W$212,0)),9999)+'1 Inputs'!$B$22+'1 Inputs'!$B$23+'1 Inputs'!$B$24+'1 Inputs'!$B$25),'4 The queue'!$T$5:$T$40,1))=(IFERROR(INDEX('4 The queue'!$U$5:$U$212,MATCH(IF('1 Inputs'!$B$21&lt;=1,0,INDEX('4 The queue'!$W$5:$W$212,'1 Inputs'!$B$21-1))+1+1,'4 The queue'!$W$5:$W$212,0)),9999)+'1 Inputs'!$B$22+'1 Inputs'!$B$23+'1 Inputs'!$B$24+'1 Inputs'!$B$25),0,1)),9999)+'1 Inputs'!$B$26</f>
        <v>55</v>
      </c>
      <c r="L69" s="19" t="n">
        <f aca="false">IFERROR(INDEX('4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Inputs'!$B$21-1))+2+1,'4 The queue'!$W$5:$W$212,0)),9999)+'1 Inputs'!$B$22+'1 Inputs'!$B$23+'1 Inputs'!$B$24+'1 Inputs'!$B$25),'4 The queue'!$T$5:$T$40,1))=(IFERROR(INDEX('4 The queue'!$U$5:$U$212,MATCH(IF('1 Inputs'!$B$21&lt;=1,0,INDEX('4 The queue'!$W$5:$W$212,'1 Inputs'!$B$21-1))+2+1,'4 The queue'!$W$5:$W$212,0)),9999)+'1 Inputs'!$B$22+'1 Inputs'!$B$23+'1 Inputs'!$B$24+'1 Inputs'!$B$25),0,1)),9999)+'1 Inputs'!$B$26</f>
        <v>55</v>
      </c>
      <c r="M69" s="19" t="n">
        <f aca="false">IFERROR(INDEX('4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Inputs'!$B$21-1))+3+1,'4 The queue'!$W$5:$W$212,0)),9999)+'1 Inputs'!$B$22+'1 Inputs'!$B$23+'1 Inputs'!$B$24+'1 Inputs'!$B$25),'4 The queue'!$T$5:$T$40,1))=(IFERROR(INDEX('4 The queue'!$U$5:$U$212,MATCH(IF('1 Inputs'!$B$21&lt;=1,0,INDEX('4 The queue'!$W$5:$W$212,'1 Inputs'!$B$21-1))+3+1,'4 The queue'!$W$5:$W$212,0)),9999)+'1 Inputs'!$B$22+'1 Inputs'!$B$23+'1 Inputs'!$B$24+'1 Inputs'!$B$25),0,1)),9999)+'1 Inputs'!$B$26</f>
        <v>55</v>
      </c>
      <c r="N69" s="19" t="n">
        <f aca="false">IFERROR(INDEX('4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Inputs'!$B$21-1))+4+1,'4 The queue'!$W$5:$W$212,0)),9999)+'1 Inputs'!$B$22+'1 Inputs'!$B$23+'1 Inputs'!$B$24+'1 Inputs'!$B$25),'4 The queue'!$T$5:$T$40,1))=(IFERROR(INDEX('4 The queue'!$U$5:$U$212,MATCH(IF('1 Inputs'!$B$21&lt;=1,0,INDEX('4 The queue'!$W$5:$W$212,'1 Inputs'!$B$21-1))+4+1,'4 The queue'!$W$5:$W$212,0)),9999)+'1 Inputs'!$B$22+'1 Inputs'!$B$23+'1 Inputs'!$B$24+'1 Inputs'!$B$25),0,1)),9999)+'1 Inputs'!$B$26</f>
        <v>55</v>
      </c>
      <c r="O69" s="19" t="n">
        <f aca="false">IFERROR(INDEX('4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Inputs'!$B$21-1))+5+1,'4 The queue'!$W$5:$W$212,0)),9999)+'1 Inputs'!$B$22+'1 Inputs'!$B$23+'1 Inputs'!$B$24+'1 Inputs'!$B$25),'4 The queue'!$T$5:$T$40,1))=(IFERROR(INDEX('4 The queue'!$U$5:$U$212,MATCH(IF('1 Inputs'!$B$21&lt;=1,0,INDEX('4 The queue'!$W$5:$W$212,'1 Inputs'!$B$21-1))+5+1,'4 The queue'!$W$5:$W$212,0)),9999)+'1 Inputs'!$B$22+'1 Inputs'!$B$23+'1 Inputs'!$B$24+'1 Inputs'!$B$25),0,1)),9999)+'1 Inputs'!$B$26</f>
        <v>55</v>
      </c>
      <c r="P69" s="19" t="n">
        <f aca="false">IFERROR(INDEX('4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Inputs'!$B$21-1))+6+1,'4 The queue'!$W$5:$W$212,0)),9999)+'1 Inputs'!$B$22+'1 Inputs'!$B$23+'1 Inputs'!$B$24+'1 Inputs'!$B$25),'4 The queue'!$T$5:$T$40,1))=(IFERROR(INDEX('4 The queue'!$U$5:$U$212,MATCH(IF('1 Inputs'!$B$21&lt;=1,0,INDEX('4 The queue'!$W$5:$W$212,'1 Inputs'!$B$21-1))+6+1,'4 The queue'!$W$5:$W$212,0)),9999)+'1 Inputs'!$B$22+'1 Inputs'!$B$23+'1 Inputs'!$B$24+'1 Inputs'!$B$25),0,1)),9999)+'1 Inputs'!$B$26</f>
        <v>71</v>
      </c>
      <c r="Q69" s="19" t="n">
        <f aca="false">IFERROR(INDEX('4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Inputs'!$B$21-1))+7+1,'4 The queue'!$W$5:$W$212,0)),9999)+'1 Inputs'!$B$22+'1 Inputs'!$B$23+'1 Inputs'!$B$24+'1 Inputs'!$B$25),'4 The queue'!$T$5:$T$40,1))=(IFERROR(INDEX('4 The queue'!$U$5:$U$212,MATCH(IF('1 Inputs'!$B$21&lt;=1,0,INDEX('4 The queue'!$W$5:$W$212,'1 Inputs'!$B$21-1))+7+1,'4 The queue'!$W$5:$W$212,0)),9999)+'1 Inputs'!$B$22+'1 Inputs'!$B$23+'1 Inputs'!$B$24+'1 Inputs'!$B$25),0,1)),9999)+'1 Inputs'!$B$26</f>
        <v>71</v>
      </c>
      <c r="R69" s="19" t="n">
        <f aca="false">IFERROR(INDEX('4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Inputs'!$B$21-1))+8+1,'4 The queue'!$W$5:$W$212,0)),9999)+'1 Inputs'!$B$22+'1 Inputs'!$B$23+'1 Inputs'!$B$24+'1 Inputs'!$B$25),'4 The queue'!$T$5:$T$40,1))=(IFERROR(INDEX('4 The queue'!$U$5:$U$212,MATCH(IF('1 Inputs'!$B$21&lt;=1,0,INDEX('4 The queue'!$W$5:$W$212,'1 Inputs'!$B$21-1))+8+1,'4 The queue'!$W$5:$W$212,0)),9999)+'1 Inputs'!$B$22+'1 Inputs'!$B$23+'1 Inputs'!$B$24+'1 Inputs'!$B$25),0,1)),9999)+'1 Inputs'!$B$26</f>
        <v>71</v>
      </c>
      <c r="S69" s="19" t="n">
        <f aca="false">IFERROR(INDEX('4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Inputs'!$B$21-1))+9+1,'4 The queue'!$W$5:$W$212,0)),9999)+'1 Inputs'!$B$22+'1 Inputs'!$B$23+'1 Inputs'!$B$24+'1 Inputs'!$B$25),'4 The queue'!$T$5:$T$40,1))=(IFERROR(INDEX('4 The queue'!$U$5:$U$212,MATCH(IF('1 Inputs'!$B$21&lt;=1,0,INDEX('4 The queue'!$W$5:$W$212,'1 Inputs'!$B$21-1))+9+1,'4 The queue'!$W$5:$W$212,0)),9999)+'1 Inputs'!$B$22+'1 Inputs'!$B$23+'1 Inputs'!$B$24+'1 Inputs'!$B$25),0,1)),9999)+'1 Inputs'!$B$26</f>
        <v>71</v>
      </c>
      <c r="T69" s="19" t="n">
        <f aca="false">IFERROR(INDEX('4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Inputs'!$B$21-1))+10+1,'4 The queue'!$W$5:$W$212,0)),9999)+'1 Inputs'!$B$22+'1 Inputs'!$B$23+'1 Inputs'!$B$24+'1 Inputs'!$B$25),'4 The queue'!$T$5:$T$40,1))=(IFERROR(INDEX('4 The queue'!$U$5:$U$212,MATCH(IF('1 Inputs'!$B$21&lt;=1,0,INDEX('4 The queue'!$W$5:$W$212,'1 Inputs'!$B$21-1))+10+1,'4 The queue'!$W$5:$W$212,0)),9999)+'1 Inputs'!$B$22+'1 Inputs'!$B$23+'1 Inputs'!$B$24+'1 Inputs'!$B$25),0,1)),9999)+'1 Inputs'!$B$26</f>
        <v>71</v>
      </c>
      <c r="U69" s="19" t="n">
        <f aca="false">IFERROR(INDEX('4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Inputs'!$B$21-1))+11+1,'4 The queue'!$W$5:$W$212,0)),9999)+'1 Inputs'!$B$22+'1 Inputs'!$B$23+'1 Inputs'!$B$24+'1 Inputs'!$B$25),'4 The queue'!$T$5:$T$40,1))=(IFERROR(INDEX('4 The queue'!$U$5:$U$212,MATCH(IF('1 Inputs'!$B$21&lt;=1,0,INDEX('4 The queue'!$W$5:$W$212,'1 Inputs'!$B$21-1))+11+1,'4 The queue'!$W$5:$W$212,0)),9999)+'1 Inputs'!$B$22+'1 Inputs'!$B$23+'1 Inputs'!$B$24+'1 Inputs'!$B$25),0,1)),9999)+'1 Inputs'!$B$26</f>
        <v>71</v>
      </c>
      <c r="V69" s="19" t="n">
        <f aca="false">IFERROR(INDEX('4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Inputs'!$B$21-1))+12+1,'4 The queue'!$W$5:$W$212,0)),9999)+'1 Inputs'!$B$22+'1 Inputs'!$B$23+'1 Inputs'!$B$24+'1 Inputs'!$B$25),'4 The queue'!$T$5:$T$40,1))=(IFERROR(INDEX('4 The queue'!$U$5:$U$212,MATCH(IF('1 Inputs'!$B$21&lt;=1,0,INDEX('4 The queue'!$W$5:$W$212,'1 Inputs'!$B$21-1))+12+1,'4 The queue'!$W$5:$W$212,0)),9999)+'1 Inputs'!$B$22+'1 Inputs'!$B$23+'1 Inputs'!$B$24+'1 Inputs'!$B$25),0,1)),9999)+'1 Inputs'!$B$26</f>
        <v>71</v>
      </c>
      <c r="W69" s="19" t="n">
        <f aca="false">IFERROR(INDEX('4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Inputs'!$B$21-1))+13+1,'4 The queue'!$W$5:$W$212,0)),9999)+'1 Inputs'!$B$22+'1 Inputs'!$B$23+'1 Inputs'!$B$24+'1 Inputs'!$B$25),'4 The queue'!$T$5:$T$40,1))=(IFERROR(INDEX('4 The queue'!$U$5:$U$212,MATCH(IF('1 Inputs'!$B$21&lt;=1,0,INDEX('4 The queue'!$W$5:$W$212,'1 Inputs'!$B$21-1))+13+1,'4 The queue'!$W$5:$W$212,0)),9999)+'1 Inputs'!$B$22+'1 Inputs'!$B$23+'1 Inputs'!$B$24+'1 Inputs'!$B$25),0,1)),9999)+'1 Inputs'!$B$26</f>
        <v>71</v>
      </c>
      <c r="X69" s="19" t="n">
        <f aca="false">IFERROR(INDEX('4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Inputs'!$B$21-1))+14+1,'4 The queue'!$W$5:$W$212,0)),9999)+'1 Inputs'!$B$22+'1 Inputs'!$B$23+'1 Inputs'!$B$24+'1 Inputs'!$B$25),'4 The queue'!$T$5:$T$40,1))=(IFERROR(INDEX('4 The queue'!$U$5:$U$212,MATCH(IF('1 Inputs'!$B$21&lt;=1,0,INDEX('4 The queue'!$W$5:$W$212,'1 Inputs'!$B$21-1))+14+1,'4 The queue'!$W$5:$W$212,0)),9999)+'1 Inputs'!$B$22+'1 Inputs'!$B$23+'1 Inputs'!$B$24+'1 Inputs'!$B$25),0,1)),9999)+'1 Inputs'!$B$26</f>
        <v>71</v>
      </c>
      <c r="Y69" s="19" t="n">
        <f aca="false">IFERROR(INDEX('4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Inputs'!$B$21-1))+15+1,'4 The queue'!$W$5:$W$212,0)),9999)+'1 Inputs'!$B$22+'1 Inputs'!$B$23+'1 Inputs'!$B$24+'1 Inputs'!$B$25),'4 The queue'!$T$5:$T$40,1))=(IFERROR(INDEX('4 The queue'!$U$5:$U$212,MATCH(IF('1 Inputs'!$B$21&lt;=1,0,INDEX('4 The queue'!$W$5:$W$212,'1 Inputs'!$B$21-1))+15+1,'4 The queue'!$W$5:$W$212,0)),9999)+'1 Inputs'!$B$22+'1 Inputs'!$B$23+'1 Inputs'!$B$24+'1 Inputs'!$B$25),0,1)),9999)+'1 Inputs'!$B$26</f>
        <v>71</v>
      </c>
      <c r="Z69" s="19" t="n">
        <f aca="false">IFERROR(INDEX('4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Inputs'!$B$21-1))+16+1,'4 The queue'!$W$5:$W$212,0)),9999)+'1 Inputs'!$B$22+'1 Inputs'!$B$23+'1 Inputs'!$B$24+'1 Inputs'!$B$25),'4 The queue'!$T$5:$T$40,1))=(IFERROR(INDEX('4 The queue'!$U$5:$U$212,MATCH(IF('1 Inputs'!$B$21&lt;=1,0,INDEX('4 The queue'!$W$5:$W$212,'1 Inputs'!$B$21-1))+16+1,'4 The queue'!$W$5:$W$212,0)),9999)+'1 Inputs'!$B$22+'1 Inputs'!$B$23+'1 Inputs'!$B$24+'1 Inputs'!$B$25),0,1)),9999)+'1 Inputs'!$B$26</f>
        <v>71</v>
      </c>
      <c r="AA69" s="19" t="n">
        <f aca="false">IFERROR(INDEX('4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Inputs'!$B$21-1))+17+1,'4 The queue'!$W$5:$W$212,0)),9999)+'1 Inputs'!$B$22+'1 Inputs'!$B$23+'1 Inputs'!$B$24+'1 Inputs'!$B$25),'4 The queue'!$T$5:$T$40,1))=(IFERROR(INDEX('4 The queue'!$U$5:$U$212,MATCH(IF('1 Inputs'!$B$21&lt;=1,0,INDEX('4 The queue'!$W$5:$W$212,'1 Inputs'!$B$21-1))+17+1,'4 The queue'!$W$5:$W$212,0)),9999)+'1 Inputs'!$B$22+'1 Inputs'!$B$23+'1 Inputs'!$B$24+'1 Inputs'!$B$25),0,1)),9999)+'1 Inputs'!$B$26</f>
        <v>71</v>
      </c>
      <c r="AB69" s="19" t="n">
        <f aca="false">IFERROR(INDEX('4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Inputs'!$B$21-1))+18+1,'4 The queue'!$W$5:$W$212,0)),9999)+'1 Inputs'!$B$22+'1 Inputs'!$B$23+'1 Inputs'!$B$24+'1 Inputs'!$B$25),'4 The queue'!$T$5:$T$40,1))=(IFERROR(INDEX('4 The queue'!$U$5:$U$212,MATCH(IF('1 Inputs'!$B$21&lt;=1,0,INDEX('4 The queue'!$W$5:$W$212,'1 Inputs'!$B$21-1))+18+1,'4 The queue'!$W$5:$W$212,0)),9999)+'1 Inputs'!$B$22+'1 Inputs'!$B$23+'1 Inputs'!$B$24+'1 Inputs'!$B$25),0,1)),9999)+'1 Inputs'!$B$26</f>
        <v>84</v>
      </c>
      <c r="AC69" s="19" t="n">
        <f aca="false">IFERROR(INDEX('4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Inputs'!$B$21-1))+19+1,'4 The queue'!$W$5:$W$212,0)),9999)+'1 Inputs'!$B$22+'1 Inputs'!$B$23+'1 Inputs'!$B$24+'1 Inputs'!$B$25),'4 The queue'!$T$5:$T$40,1))=(IFERROR(INDEX('4 The queue'!$U$5:$U$212,MATCH(IF('1 Inputs'!$B$21&lt;=1,0,INDEX('4 The queue'!$W$5:$W$212,'1 Inputs'!$B$21-1))+19+1,'4 The queue'!$W$5:$W$212,0)),9999)+'1 Inputs'!$B$22+'1 Inputs'!$B$23+'1 Inputs'!$B$24+'1 Inputs'!$B$25),0,1)),9999)+'1 Inputs'!$B$26</f>
        <v>84</v>
      </c>
      <c r="AD69" s="19" t="n">
        <f aca="false">IFERROR(INDEX('4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Inputs'!$B$21-1))+20+1,'4 The queue'!$W$5:$W$212,0)),9999)+'1 Inputs'!$B$22+'1 Inputs'!$B$23+'1 Inputs'!$B$24+'1 Inputs'!$B$25),'4 The queue'!$T$5:$T$40,1))=(IFERROR(INDEX('4 The queue'!$U$5:$U$212,MATCH(IF('1 Inputs'!$B$21&lt;=1,0,INDEX('4 The queue'!$W$5:$W$212,'1 Inputs'!$B$21-1))+20+1,'4 The queue'!$W$5:$W$212,0)),9999)+'1 Inputs'!$B$22+'1 Inputs'!$B$23+'1 Inputs'!$B$24+'1 Inputs'!$B$25),0,1)),9999)+'1 Inputs'!$B$26</f>
        <v>84</v>
      </c>
      <c r="AE69" s="19" t="n">
        <f aca="false">IFERROR(INDEX('4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Inputs'!$B$21-1))+21+1,'4 The queue'!$W$5:$W$212,0)),9999)+'1 Inputs'!$B$22+'1 Inputs'!$B$23+'1 Inputs'!$B$24+'1 Inputs'!$B$25),'4 The queue'!$T$5:$T$40,1))=(IFERROR(INDEX('4 The queue'!$U$5:$U$212,MATCH(IF('1 Inputs'!$B$21&lt;=1,0,INDEX('4 The queue'!$W$5:$W$212,'1 Inputs'!$B$21-1))+21+1,'4 The queue'!$W$5:$W$212,0)),9999)+'1 Inputs'!$B$22+'1 Inputs'!$B$23+'1 Inputs'!$B$24+'1 Inputs'!$B$25),0,1)),9999)+'1 Inputs'!$B$26</f>
        <v>84</v>
      </c>
      <c r="AF69" s="19" t="n">
        <f aca="false">IFERROR(INDEX('4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Inputs'!$B$21-1))+22+1,'4 The queue'!$W$5:$W$212,0)),9999)+'1 Inputs'!$B$22+'1 Inputs'!$B$23+'1 Inputs'!$B$24+'1 Inputs'!$B$25),'4 The queue'!$T$5:$T$40,1))=(IFERROR(INDEX('4 The queue'!$U$5:$U$212,MATCH(IF('1 Inputs'!$B$21&lt;=1,0,INDEX('4 The queue'!$W$5:$W$212,'1 Inputs'!$B$21-1))+22+1,'4 The queue'!$W$5:$W$212,0)),9999)+'1 Inputs'!$B$22+'1 Inputs'!$B$23+'1 Inputs'!$B$24+'1 Inputs'!$B$25),0,1)),9999)+'1 Inputs'!$B$26</f>
        <v>84</v>
      </c>
      <c r="AG69" s="19" t="n">
        <f aca="false">IFERROR(INDEX('4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Inputs'!$B$21-1))+23+1,'4 The queue'!$W$5:$W$212,0)),9999)+'1 Inputs'!$B$22+'1 Inputs'!$B$23+'1 Inputs'!$B$24+'1 Inputs'!$B$25),'4 The queue'!$T$5:$T$40,1))=(IFERROR(INDEX('4 The queue'!$U$5:$U$212,MATCH(IF('1 Inputs'!$B$21&lt;=1,0,INDEX('4 The queue'!$W$5:$W$212,'1 Inputs'!$B$21-1))+23+1,'4 The queue'!$W$5:$W$212,0)),9999)+'1 Inputs'!$B$22+'1 Inputs'!$B$23+'1 Inputs'!$B$24+'1 Inputs'!$B$25),0,1)),9999)+'1 Inputs'!$B$26</f>
        <v>84</v>
      </c>
      <c r="AH69" s="19" t="n">
        <f aca="false">IFERROR(INDEX('4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Inputs'!$B$21-1))+24+1,'4 The queue'!$W$5:$W$212,0)),9999)+'1 Inputs'!$B$22+'1 Inputs'!$B$23+'1 Inputs'!$B$24+'1 Inputs'!$B$25),'4 The queue'!$T$5:$T$40,1))=(IFERROR(INDEX('4 The queue'!$U$5:$U$212,MATCH(IF('1 Inputs'!$B$21&lt;=1,0,INDEX('4 The queue'!$W$5:$W$212,'1 Inputs'!$B$21-1))+24+1,'4 The queue'!$W$5:$W$212,0)),9999)+'1 Inputs'!$B$22+'1 Inputs'!$B$23+'1 Inputs'!$B$24+'1 Inputs'!$B$25),0,1)),9999)+'1 Inputs'!$B$26</f>
        <v>84</v>
      </c>
      <c r="AI69" s="19" t="n">
        <f aca="false">IFERROR(INDEX('4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Inputs'!$B$21-1))+25+1,'4 The queue'!$W$5:$W$212,0)),9999)+'1 Inputs'!$B$22+'1 Inputs'!$B$23+'1 Inputs'!$B$24+'1 Inputs'!$B$25),'4 The queue'!$T$5:$T$40,1))=(IFERROR(INDEX('4 The queue'!$U$5:$U$212,MATCH(IF('1 Inputs'!$B$21&lt;=1,0,INDEX('4 The queue'!$W$5:$W$212,'1 Inputs'!$B$21-1))+25+1,'4 The queue'!$W$5:$W$212,0)),9999)+'1 Inputs'!$B$22+'1 Inputs'!$B$23+'1 Inputs'!$B$24+'1 Inputs'!$B$25),0,1)),9999)+'1 Inputs'!$B$26</f>
        <v>84</v>
      </c>
      <c r="AJ69" s="19" t="n">
        <f aca="false">IFERROR(INDEX('4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Inputs'!$B$21-1))+26+1,'4 The queue'!$W$5:$W$212,0)),9999)+'1 Inputs'!$B$22+'1 Inputs'!$B$23+'1 Inputs'!$B$24+'1 Inputs'!$B$25),'4 The queue'!$T$5:$T$40,1))=(IFERROR(INDEX('4 The queue'!$U$5:$U$212,MATCH(IF('1 Inputs'!$B$21&lt;=1,0,INDEX('4 The queue'!$W$5:$W$212,'1 Inputs'!$B$21-1))+26+1,'4 The queue'!$W$5:$W$212,0)),9999)+'1 Inputs'!$B$22+'1 Inputs'!$B$23+'1 Inputs'!$B$24+'1 Inputs'!$B$25),0,1)),9999)+'1 Inputs'!$B$26</f>
        <v>84</v>
      </c>
      <c r="AK69" s="19" t="n">
        <f aca="false">IFERROR(INDEX('4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Inputs'!$B$21-1))+27+1,'4 The queue'!$W$5:$W$212,0)),9999)+'1 Inputs'!$B$22+'1 Inputs'!$B$23+'1 Inputs'!$B$24+'1 Inputs'!$B$25),'4 The queue'!$T$5:$T$40,1))=(IFERROR(INDEX('4 The queue'!$U$5:$U$212,MATCH(IF('1 Inputs'!$B$21&lt;=1,0,INDEX('4 The queue'!$W$5:$W$212,'1 Inputs'!$B$21-1))+27+1,'4 The queue'!$W$5:$W$212,0)),9999)+'1 Inputs'!$B$22+'1 Inputs'!$B$23+'1 Inputs'!$B$24+'1 Inputs'!$B$25),0,1)),9999)+'1 Inputs'!$B$26</f>
        <v>84</v>
      </c>
      <c r="AL69" s="19" t="n">
        <f aca="false">IFERROR(INDEX('4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Inputs'!$B$21-1))+28+1,'4 The queue'!$W$5:$W$212,0)),9999)+'1 Inputs'!$B$22+'1 Inputs'!$B$23+'1 Inputs'!$B$24+'1 Inputs'!$B$25),'4 The queue'!$T$5:$T$40,1))=(IFERROR(INDEX('4 The queue'!$U$5:$U$212,MATCH(IF('1 Inputs'!$B$21&lt;=1,0,INDEX('4 The queue'!$W$5:$W$212,'1 Inputs'!$B$21-1))+28+1,'4 The queue'!$W$5:$W$212,0)),9999)+'1 Inputs'!$B$22+'1 Inputs'!$B$23+'1 Inputs'!$B$24+'1 Inputs'!$B$25),0,1)),9999)+'1 Inputs'!$B$26</f>
        <v>97</v>
      </c>
      <c r="AM69" s="19" t="n">
        <f aca="false">IFERROR(INDEX('4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Inputs'!$B$21-1))+29+1,'4 The queue'!$W$5:$W$212,0)),9999)+'1 Inputs'!$B$22+'1 Inputs'!$B$23+'1 Inputs'!$B$24+'1 Inputs'!$B$25),'4 The queue'!$T$5:$T$40,1))=(IFERROR(INDEX('4 The queue'!$U$5:$U$212,MATCH(IF('1 Inputs'!$B$21&lt;=1,0,INDEX('4 The queue'!$W$5:$W$212,'1 Inputs'!$B$21-1))+29+1,'4 The queue'!$W$5:$W$212,0)),9999)+'1 Inputs'!$B$22+'1 Inputs'!$B$23+'1 Inputs'!$B$24+'1 Inputs'!$B$25),0,1)),9999)+'1 Inputs'!$B$26</f>
        <v>97</v>
      </c>
      <c r="AN69" s="19" t="n">
        <f aca="false">IFERROR(INDEX('4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Inputs'!$B$21-1))+30+1,'4 The queue'!$W$5:$W$212,0)),9999)+'1 Inputs'!$B$22+'1 Inputs'!$B$23+'1 Inputs'!$B$24+'1 Inputs'!$B$25),'4 The queue'!$T$5:$T$40,1))=(IFERROR(INDEX('4 The queue'!$U$5:$U$212,MATCH(IF('1 Inputs'!$B$21&lt;=1,0,INDEX('4 The queue'!$W$5:$W$212,'1 Inputs'!$B$21-1))+30+1,'4 The queue'!$W$5:$W$212,0)),9999)+'1 Inputs'!$B$22+'1 Inputs'!$B$23+'1 Inputs'!$B$24+'1 Inputs'!$B$25),0,1)),9999)+'1 Inputs'!$B$26</f>
        <v>97</v>
      </c>
      <c r="AO69" s="19" t="n">
        <f aca="false">IFERROR(INDEX('4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Inputs'!$B$21-1))+31+1,'4 The queue'!$W$5:$W$212,0)),9999)+'1 Inputs'!$B$22+'1 Inputs'!$B$23+'1 Inputs'!$B$24+'1 Inputs'!$B$25),'4 The queue'!$T$5:$T$40,1))=(IFERROR(INDEX('4 The queue'!$U$5:$U$212,MATCH(IF('1 Inputs'!$B$21&lt;=1,0,INDEX('4 The queue'!$W$5:$W$212,'1 Inputs'!$B$21-1))+31+1,'4 The queue'!$W$5:$W$212,0)),9999)+'1 Inputs'!$B$22+'1 Inputs'!$B$23+'1 Inputs'!$B$24+'1 Inputs'!$B$25),0,1)),9999)+'1 Inputs'!$B$26</f>
        <v>97</v>
      </c>
      <c r="AP69" s="19" t="n">
        <f aca="false">IFERROR(INDEX('4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Inputs'!$B$21-1))+32+1,'4 The queue'!$W$5:$W$212,0)),9999)+'1 Inputs'!$B$22+'1 Inputs'!$B$23+'1 Inputs'!$B$24+'1 Inputs'!$B$25),'4 The queue'!$T$5:$T$40,1))=(IFERROR(INDEX('4 The queue'!$U$5:$U$212,MATCH(IF('1 Inputs'!$B$21&lt;=1,0,INDEX('4 The queue'!$W$5:$W$212,'1 Inputs'!$B$21-1))+32+1,'4 The queue'!$W$5:$W$212,0)),9999)+'1 Inputs'!$B$22+'1 Inputs'!$B$23+'1 Inputs'!$B$24+'1 Inputs'!$B$25),0,1)),9999)+'1 Inputs'!$B$26</f>
        <v>97</v>
      </c>
      <c r="AQ69" s="19" t="n">
        <f aca="false">IFERROR(INDEX('4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Inputs'!$B$21-1))+33+1,'4 The queue'!$W$5:$W$212,0)),9999)+'1 Inputs'!$B$22+'1 Inputs'!$B$23+'1 Inputs'!$B$24+'1 Inputs'!$B$25),'4 The queue'!$T$5:$T$40,1))=(IFERROR(INDEX('4 The queue'!$U$5:$U$212,MATCH(IF('1 Inputs'!$B$21&lt;=1,0,INDEX('4 The queue'!$W$5:$W$212,'1 Inputs'!$B$21-1))+33+1,'4 The queue'!$W$5:$W$212,0)),9999)+'1 Inputs'!$B$22+'1 Inputs'!$B$23+'1 Inputs'!$B$24+'1 Inputs'!$B$25),0,1)),9999)+'1 Inputs'!$B$26</f>
        <v>97</v>
      </c>
      <c r="AR69" s="19" t="n">
        <f aca="false">IFERROR(INDEX('4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Inputs'!$B$21-1))+34+1,'4 The queue'!$W$5:$W$212,0)),9999)+'1 Inputs'!$B$22+'1 Inputs'!$B$23+'1 Inputs'!$B$24+'1 Inputs'!$B$25),'4 The queue'!$T$5:$T$40,1))=(IFERROR(INDEX('4 The queue'!$U$5:$U$212,MATCH(IF('1 Inputs'!$B$21&lt;=1,0,INDEX('4 The queue'!$W$5:$W$212,'1 Inputs'!$B$21-1))+34+1,'4 The queue'!$W$5:$W$212,0)),9999)+'1 Inputs'!$B$22+'1 Inputs'!$B$23+'1 Inputs'!$B$24+'1 Inputs'!$B$25),0,1)),9999)+'1 Inputs'!$B$26</f>
        <v>97</v>
      </c>
      <c r="AS69" s="19" t="n">
        <f aca="false">IFERROR(INDEX('4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Inputs'!$B$21-1))+35+1,'4 The queue'!$W$5:$W$212,0)),9999)+'1 Inputs'!$B$22+'1 Inputs'!$B$23+'1 Inputs'!$B$24+'1 Inputs'!$B$25),'4 The queue'!$T$5:$T$40,1))=(IFERROR(INDEX('4 The queue'!$U$5:$U$212,MATCH(IF('1 Inputs'!$B$21&lt;=1,0,INDEX('4 The queue'!$W$5:$W$212,'1 Inputs'!$B$21-1))+35+1,'4 The queue'!$W$5:$W$212,0)),9999)+'1 Inputs'!$B$22+'1 Inputs'!$B$23+'1 Inputs'!$B$24+'1 Inputs'!$B$25),0,1)),9999)+'1 Inputs'!$B$26</f>
        <v>97</v>
      </c>
      <c r="AT69" s="19" t="n">
        <f aca="false">IFERROR(INDEX('4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Inputs'!$B$21-1))+36+1,'4 The queue'!$W$5:$W$212,0)),9999)+'1 Inputs'!$B$22+'1 Inputs'!$B$23+'1 Inputs'!$B$24+'1 Inputs'!$B$25),'4 The queue'!$T$5:$T$40,1))=(IFERROR(INDEX('4 The queue'!$U$5:$U$212,MATCH(IF('1 Inputs'!$B$21&lt;=1,0,INDEX('4 The queue'!$W$5:$W$212,'1 Inputs'!$B$21-1))+36+1,'4 The queue'!$W$5:$W$212,0)),9999)+'1 Inputs'!$B$22+'1 Inputs'!$B$23+'1 Inputs'!$B$24+'1 Inputs'!$B$25),0,1)),9999)+'1 Inputs'!$B$26</f>
        <v>97</v>
      </c>
      <c r="AU69" s="19" t="n">
        <f aca="false">IFERROR(INDEX('4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Inputs'!$B$21-1))+37+1,'4 The queue'!$W$5:$W$212,0)),9999)+'1 Inputs'!$B$22+'1 Inputs'!$B$23+'1 Inputs'!$B$24+'1 Inputs'!$B$25),'4 The queue'!$T$5:$T$40,1))=(IFERROR(INDEX('4 The queue'!$U$5:$U$212,MATCH(IF('1 Inputs'!$B$21&lt;=1,0,INDEX('4 The queue'!$W$5:$W$212,'1 Inputs'!$B$21-1))+37+1,'4 The queue'!$W$5:$W$212,0)),9999)+'1 Inputs'!$B$22+'1 Inputs'!$B$23+'1 Inputs'!$B$24+'1 Inputs'!$B$25),0,1)),9999)+'1 Inputs'!$B$26</f>
        <v>97</v>
      </c>
      <c r="AV69" s="19" t="n">
        <f aca="false">IFERROR(INDEX('4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Inputs'!$B$21-1))+38+1,'4 The queue'!$W$5:$W$212,0)),9999)+'1 Inputs'!$B$22+'1 Inputs'!$B$23+'1 Inputs'!$B$24+'1 Inputs'!$B$25),'4 The queue'!$T$5:$T$40,1))=(IFERROR(INDEX('4 The queue'!$U$5:$U$212,MATCH(IF('1 Inputs'!$B$21&lt;=1,0,INDEX('4 The queue'!$W$5:$W$212,'1 Inputs'!$B$21-1))+38+1,'4 The queue'!$W$5:$W$212,0)),9999)+'1 Inputs'!$B$22+'1 Inputs'!$B$23+'1 Inputs'!$B$24+'1 Inputs'!$B$25),0,1)),9999)+'1 Inputs'!$B$26</f>
        <v>97</v>
      </c>
      <c r="AW69" s="19" t="n">
        <f aca="false">IFERROR(INDEX('4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Inputs'!$B$21-1))+39+1,'4 The queue'!$W$5:$W$212,0)),9999)+'1 Inputs'!$B$22+'1 Inputs'!$B$23+'1 Inputs'!$B$24+'1 Inputs'!$B$25),'4 The queue'!$T$5:$T$40,1))=(IFERROR(INDEX('4 The queue'!$U$5:$U$212,MATCH(IF('1 Inputs'!$B$21&lt;=1,0,INDEX('4 The queue'!$W$5:$W$212,'1 Inputs'!$B$21-1))+39+1,'4 The queue'!$W$5:$W$212,0)),9999)+'1 Inputs'!$B$22+'1 Inputs'!$B$23+'1 Inputs'!$B$24+'1 Inputs'!$B$25),0,1)),9999)+'1 Inputs'!$B$26</f>
        <v>97</v>
      </c>
      <c r="AX69" s="19" t="n">
        <f aca="false">IFERROR(INDEX('4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Inputs'!$B$21-1))+40+1,'4 The queue'!$W$5:$W$212,0)),9999)+'1 Inputs'!$B$22+'1 Inputs'!$B$23+'1 Inputs'!$B$24+'1 Inputs'!$B$25),'4 The queue'!$T$5:$T$40,1))=(IFERROR(INDEX('4 The queue'!$U$5:$U$212,MATCH(IF('1 Inputs'!$B$21&lt;=1,0,INDEX('4 The queue'!$W$5:$W$212,'1 Inputs'!$B$21-1))+40+1,'4 The queue'!$W$5:$W$212,0)),9999)+'1 Inputs'!$B$22+'1 Inputs'!$B$23+'1 Inputs'!$B$24+'1 Inputs'!$B$25),0,1)),9999)+'1 Inputs'!$B$26</f>
        <v>97</v>
      </c>
      <c r="AY69" s="19" t="n">
        <f aca="false">IFERROR(INDEX('4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Inputs'!$B$21-1))+41+1,'4 The queue'!$W$5:$W$212,0)),9999)+'1 Inputs'!$B$22+'1 Inputs'!$B$23+'1 Inputs'!$B$24+'1 Inputs'!$B$25),'4 The queue'!$T$5:$T$40,1))=(IFERROR(INDEX('4 The queue'!$U$5:$U$212,MATCH(IF('1 Inputs'!$B$21&lt;=1,0,INDEX('4 The queue'!$W$5:$W$212,'1 Inputs'!$B$21-1))+41+1,'4 The queue'!$W$5:$W$212,0)),9999)+'1 Inputs'!$B$22+'1 Inputs'!$B$23+'1 Inputs'!$B$24+'1 Inputs'!$B$25),0,1)),9999)+'1 Inputs'!$B$26</f>
        <v>107</v>
      </c>
      <c r="AZ69" s="19" t="n">
        <f aca="false">IFERROR(INDEX('4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Inputs'!$B$21-1))+42+1,'4 The queue'!$W$5:$W$212,0)),9999)+'1 Inputs'!$B$22+'1 Inputs'!$B$23+'1 Inputs'!$B$24+'1 Inputs'!$B$25),'4 The queue'!$T$5:$T$40,1))=(IFERROR(INDEX('4 The queue'!$U$5:$U$212,MATCH(IF('1 Inputs'!$B$21&lt;=1,0,INDEX('4 The queue'!$W$5:$W$212,'1 Inputs'!$B$21-1))+42+1,'4 The queue'!$W$5:$W$212,0)),9999)+'1 Inputs'!$B$22+'1 Inputs'!$B$23+'1 Inputs'!$B$24+'1 Inputs'!$B$25),0,1)),9999)+'1 Inputs'!$B$26</f>
        <v>107</v>
      </c>
      <c r="BA69" s="19" t="n">
        <f aca="false">IFERROR(INDEX('4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Inputs'!$B$21-1))+43+1,'4 The queue'!$W$5:$W$212,0)),9999)+'1 Inputs'!$B$22+'1 Inputs'!$B$23+'1 Inputs'!$B$24+'1 Inputs'!$B$25),'4 The queue'!$T$5:$T$40,1))=(IFERROR(INDEX('4 The queue'!$U$5:$U$212,MATCH(IF('1 Inputs'!$B$21&lt;=1,0,INDEX('4 The queue'!$W$5:$W$212,'1 Inputs'!$B$21-1))+43+1,'4 The queue'!$W$5:$W$212,0)),9999)+'1 Inputs'!$B$22+'1 Inputs'!$B$23+'1 Inputs'!$B$24+'1 Inputs'!$B$25),0,1)),9999)+'1 Inputs'!$B$26</f>
        <v>107</v>
      </c>
      <c r="BB69" s="19" t="n">
        <f aca="false">IFERROR(INDEX('4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Inputs'!$B$21-1))+44+1,'4 The queue'!$W$5:$W$212,0)),9999)+'1 Inputs'!$B$22+'1 Inputs'!$B$23+'1 Inputs'!$B$24+'1 Inputs'!$B$25),'4 The queue'!$T$5:$T$40,1))=(IFERROR(INDEX('4 The queue'!$U$5:$U$212,MATCH(IF('1 Inputs'!$B$21&lt;=1,0,INDEX('4 The queue'!$W$5:$W$212,'1 Inputs'!$B$21-1))+44+1,'4 The queue'!$W$5:$W$212,0)),9999)+'1 Inputs'!$B$22+'1 Inputs'!$B$23+'1 Inputs'!$B$24+'1 Inputs'!$B$25),0,1)),9999)+'1 Inputs'!$B$26</f>
        <v>107</v>
      </c>
      <c r="BC69" s="19" t="n">
        <f aca="false">IFERROR(INDEX('4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Inputs'!$B$21-1))+45+1,'4 The queue'!$W$5:$W$212,0)),9999)+'1 Inputs'!$B$22+'1 Inputs'!$B$23+'1 Inputs'!$B$24+'1 Inputs'!$B$25),'4 The queue'!$T$5:$T$40,1))=(IFERROR(INDEX('4 The queue'!$U$5:$U$212,MATCH(IF('1 Inputs'!$B$21&lt;=1,0,INDEX('4 The queue'!$W$5:$W$212,'1 Inputs'!$B$21-1))+45+1,'4 The queue'!$W$5:$W$212,0)),9999)+'1 Inputs'!$B$22+'1 Inputs'!$B$23+'1 Inputs'!$B$24+'1 Inputs'!$B$25),0,1)),9999)+'1 Inputs'!$B$26</f>
        <v>107</v>
      </c>
      <c r="BD69" s="19" t="n">
        <f aca="false">IFERROR(INDEX('4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Inputs'!$B$21-1))+46+1,'4 The queue'!$W$5:$W$212,0)),9999)+'1 Inputs'!$B$22+'1 Inputs'!$B$23+'1 Inputs'!$B$24+'1 Inputs'!$B$25),'4 The queue'!$T$5:$T$40,1))=(IFERROR(INDEX('4 The queue'!$U$5:$U$212,MATCH(IF('1 Inputs'!$B$21&lt;=1,0,INDEX('4 The queue'!$W$5:$W$212,'1 Inputs'!$B$21-1))+46+1,'4 The queue'!$W$5:$W$212,0)),9999)+'1 Inputs'!$B$22+'1 Inputs'!$B$23+'1 Inputs'!$B$24+'1 Inputs'!$B$25),0,1)),9999)+'1 Inputs'!$B$26</f>
        <v>107</v>
      </c>
      <c r="BE69" s="19" t="n">
        <f aca="false">IFERROR(INDEX('4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Inputs'!$B$21-1))+47+1,'4 The queue'!$W$5:$W$212,0)),9999)+'1 Inputs'!$B$22+'1 Inputs'!$B$23+'1 Inputs'!$B$24+'1 Inputs'!$B$25),'4 The queue'!$T$5:$T$40,1))=(IFERROR(INDEX('4 The queue'!$U$5:$U$212,MATCH(IF('1 Inputs'!$B$21&lt;=1,0,INDEX('4 The queue'!$W$5:$W$212,'1 Inputs'!$B$21-1))+47+1,'4 The queue'!$W$5:$W$212,0)),9999)+'1 Inputs'!$B$22+'1 Inputs'!$B$23+'1 Inputs'!$B$24+'1 Inputs'!$B$25),0,1)),9999)+'1 Inputs'!$B$26</f>
        <v>107</v>
      </c>
      <c r="BF69" s="19" t="n">
        <f aca="false">IFERROR(INDEX('4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Inputs'!$B$21-1))+48+1,'4 The queue'!$W$5:$W$212,0)),9999)+'1 Inputs'!$B$22+'1 Inputs'!$B$23+'1 Inputs'!$B$24+'1 Inputs'!$B$25),'4 The queue'!$T$5:$T$40,1))=(IFERROR(INDEX('4 The queue'!$U$5:$U$212,MATCH(IF('1 Inputs'!$B$21&lt;=1,0,INDEX('4 The queue'!$W$5:$W$212,'1 Inputs'!$B$21-1))+48+1,'4 The queue'!$W$5:$W$212,0)),9999)+'1 Inputs'!$B$22+'1 Inputs'!$B$23+'1 Inputs'!$B$24+'1 Inputs'!$B$25),0,1)),9999)+'1 Inputs'!$B$26</f>
        <v>107</v>
      </c>
      <c r="BG69" s="19" t="n">
        <f aca="false">IFERROR(INDEX('4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Inputs'!$B$21-1))+49+1,'4 The queue'!$W$5:$W$212,0)),9999)+'1 Inputs'!$B$22+'1 Inputs'!$B$23+'1 Inputs'!$B$24+'1 Inputs'!$B$25),'4 The queue'!$T$5:$T$40,1))=(IFERROR(INDEX('4 The queue'!$U$5:$U$212,MATCH(IF('1 Inputs'!$B$21&lt;=1,0,INDEX('4 The queue'!$W$5:$W$212,'1 Inputs'!$B$21-1))+49+1,'4 The queue'!$W$5:$W$212,0)),9999)+'1 Inputs'!$B$22+'1 Inputs'!$B$23+'1 Inputs'!$B$24+'1 Inputs'!$B$25),0,1)),9999)+'1 Inputs'!$B$26</f>
        <v>107</v>
      </c>
      <c r="BH69" s="19" t="n">
        <f aca="false">IFERROR(INDEX('4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Inputs'!$B$21-1))+50+1,'4 The queue'!$W$5:$W$212,0)),9999)+'1 Inputs'!$B$22+'1 Inputs'!$B$23+'1 Inputs'!$B$24+'1 Inputs'!$B$25),'4 The queue'!$T$5:$T$40,1))=(IFERROR(INDEX('4 The queue'!$U$5:$U$212,MATCH(IF('1 Inputs'!$B$21&lt;=1,0,INDEX('4 The queue'!$W$5:$W$212,'1 Inputs'!$B$21-1))+50+1,'4 The queue'!$W$5:$W$212,0)),9999)+'1 Inputs'!$B$22+'1 Inputs'!$B$23+'1 Inputs'!$B$24+'1 Inputs'!$B$25),0,1)),9999)+'1 Inputs'!$B$26</f>
        <v>107</v>
      </c>
      <c r="BI69" s="19" t="n">
        <f aca="false">IFERROR(INDEX('4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Inputs'!$B$21-1))+51+1,'4 The queue'!$W$5:$W$212,0)),9999)+'1 Inputs'!$B$22+'1 Inputs'!$B$23+'1 Inputs'!$B$24+'1 Inputs'!$B$25),'4 The queue'!$T$5:$T$40,1))=(IFERROR(INDEX('4 The queue'!$U$5:$U$212,MATCH(IF('1 Inputs'!$B$21&lt;=1,0,INDEX('4 The queue'!$W$5:$W$212,'1 Inputs'!$B$21-1))+51+1,'4 The queue'!$W$5:$W$212,0)),9999)+'1 Inputs'!$B$22+'1 Inputs'!$B$23+'1 Inputs'!$B$24+'1 Inputs'!$B$25),0,1)),9999)+'1 Inputs'!$B$26</f>
        <v>123</v>
      </c>
      <c r="BJ69" s="19" t="n">
        <f aca="false">IFERROR(INDEX('4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Inputs'!$B$21-1))+52+1,'4 The queue'!$W$5:$W$212,0)),9999)+'1 Inputs'!$B$22+'1 Inputs'!$B$23+'1 Inputs'!$B$24+'1 Inputs'!$B$25),'4 The queue'!$T$5:$T$40,1))=(IFERROR(INDEX('4 The queue'!$U$5:$U$212,MATCH(IF('1 Inputs'!$B$21&lt;=1,0,INDEX('4 The queue'!$W$5:$W$212,'1 Inputs'!$B$21-1))+52+1,'4 The queue'!$W$5:$W$212,0)),9999)+'1 Inputs'!$B$22+'1 Inputs'!$B$23+'1 Inputs'!$B$24+'1 Inputs'!$B$25),0,1)),9999)+'1 Inputs'!$B$26</f>
        <v>123</v>
      </c>
      <c r="BK69" s="19" t="n">
        <f aca="false">IFERROR(INDEX('4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Inputs'!$B$21-1))+53+1,'4 The queue'!$W$5:$W$212,0)),9999)+'1 Inputs'!$B$22+'1 Inputs'!$B$23+'1 Inputs'!$B$24+'1 Inputs'!$B$25),'4 The queue'!$T$5:$T$40,1))=(IFERROR(INDEX('4 The queue'!$U$5:$U$212,MATCH(IF('1 Inputs'!$B$21&lt;=1,0,INDEX('4 The queue'!$W$5:$W$212,'1 Inputs'!$B$21-1))+53+1,'4 The queue'!$W$5:$W$212,0)),9999)+'1 Inputs'!$B$22+'1 Inputs'!$B$23+'1 Inputs'!$B$24+'1 Inputs'!$B$25),0,1)),9999)+'1 Inputs'!$B$26</f>
        <v>123</v>
      </c>
      <c r="BL69" s="19" t="n">
        <f aca="false">IFERROR(INDEX('4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Inputs'!$B$21-1))+54+1,'4 The queue'!$W$5:$W$212,0)),9999)+'1 Inputs'!$B$22+'1 Inputs'!$B$23+'1 Inputs'!$B$24+'1 Inputs'!$B$25),'4 The queue'!$T$5:$T$40,1))=(IFERROR(INDEX('4 The queue'!$U$5:$U$212,MATCH(IF('1 Inputs'!$B$21&lt;=1,0,INDEX('4 The queue'!$W$5:$W$212,'1 Inputs'!$B$21-1))+54+1,'4 The queue'!$W$5:$W$212,0)),9999)+'1 Inputs'!$B$22+'1 Inputs'!$B$23+'1 Inputs'!$B$24+'1 Inputs'!$B$25),0,1)),9999)+'1 Inputs'!$B$26</f>
        <v>123</v>
      </c>
      <c r="BM69" s="19" t="n">
        <f aca="false">IFERROR(INDEX('4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Inputs'!$B$21-1))+55+1,'4 The queue'!$W$5:$W$212,0)),9999)+'1 Inputs'!$B$22+'1 Inputs'!$B$23+'1 Inputs'!$B$24+'1 Inputs'!$B$25),'4 The queue'!$T$5:$T$40,1))=(IFERROR(INDEX('4 The queue'!$U$5:$U$212,MATCH(IF('1 Inputs'!$B$21&lt;=1,0,INDEX('4 The queue'!$W$5:$W$212,'1 Inputs'!$B$21-1))+55+1,'4 The queue'!$W$5:$W$212,0)),9999)+'1 Inputs'!$B$22+'1 Inputs'!$B$23+'1 Inputs'!$B$24+'1 Inputs'!$B$25),0,1)),9999)+'1 Inputs'!$B$26</f>
        <v>123</v>
      </c>
      <c r="BN69" s="19" t="n">
        <f aca="false">IFERROR(INDEX('4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Inputs'!$B$21-1))+56+1,'4 The queue'!$W$5:$W$212,0)),9999)+'1 Inputs'!$B$22+'1 Inputs'!$B$23+'1 Inputs'!$B$24+'1 Inputs'!$B$25),'4 The queue'!$T$5:$T$40,1))=(IFERROR(INDEX('4 The queue'!$U$5:$U$212,MATCH(IF('1 Inputs'!$B$21&lt;=1,0,INDEX('4 The queue'!$W$5:$W$212,'1 Inputs'!$B$21-1))+56+1,'4 The queue'!$W$5:$W$212,0)),9999)+'1 Inputs'!$B$22+'1 Inputs'!$B$23+'1 Inputs'!$B$24+'1 Inputs'!$B$25),0,1)),9999)+'1 Inputs'!$B$26</f>
        <v>123</v>
      </c>
      <c r="BO69" s="19" t="n">
        <f aca="false">IFERROR(INDEX('4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Inputs'!$B$21-1))+57+1,'4 The queue'!$W$5:$W$212,0)),9999)+'1 Inputs'!$B$22+'1 Inputs'!$B$23+'1 Inputs'!$B$24+'1 Inputs'!$B$25),'4 The queue'!$T$5:$T$40,1))=(IFERROR(INDEX('4 The queue'!$U$5:$U$212,MATCH(IF('1 Inputs'!$B$21&lt;=1,0,INDEX('4 The queue'!$W$5:$W$212,'1 Inputs'!$B$21-1))+57+1,'4 The queue'!$W$5:$W$212,0)),9999)+'1 Inputs'!$B$22+'1 Inputs'!$B$23+'1 Inputs'!$B$24+'1 Inputs'!$B$25),0,1)),9999)+'1 Inputs'!$B$26</f>
        <v>123</v>
      </c>
      <c r="BP69" s="19" t="n">
        <f aca="false">IFERROR(INDEX('4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Inputs'!$B$21-1))+58+1,'4 The queue'!$W$5:$W$212,0)),9999)+'1 Inputs'!$B$22+'1 Inputs'!$B$23+'1 Inputs'!$B$24+'1 Inputs'!$B$25),'4 The queue'!$T$5:$T$40,1))=(IFERROR(INDEX('4 The queue'!$U$5:$U$212,MATCH(IF('1 Inputs'!$B$21&lt;=1,0,INDEX('4 The queue'!$W$5:$W$212,'1 Inputs'!$B$21-1))+58+1,'4 The queue'!$W$5:$W$212,0)),9999)+'1 Inputs'!$B$22+'1 Inputs'!$B$23+'1 Inputs'!$B$24+'1 Inputs'!$B$25),0,1)),9999)+'1 Inputs'!$B$26</f>
        <v>123</v>
      </c>
      <c r="BQ69" s="19" t="n">
        <f aca="false">IFERROR(INDEX('4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queue'!$T$5:$T$40,1)+IF(INDEX('4 The queue'!$T$5:$T$40,MATCH((IFERROR(INDEX('4 The queue'!$U$5:$U$212,MATCH(IF('1 Inputs'!$B$21&lt;=1,0,INDEX('4 The queue'!$W$5:$W$212,'1 Inputs'!$B$21-1))+59+1,'4 The queue'!$W$5:$W$212,0)),9999)+'1 Inputs'!$B$22+'1 Inputs'!$B$23+'1 Inputs'!$B$24+'1 Inputs'!$B$25),'4 The queue'!$T$5:$T$40,1))=(IFERROR(INDEX('4 The queue'!$U$5:$U$212,MATCH(IF('1 Inputs'!$B$21&lt;=1,0,INDEX('4 The queue'!$W$5:$W$212,'1 Inputs'!$B$21-1))+59+1,'4 The queue'!$W$5:$W$212,0)),9999)+'1 Inputs'!$B$22+'1 Inputs'!$B$23+'1 Inputs'!$B$24+'1 Inputs'!$B$25),0,1)),9999)+'1 Inputs'!$B$26</f>
        <v>123</v>
      </c>
      <c r="BR69" s="19" t="n">
        <f aca="false">MAX(0,MIN($B69,$A69*'1 Inputs'!$B$6-0*$B69))*'1 Inputs'!$B$7*'1 Inputs'!$B$8*'1 Inputs'!$B$9*'1 Inputs'!$B$10*'1 Inputs'!$B$11</f>
        <v>12500000</v>
      </c>
      <c r="BS69" s="19" t="n">
        <f aca="false">MAX(0,MIN($B69,$A69*'1 Inputs'!$B$6-1*$B69))*'1 Inputs'!$B$7*'1 Inputs'!$B$8*'1 Inputs'!$B$9*'1 Inputs'!$B$10*'1 Inputs'!$B$11</f>
        <v>12500000</v>
      </c>
      <c r="BT69" s="19" t="n">
        <f aca="false">MAX(0,MIN($B69,$A69*'1 Inputs'!$B$6-2*$B69))*'1 Inputs'!$B$7*'1 Inputs'!$B$8*'1 Inputs'!$B$9*'1 Inputs'!$B$10*'1 Inputs'!$B$11</f>
        <v>12500000</v>
      </c>
      <c r="BU69" s="19" t="n">
        <f aca="false">MAX(0,MIN($B69,$A69*'1 Inputs'!$B$6-3*$B69))*'1 Inputs'!$B$7*'1 Inputs'!$B$8*'1 Inputs'!$B$9*'1 Inputs'!$B$10*'1 Inputs'!$B$11</f>
        <v>12500000</v>
      </c>
      <c r="BV69" s="19" t="n">
        <f aca="false">MAX(0,MIN($B69,$A69*'1 Inputs'!$B$6-4*$B69))*'1 Inputs'!$B$7*'1 Inputs'!$B$8*'1 Inputs'!$B$9*'1 Inputs'!$B$10*'1 Inputs'!$B$11</f>
        <v>12500000</v>
      </c>
      <c r="BW69" s="19" t="n">
        <f aca="false">MAX(0,MIN($B69,$A69*'1 Inputs'!$B$6-5*$B69))*'1 Inputs'!$B$7*'1 Inputs'!$B$8*'1 Inputs'!$B$9*'1 Inputs'!$B$10*'1 Inputs'!$B$11</f>
        <v>12500000</v>
      </c>
      <c r="BX69" s="19" t="n">
        <f aca="false">MAX(0,MIN($B69,$A69*'1 Inputs'!$B$6-6*$B69))*'1 Inputs'!$B$7*'1 Inputs'!$B$8*'1 Inputs'!$B$9*'1 Inputs'!$B$10*'1 Inputs'!$B$11</f>
        <v>12500000</v>
      </c>
      <c r="BY69" s="19" t="n">
        <f aca="false">MAX(0,MIN($B69,$A69*'1 Inputs'!$B$6-7*$B69))*'1 Inputs'!$B$7*'1 Inputs'!$B$8*'1 Inputs'!$B$9*'1 Inputs'!$B$10*'1 Inputs'!$B$11</f>
        <v>12500000</v>
      </c>
      <c r="BZ69" s="19" t="n">
        <f aca="false">MAX(0,MIN($B69,$A69*'1 Inputs'!$B$6-8*$B69))*'1 Inputs'!$B$7*'1 Inputs'!$B$8*'1 Inputs'!$B$9*'1 Inputs'!$B$10*'1 Inputs'!$B$11</f>
        <v>12500000</v>
      </c>
      <c r="CA69" s="19" t="n">
        <f aca="false">MAX(0,MIN($B69,$A69*'1 Inputs'!$B$6-9*$B69))*'1 Inputs'!$B$7*'1 Inputs'!$B$8*'1 Inputs'!$B$9*'1 Inputs'!$B$10*'1 Inputs'!$B$11</f>
        <v>12500000</v>
      </c>
      <c r="CB69" s="19" t="n">
        <f aca="false">MAX(0,MIN($B69,$A69*'1 Inputs'!$B$6-10*$B69))*'1 Inputs'!$B$7*'1 Inputs'!$B$8*'1 Inputs'!$B$9*'1 Inputs'!$B$10*'1 Inputs'!$B$11</f>
        <v>12500000</v>
      </c>
      <c r="CC69" s="19" t="n">
        <f aca="false">MAX(0,MIN($B69,$A69*'1 Inputs'!$B$6-11*$B69))*'1 Inputs'!$B$7*'1 Inputs'!$B$8*'1 Inputs'!$B$9*'1 Inputs'!$B$10*'1 Inputs'!$B$11</f>
        <v>12500000</v>
      </c>
      <c r="CD69" s="19" t="n">
        <f aca="false">MAX(0,MIN($B69,$A69*'1 Inputs'!$B$6-12*$B69))*'1 Inputs'!$B$7*'1 Inputs'!$B$8*'1 Inputs'!$B$9*'1 Inputs'!$B$10*'1 Inputs'!$B$11</f>
        <v>12500000</v>
      </c>
      <c r="CE69" s="19" t="n">
        <f aca="false">MAX(0,MIN($B69,$A69*'1 Inputs'!$B$6-13*$B69))*'1 Inputs'!$B$7*'1 Inputs'!$B$8*'1 Inputs'!$B$9*'1 Inputs'!$B$10*'1 Inputs'!$B$11</f>
        <v>12500000</v>
      </c>
      <c r="CF69" s="19" t="n">
        <f aca="false">MAX(0,MIN($B69,$A69*'1 Inputs'!$B$6-14*$B69))*'1 Inputs'!$B$7*'1 Inputs'!$B$8*'1 Inputs'!$B$9*'1 Inputs'!$B$10*'1 Inputs'!$B$11</f>
        <v>12500000</v>
      </c>
      <c r="CG69" s="19" t="n">
        <f aca="false">MAX(0,MIN($B69,$A69*'1 Inputs'!$B$6-15*$B69))*'1 Inputs'!$B$7*'1 Inputs'!$B$8*'1 Inputs'!$B$9*'1 Inputs'!$B$10*'1 Inputs'!$B$11</f>
        <v>12500000</v>
      </c>
      <c r="CH69" s="19" t="n">
        <f aca="false">MAX(0,MIN($B69,$A69*'1 Inputs'!$B$6-16*$B69))*'1 Inputs'!$B$7*'1 Inputs'!$B$8*'1 Inputs'!$B$9*'1 Inputs'!$B$10*'1 Inputs'!$B$11</f>
        <v>12500000</v>
      </c>
      <c r="CI69" s="19" t="n">
        <f aca="false">MAX(0,MIN($B69,$A69*'1 Inputs'!$B$6-17*$B69))*'1 Inputs'!$B$7*'1 Inputs'!$B$8*'1 Inputs'!$B$9*'1 Inputs'!$B$10*'1 Inputs'!$B$11</f>
        <v>12500000</v>
      </c>
      <c r="CJ69" s="19" t="n">
        <f aca="false">MAX(0,MIN($B69,$A69*'1 Inputs'!$B$6-18*$B69))*'1 Inputs'!$B$7*'1 Inputs'!$B$8*'1 Inputs'!$B$9*'1 Inputs'!$B$10*'1 Inputs'!$B$11</f>
        <v>12500000</v>
      </c>
      <c r="CK69" s="19" t="n">
        <f aca="false">MAX(0,MIN($B69,$A69*'1 Inputs'!$B$6-19*$B69))*'1 Inputs'!$B$7*'1 Inputs'!$B$8*'1 Inputs'!$B$9*'1 Inputs'!$B$10*'1 Inputs'!$B$11</f>
        <v>12500000</v>
      </c>
      <c r="CL69" s="19" t="n">
        <f aca="false">MAX(0,MIN($B69,$A69*'1 Inputs'!$B$6-20*$B69))*'1 Inputs'!$B$7*'1 Inputs'!$B$8*'1 Inputs'!$B$9*'1 Inputs'!$B$10*'1 Inputs'!$B$11</f>
        <v>0</v>
      </c>
      <c r="CM69" s="19" t="n">
        <f aca="false">MAX(0,MIN($B69,$A69*'1 Inputs'!$B$6-21*$B69))*'1 Inputs'!$B$7*'1 Inputs'!$B$8*'1 Inputs'!$B$9*'1 Inputs'!$B$10*'1 Inputs'!$B$11</f>
        <v>0</v>
      </c>
      <c r="CN69" s="19" t="n">
        <f aca="false">MAX(0,MIN($B69,$A69*'1 Inputs'!$B$6-22*$B69))*'1 Inputs'!$B$7*'1 Inputs'!$B$8*'1 Inputs'!$B$9*'1 Inputs'!$B$10*'1 Inputs'!$B$11</f>
        <v>0</v>
      </c>
      <c r="CO69" s="19" t="n">
        <f aca="false">MAX(0,MIN($B69,$A69*'1 Inputs'!$B$6-23*$B69))*'1 Inputs'!$B$7*'1 Inputs'!$B$8*'1 Inputs'!$B$9*'1 Inputs'!$B$10*'1 Inputs'!$B$11</f>
        <v>0</v>
      </c>
      <c r="CP69" s="19" t="n">
        <f aca="false">MAX(0,MIN($B69,$A69*'1 Inputs'!$B$6-24*$B69))*'1 Inputs'!$B$7*'1 Inputs'!$B$8*'1 Inputs'!$B$9*'1 Inputs'!$B$10*'1 Inputs'!$B$11</f>
        <v>0</v>
      </c>
      <c r="CQ69" s="19" t="n">
        <f aca="false">MAX(0,MIN($B69,$A69*'1 Inputs'!$B$6-25*$B69))*'1 Inputs'!$B$7*'1 Inputs'!$B$8*'1 Inputs'!$B$9*'1 Inputs'!$B$10*'1 Inputs'!$B$11</f>
        <v>0</v>
      </c>
      <c r="CR69" s="19" t="n">
        <f aca="false">MAX(0,MIN($B69,$A69*'1 Inputs'!$B$6-26*$B69))*'1 Inputs'!$B$7*'1 Inputs'!$B$8*'1 Inputs'!$B$9*'1 Inputs'!$B$10*'1 Inputs'!$B$11</f>
        <v>0</v>
      </c>
      <c r="CS69" s="19" t="n">
        <f aca="false">MAX(0,MIN($B69,$A69*'1 Inputs'!$B$6-27*$B69))*'1 Inputs'!$B$7*'1 Inputs'!$B$8*'1 Inputs'!$B$9*'1 Inputs'!$B$10*'1 Inputs'!$B$11</f>
        <v>0</v>
      </c>
      <c r="CT69" s="19" t="n">
        <f aca="false">MAX(0,MIN($B69,$A69*'1 Inputs'!$B$6-28*$B69))*'1 Inputs'!$B$7*'1 Inputs'!$B$8*'1 Inputs'!$B$9*'1 Inputs'!$B$10*'1 Inputs'!$B$11</f>
        <v>0</v>
      </c>
      <c r="CU69" s="19" t="n">
        <f aca="false">MAX(0,MIN($B69,$A69*'1 Inputs'!$B$6-29*$B69))*'1 Inputs'!$B$7*'1 Inputs'!$B$8*'1 Inputs'!$B$9*'1 Inputs'!$B$10*'1 Inputs'!$B$11</f>
        <v>0</v>
      </c>
      <c r="CV69" s="19" t="n">
        <f aca="false">MAX(0,MIN($B69,$A69*'1 Inputs'!$B$6-30*$B69))*'1 Inputs'!$B$7*'1 Inputs'!$B$8*'1 Inputs'!$B$9*'1 Inputs'!$B$10*'1 Inputs'!$B$11</f>
        <v>0</v>
      </c>
      <c r="CW69" s="19" t="n">
        <f aca="false">MAX(0,MIN($B69,$A69*'1 Inputs'!$B$6-31*$B69))*'1 Inputs'!$B$7*'1 Inputs'!$B$8*'1 Inputs'!$B$9*'1 Inputs'!$B$10*'1 Inputs'!$B$11</f>
        <v>0</v>
      </c>
      <c r="CX69" s="19" t="n">
        <f aca="false">MAX(0,MIN($B69,$A69*'1 Inputs'!$B$6-32*$B69))*'1 Inputs'!$B$7*'1 Inputs'!$B$8*'1 Inputs'!$B$9*'1 Inputs'!$B$10*'1 Inputs'!$B$11</f>
        <v>0</v>
      </c>
      <c r="CY69" s="19" t="n">
        <f aca="false">MAX(0,MIN($B69,$A69*'1 Inputs'!$B$6-33*$B69))*'1 Inputs'!$B$7*'1 Inputs'!$B$8*'1 Inputs'!$B$9*'1 Inputs'!$B$10*'1 Inputs'!$B$11</f>
        <v>0</v>
      </c>
      <c r="CZ69" s="19" t="n">
        <f aca="false">MAX(0,MIN($B69,$A69*'1 Inputs'!$B$6-34*$B69))*'1 Inputs'!$B$7*'1 Inputs'!$B$8*'1 Inputs'!$B$9*'1 Inputs'!$B$10*'1 Inputs'!$B$11</f>
        <v>0</v>
      </c>
      <c r="DA69" s="19" t="n">
        <f aca="false">MAX(0,MIN($B69,$A69*'1 Inputs'!$B$6-35*$B69))*'1 Inputs'!$B$7*'1 Inputs'!$B$8*'1 Inputs'!$B$9*'1 Inputs'!$B$10*'1 Inputs'!$B$11</f>
        <v>0</v>
      </c>
      <c r="DB69" s="19" t="n">
        <f aca="false">MAX(0,MIN($B69,$A69*'1 Inputs'!$B$6-36*$B69))*'1 Inputs'!$B$7*'1 Inputs'!$B$8*'1 Inputs'!$B$9*'1 Inputs'!$B$10*'1 Inputs'!$B$11</f>
        <v>0</v>
      </c>
      <c r="DC69" s="19" t="n">
        <f aca="false">MAX(0,MIN($B69,$A69*'1 Inputs'!$B$6-37*$B69))*'1 Inputs'!$B$7*'1 Inputs'!$B$8*'1 Inputs'!$B$9*'1 Inputs'!$B$10*'1 Inputs'!$B$11</f>
        <v>0</v>
      </c>
      <c r="DD69" s="19" t="n">
        <f aca="false">MAX(0,MIN($B69,$A69*'1 Inputs'!$B$6-38*$B69))*'1 Inputs'!$B$7*'1 Inputs'!$B$8*'1 Inputs'!$B$9*'1 Inputs'!$B$10*'1 Inputs'!$B$11</f>
        <v>0</v>
      </c>
      <c r="DE69" s="19" t="n">
        <f aca="false">MAX(0,MIN($B69,$A69*'1 Inputs'!$B$6-39*$B69))*'1 Inputs'!$B$7*'1 Inputs'!$B$8*'1 Inputs'!$B$9*'1 Inputs'!$B$10*'1 Inputs'!$B$11</f>
        <v>0</v>
      </c>
      <c r="DF69" s="19" t="n">
        <f aca="false">MAX(0,MIN($B69,$A69*'1 Inputs'!$B$6-40*$B69))*'1 Inputs'!$B$7*'1 Inputs'!$B$8*'1 Inputs'!$B$9*'1 Inputs'!$B$10*'1 Inputs'!$B$11</f>
        <v>0</v>
      </c>
      <c r="DG69" s="19" t="n">
        <f aca="false">MAX(0,MIN($B69,$A69*'1 Inputs'!$B$6-41*$B69))*'1 Inputs'!$B$7*'1 Inputs'!$B$8*'1 Inputs'!$B$9*'1 Inputs'!$B$10*'1 Inputs'!$B$11</f>
        <v>0</v>
      </c>
      <c r="DH69" s="19" t="n">
        <f aca="false">MAX(0,MIN($B69,$A69*'1 Inputs'!$B$6-42*$B69))*'1 Inputs'!$B$7*'1 Inputs'!$B$8*'1 Inputs'!$B$9*'1 Inputs'!$B$10*'1 Inputs'!$B$11</f>
        <v>0</v>
      </c>
      <c r="DI69" s="19" t="n">
        <f aca="false">MAX(0,MIN($B69,$A69*'1 Inputs'!$B$6-43*$B69))*'1 Inputs'!$B$7*'1 Inputs'!$B$8*'1 Inputs'!$B$9*'1 Inputs'!$B$10*'1 Inputs'!$B$11</f>
        <v>0</v>
      </c>
      <c r="DJ69" s="19" t="n">
        <f aca="false">MAX(0,MIN($B69,$A69*'1 Inputs'!$B$6-44*$B69))*'1 Inputs'!$B$7*'1 Inputs'!$B$8*'1 Inputs'!$B$9*'1 Inputs'!$B$10*'1 Inputs'!$B$11</f>
        <v>0</v>
      </c>
      <c r="DK69" s="19" t="n">
        <f aca="false">MAX(0,MIN($B69,$A69*'1 Inputs'!$B$6-45*$B69))*'1 Inputs'!$B$7*'1 Inputs'!$B$8*'1 Inputs'!$B$9*'1 Inputs'!$B$10*'1 Inputs'!$B$11</f>
        <v>0</v>
      </c>
      <c r="DL69" s="19" t="n">
        <f aca="false">MAX(0,MIN($B69,$A69*'1 Inputs'!$B$6-46*$B69))*'1 Inputs'!$B$7*'1 Inputs'!$B$8*'1 Inputs'!$B$9*'1 Inputs'!$B$10*'1 Inputs'!$B$11</f>
        <v>0</v>
      </c>
      <c r="DM69" s="19" t="n">
        <f aca="false">MAX(0,MIN($B69,$A69*'1 Inputs'!$B$6-47*$B69))*'1 Inputs'!$B$7*'1 Inputs'!$B$8*'1 Inputs'!$B$9*'1 Inputs'!$B$10*'1 Inputs'!$B$11</f>
        <v>0</v>
      </c>
      <c r="DN69" s="19" t="n">
        <f aca="false">MAX(0,MIN($B69,$A69*'1 Inputs'!$B$6-48*$B69))*'1 Inputs'!$B$7*'1 Inputs'!$B$8*'1 Inputs'!$B$9*'1 Inputs'!$B$10*'1 Inputs'!$B$11</f>
        <v>0</v>
      </c>
      <c r="DO69" s="19" t="n">
        <f aca="false">MAX(0,MIN($B69,$A69*'1 Inputs'!$B$6-49*$B69))*'1 Inputs'!$B$7*'1 Inputs'!$B$8*'1 Inputs'!$B$9*'1 Inputs'!$B$10*'1 Inputs'!$B$11</f>
        <v>0</v>
      </c>
      <c r="DP69" s="19" t="n">
        <f aca="false">MAX(0,MIN($B69,$A69*'1 Inputs'!$B$6-50*$B69))*'1 Inputs'!$B$7*'1 Inputs'!$B$8*'1 Inputs'!$B$9*'1 Inputs'!$B$10*'1 Inputs'!$B$11</f>
        <v>0</v>
      </c>
      <c r="DQ69" s="19" t="n">
        <f aca="false">MAX(0,MIN($B69,$A69*'1 Inputs'!$B$6-51*$B69))*'1 Inputs'!$B$7*'1 Inputs'!$B$8*'1 Inputs'!$B$9*'1 Inputs'!$B$10*'1 Inputs'!$B$11</f>
        <v>0</v>
      </c>
      <c r="DR69" s="19" t="n">
        <f aca="false">MAX(0,MIN($B69,$A69*'1 Inputs'!$B$6-52*$B69))*'1 Inputs'!$B$7*'1 Inputs'!$B$8*'1 Inputs'!$B$9*'1 Inputs'!$B$10*'1 Inputs'!$B$11</f>
        <v>0</v>
      </c>
      <c r="DS69" s="19" t="n">
        <f aca="false">MAX(0,MIN($B69,$A69*'1 Inputs'!$B$6-53*$B69))*'1 Inputs'!$B$7*'1 Inputs'!$B$8*'1 Inputs'!$B$9*'1 Inputs'!$B$10*'1 Inputs'!$B$11</f>
        <v>0</v>
      </c>
      <c r="DT69" s="19" t="n">
        <f aca="false">MAX(0,MIN($B69,$A69*'1 Inputs'!$B$6-54*$B69))*'1 Inputs'!$B$7*'1 Inputs'!$B$8*'1 Inputs'!$B$9*'1 Inputs'!$B$10*'1 Inputs'!$B$11</f>
        <v>0</v>
      </c>
      <c r="DU69" s="19" t="n">
        <f aca="false">MAX(0,MIN($B69,$A69*'1 Inputs'!$B$6-55*$B69))*'1 Inputs'!$B$7*'1 Inputs'!$B$8*'1 Inputs'!$B$9*'1 Inputs'!$B$10*'1 Inputs'!$B$11</f>
        <v>0</v>
      </c>
      <c r="DV69" s="19" t="n">
        <f aca="false">MAX(0,MIN($B69,$A69*'1 Inputs'!$B$6-56*$B69))*'1 Inputs'!$B$7*'1 Inputs'!$B$8*'1 Inputs'!$B$9*'1 Inputs'!$B$10*'1 Inputs'!$B$11</f>
        <v>0</v>
      </c>
      <c r="DW69" s="19" t="n">
        <f aca="false">MAX(0,MIN($B69,$A69*'1 Inputs'!$B$6-57*$B69))*'1 Inputs'!$B$7*'1 Inputs'!$B$8*'1 Inputs'!$B$9*'1 Inputs'!$B$10*'1 Inputs'!$B$11</f>
        <v>0</v>
      </c>
      <c r="DX69" s="19" t="n">
        <f aca="false">MAX(0,MIN($B69,$A69*'1 Inputs'!$B$6-58*$B69))*'1 Inputs'!$B$7*'1 Inputs'!$B$8*'1 Inputs'!$B$9*'1 Inputs'!$B$10*'1 Inputs'!$B$11</f>
        <v>0</v>
      </c>
      <c r="DY69" s="19" t="n">
        <f aca="false">MAX(0,MIN($B69,$A69*'1 Inputs'!$B$6-59*$B69))*'1 Inputs'!$B$7*'1 Inputs'!$B$8*'1 Inputs'!$B$9*'1 Inputs'!$B$10*'1 Inputs'!$B$11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3" min="2" style="0" width="20"/>
    <col collapsed="false" customWidth="true" hidden="false" outlineLevel="0" max="4" min="4" style="0" width="14"/>
  </cols>
  <sheetData>
    <row r="1" customFormat="false" ht="16.15" hidden="false" customHeight="false" outlineLevel="0" collapsed="false">
      <c r="A1" s="1" t="s">
        <v>232</v>
      </c>
    </row>
    <row r="2" customFormat="false" ht="15" hidden="false" customHeight="false" outlineLevel="0" collapsed="false">
      <c r="A2" s="2" t="s">
        <v>233</v>
      </c>
    </row>
    <row r="4" customFormat="false" ht="15" hidden="false" customHeight="false" outlineLevel="0" collapsed="false">
      <c r="A4" s="11" t="s">
        <v>234</v>
      </c>
      <c r="B4" s="11" t="s">
        <v>235</v>
      </c>
      <c r="C4" s="11" t="s">
        <v>236</v>
      </c>
      <c r="D4" s="11" t="s">
        <v>237</v>
      </c>
    </row>
    <row r="5" customFormat="false" ht="15" hidden="false" customHeight="false" outlineLevel="0" collapsed="false">
      <c r="A5" s="0" t="s">
        <v>238</v>
      </c>
      <c r="B5" s="12" t="n">
        <f aca="false">'2 The funnel'!B12</f>
        <v>100000000</v>
      </c>
      <c r="C5" s="12" t="n">
        <f aca="false">'1 Inputs'!$B$12</f>
        <v>100000000</v>
      </c>
      <c r="D5" s="9" t="str">
        <f aca="false">IF(ABS(B5-C5)&lt;=MAX(1,ABS(C5)*0.0001),"PASS","FAIL")</f>
        <v>PASS</v>
      </c>
    </row>
    <row r="6" customFormat="false" ht="15" hidden="false" customHeight="false" outlineLevel="0" collapsed="false">
      <c r="A6" s="0" t="s">
        <v>239</v>
      </c>
      <c r="B6" s="15" t="n">
        <f aca="false">'2 The funnel'!B14</f>
        <v>22.5</v>
      </c>
      <c r="C6" s="15" t="n">
        <v>22.5</v>
      </c>
      <c r="D6" s="9" t="str">
        <f aca="false">IF(ABS(B6-C6)&lt;=MAX(0.01,ABS(C6)*0.0001),"PASS","FAIL")</f>
        <v>PASS</v>
      </c>
    </row>
    <row r="7" customFormat="false" ht="15" hidden="false" customHeight="false" outlineLevel="0" collapsed="false">
      <c r="A7" s="0" t="s">
        <v>240</v>
      </c>
      <c r="B7" s="17" t="n">
        <f aca="false">'2 The funnel'!E10</f>
        <v>7.5</v>
      </c>
      <c r="C7" s="17" t="n">
        <v>7.5</v>
      </c>
      <c r="D7" s="9" t="str">
        <f aca="false">IF(ABS(B7-C7)&lt;=MAX(0.01,ABS(C7)*0.0001),"PASS","FAIL")</f>
        <v>PASS</v>
      </c>
    </row>
    <row r="8" customFormat="false" ht="15" hidden="false" customHeight="false" outlineLevel="0" collapsed="false">
      <c r="A8" s="0" t="s">
        <v>241</v>
      </c>
      <c r="B8" s="12" t="n">
        <f aca="false">'2 The funnel'!E13</f>
        <v>-6250000</v>
      </c>
      <c r="C8" s="12" t="n">
        <v>-6250000</v>
      </c>
      <c r="D8" s="9" t="str">
        <f aca="false">IF(ABS(B8-C8)&lt;=MAX(0.01,ABS(C8)*0.0001),"PASS","FAIL")</f>
        <v>PASS</v>
      </c>
    </row>
    <row r="9" customFormat="false" ht="15" hidden="false" customHeight="false" outlineLevel="0" collapsed="false">
      <c r="A9" s="0" t="s">
        <v>242</v>
      </c>
      <c r="B9" s="16" t="n">
        <f aca="false">'2 The funnel'!B15</f>
        <v>192</v>
      </c>
      <c r="C9" s="16" t="n">
        <v>192</v>
      </c>
      <c r="D9" s="9" t="str">
        <f aca="false">IF(ABS(B9-C9)&lt;=MAX(0.01,ABS(C9)*0.0001),"PASS","FAIL")</f>
        <v>PASS</v>
      </c>
    </row>
    <row r="10" customFormat="false" ht="15" hidden="false" customHeight="false" outlineLevel="0" collapsed="false">
      <c r="A10" s="0" t="s">
        <v>243</v>
      </c>
      <c r="B10" s="17" t="n">
        <f aca="false">'3 The diary'!D9</f>
        <v>202.5</v>
      </c>
      <c r="C10" s="17" t="n">
        <v>202.5</v>
      </c>
      <c r="D10" s="9" t="str">
        <f aca="false">IF(ABS(B10-C10)&lt;=MAX(0.01,ABS(C10)*0.0001),"PASS","FAIL")</f>
        <v>PASS</v>
      </c>
    </row>
    <row r="11" customFormat="false" ht="15" hidden="false" customHeight="false" outlineLevel="0" collapsed="false">
      <c r="A11" s="0" t="s">
        <v>244</v>
      </c>
      <c r="B11" s="16" t="n">
        <f aca="false">IF('3 The diary'!B13&gt;'3 The diary'!B14,1,0)</f>
        <v>1</v>
      </c>
      <c r="C11" s="16" t="n">
        <v>1</v>
      </c>
      <c r="D11" s="9" t="str">
        <f aca="false">IF(ABS(B11-C11)&lt;=MAX(0.01,ABS(C11)*0.0001),"PASS","FAIL")</f>
        <v>PASS</v>
      </c>
    </row>
    <row r="12" customFormat="false" ht="15" hidden="false" customHeight="false" outlineLevel="0" collapsed="false">
      <c r="A12" s="0" t="s">
        <v>245</v>
      </c>
      <c r="B12" s="16" t="n">
        <f aca="false">SUMPRODUCT(('4 The queue'!$E$5:$E$204&gt;0)*('4 The queue'!$J$5:$J$204=""))</f>
        <v>0</v>
      </c>
      <c r="C12" s="16" t="n">
        <v>0</v>
      </c>
      <c r="D12" s="9" t="str">
        <f aca="false">IF(ABS(B12-C12)&lt;=MAX(0.01,ABS(C12)*0.0001),"PASS","FAIL")</f>
        <v>PASS</v>
      </c>
    </row>
    <row r="13" customFormat="false" ht="15" hidden="false" customHeight="false" outlineLevel="0" collapsed="false">
      <c r="A13" s="0" t="s">
        <v>246</v>
      </c>
      <c r="B13" s="16" t="n">
        <f aca="false">SUMPRODUCT(('4 The queue'!$K$5:$K$204&lt;&gt;"")*(N('4 The queue'!$K$5:$K$204)&lt;N('4 The queue'!$J$5:$J$204)))</f>
        <v>0</v>
      </c>
      <c r="C13" s="16" t="n">
        <v>0</v>
      </c>
      <c r="D13" s="9" t="str">
        <f aca="false">IF(ABS(B13-C13)&lt;=MAX(0.01,ABS(C13)*0.0001),"PASS","FAIL")</f>
        <v>PASS</v>
      </c>
    </row>
    <row r="14" customFormat="false" ht="15" hidden="false" customHeight="false" outlineLevel="0" collapsed="false">
      <c r="A14" s="0" t="s">
        <v>247</v>
      </c>
      <c r="B14" s="17" t="n">
        <f aca="false">SUM('4 The queue'!$E$5:$E$204)</f>
        <v>90</v>
      </c>
      <c r="C14" s="17" t="n">
        <f aca="false">'1 Inputs'!$B$5*'1 Inputs'!$B$6</f>
        <v>90</v>
      </c>
      <c r="D14" s="9" t="str">
        <f aca="false">IF(ABS(B14-C14)&lt;=MAX(1,ABS(C14)*0.0001),"PASS","FAIL")</f>
        <v>PASS</v>
      </c>
    </row>
    <row r="15" customFormat="false" ht="15" hidden="false" customHeight="false" outlineLevel="0" collapsed="false">
      <c r="A15" s="0" t="s">
        <v>248</v>
      </c>
      <c r="B15" s="17" t="n">
        <f aca="false">SUMPRODUCT(('4 The queue'!$C$5:$C$204=1)*('4 The queue'!$E$5:$E$204))</f>
        <v>0</v>
      </c>
      <c r="C15" s="17" t="n">
        <v>0</v>
      </c>
      <c r="D15" s="9" t="str">
        <f aca="false">IF(ABS(B15-C15)&lt;=MAX(0.01,ABS(C15)*0.0001),"PASS","FAIL")</f>
        <v>PASS</v>
      </c>
    </row>
    <row r="16" customFormat="false" ht="15" hidden="false" customHeight="false" outlineLevel="0" collapsed="false">
      <c r="A16" s="0" t="s">
        <v>249</v>
      </c>
      <c r="B16" s="12" t="n">
        <f aca="false">'4 The queue'!O36</f>
        <v>93750000</v>
      </c>
      <c r="C16" s="12" t="n">
        <f aca="false">SUM('4 The queue'!$G$5:$G$204)</f>
        <v>93750000</v>
      </c>
      <c r="D16" s="9" t="str">
        <f aca="false">IF(ABS(B16-C16)&lt;=MAX(1,ABS(C16)*0.0001),"PASS","FAIL")</f>
        <v>PASS</v>
      </c>
    </row>
    <row r="17" customFormat="false" ht="15" hidden="false" customHeight="false" outlineLevel="0" collapsed="false">
      <c r="A17" s="0" t="s">
        <v>250</v>
      </c>
      <c r="B17" s="16" t="n">
        <f aca="false">IF('4 The queue'!O36&lt;'1 Inputs'!$B$12,1,0)</f>
        <v>1</v>
      </c>
      <c r="C17" s="16" t="n">
        <v>1</v>
      </c>
      <c r="D17" s="9" t="str">
        <f aca="false">IF(ABS(B17-C17)&lt;=MAX(0.01,ABS(C17)*0.0001),"PASS","FAIL")</f>
        <v>PASS</v>
      </c>
    </row>
    <row r="18" customFormat="false" ht="15" hidden="false" customHeight="false" outlineLevel="0" collapsed="false">
      <c r="A18" s="0" t="s">
        <v>251</v>
      </c>
      <c r="B18" s="16" t="n">
        <f aca="false">IF('1 Inputs'!$B$12*'1 Inputs'!$B$33/12&lt;'1 Inputs'!$B$32,1,0)</f>
        <v>1</v>
      </c>
      <c r="C18" s="16" t="n">
        <v>1</v>
      </c>
      <c r="D18" s="9" t="str">
        <f aca="false">IF(ABS(B18-C18)&lt;=MAX(0.01,ABS(C18)*0.0001),"PASS","FAIL")</f>
        <v>PASS</v>
      </c>
    </row>
    <row r="19" customFormat="false" ht="15" hidden="false" customHeight="false" outlineLevel="0" collapsed="false">
      <c r="A19" s="0" t="s">
        <v>252</v>
      </c>
      <c r="B19" s="12" t="n">
        <f aca="false">'5 The cash'!C58</f>
        <v>160000000</v>
      </c>
      <c r="C19" s="12" t="n">
        <v>160000000</v>
      </c>
      <c r="D19" s="9" t="str">
        <f aca="false">IF(ABS(B19-C19)&lt;=MAX(0.01,ABS(C19)*0.0001),"PASS","FAIL")</f>
        <v>PASS</v>
      </c>
    </row>
    <row r="20" customFormat="false" ht="15" hidden="false" customHeight="false" outlineLevel="0" collapsed="false">
      <c r="A20" s="0" t="s">
        <v>253</v>
      </c>
      <c r="B20" s="16" t="n">
        <f aca="false">IF(ISNUMBER('5 The cash'!C57),0,1)</f>
        <v>1</v>
      </c>
      <c r="C20" s="16" t="n">
        <v>1</v>
      </c>
      <c r="D20" s="9" t="str">
        <f aca="false">IF(ABS(B20-C20)&lt;=MAX(0.01,ABS(C20)*0.0001),"PASS","FAIL")</f>
        <v>PASS</v>
      </c>
    </row>
    <row r="21" customFormat="false" ht="15" hidden="false" customHeight="false" outlineLevel="0" collapsed="false">
      <c r="A21" s="0" t="s">
        <v>254</v>
      </c>
      <c r="B21" s="12" t="n">
        <f aca="false">'5 The cash'!C55</f>
        <v>3089062.5</v>
      </c>
      <c r="C21" s="12" t="n">
        <v>3089062.5</v>
      </c>
      <c r="D21" s="9" t="str">
        <f aca="false">IF(ABS(B21-C21)&lt;=MAX(0.01,ABS(C21)*0.0001),"PASS","FAIL")</f>
        <v>PASS</v>
      </c>
    </row>
    <row r="22" customFormat="false" ht="15" hidden="false" customHeight="false" outlineLevel="0" collapsed="false">
      <c r="A22" s="0" t="s">
        <v>255</v>
      </c>
      <c r="B22" s="16" t="n">
        <f aca="false">SUMPRODUCT((N('5 The cash'!$D$5:$D$52)&gt;=0)*1)</f>
        <v>0</v>
      </c>
      <c r="C22" s="16" t="n">
        <v>0</v>
      </c>
      <c r="D22" s="9" t="str">
        <f aca="false">IF(ABS(B22-C22)&lt;=MAX(0.01,ABS(C22)*0.0001),"PASS","FAIL")</f>
        <v>PASS</v>
      </c>
    </row>
    <row r="23" customFormat="false" ht="15" hidden="false" customHeight="false" outlineLevel="0" collapsed="false">
      <c r="A23" s="0" t="s">
        <v>256</v>
      </c>
      <c r="B23" s="12" t="n">
        <f aca="false">'6 The slip'!B8</f>
        <v>1200000</v>
      </c>
      <c r="C23" s="12" t="n">
        <v>1200000</v>
      </c>
      <c r="D23" s="9" t="str">
        <f aca="false">IF(ABS(B23-C23)&lt;=MAX(0.01,ABS(C23)*0.0001),"PASS","FAIL")</f>
        <v>PASS</v>
      </c>
    </row>
    <row r="24" customFormat="false" ht="15" hidden="false" customHeight="false" outlineLevel="0" collapsed="false">
      <c r="A24" s="0" t="s">
        <v>257</v>
      </c>
      <c r="B24" s="12" t="n">
        <f aca="false">'6 The slip'!B9</f>
        <v>750000</v>
      </c>
      <c r="C24" s="12" t="n">
        <v>750000</v>
      </c>
      <c r="D24" s="9" t="str">
        <f aca="false">IF(ABS(B24-C24)&lt;=MAX(0.01,ABS(C24)*0.0001),"PASS","FAIL")</f>
        <v>PASS</v>
      </c>
    </row>
    <row r="25" customFormat="false" ht="15" hidden="false" customHeight="false" outlineLevel="0" collapsed="false">
      <c r="A25" s="0" t="s">
        <v>258</v>
      </c>
      <c r="B25" s="12" t="n">
        <f aca="false">'6 The slip'!B10</f>
        <v>1950000</v>
      </c>
      <c r="C25" s="12" t="n">
        <v>1950000</v>
      </c>
      <c r="D25" s="9" t="str">
        <f aca="false">IF(ABS(B25-C25)&lt;=MAX(0.01,ABS(C25)*0.0001),"PASS","FAIL")</f>
        <v>PASS</v>
      </c>
    </row>
    <row r="26" customFormat="false" ht="15" hidden="false" customHeight="false" outlineLevel="0" collapsed="false">
      <c r="A26" s="0" t="s">
        <v>259</v>
      </c>
      <c r="B26" s="12" t="n">
        <f aca="false">'7 The two rules'!D13</f>
        <v>485714285.714286</v>
      </c>
      <c r="C26" s="12" t="n">
        <v>485714285.7</v>
      </c>
      <c r="D26" s="9" t="str">
        <f aca="false">IF(ABS(B26-C26)&lt;=MAX(0.01,ABS(C26)*0.0001),"PASS","FAIL")</f>
        <v>PASS</v>
      </c>
    </row>
    <row r="27" customFormat="false" ht="15" hidden="false" customHeight="false" outlineLevel="0" collapsed="false">
      <c r="A27" s="0" t="s">
        <v>260</v>
      </c>
      <c r="B27" s="12" t="n">
        <f aca="false">'7 The two rules'!D14</f>
        <v>364285714.285714</v>
      </c>
      <c r="C27" s="12" t="n">
        <v>364285714.3</v>
      </c>
      <c r="D27" s="9" t="str">
        <f aca="false">IF(ABS(B27-C27)&lt;=MAX(0.01,ABS(C27)*0.0001),"PASS","FAIL")</f>
        <v>PASS</v>
      </c>
    </row>
    <row r="28" customFormat="false" ht="15" hidden="false" customHeight="false" outlineLevel="0" collapsed="false">
      <c r="A28" s="0" t="s">
        <v>261</v>
      </c>
      <c r="B28" s="16" t="n">
        <f aca="false">IF('7 The two rules'!F9&gt;0,1,0)</f>
        <v>1</v>
      </c>
      <c r="C28" s="16" t="n">
        <v>1</v>
      </c>
      <c r="D28" s="9" t="str">
        <f aca="false">IF(ABS(B28-C28)&lt;=MAX(0.01,ABS(C28)*0.0001),"PASS","FAIL")</f>
        <v>PASS</v>
      </c>
    </row>
    <row r="29" customFormat="false" ht="15" hidden="false" customHeight="false" outlineLevel="0" collapsed="false">
      <c r="A29" s="0" t="s">
        <v>262</v>
      </c>
      <c r="B29" s="16" t="n">
        <f aca="false">IF('7 The two rules'!F12&lt;='7 The two rules'!F9,1,0)</f>
        <v>1</v>
      </c>
      <c r="C29" s="16" t="n">
        <v>1</v>
      </c>
      <c r="D29" s="9" t="str">
        <f aca="false">IF(ABS(B29-C29)&lt;=MAX(0.01,ABS(C29)*0.0001),"PASS","FAIL")</f>
        <v>PASS</v>
      </c>
    </row>
    <row r="30" customFormat="false" ht="15" hidden="false" customHeight="false" outlineLevel="0" collapsed="false">
      <c r="A30" s="0" t="s">
        <v>263</v>
      </c>
      <c r="B30" s="16" t="n">
        <f aca="false">IF('7 The two rules'!H12&lt;=12,1,0)</f>
        <v>1</v>
      </c>
      <c r="C30" s="16" t="n">
        <v>1</v>
      </c>
      <c r="D30" s="9" t="str">
        <f aca="false">IF(ABS(B30-C30)&lt;=MAX(0.01,ABS(C30)*0.0001),"PASS","FAIL")</f>
        <v>PASS</v>
      </c>
    </row>
    <row r="31" customFormat="false" ht="15" hidden="false" customHeight="false" outlineLevel="0" collapsed="false">
      <c r="A31" s="0" t="s">
        <v>264</v>
      </c>
      <c r="B31" s="16" t="n">
        <f aca="false">SUMPRODUCT((N('8 The cliff'!$B$6:$B$17)&gt;N('8 The cliff'!$B$5:$B$16))*1)</f>
        <v>1</v>
      </c>
      <c r="C31" s="19" t="s">
        <v>265</v>
      </c>
      <c r="D31" s="9" t="str">
        <f aca="false">IF(B31&gt;0,"PASS","FAIL")</f>
        <v>PASS</v>
      </c>
    </row>
    <row r="32" customFormat="false" ht="15" hidden="false" customHeight="false" outlineLevel="0" collapsed="false">
      <c r="A32" s="0" t="s">
        <v>266</v>
      </c>
      <c r="B32" s="16" t="n">
        <f aca="false">IF(MAX('8 The cliff'!B5:B17)-MIN('8 The cliff'!B5:B17)&gt;10000000,1,0)</f>
        <v>1</v>
      </c>
      <c r="C32" s="16" t="n">
        <v>1</v>
      </c>
      <c r="D32" s="9" t="str">
        <f aca="false">IF(ABS(B32-C32)&lt;=MAX(0.01,ABS(C32)*0.0001),"PASS","FAIL")</f>
        <v>PASS</v>
      </c>
    </row>
    <row r="33" customFormat="false" ht="15" hidden="false" customHeight="false" outlineLevel="0" collapsed="false">
      <c r="A33" s="0" t="s">
        <v>267</v>
      </c>
      <c r="B33" s="16" t="n">
        <f aca="false">SUMPRODUCT((N('9 Two constraints'!$B$7:$F$11)&lt;N('9 Two constraints'!$B$6:$F$10))*1)</f>
        <v>0</v>
      </c>
      <c r="C33" s="16" t="n">
        <v>0</v>
      </c>
      <c r="D33" s="9" t="str">
        <f aca="false">IF(ABS(B33-C33)&lt;=MAX(0.01,ABS(C33)*0.0001),"PASS","FAIL")</f>
        <v>PASS</v>
      </c>
    </row>
    <row r="34" customFormat="false" ht="15" hidden="false" customHeight="false" outlineLevel="0" collapsed="false">
      <c r="A34" s="0" t="s">
        <v>268</v>
      </c>
      <c r="B34" s="16" t="n">
        <f aca="false">SUMPRODUCT((N('9 Two constraints'!$C$6:$F$11)&lt;N('9 Two constraints'!$B$6:$E$11))*1)</f>
        <v>0</v>
      </c>
      <c r="C34" s="16" t="n">
        <v>0</v>
      </c>
      <c r="D34" s="9" t="str">
        <f aca="false">IF(ABS(B34-C34)&lt;=MAX(0.01,ABS(C34)*0.0001),"PASS","FAIL")</f>
        <v>PASS</v>
      </c>
    </row>
    <row r="35" customFormat="false" ht="15" hidden="false" customHeight="false" outlineLevel="0" collapsed="false">
      <c r="A35" s="0" t="s">
        <v>269</v>
      </c>
      <c r="B35" s="16" t="n">
        <f aca="false">IF('9 Two constraints'!C6&lt;'1 Inputs'!$B$12,1,0)</f>
        <v>1</v>
      </c>
      <c r="C35" s="16" t="n">
        <v>1</v>
      </c>
      <c r="D35" s="9" t="str">
        <f aca="false">IF(ABS(B35-C35)&lt;=MAX(0.01,ABS(C35)*0.0001),"PASS","FAIL")</f>
        <v>PASS</v>
      </c>
    </row>
    <row r="36" customFormat="false" ht="15" hidden="false" customHeight="false" outlineLevel="0" collapsed="false">
      <c r="A36" s="0" t="s">
        <v>270</v>
      </c>
      <c r="B36" s="16" t="n">
        <f aca="false">IF('9 Two constraints'!F6&lt;'1 Inputs'!$B$12,1,0)</f>
        <v>1</v>
      </c>
      <c r="C36" s="16" t="n">
        <v>1</v>
      </c>
      <c r="D36" s="9" t="str">
        <f aca="false">IF(ABS(B36-C36)&lt;=MAX(0.01,ABS(C36)*0.0001),"PASS","FAIL")</f>
        <v>PASS</v>
      </c>
    </row>
    <row r="37" customFormat="false" ht="15" hidden="false" customHeight="false" outlineLevel="0" collapsed="false">
      <c r="A37" s="0" t="s">
        <v>271</v>
      </c>
      <c r="B37" s="16" t="n">
        <f aca="false">IF('9 Two constraints'!C11&gt;='1 Inputs'!$B$12,1,0)</f>
        <v>1</v>
      </c>
      <c r="C37" s="16" t="n">
        <v>1</v>
      </c>
      <c r="D37" s="9" t="str">
        <f aca="false">IF(ABS(B37-C37)&lt;=MAX(0.01,ABS(C37)*0.0001),"PASS","FAIL")</f>
        <v>PASS</v>
      </c>
    </row>
    <row r="38" customFormat="false" ht="15" hidden="false" customHeight="false" outlineLevel="0" collapsed="false">
      <c r="A38" s="0" t="s">
        <v>272</v>
      </c>
      <c r="B38" s="16" t="n">
        <f aca="false">'2 The funnel'!B16</f>
        <v>3</v>
      </c>
      <c r="C38" s="16" t="n">
        <v>3</v>
      </c>
      <c r="D38" s="9" t="str">
        <f aca="false">IF(ABS(B38-C38)&lt;=MAX(0.01,ABS(C38)*0.0001),"PASS","FAIL")</f>
        <v>PASS</v>
      </c>
    </row>
    <row r="39" customFormat="false" ht="15" hidden="false" customHeight="false" outlineLevel="0" collapsed="false">
      <c r="A39" s="0" t="s">
        <v>273</v>
      </c>
      <c r="B39" s="16" t="n">
        <f aca="false">IF(AND('1 Inputs'!B44&lt;'1 Inputs'!C44,'1 Inputs'!C44&lt;'1 Inputs'!D44,'1 Inputs'!D44&lt;'1 Inputs'!E44,'1 Inputs'!B44&gt;=1,'1 Inputs'!E44&lt;=52),1,0)</f>
        <v>1</v>
      </c>
      <c r="C39" s="16" t="n">
        <v>1</v>
      </c>
      <c r="D39" s="9" t="str">
        <f aca="false">IF(ABS(B39-C39)&lt;=MAX(0.01,ABS(C39)*0.0001),"PASS","FAIL")</f>
        <v>PASS</v>
      </c>
    </row>
    <row r="40" customFormat="false" ht="15" hidden="false" customHeight="false" outlineLevel="0" collapsed="false">
      <c r="A40" s="0" t="s">
        <v>274</v>
      </c>
      <c r="B40" s="16" t="n">
        <f aca="false">IF(AND('4 The queue'!T5='1 Inputs'!B44,'4 The queue'!T8='1 Inputs'!E44,'4 The queue'!T9='1 Inputs'!B44+52),1,0)</f>
        <v>1</v>
      </c>
      <c r="C40" s="16" t="n">
        <v>1</v>
      </c>
      <c r="D40" s="9" t="str">
        <f aca="false">IF(ABS(B40-C40)&lt;=MAX(0.01,ABS(C40)*0.0001),"PASS","FAIL")</f>
        <v>PASS</v>
      </c>
    </row>
    <row r="41" customFormat="false" ht="15" hidden="false" customHeight="false" outlineLevel="0" collapsed="false">
      <c r="A41" s="0" t="s">
        <v>275</v>
      </c>
      <c r="B41" s="16" t="n">
        <f aca="false">SUM('4 The queue'!C5:C56)</f>
        <v>7</v>
      </c>
      <c r="C41" s="16" t="n">
        <f aca="false">('1 Inputs'!C45-'1 Inputs'!B45+1)+('1 Inputs'!C46-'1 Inputs'!B46+1)</f>
        <v>7</v>
      </c>
      <c r="D41" s="9" t="str">
        <f aca="false">IF(ABS(B41-C41)&lt;=MAX(0.01,ABS(C41)*0.0001),"PASS","FAIL")</f>
        <v>PASS</v>
      </c>
    </row>
    <row r="42" customFormat="false" ht="15" hidden="false" customHeight="false" outlineLevel="0" collapsed="false">
      <c r="A42" s="0" t="s">
        <v>276</v>
      </c>
      <c r="B42" s="16" t="n">
        <f aca="false">'3 The diary'!B11</f>
        <v>45</v>
      </c>
      <c r="C42" s="16" t="n">
        <f aca="false">52-SUM('4 The queue'!C5:C56)</f>
        <v>45</v>
      </c>
      <c r="D42" s="9" t="str">
        <f aca="false">IF(ABS(B42-C42)&lt;=MAX(0.01,ABS(C42)*0.0001),"PASS","FAIL")</f>
        <v>PASS</v>
      </c>
    </row>
    <row r="43" customFormat="false" ht="15" hidden="false" customHeight="false" outlineLevel="0" collapsed="false">
      <c r="A43" s="0" t="s">
        <v>277</v>
      </c>
      <c r="B43" s="16" t="n">
        <f aca="false">IF('8 The cliff'!B12='8 The cliff'!B9,1,0)</f>
        <v>1</v>
      </c>
      <c r="C43" s="16" t="n">
        <v>1</v>
      </c>
      <c r="D43" s="9" t="str">
        <f aca="false">IF(ABS(B43-C43)&lt;=MAX(0.01,ABS(C43)*0.0001),"PASS","FAIL")</f>
        <v>PASS</v>
      </c>
    </row>
    <row r="44" customFormat="false" ht="15" hidden="false" customHeight="false" outlineLevel="0" collapsed="false">
      <c r="A44" s="0" t="s">
        <v>278</v>
      </c>
      <c r="B44" s="16" t="n">
        <f aca="false">1-'8 The cliff'!B15/'8 The cliff'!B9</f>
        <v>0.2</v>
      </c>
      <c r="C44" s="16" t="n">
        <v>0.2</v>
      </c>
      <c r="D44" s="9" t="str">
        <f aca="false">IF(ABS(B44-C44)&lt;=MAX(0.01,ABS(C44)*0.0001),"PASS","FAIL")</f>
        <v>PASS</v>
      </c>
    </row>
    <row r="46" customFormat="false" ht="15" hidden="false" customHeight="false" outlineLevel="0" collapsed="false">
      <c r="A46" s="9" t="s">
        <v>279</v>
      </c>
      <c r="B46" s="9" t="n">
        <f aca="false">COUNTIF(D5:D44,"PASS")</f>
        <v>40</v>
      </c>
      <c r="C46" s="9" t="n">
        <v>40</v>
      </c>
      <c r="D46" s="9" t="str">
        <f aca="false">IF(B46=C46,"ALL PASS","SOMETHING FAILS")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2026-08-22T14:49:39Z</dcterms:created>
  <dc:creator>openpyxl</dc:creator>
  <dc:description/>
  <dc:language>en-US</dc:language>
  <cp:lastModifiedBy/>
  <dcterms:modified xsi:type="dcterms:W3CDTF">2026-09-24T00:06:18Z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